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tables/table2.xml" ContentType="application/vnd.openxmlformats-officedocument.spreadsheetml.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tables/table3.xml" ContentType="application/vnd.openxmlformats-officedocument.spreadsheetml.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25"/>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14c7\AC\Temp\"/>
    </mc:Choice>
  </mc:AlternateContent>
  <xr:revisionPtr revIDLastSave="723" documentId="13_ncr:1_{CEF8E726-A6EA-4FC3-ABE8-CFC1D89F6780}" xr6:coauthVersionLast="46" xr6:coauthVersionMax="46" xr10:uidLastSave="{91BFD7A5-4B80-4F1A-B8A6-1E6EF00F71C6}"/>
  <bookViews>
    <workbookView xWindow="-28920" yWindow="-120" windowWidth="29040" windowHeight="15840" tabRatio="838" activeTab="3" xr2:uid="{85FD404F-47CA-4E6C-BF78-EE4BB9C1FEAA}"/>
  </bookViews>
  <sheets>
    <sheet name="Questions" sheetId="12" r:id="rId1"/>
    <sheet name="Policy" sheetId="9" r:id="rId2"/>
    <sheet name="Sign-offs" sheetId="8" r:id="rId3"/>
    <sheet name="Master Property List" sheetId="1" r:id="rId4"/>
    <sheet name="TotalTotal" sheetId="33" r:id="rId5"/>
    <sheet name="MLGCapSum" sheetId="4" r:id="rId6"/>
    <sheet name="LegacySum" sheetId="5" r:id="rId7"/>
    <sheet name="MLGCap Pivots" sheetId="17" r:id="rId8"/>
    <sheet name="Legacy Pivots" sheetId="22" r:id="rId9"/>
    <sheet name="Geo Sum" sheetId="2" r:id="rId10"/>
    <sheet name="Asset Class" sheetId="28" r:id="rId11"/>
    <sheet name="EOM" sheetId="29" r:id="rId12"/>
    <sheet name="AUM" sheetId="30" r:id="rId13"/>
    <sheet name="Tie-outs to Holding Sum" sheetId="23" r:id="rId14"/>
    <sheet name="WI Land Inv" sheetId="10" state="hidden" r:id="rId15"/>
    <sheet name="Tie-out to 3.31 Sum" sheetId="24" state="hidden" r:id="rId16"/>
    <sheet name="IRR" sheetId="31" r:id="rId17"/>
    <sheet name="Toro" sheetId="6" r:id="rId18"/>
    <sheet name="Midwest CCC" sheetId="7" r:id="rId19"/>
    <sheet name="MSP Retail" sheetId="20" state="hidden" r:id="rId20"/>
    <sheet name="Calculated Fields" sheetId="26" r:id="rId21"/>
  </sheets>
  <definedNames>
    <definedName name="_xlnm._FilterDatabase" localSheetId="0" hidden="1">Questions!$B$2:$E$17</definedName>
    <definedName name="_xlchart.v5.0" hidden="1">'Geo Sum'!$I$6</definedName>
    <definedName name="_xlchart.v5.1" hidden="1">'Geo Sum'!$I$7:$I$24</definedName>
    <definedName name="_xlchart.v5.2" hidden="1">'Geo Sum'!$J$6</definedName>
    <definedName name="_xlchart.v5.3" hidden="1">'Geo Sum'!$J$7:$J$24</definedName>
    <definedName name="_xlnm.Print_Area" localSheetId="3">'Master Property List'!$B$1:$AN$144</definedName>
  </definedNames>
  <calcPr calcId="191029"/>
  <pivotCaches>
    <pivotCache cacheId="0" r:id="rId2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44" i="1" l="1"/>
  <c r="E71" i="29" l="1"/>
  <c r="E70" i="29"/>
  <c r="E69" i="29"/>
  <c r="J25" i="2"/>
  <c r="T69" i="1" l="1"/>
  <c r="T68" i="1" l="1"/>
  <c r="T67" i="1" l="1"/>
  <c r="U67" i="1" l="1"/>
  <c r="V67" i="1"/>
  <c r="AG67" i="1"/>
  <c r="AH67" i="1"/>
  <c r="AK67" i="1"/>
  <c r="AM67" i="1"/>
  <c r="AO67" i="1"/>
  <c r="U68" i="1"/>
  <c r="V68" i="1"/>
  <c r="AG68" i="1"/>
  <c r="AH68" i="1"/>
  <c r="AK68" i="1"/>
  <c r="AM68" i="1"/>
  <c r="AO68" i="1"/>
  <c r="U69" i="1"/>
  <c r="V69" i="1"/>
  <c r="AG69" i="1"/>
  <c r="AH69" i="1"/>
  <c r="AK69" i="1"/>
  <c r="AM69" i="1"/>
  <c r="AO69" i="1"/>
  <c r="T64" i="1" l="1"/>
  <c r="T65" i="1"/>
  <c r="T66" i="1"/>
  <c r="T148" i="1" s="1"/>
  <c r="C36" i="30" l="1"/>
  <c r="F49" i="31" l="1"/>
  <c r="I49" i="31"/>
  <c r="C76" i="28"/>
  <c r="C50" i="31" l="1"/>
  <c r="D49" i="31" s="1"/>
  <c r="F38" i="31"/>
  <c r="U64" i="1" l="1"/>
  <c r="V64" i="1"/>
  <c r="AG64" i="1"/>
  <c r="AH64" i="1"/>
  <c r="AK64" i="1"/>
  <c r="AM64" i="1"/>
  <c r="AO64" i="1"/>
  <c r="U65" i="1"/>
  <c r="V65" i="1"/>
  <c r="AG65" i="1"/>
  <c r="AH65" i="1"/>
  <c r="AK65" i="1"/>
  <c r="AM65" i="1"/>
  <c r="AO65" i="1"/>
  <c r="U66" i="1"/>
  <c r="V66" i="1"/>
  <c r="AG66" i="1"/>
  <c r="AH66" i="1"/>
  <c r="AK66" i="1"/>
  <c r="AM66" i="1"/>
  <c r="AO66" i="1"/>
  <c r="C27" i="4"/>
  <c r="B27" i="4"/>
  <c r="F27" i="4"/>
  <c r="E27" i="4"/>
  <c r="D27" i="4"/>
  <c r="D73" i="29" l="1"/>
  <c r="C73" i="29"/>
  <c r="E73" i="29" l="1"/>
  <c r="D65" i="29" l="1"/>
  <c r="E65" i="29" s="1"/>
  <c r="D64" i="29"/>
  <c r="E64" i="29" s="1"/>
  <c r="D63" i="29"/>
  <c r="E63" i="29" s="1"/>
  <c r="D62" i="29"/>
  <c r="E62" i="29" s="1"/>
  <c r="D61" i="29"/>
  <c r="E61" i="29" s="1"/>
  <c r="D60" i="29"/>
  <c r="E60" i="29" s="1"/>
  <c r="D59" i="29"/>
  <c r="E59" i="29" s="1"/>
  <c r="D58" i="29"/>
  <c r="E58" i="29" s="1"/>
  <c r="D57" i="29"/>
  <c r="E57" i="29" s="1"/>
  <c r="C59" i="29"/>
  <c r="C60" i="29"/>
  <c r="C61" i="29"/>
  <c r="C62" i="29"/>
  <c r="C63" i="29"/>
  <c r="C64" i="29"/>
  <c r="C65" i="29"/>
  <c r="C58" i="29"/>
  <c r="C57" i="29"/>
  <c r="C66" i="29" s="1"/>
  <c r="C75" i="29" s="1"/>
  <c r="E66" i="29" l="1"/>
  <c r="E75" i="29" s="1"/>
  <c r="D66" i="29"/>
  <c r="D75" i="29" s="1"/>
  <c r="F28" i="33"/>
  <c r="E28" i="33"/>
  <c r="C28" i="33"/>
  <c r="B28" i="33"/>
  <c r="F27" i="33"/>
  <c r="E27" i="33"/>
  <c r="D27" i="33"/>
  <c r="D43" i="33" s="1"/>
  <c r="C27" i="33"/>
  <c r="B27" i="33"/>
  <c r="A38" i="33"/>
  <c r="A19" i="33"/>
  <c r="F43" i="33" l="1"/>
  <c r="E43" i="33"/>
  <c r="C43" i="33"/>
  <c r="B43" i="33"/>
  <c r="E38" i="24" l="1"/>
  <c r="D38" i="24"/>
  <c r="C38" i="24"/>
  <c r="C35" i="24"/>
  <c r="U63" i="1" l="1"/>
  <c r="V63" i="1"/>
  <c r="AG63" i="1"/>
  <c r="AH63" i="1"/>
  <c r="AK63" i="1"/>
  <c r="AM63" i="1"/>
  <c r="AO63" i="1"/>
  <c r="C52" i="31" l="1"/>
  <c r="D47" i="31" l="1"/>
  <c r="F47" i="31" s="1"/>
  <c r="C40" i="31"/>
  <c r="D38" i="31" s="1"/>
  <c r="C25" i="31"/>
  <c r="D12" i="31" s="1"/>
  <c r="F12" i="31" s="1"/>
  <c r="D32" i="31" l="1"/>
  <c r="F32" i="31" s="1"/>
  <c r="D30" i="31"/>
  <c r="F30" i="31" s="1"/>
  <c r="D21" i="31"/>
  <c r="F21" i="31" s="1"/>
  <c r="D37" i="31"/>
  <c r="F37" i="31" s="1"/>
  <c r="D8" i="31"/>
  <c r="D23" i="31"/>
  <c r="F23" i="31" s="1"/>
  <c r="D19" i="31"/>
  <c r="F19" i="31" s="1"/>
  <c r="D35" i="31"/>
  <c r="F35" i="31" s="1"/>
  <c r="D17" i="31"/>
  <c r="F17" i="31" s="1"/>
  <c r="D33" i="31"/>
  <c r="F33" i="31" s="1"/>
  <c r="D15" i="31"/>
  <c r="F15" i="31" s="1"/>
  <c r="D31" i="31"/>
  <c r="F31" i="31" s="1"/>
  <c r="D14" i="31"/>
  <c r="F14" i="31" s="1"/>
  <c r="C54" i="31"/>
  <c r="D46" i="31"/>
  <c r="F46" i="31" s="1"/>
  <c r="D10" i="31"/>
  <c r="F10" i="31" s="1"/>
  <c r="D48" i="31"/>
  <c r="F48" i="31" s="1"/>
  <c r="D24" i="31"/>
  <c r="F24" i="31" s="1"/>
  <c r="D22" i="31"/>
  <c r="F22" i="31" s="1"/>
  <c r="D20" i="31"/>
  <c r="F20" i="31" s="1"/>
  <c r="D18" i="31"/>
  <c r="F18" i="31" s="1"/>
  <c r="D16" i="31"/>
  <c r="F16" i="31" s="1"/>
  <c r="D13" i="31"/>
  <c r="F13" i="31" s="1"/>
  <c r="D11" i="31"/>
  <c r="F11" i="31" s="1"/>
  <c r="D9" i="31"/>
  <c r="F9" i="31" s="1"/>
  <c r="D39" i="31"/>
  <c r="D36" i="31"/>
  <c r="F36" i="31" s="1"/>
  <c r="D34" i="31"/>
  <c r="F34" i="31" s="1"/>
  <c r="D45" i="31"/>
  <c r="D50" i="31" s="1"/>
  <c r="F8" i="31"/>
  <c r="H38" i="31" l="1"/>
  <c r="I38" i="31" s="1"/>
  <c r="H49" i="31"/>
  <c r="F25" i="31"/>
  <c r="E39" i="31" s="1"/>
  <c r="F39" i="31" s="1"/>
  <c r="F40" i="31" s="1"/>
  <c r="D25" i="31"/>
  <c r="F45" i="31"/>
  <c r="F50" i="31" s="1"/>
  <c r="H8" i="31"/>
  <c r="H47" i="31"/>
  <c r="I47" i="31" s="1"/>
  <c r="H45" i="31"/>
  <c r="I45" i="31" s="1"/>
  <c r="H36" i="31"/>
  <c r="I36" i="31" s="1"/>
  <c r="H34" i="31"/>
  <c r="I34" i="31" s="1"/>
  <c r="H32" i="31"/>
  <c r="I32" i="31" s="1"/>
  <c r="H30" i="31"/>
  <c r="I30" i="31" s="1"/>
  <c r="H10" i="31"/>
  <c r="I10" i="31" s="1"/>
  <c r="H12" i="31"/>
  <c r="I12" i="31" s="1"/>
  <c r="H14" i="31"/>
  <c r="I14" i="31" s="1"/>
  <c r="H16" i="31"/>
  <c r="I16" i="31" s="1"/>
  <c r="H18" i="31"/>
  <c r="I18" i="31" s="1"/>
  <c r="H20" i="31"/>
  <c r="I20" i="31" s="1"/>
  <c r="H22" i="31"/>
  <c r="I22" i="31" s="1"/>
  <c r="H24" i="31"/>
  <c r="I24" i="31" s="1"/>
  <c r="H48" i="31"/>
  <c r="I48" i="31" s="1"/>
  <c r="H46" i="31"/>
  <c r="I46" i="31" s="1"/>
  <c r="H37" i="31"/>
  <c r="I37" i="31" s="1"/>
  <c r="H35" i="31"/>
  <c r="I35" i="31" s="1"/>
  <c r="H33" i="31"/>
  <c r="I33" i="31" s="1"/>
  <c r="H31" i="31"/>
  <c r="I31" i="31" s="1"/>
  <c r="H9" i="31"/>
  <c r="I9" i="31" s="1"/>
  <c r="H11" i="31"/>
  <c r="I11" i="31" s="1"/>
  <c r="H13" i="31"/>
  <c r="I13" i="31" s="1"/>
  <c r="H15" i="31"/>
  <c r="I15" i="31" s="1"/>
  <c r="H17" i="31"/>
  <c r="I17" i="31" s="1"/>
  <c r="H19" i="31"/>
  <c r="I19" i="31" s="1"/>
  <c r="H21" i="31"/>
  <c r="I21" i="31" s="1"/>
  <c r="H23" i="31"/>
  <c r="I23" i="31" s="1"/>
  <c r="D40" i="31"/>
  <c r="H54" i="31" l="1"/>
  <c r="I8" i="31"/>
  <c r="I54" i="31" s="1"/>
  <c r="C8" i="5"/>
  <c r="E8" i="5"/>
  <c r="B8" i="5"/>
  <c r="G8" i="5"/>
  <c r="F8" i="5"/>
  <c r="G15" i="24" l="1"/>
  <c r="U10" i="1" l="1"/>
  <c r="V10" i="1"/>
  <c r="AG10" i="1"/>
  <c r="AH10" i="1"/>
  <c r="AK10" i="1"/>
  <c r="AM10" i="1"/>
  <c r="AO10" i="1"/>
  <c r="U12" i="1"/>
  <c r="V12" i="1"/>
  <c r="AG12" i="1"/>
  <c r="AH12" i="1"/>
  <c r="AK12" i="1"/>
  <c r="AM12" i="1"/>
  <c r="AO12" i="1"/>
  <c r="Z14" i="1" l="1"/>
  <c r="C6" i="6" l="1"/>
  <c r="AA17" i="1" l="1"/>
  <c r="Z17" i="1"/>
  <c r="AE62" i="1" l="1"/>
  <c r="AE61" i="1"/>
  <c r="D36" i="30" l="1"/>
  <c r="K11" i="29"/>
  <c r="K12" i="29"/>
  <c r="K13" i="29"/>
  <c r="K14" i="29"/>
  <c r="K15" i="29"/>
  <c r="K10" i="29"/>
  <c r="B3" i="2"/>
  <c r="B3" i="28" s="1"/>
  <c r="B3" i="29" s="1"/>
  <c r="K16" i="29" l="1"/>
  <c r="C5" i="6"/>
  <c r="AC153" i="1" l="1"/>
  <c r="G64" i="24"/>
  <c r="G68" i="24" s="1"/>
  <c r="F64" i="24"/>
  <c r="E64" i="24"/>
  <c r="D64" i="24"/>
  <c r="C64" i="24"/>
  <c r="H50" i="24"/>
  <c r="H54" i="24" s="1"/>
  <c r="G50" i="24"/>
  <c r="F50" i="24"/>
  <c r="E50" i="24"/>
  <c r="D50" i="24"/>
  <c r="C50" i="24"/>
  <c r="F33" i="24" l="1"/>
  <c r="F38" i="24" s="1"/>
  <c r="F30" i="24"/>
  <c r="F31" i="24" s="1"/>
  <c r="E30" i="24"/>
  <c r="D30" i="24"/>
  <c r="C30" i="24"/>
  <c r="G18" i="24"/>
  <c r="G17" i="24"/>
  <c r="G16" i="24"/>
  <c r="G14" i="24"/>
  <c r="G11" i="24"/>
  <c r="F11" i="24"/>
  <c r="F12" i="24" s="1"/>
  <c r="E11" i="24"/>
  <c r="E12" i="24" s="1"/>
  <c r="D11" i="24"/>
  <c r="D12" i="24" s="1"/>
  <c r="G12" i="24"/>
  <c r="C11" i="24"/>
  <c r="C12" i="24" s="1"/>
  <c r="C11" i="23"/>
  <c r="C23" i="23" s="1"/>
  <c r="F9" i="20"/>
  <c r="E10" i="20" s="1"/>
  <c r="C6" i="20"/>
  <c r="D5" i="20" s="1"/>
  <c r="E13" i="20" s="1"/>
  <c r="D7" i="5"/>
  <c r="C7" i="5"/>
  <c r="C45" i="23"/>
  <c r="B7" i="5"/>
  <c r="E7" i="5"/>
  <c r="F7" i="5"/>
  <c r="G7" i="5"/>
  <c r="C33" i="23"/>
  <c r="C21" i="23"/>
  <c r="C31" i="24" l="1"/>
  <c r="C39" i="24" s="1"/>
  <c r="D31" i="24"/>
  <c r="D39" i="24" s="1"/>
  <c r="E31" i="24"/>
  <c r="E39" i="24" s="1"/>
  <c r="C10" i="20"/>
  <c r="D10" i="20"/>
  <c r="F10" i="20" s="1"/>
  <c r="D13" i="20"/>
  <c r="C13" i="20"/>
  <c r="F39" i="24"/>
  <c r="C36" i="23"/>
  <c r="G19" i="24"/>
  <c r="G20" i="24" s="1"/>
  <c r="C48" i="23"/>
  <c r="C24" i="23"/>
  <c r="D4" i="20"/>
  <c r="C12" i="23"/>
  <c r="F13" i="20" l="1"/>
  <c r="E12" i="20"/>
  <c r="E14" i="20" s="1"/>
  <c r="D12" i="20"/>
  <c r="D14" i="20" s="1"/>
  <c r="C12" i="20"/>
  <c r="AA22" i="1"/>
  <c r="C9" i="4"/>
  <c r="C23" i="4"/>
  <c r="B23" i="4"/>
  <c r="E9" i="4"/>
  <c r="B9" i="4"/>
  <c r="F24" i="4"/>
  <c r="E23" i="4"/>
  <c r="E24" i="4"/>
  <c r="F23" i="4"/>
  <c r="E8" i="4"/>
  <c r="D23" i="4"/>
  <c r="C8" i="4"/>
  <c r="G8" i="4"/>
  <c r="G9" i="4"/>
  <c r="C24" i="4"/>
  <c r="F9" i="4"/>
  <c r="F8" i="4"/>
  <c r="B8" i="4"/>
  <c r="B24" i="4"/>
  <c r="D8" i="4"/>
  <c r="B8" i="33" l="1"/>
  <c r="C24" i="33"/>
  <c r="F24" i="33"/>
  <c r="F9" i="33"/>
  <c r="C9" i="33"/>
  <c r="E9" i="33"/>
  <c r="E8" i="33"/>
  <c r="B9" i="33"/>
  <c r="F8" i="33"/>
  <c r="D23" i="33"/>
  <c r="D25" i="33" s="1"/>
  <c r="C23" i="33"/>
  <c r="E24" i="33"/>
  <c r="G9" i="33"/>
  <c r="B23" i="33"/>
  <c r="D8" i="33"/>
  <c r="D10" i="33" s="1"/>
  <c r="D41" i="33" s="1"/>
  <c r="B24" i="33"/>
  <c r="E23" i="33"/>
  <c r="F23" i="33"/>
  <c r="F25" i="33" s="1"/>
  <c r="C8" i="33"/>
  <c r="G8" i="33"/>
  <c r="C14" i="20"/>
  <c r="F12" i="20"/>
  <c r="F14" i="20" s="1"/>
  <c r="I24" i="17"/>
  <c r="I23" i="17"/>
  <c r="I22" i="17"/>
  <c r="I21" i="17"/>
  <c r="I25" i="17"/>
  <c r="C10" i="33" l="1"/>
  <c r="C41" i="33" s="1"/>
  <c r="E10" i="33"/>
  <c r="E41" i="33" s="1"/>
  <c r="J9" i="33"/>
  <c r="H9" i="33" s="1"/>
  <c r="C25" i="33"/>
  <c r="C29" i="33" s="1"/>
  <c r="E25" i="33"/>
  <c r="E29" i="33" s="1"/>
  <c r="F10" i="33"/>
  <c r="F41" i="33" s="1"/>
  <c r="B25" i="33"/>
  <c r="J8" i="33"/>
  <c r="H8" i="33" s="1"/>
  <c r="G10" i="33"/>
  <c r="F29" i="33"/>
  <c r="F42" i="33"/>
  <c r="D29" i="33"/>
  <c r="D42" i="33"/>
  <c r="D44" i="33" s="1"/>
  <c r="B10" i="33"/>
  <c r="B41" i="33" s="1"/>
  <c r="U128" i="1"/>
  <c r="AG128" i="1"/>
  <c r="AH128" i="1"/>
  <c r="AK128" i="1"/>
  <c r="U127" i="1"/>
  <c r="AG127" i="1"/>
  <c r="AH127" i="1"/>
  <c r="AK127" i="1"/>
  <c r="U123" i="1"/>
  <c r="AG123" i="1"/>
  <c r="AM123" i="1" s="1"/>
  <c r="AH123" i="1"/>
  <c r="AK123" i="1"/>
  <c r="U130" i="1"/>
  <c r="AG130" i="1"/>
  <c r="AM130" i="1" s="1"/>
  <c r="AH130" i="1"/>
  <c r="AK130" i="1"/>
  <c r="U9" i="1"/>
  <c r="AG9" i="1"/>
  <c r="AH9" i="1"/>
  <c r="AK9" i="1"/>
  <c r="AM9" i="1"/>
  <c r="AO9" i="1"/>
  <c r="U122" i="1"/>
  <c r="AG122" i="1"/>
  <c r="AM122" i="1" s="1"/>
  <c r="AH122" i="1"/>
  <c r="AK122" i="1"/>
  <c r="G8" i="10"/>
  <c r="R9" i="10"/>
  <c r="AO5" i="1"/>
  <c r="Q9" i="10"/>
  <c r="O4" i="10"/>
  <c r="O5" i="10"/>
  <c r="O6" i="10"/>
  <c r="O7" i="10"/>
  <c r="O8" i="10"/>
  <c r="O9" i="10"/>
  <c r="O10" i="10"/>
  <c r="I11" i="10"/>
  <c r="K11" i="10"/>
  <c r="L4" i="10"/>
  <c r="Q4" i="10" s="1"/>
  <c r="L5" i="10"/>
  <c r="Q5" i="10" s="1"/>
  <c r="L6" i="10"/>
  <c r="Q6" i="10" s="1"/>
  <c r="L7" i="10"/>
  <c r="Q7" i="10" s="1"/>
  <c r="L8" i="10"/>
  <c r="Q8" i="10" s="1"/>
  <c r="L9" i="10"/>
  <c r="L10" i="10"/>
  <c r="Q10" i="10" s="1"/>
  <c r="J11" i="10"/>
  <c r="E42" i="33" l="1"/>
  <c r="E44" i="33" s="1"/>
  <c r="J10" i="33"/>
  <c r="H10" i="33" s="1"/>
  <c r="F44" i="33"/>
  <c r="C42" i="33"/>
  <c r="C44" i="33" s="1"/>
  <c r="B29" i="33"/>
  <c r="B42" i="33"/>
  <c r="B44" i="33" s="1"/>
  <c r="R6" i="10"/>
  <c r="AO128" i="1"/>
  <c r="AO127" i="1"/>
  <c r="AO130" i="1"/>
  <c r="AO123" i="1"/>
  <c r="AM127" i="1"/>
  <c r="AM128" i="1"/>
  <c r="AO122" i="1"/>
  <c r="R7" i="10"/>
  <c r="R10" i="10"/>
  <c r="R5" i="10"/>
  <c r="R8" i="10"/>
  <c r="R4" i="10"/>
  <c r="L11" i="10"/>
  <c r="U143" i="1" l="1"/>
  <c r="AG143" i="1"/>
  <c r="AM143" i="1" s="1"/>
  <c r="AH143" i="1"/>
  <c r="AK143" i="1"/>
  <c r="AO143" i="1" l="1"/>
  <c r="Y144" i="1" l="1"/>
  <c r="X144" i="1"/>
  <c r="AF144" i="1"/>
  <c r="T144" i="1"/>
  <c r="AO6" i="1" l="1"/>
  <c r="AO7" i="1"/>
  <c r="AO13" i="1"/>
  <c r="AO16" i="1"/>
  <c r="AO17" i="1"/>
  <c r="AO18" i="1"/>
  <c r="AO20" i="1"/>
  <c r="AO24" i="1"/>
  <c r="AO25" i="1"/>
  <c r="AO27" i="1"/>
  <c r="AO28" i="1"/>
  <c r="AO31" i="1"/>
  <c r="AO32" i="1"/>
  <c r="AO36" i="1"/>
  <c r="AO37" i="1"/>
  <c r="AO38" i="1"/>
  <c r="AO39" i="1"/>
  <c r="AO40" i="1"/>
  <c r="AO43" i="1"/>
  <c r="AO45" i="1"/>
  <c r="AO46" i="1"/>
  <c r="AO47" i="1"/>
  <c r="AO48" i="1"/>
  <c r="AO49" i="1"/>
  <c r="AO50" i="1"/>
  <c r="AO51" i="1"/>
  <c r="AO52" i="1"/>
  <c r="AO53" i="1"/>
  <c r="AO54" i="1"/>
  <c r="AO55" i="1"/>
  <c r="AO56" i="1"/>
  <c r="AO60" i="1"/>
  <c r="AO61" i="1"/>
  <c r="AO62" i="1"/>
  <c r="AO8" i="1"/>
  <c r="AO11" i="1"/>
  <c r="AO14" i="1"/>
  <c r="AO15" i="1"/>
  <c r="AO21" i="1"/>
  <c r="AO22" i="1"/>
  <c r="AO26" i="1"/>
  <c r="AO30" i="1"/>
  <c r="AO33" i="1"/>
  <c r="AO34" i="1"/>
  <c r="AO35" i="1"/>
  <c r="AO44" i="1"/>
  <c r="AO23" i="1"/>
  <c r="AO41" i="1"/>
  <c r="AO42" i="1"/>
  <c r="AO57" i="1"/>
  <c r="AO58" i="1"/>
  <c r="AO59" i="1"/>
  <c r="AO29" i="1"/>
  <c r="AM5" i="1"/>
  <c r="AM6" i="1"/>
  <c r="AM7" i="1"/>
  <c r="AM13" i="1"/>
  <c r="AM16" i="1"/>
  <c r="AM17" i="1"/>
  <c r="AM18" i="1"/>
  <c r="AM20" i="1"/>
  <c r="AM24" i="1"/>
  <c r="AM25" i="1"/>
  <c r="AM27" i="1"/>
  <c r="AM28" i="1"/>
  <c r="AM31" i="1"/>
  <c r="AM32" i="1"/>
  <c r="AM36" i="1"/>
  <c r="AM37" i="1"/>
  <c r="AM38" i="1"/>
  <c r="AM39" i="1"/>
  <c r="AM40" i="1"/>
  <c r="AM43" i="1"/>
  <c r="AM45" i="1"/>
  <c r="AM46" i="1"/>
  <c r="AM47" i="1"/>
  <c r="AM48" i="1"/>
  <c r="AM49" i="1"/>
  <c r="AM50" i="1"/>
  <c r="AM51" i="1"/>
  <c r="AM52" i="1"/>
  <c r="AM53" i="1"/>
  <c r="AM54" i="1"/>
  <c r="AM55" i="1"/>
  <c r="AM56" i="1"/>
  <c r="AM60" i="1"/>
  <c r="AM61" i="1"/>
  <c r="AM62" i="1"/>
  <c r="AM8" i="1"/>
  <c r="AM11" i="1"/>
  <c r="AM14" i="1"/>
  <c r="AM15" i="1"/>
  <c r="AM21" i="1"/>
  <c r="AM22" i="1"/>
  <c r="AM26" i="1"/>
  <c r="AM30" i="1"/>
  <c r="AM33" i="1"/>
  <c r="AM34" i="1"/>
  <c r="AM35" i="1"/>
  <c r="AM44" i="1"/>
  <c r="AM23" i="1"/>
  <c r="AM41" i="1"/>
  <c r="AM42" i="1"/>
  <c r="AM57" i="1"/>
  <c r="AM58" i="1"/>
  <c r="AM59" i="1"/>
  <c r="AM29" i="1"/>
  <c r="AK5" i="1"/>
  <c r="AK6" i="1"/>
  <c r="AK7" i="1"/>
  <c r="AK13" i="1"/>
  <c r="AK16" i="1"/>
  <c r="AK17" i="1"/>
  <c r="AK18" i="1"/>
  <c r="AK20" i="1"/>
  <c r="AK24" i="1"/>
  <c r="AK25" i="1"/>
  <c r="AK27" i="1"/>
  <c r="AK28" i="1"/>
  <c r="AK31" i="1"/>
  <c r="AK32" i="1"/>
  <c r="AK36" i="1"/>
  <c r="AK37" i="1"/>
  <c r="AK38" i="1"/>
  <c r="AK39" i="1"/>
  <c r="AK40" i="1"/>
  <c r="AK43" i="1"/>
  <c r="AK45" i="1"/>
  <c r="AK46" i="1"/>
  <c r="AK47" i="1"/>
  <c r="AK48" i="1"/>
  <c r="AK49" i="1"/>
  <c r="AK50" i="1"/>
  <c r="AK51" i="1"/>
  <c r="AK52" i="1"/>
  <c r="AK53" i="1"/>
  <c r="AK54" i="1"/>
  <c r="AK55" i="1"/>
  <c r="AK56" i="1"/>
  <c r="AK60" i="1"/>
  <c r="AK61" i="1"/>
  <c r="AK62" i="1"/>
  <c r="AK8" i="1"/>
  <c r="AK11" i="1"/>
  <c r="AK14" i="1"/>
  <c r="AK15" i="1"/>
  <c r="AK19" i="1"/>
  <c r="AK21" i="1"/>
  <c r="AK22" i="1"/>
  <c r="AK26" i="1"/>
  <c r="AK30" i="1"/>
  <c r="AK33" i="1"/>
  <c r="AK34" i="1"/>
  <c r="AK35" i="1"/>
  <c r="AK44" i="1"/>
  <c r="AK23" i="1"/>
  <c r="AK41" i="1"/>
  <c r="AK42" i="1"/>
  <c r="AK57" i="1"/>
  <c r="AK58" i="1"/>
  <c r="AK59" i="1"/>
  <c r="AK124" i="1"/>
  <c r="AK29" i="1"/>
  <c r="AK70" i="1"/>
  <c r="AK76" i="1"/>
  <c r="AK71" i="1"/>
  <c r="AK74" i="1"/>
  <c r="AK77" i="1"/>
  <c r="AK75" i="1"/>
  <c r="AK73" i="1"/>
  <c r="AK78" i="1"/>
  <c r="AK72" i="1"/>
  <c r="AK96" i="1"/>
  <c r="AK89" i="1"/>
  <c r="AK106" i="1"/>
  <c r="AK93" i="1"/>
  <c r="AK119" i="1"/>
  <c r="AK111" i="1"/>
  <c r="AK86" i="1"/>
  <c r="AK94" i="1"/>
  <c r="AK126" i="1"/>
  <c r="AK118" i="1"/>
  <c r="AK90" i="1"/>
  <c r="AK132" i="1"/>
  <c r="AK117" i="1"/>
  <c r="AK120" i="1"/>
  <c r="AK125" i="1"/>
  <c r="AK110" i="1"/>
  <c r="AK135" i="1"/>
  <c r="AK139" i="1"/>
  <c r="AK136" i="1"/>
  <c r="AK140" i="1"/>
  <c r="AK138" i="1"/>
  <c r="AK84" i="1"/>
  <c r="AK87" i="1"/>
  <c r="AK98" i="1"/>
  <c r="AK109" i="1"/>
  <c r="AK83" i="1"/>
  <c r="AK88" i="1"/>
  <c r="AK103" i="1"/>
  <c r="AK107" i="1"/>
  <c r="AK99" i="1"/>
  <c r="AK100" i="1"/>
  <c r="AK101" i="1"/>
  <c r="AK80" i="1"/>
  <c r="AK102" i="1"/>
  <c r="AK104" i="1"/>
  <c r="AK108" i="1"/>
  <c r="AK113" i="1"/>
  <c r="AK115" i="1"/>
  <c r="AK82" i="1"/>
  <c r="AK97" i="1"/>
  <c r="AK95" i="1"/>
  <c r="AK91" i="1"/>
  <c r="AK79" i="1"/>
  <c r="AK105" i="1"/>
  <c r="AK81" i="1"/>
  <c r="AK92" i="1"/>
  <c r="AK116" i="1"/>
  <c r="AK85" i="1"/>
  <c r="AK134" i="1"/>
  <c r="AK137" i="1"/>
  <c r="AK129" i="1"/>
  <c r="AK112" i="1"/>
  <c r="AK133" i="1"/>
  <c r="AK141" i="1"/>
  <c r="AK142" i="1"/>
  <c r="AK114" i="1"/>
  <c r="AK121" i="1"/>
  <c r="AK131" i="1"/>
  <c r="AL144" i="1"/>
  <c r="AJ144" i="1"/>
  <c r="F26" i="7" l="1"/>
  <c r="C26" i="7"/>
  <c r="H26" i="7" l="1"/>
  <c r="E21" i="7"/>
  <c r="M35" i="1" s="1"/>
  <c r="E20" i="7"/>
  <c r="M34" i="1" s="1"/>
  <c r="E19" i="7"/>
  <c r="E17" i="7"/>
  <c r="F16" i="7" s="1"/>
  <c r="F21" i="7" s="1"/>
  <c r="AD16" i="1"/>
  <c r="AD159" i="1" s="1"/>
  <c r="AD161" i="1" s="1"/>
  <c r="Z16" i="1"/>
  <c r="AD22" i="1"/>
  <c r="M33" i="1" l="1"/>
  <c r="E22" i="7"/>
  <c r="F5" i="7"/>
  <c r="F9" i="7"/>
  <c r="F13" i="7"/>
  <c r="D30" i="7"/>
  <c r="AA35" i="1" s="1"/>
  <c r="G30" i="7"/>
  <c r="AD35" i="1" s="1"/>
  <c r="E30" i="7"/>
  <c r="AB35" i="1" s="1"/>
  <c r="C30" i="7"/>
  <c r="Z35" i="1" s="1"/>
  <c r="F30" i="7"/>
  <c r="AC35" i="1" s="1"/>
  <c r="F6" i="7"/>
  <c r="F10" i="7"/>
  <c r="F14" i="7"/>
  <c r="F7" i="7"/>
  <c r="F11" i="7"/>
  <c r="F15" i="7"/>
  <c r="F8" i="7"/>
  <c r="F12" i="7"/>
  <c r="F20" i="7" l="1"/>
  <c r="D29" i="7" s="1"/>
  <c r="AA34" i="1" s="1"/>
  <c r="F19" i="7"/>
  <c r="H30" i="7"/>
  <c r="F17" i="7"/>
  <c r="C29" i="7" l="1"/>
  <c r="Z34" i="1" s="1"/>
  <c r="F29" i="7"/>
  <c r="AC34" i="1" s="1"/>
  <c r="E29" i="7"/>
  <c r="AB34" i="1" s="1"/>
  <c r="G29" i="7"/>
  <c r="AD34" i="1" s="1"/>
  <c r="H29" i="7"/>
  <c r="D28" i="7"/>
  <c r="G28" i="7"/>
  <c r="C28" i="7"/>
  <c r="Z33" i="1" s="1"/>
  <c r="Z144" i="1" s="1"/>
  <c r="E28" i="7"/>
  <c r="F28" i="7"/>
  <c r="F22" i="7"/>
  <c r="F31" i="7" l="1"/>
  <c r="F32" i="7" s="1"/>
  <c r="AC33" i="1"/>
  <c r="D31" i="7"/>
  <c r="D32" i="7" s="1"/>
  <c r="AA33" i="1"/>
  <c r="G31" i="7"/>
  <c r="G32" i="7" s="1"/>
  <c r="AD33" i="1"/>
  <c r="AD144" i="1" s="1"/>
  <c r="AD162" i="1" s="1"/>
  <c r="E31" i="7"/>
  <c r="E32" i="7" s="1"/>
  <c r="AB33" i="1"/>
  <c r="C31" i="7"/>
  <c r="C32" i="7" s="1"/>
  <c r="H28" i="7"/>
  <c r="H31" i="7" s="1"/>
  <c r="H32" i="7" s="1"/>
  <c r="AG141" i="1" l="1"/>
  <c r="AO141" i="1" s="1"/>
  <c r="AG142" i="1"/>
  <c r="AO142" i="1" s="1"/>
  <c r="AG114" i="1"/>
  <c r="AO114" i="1" s="1"/>
  <c r="AG121" i="1"/>
  <c r="AO121" i="1" s="1"/>
  <c r="AG131" i="1"/>
  <c r="AO131" i="1" s="1"/>
  <c r="AH141" i="1"/>
  <c r="AH142" i="1"/>
  <c r="AH114" i="1"/>
  <c r="AH121" i="1"/>
  <c r="AH131" i="1"/>
  <c r="AG35" i="1"/>
  <c r="AH35" i="1"/>
  <c r="AG34" i="1"/>
  <c r="AH34" i="1"/>
  <c r="C20" i="6"/>
  <c r="E19" i="6" s="1"/>
  <c r="E18" i="6"/>
  <c r="C7" i="6"/>
  <c r="E10" i="6" l="1"/>
  <c r="E12" i="6"/>
  <c r="E14" i="6"/>
  <c r="E16" i="6"/>
  <c r="AM114" i="1"/>
  <c r="AM142" i="1"/>
  <c r="AM131" i="1"/>
  <c r="AM141" i="1"/>
  <c r="D6" i="6"/>
  <c r="D4" i="6"/>
  <c r="F18" i="6"/>
  <c r="F16" i="6"/>
  <c r="F14" i="6"/>
  <c r="F12" i="6"/>
  <c r="F10" i="6"/>
  <c r="F19" i="6"/>
  <c r="D5" i="6"/>
  <c r="E11" i="6"/>
  <c r="E13" i="6"/>
  <c r="F13" i="6" s="1"/>
  <c r="E15" i="6"/>
  <c r="F15" i="6" s="1"/>
  <c r="E17" i="6"/>
  <c r="F17" i="6" s="1"/>
  <c r="C23" i="6" l="1"/>
  <c r="J18" i="6"/>
  <c r="AC55" i="1" s="1"/>
  <c r="I18" i="6"/>
  <c r="AB55" i="1" s="1"/>
  <c r="H18" i="6"/>
  <c r="J16" i="6"/>
  <c r="AC53" i="1" s="1"/>
  <c r="I16" i="6"/>
  <c r="H16" i="6"/>
  <c r="AA53" i="1" s="1"/>
  <c r="J17" i="6"/>
  <c r="H17" i="6"/>
  <c r="AA54" i="1" s="1"/>
  <c r="I17" i="6"/>
  <c r="AB54" i="1" s="1"/>
  <c r="I13" i="6"/>
  <c r="AB50" i="1" s="1"/>
  <c r="H13" i="6"/>
  <c r="AA50" i="1" s="1"/>
  <c r="J13" i="6"/>
  <c r="H19" i="6"/>
  <c r="AA56" i="1" s="1"/>
  <c r="J19" i="6"/>
  <c r="AC56" i="1" s="1"/>
  <c r="I19" i="6"/>
  <c r="J10" i="6"/>
  <c r="H10" i="6"/>
  <c r="I10" i="6"/>
  <c r="J12" i="6"/>
  <c r="H12" i="6"/>
  <c r="AA49" i="1" s="1"/>
  <c r="I12" i="6"/>
  <c r="H15" i="6"/>
  <c r="AA52" i="1" s="1"/>
  <c r="J15" i="6"/>
  <c r="AC52" i="1" s="1"/>
  <c r="I15" i="6"/>
  <c r="J14" i="6"/>
  <c r="AC51" i="1" s="1"/>
  <c r="I14" i="6"/>
  <c r="AB51" i="1" s="1"/>
  <c r="D22" i="6"/>
  <c r="E26" i="6" s="1"/>
  <c r="H14" i="6"/>
  <c r="F11" i="6"/>
  <c r="D23" i="6" s="1"/>
  <c r="C22" i="6"/>
  <c r="C26" i="6"/>
  <c r="E20" i="6"/>
  <c r="D26" i="6" l="1"/>
  <c r="C27" i="6"/>
  <c r="D27" i="6"/>
  <c r="K14" i="6"/>
  <c r="L14" i="6" s="1"/>
  <c r="AA51" i="1"/>
  <c r="K15" i="6"/>
  <c r="L15" i="6" s="1"/>
  <c r="AB52" i="1"/>
  <c r="K10" i="6"/>
  <c r="AC47" i="1"/>
  <c r="K13" i="6"/>
  <c r="L13" i="6" s="1"/>
  <c r="AC50" i="1"/>
  <c r="AC49" i="1"/>
  <c r="K19" i="6"/>
  <c r="L19" i="6" s="1"/>
  <c r="AB56" i="1"/>
  <c r="K17" i="6"/>
  <c r="L17" i="6" s="1"/>
  <c r="AC54" i="1"/>
  <c r="AA55" i="1"/>
  <c r="K18" i="6"/>
  <c r="L18" i="6" s="1"/>
  <c r="AB47" i="1"/>
  <c r="F20" i="6"/>
  <c r="I11" i="6"/>
  <c r="I20" i="6" s="1"/>
  <c r="H11" i="6"/>
  <c r="AA48" i="1" s="1"/>
  <c r="J11" i="6"/>
  <c r="AC48" i="1" s="1"/>
  <c r="K12" i="6"/>
  <c r="L12" i="6" s="1"/>
  <c r="AB49" i="1"/>
  <c r="AA47" i="1"/>
  <c r="K16" i="6"/>
  <c r="L16" i="6" s="1"/>
  <c r="AB53" i="1"/>
  <c r="E27" i="6"/>
  <c r="F27" i="6" s="1"/>
  <c r="F26" i="6"/>
  <c r="C28" i="6"/>
  <c r="D28" i="6"/>
  <c r="H20" i="6" l="1"/>
  <c r="AA144" i="1"/>
  <c r="J20" i="6"/>
  <c r="L10" i="6"/>
  <c r="K11" i="6"/>
  <c r="L11" i="6" s="1"/>
  <c r="AB48" i="1"/>
  <c r="AB144" i="1" s="1"/>
  <c r="F28" i="6"/>
  <c r="E28" i="6"/>
  <c r="L20" i="6" l="1"/>
  <c r="K20" i="6"/>
  <c r="AE144" i="1" l="1"/>
  <c r="AH5" i="1" l="1"/>
  <c r="AH6" i="1"/>
  <c r="AH7" i="1"/>
  <c r="AH13" i="1"/>
  <c r="AH16" i="1"/>
  <c r="AH17" i="1"/>
  <c r="AH18" i="1"/>
  <c r="AH20" i="1"/>
  <c r="AH24" i="1"/>
  <c r="AH25" i="1"/>
  <c r="AH27" i="1"/>
  <c r="AH28" i="1"/>
  <c r="AH31" i="1"/>
  <c r="AH32" i="1"/>
  <c r="AH36" i="1"/>
  <c r="AH37" i="1"/>
  <c r="AH38" i="1"/>
  <c r="AH39" i="1"/>
  <c r="AH40" i="1"/>
  <c r="AH43" i="1"/>
  <c r="AH45" i="1"/>
  <c r="AH46" i="1"/>
  <c r="AH47" i="1"/>
  <c r="AH48" i="1"/>
  <c r="AH49" i="1"/>
  <c r="AH50" i="1"/>
  <c r="AH51" i="1"/>
  <c r="AH52" i="1"/>
  <c r="AH53" i="1"/>
  <c r="AH54" i="1"/>
  <c r="AH55" i="1"/>
  <c r="AH56" i="1"/>
  <c r="AH60" i="1"/>
  <c r="AH61" i="1"/>
  <c r="AH62" i="1"/>
  <c r="AH8" i="1"/>
  <c r="AH11" i="1"/>
  <c r="AH14" i="1"/>
  <c r="AH15" i="1"/>
  <c r="AH19" i="1"/>
  <c r="AH21" i="1"/>
  <c r="AH22" i="1"/>
  <c r="AH26" i="1"/>
  <c r="AH30" i="1"/>
  <c r="AH33" i="1"/>
  <c r="AH44" i="1"/>
  <c r="AH23" i="1"/>
  <c r="AH41" i="1"/>
  <c r="AH42" i="1"/>
  <c r="AH57" i="1"/>
  <c r="AH58" i="1"/>
  <c r="AH59" i="1"/>
  <c r="AH124" i="1"/>
  <c r="AH29" i="1"/>
  <c r="AH70" i="1"/>
  <c r="AH76" i="1"/>
  <c r="AH71" i="1"/>
  <c r="AH74" i="1"/>
  <c r="AH77" i="1"/>
  <c r="AH75" i="1"/>
  <c r="AH73" i="1"/>
  <c r="AH78" i="1"/>
  <c r="AH72" i="1"/>
  <c r="AH96" i="1"/>
  <c r="AH89" i="1"/>
  <c r="AH106" i="1"/>
  <c r="AH93" i="1"/>
  <c r="AH119" i="1"/>
  <c r="AH111" i="1"/>
  <c r="AH86" i="1"/>
  <c r="AH94" i="1"/>
  <c r="AH126" i="1"/>
  <c r="AH118" i="1"/>
  <c r="AH90" i="1"/>
  <c r="AH132" i="1"/>
  <c r="AH117" i="1"/>
  <c r="AH120" i="1"/>
  <c r="AH125" i="1"/>
  <c r="AH110" i="1"/>
  <c r="AH135" i="1"/>
  <c r="AH139" i="1"/>
  <c r="AH136" i="1"/>
  <c r="AH140" i="1"/>
  <c r="AH138" i="1"/>
  <c r="AH84" i="1"/>
  <c r="AH87" i="1"/>
  <c r="AH98" i="1"/>
  <c r="AH109" i="1"/>
  <c r="AH83" i="1"/>
  <c r="AH88" i="1"/>
  <c r="AH103" i="1"/>
  <c r="AH107" i="1"/>
  <c r="AH99" i="1"/>
  <c r="AH100" i="1"/>
  <c r="AH101" i="1"/>
  <c r="AH80" i="1"/>
  <c r="AH102" i="1"/>
  <c r="AH104" i="1"/>
  <c r="AH108" i="1"/>
  <c r="AH113" i="1"/>
  <c r="AH115" i="1"/>
  <c r="AH82" i="1"/>
  <c r="AH97" i="1"/>
  <c r="AH95" i="1"/>
  <c r="AH91" i="1"/>
  <c r="AH79" i="1"/>
  <c r="AH105" i="1"/>
  <c r="AH81" i="1"/>
  <c r="AH92" i="1"/>
  <c r="AH116" i="1"/>
  <c r="AH85" i="1"/>
  <c r="AH134" i="1"/>
  <c r="AH137" i="1"/>
  <c r="AH129" i="1"/>
  <c r="AH112" i="1"/>
  <c r="AH133" i="1"/>
  <c r="G9" i="5" l="1"/>
  <c r="G13" i="5" s="1"/>
  <c r="F9" i="5"/>
  <c r="E9" i="5"/>
  <c r="E13" i="5" s="1"/>
  <c r="D9" i="5"/>
  <c r="D13" i="5" s="1"/>
  <c r="C9" i="5"/>
  <c r="C13" i="5" s="1"/>
  <c r="B9" i="5"/>
  <c r="A38" i="4"/>
  <c r="D43" i="4"/>
  <c r="D25" i="4"/>
  <c r="A19" i="4"/>
  <c r="D10" i="4"/>
  <c r="D41" i="4" s="1"/>
  <c r="AC28" i="1"/>
  <c r="AC144" i="1" s="1"/>
  <c r="AC154" i="1" s="1"/>
  <c r="AG5" i="1"/>
  <c r="AG6" i="1"/>
  <c r="AG7" i="1"/>
  <c r="AG13" i="1"/>
  <c r="AG16" i="1"/>
  <c r="AG17" i="1"/>
  <c r="AG18" i="1"/>
  <c r="AG20" i="1"/>
  <c r="AG24" i="1"/>
  <c r="AG25" i="1"/>
  <c r="AG27" i="1"/>
  <c r="AG31" i="1"/>
  <c r="AG32" i="1"/>
  <c r="AG36" i="1"/>
  <c r="AG37" i="1"/>
  <c r="AG38" i="1"/>
  <c r="AG39" i="1"/>
  <c r="AG40" i="1"/>
  <c r="AG43" i="1"/>
  <c r="AG45" i="1"/>
  <c r="AG46" i="1"/>
  <c r="AG47" i="1"/>
  <c r="AG48" i="1"/>
  <c r="AG49" i="1"/>
  <c r="AG50" i="1"/>
  <c r="AG51" i="1"/>
  <c r="AG52" i="1"/>
  <c r="AG53" i="1"/>
  <c r="AG54" i="1"/>
  <c r="AG55" i="1"/>
  <c r="AG56" i="1"/>
  <c r="AG60" i="1"/>
  <c r="AG61" i="1"/>
  <c r="AG62" i="1"/>
  <c r="AG8" i="1"/>
  <c r="AG11" i="1"/>
  <c r="AG14" i="1"/>
  <c r="AG15" i="1"/>
  <c r="AG19" i="1"/>
  <c r="AG21" i="1"/>
  <c r="AG22" i="1"/>
  <c r="AG26" i="1"/>
  <c r="AG30" i="1"/>
  <c r="AG33" i="1"/>
  <c r="AG44" i="1"/>
  <c r="AG23" i="1"/>
  <c r="AG41" i="1"/>
  <c r="AG42" i="1"/>
  <c r="AG57" i="1"/>
  <c r="AG58" i="1"/>
  <c r="AG59" i="1"/>
  <c r="AG124" i="1"/>
  <c r="AG29" i="1"/>
  <c r="AG70" i="1"/>
  <c r="AO70" i="1" s="1"/>
  <c r="AG76" i="1"/>
  <c r="AO76" i="1" s="1"/>
  <c r="AG71" i="1"/>
  <c r="AO71" i="1" s="1"/>
  <c r="AG74" i="1"/>
  <c r="AO74" i="1" s="1"/>
  <c r="AG77" i="1"/>
  <c r="AO77" i="1" s="1"/>
  <c r="AG75" i="1"/>
  <c r="AO75" i="1" s="1"/>
  <c r="AG73" i="1"/>
  <c r="AO73" i="1" s="1"/>
  <c r="AG78" i="1"/>
  <c r="AO78" i="1" s="1"/>
  <c r="AG72" i="1"/>
  <c r="AO72" i="1" s="1"/>
  <c r="AG96" i="1"/>
  <c r="AO96" i="1" s="1"/>
  <c r="AG89" i="1"/>
  <c r="AO89" i="1" s="1"/>
  <c r="AG106" i="1"/>
  <c r="AO106" i="1" s="1"/>
  <c r="AG93" i="1"/>
  <c r="AO93" i="1" s="1"/>
  <c r="AG119" i="1"/>
  <c r="AO119" i="1" s="1"/>
  <c r="AG111" i="1"/>
  <c r="AO111" i="1" s="1"/>
  <c r="AG86" i="1"/>
  <c r="AO86" i="1" s="1"/>
  <c r="AG94" i="1"/>
  <c r="AO94" i="1" s="1"/>
  <c r="AG126" i="1"/>
  <c r="AO126" i="1" s="1"/>
  <c r="AG118" i="1"/>
  <c r="AO118" i="1" s="1"/>
  <c r="AG90" i="1"/>
  <c r="AO90" i="1" s="1"/>
  <c r="AG132" i="1"/>
  <c r="AO132" i="1" s="1"/>
  <c r="AG117" i="1"/>
  <c r="AO117" i="1" s="1"/>
  <c r="AG120" i="1"/>
  <c r="AO120" i="1" s="1"/>
  <c r="AG125" i="1"/>
  <c r="AO125" i="1" s="1"/>
  <c r="AG110" i="1"/>
  <c r="AO110" i="1" s="1"/>
  <c r="AG135" i="1"/>
  <c r="AO135" i="1" s="1"/>
  <c r="AG139" i="1"/>
  <c r="AO139" i="1" s="1"/>
  <c r="AG136" i="1"/>
  <c r="AO136" i="1" s="1"/>
  <c r="AG140" i="1"/>
  <c r="AO140" i="1" s="1"/>
  <c r="AG138" i="1"/>
  <c r="AO138" i="1" s="1"/>
  <c r="AG84" i="1"/>
  <c r="AO84" i="1" s="1"/>
  <c r="AG87" i="1"/>
  <c r="AO87" i="1" s="1"/>
  <c r="AG98" i="1"/>
  <c r="AO98" i="1" s="1"/>
  <c r="AG109" i="1"/>
  <c r="AO109" i="1" s="1"/>
  <c r="AG83" i="1"/>
  <c r="AO83" i="1" s="1"/>
  <c r="AG88" i="1"/>
  <c r="AO88" i="1" s="1"/>
  <c r="AG103" i="1"/>
  <c r="AO103" i="1" s="1"/>
  <c r="AG107" i="1"/>
  <c r="AO107" i="1" s="1"/>
  <c r="AG99" i="1"/>
  <c r="AO99" i="1" s="1"/>
  <c r="AG100" i="1"/>
  <c r="AG101" i="1"/>
  <c r="AG80" i="1"/>
  <c r="AO80" i="1" s="1"/>
  <c r="AG102" i="1"/>
  <c r="AO102" i="1" s="1"/>
  <c r="AG104" i="1"/>
  <c r="AO104" i="1" s="1"/>
  <c r="AG108" i="1"/>
  <c r="AO108" i="1" s="1"/>
  <c r="AG113" i="1"/>
  <c r="AO113" i="1" s="1"/>
  <c r="AG115" i="1"/>
  <c r="AO115" i="1" s="1"/>
  <c r="AG82" i="1"/>
  <c r="AO82" i="1" s="1"/>
  <c r="AG97" i="1"/>
  <c r="AO97" i="1" s="1"/>
  <c r="AG95" i="1"/>
  <c r="AO95" i="1" s="1"/>
  <c r="AG91" i="1"/>
  <c r="AO91" i="1" s="1"/>
  <c r="AG79" i="1"/>
  <c r="AO79" i="1" s="1"/>
  <c r="AG105" i="1"/>
  <c r="AO105" i="1" s="1"/>
  <c r="AG81" i="1"/>
  <c r="AO81" i="1" s="1"/>
  <c r="AG92" i="1"/>
  <c r="AO92" i="1" s="1"/>
  <c r="AG116" i="1"/>
  <c r="AO116" i="1" s="1"/>
  <c r="AG85" i="1"/>
  <c r="AO85" i="1" s="1"/>
  <c r="AG134" i="1"/>
  <c r="AG137" i="1"/>
  <c r="AO137" i="1" s="1"/>
  <c r="AG129" i="1"/>
  <c r="AO129" i="1" s="1"/>
  <c r="AG112" i="1"/>
  <c r="AO112" i="1" s="1"/>
  <c r="AG133" i="1"/>
  <c r="AO133" i="1" s="1"/>
  <c r="U5" i="1"/>
  <c r="U6" i="1"/>
  <c r="U7" i="1"/>
  <c r="U13" i="1"/>
  <c r="U16" i="1"/>
  <c r="U17" i="1"/>
  <c r="U18" i="1"/>
  <c r="U20" i="1"/>
  <c r="U24" i="1"/>
  <c r="U25" i="1"/>
  <c r="U27" i="1"/>
  <c r="U28" i="1"/>
  <c r="U31" i="1"/>
  <c r="U32" i="1"/>
  <c r="U36" i="1"/>
  <c r="U37" i="1"/>
  <c r="U38" i="1"/>
  <c r="U39" i="1"/>
  <c r="U40" i="1"/>
  <c r="U43" i="1"/>
  <c r="U45" i="1"/>
  <c r="U46" i="1"/>
  <c r="U47" i="1"/>
  <c r="U48" i="1"/>
  <c r="U49" i="1"/>
  <c r="U50" i="1"/>
  <c r="U51" i="1"/>
  <c r="U52" i="1"/>
  <c r="U53" i="1"/>
  <c r="U54" i="1"/>
  <c r="U55" i="1"/>
  <c r="U56" i="1"/>
  <c r="U60" i="1"/>
  <c r="U61" i="1"/>
  <c r="U62" i="1"/>
  <c r="U8" i="1"/>
  <c r="U11" i="1"/>
  <c r="U14" i="1"/>
  <c r="U15" i="1"/>
  <c r="U21" i="1"/>
  <c r="U22" i="1"/>
  <c r="U26" i="1"/>
  <c r="U30" i="1"/>
  <c r="U33" i="1"/>
  <c r="U44" i="1"/>
  <c r="U23" i="1"/>
  <c r="U41" i="1"/>
  <c r="U42" i="1"/>
  <c r="U57" i="1"/>
  <c r="U58" i="1"/>
  <c r="U59" i="1"/>
  <c r="U124" i="1"/>
  <c r="U29" i="1"/>
  <c r="V5" i="1"/>
  <c r="V6" i="1"/>
  <c r="V7" i="1"/>
  <c r="V13" i="1"/>
  <c r="V16" i="1"/>
  <c r="V17" i="1"/>
  <c r="V18" i="1"/>
  <c r="V20" i="1"/>
  <c r="V24" i="1"/>
  <c r="V25" i="1"/>
  <c r="V27" i="1"/>
  <c r="V28" i="1"/>
  <c r="V31" i="1"/>
  <c r="V32" i="1"/>
  <c r="V36" i="1"/>
  <c r="V37" i="1"/>
  <c r="V38" i="1"/>
  <c r="V39" i="1"/>
  <c r="V40" i="1"/>
  <c r="V43" i="1"/>
  <c r="V45" i="1"/>
  <c r="V46" i="1"/>
  <c r="V47" i="1"/>
  <c r="V48" i="1"/>
  <c r="V49" i="1"/>
  <c r="V50" i="1"/>
  <c r="V51" i="1"/>
  <c r="V52" i="1"/>
  <c r="V53" i="1"/>
  <c r="V54" i="1"/>
  <c r="V55" i="1"/>
  <c r="V56" i="1"/>
  <c r="V60" i="1"/>
  <c r="V61" i="1"/>
  <c r="V62" i="1"/>
  <c r="V8" i="1"/>
  <c r="V11" i="1"/>
  <c r="V14" i="1"/>
  <c r="V15" i="1"/>
  <c r="V21" i="1"/>
  <c r="V22" i="1"/>
  <c r="V26" i="1"/>
  <c r="V30" i="1"/>
  <c r="V33" i="1"/>
  <c r="V44" i="1"/>
  <c r="V23" i="1"/>
  <c r="V41" i="1"/>
  <c r="V42" i="1"/>
  <c r="V57" i="1"/>
  <c r="V58" i="1"/>
  <c r="V59" i="1"/>
  <c r="AM19" i="1" l="1"/>
  <c r="AO19" i="1"/>
  <c r="AG28" i="1"/>
  <c r="AG144" i="1" s="1"/>
  <c r="B13" i="5"/>
  <c r="F13" i="5"/>
  <c r="D29" i="4"/>
  <c r="B10" i="4"/>
  <c r="B41" i="4" s="1"/>
  <c r="B25" i="4"/>
  <c r="B42" i="4" s="1"/>
  <c r="F25" i="4"/>
  <c r="F42" i="4" s="1"/>
  <c r="C43" i="4"/>
  <c r="AM124" i="1"/>
  <c r="AO124" i="1"/>
  <c r="C10" i="4"/>
  <c r="C41" i="4" s="1"/>
  <c r="C25" i="4"/>
  <c r="C42" i="4" s="1"/>
  <c r="AO134" i="1"/>
  <c r="AM129" i="1"/>
  <c r="AM116" i="1"/>
  <c r="AM79" i="1"/>
  <c r="AM82" i="1"/>
  <c r="AM104" i="1"/>
  <c r="AM88" i="1"/>
  <c r="AM87" i="1"/>
  <c r="AM136" i="1"/>
  <c r="AM125" i="1"/>
  <c r="AM90" i="1"/>
  <c r="AM86" i="1"/>
  <c r="AM106" i="1"/>
  <c r="AM78" i="1"/>
  <c r="AM74" i="1"/>
  <c r="AM137" i="1"/>
  <c r="AM92" i="1"/>
  <c r="AM91" i="1"/>
  <c r="AM115" i="1"/>
  <c r="AM102" i="1"/>
  <c r="AM99" i="1"/>
  <c r="AM83" i="1"/>
  <c r="AM84" i="1"/>
  <c r="AM139" i="1"/>
  <c r="AM120" i="1"/>
  <c r="AM118" i="1"/>
  <c r="AM111" i="1"/>
  <c r="AM89" i="1"/>
  <c r="AM73" i="1"/>
  <c r="AM71" i="1"/>
  <c r="AM133" i="1"/>
  <c r="AM134" i="1"/>
  <c r="AM81" i="1"/>
  <c r="AM95" i="1"/>
  <c r="AM113" i="1"/>
  <c r="AM80" i="1"/>
  <c r="AM107" i="1"/>
  <c r="AM109" i="1"/>
  <c r="AM138" i="1"/>
  <c r="AM135" i="1"/>
  <c r="AM117" i="1"/>
  <c r="AM126" i="1"/>
  <c r="AM119" i="1"/>
  <c r="AM96" i="1"/>
  <c r="AM75" i="1"/>
  <c r="AM76" i="1"/>
  <c r="AM112" i="1"/>
  <c r="AM85" i="1"/>
  <c r="AM105" i="1"/>
  <c r="AM97" i="1"/>
  <c r="AM108" i="1"/>
  <c r="AM103" i="1"/>
  <c r="AM98" i="1"/>
  <c r="AM140" i="1"/>
  <c r="AM110" i="1"/>
  <c r="AM132" i="1"/>
  <c r="AM94" i="1"/>
  <c r="AM93" i="1"/>
  <c r="AM72" i="1"/>
  <c r="AM77" i="1"/>
  <c r="AM70" i="1"/>
  <c r="J9" i="4"/>
  <c r="H9" i="4" s="1"/>
  <c r="B43" i="4"/>
  <c r="F43" i="4"/>
  <c r="G10" i="4"/>
  <c r="F10" i="4"/>
  <c r="F41" i="4" s="1"/>
  <c r="E25" i="4"/>
  <c r="E42" i="4" s="1"/>
  <c r="E43" i="4"/>
  <c r="E10" i="4"/>
  <c r="E41" i="4" s="1"/>
  <c r="J8" i="4"/>
  <c r="H8" i="4" s="1"/>
  <c r="D42" i="4"/>
  <c r="D44" i="4" s="1"/>
  <c r="C29" i="4" l="1"/>
  <c r="F29" i="4"/>
  <c r="C44" i="4"/>
  <c r="B29" i="4"/>
  <c r="B44" i="4"/>
  <c r="E44" i="4"/>
  <c r="E29" i="4"/>
  <c r="F44" i="4"/>
  <c r="J10" i="4"/>
  <c r="H10"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tc={845ED332-017C-42FD-8AD7-BED0E0C6371A}</author>
    <author>tc={6509FDBC-2929-4190-B406-97CAF77268B6}</author>
    <author>tc={9F47711E-64BE-4820-B4F4-43263AF69BD1}</author>
    <author>tc={E225E7FD-6749-4B31-87E5-0F543470A250}</author>
    <author>tc={CB3F0588-0A30-4725-8263-4B28F866B1E3}</author>
    <author>tc={BABA4BF0-6417-4432-B5FA-D3DD74E90BE7}</author>
    <author>tc={F8387015-CBED-4280-8386-EF7AD170A004}</author>
  </authors>
  <commentList>
    <comment ref="T9" authorId="0" shapeId="0" xr:uid="{845ED332-017C-42FD-8AD7-BED0E0C6371A}">
      <text>
        <t>[Threaded comment]
Your version of Excel allows you to read this threaded comment; however, any edits to it will get removed if the file is opened in a newer version of Excel. Learn more: https://go.microsoft.com/fwlink/?linkid=870924
Comment:
    Estimated FV on outstanding lots</t>
      </text>
    </comment>
    <comment ref="Z16" authorId="1" shapeId="0" xr:uid="{6509FDBC-2929-4190-B406-97CAF77268B6}">
      <text>
        <t>[Threaded comment]
Your version of Excel allows you to read this threaded comment; however, any edits to it will get removed if the file is opened in a newer version of Excel. Learn more: https://go.microsoft.com/fwlink/?linkid=870924
Comment:
    Additional Cap Contribution 1/6/17</t>
      </text>
    </comment>
    <comment ref="AD16" authorId="2" shapeId="0" xr:uid="{9F47711E-64BE-4820-B4F4-43263AF69BD1}">
      <text>
        <t>[Threaded comment]
Your version of Excel allows you to read this threaded comment; however, any edits to it will get removed if the file is opened in a newer version of Excel. Learn more: https://go.microsoft.com/fwlink/?linkid=870924
Comment:
    Additional Cap Contribution 1/6/17</t>
      </text>
    </comment>
    <comment ref="AA22" authorId="3" shapeId="0" xr:uid="{E225E7FD-6749-4B31-87E5-0F543470A250}">
      <text>
        <t>[Threaded comment]
Your version of Excel allows you to read this threaded comment; however, any edits to it will get removed if the file is opened in a newer version of Excel. Learn more: https://go.microsoft.com/fwlink/?linkid=870924
Comment:
    Additional Capital Contribution on 5/8/2020</t>
      </text>
    </comment>
    <comment ref="AD22" authorId="4" shapeId="0" xr:uid="{CB3F0588-0A30-4725-8263-4B28F866B1E3}">
      <text>
        <t>[Threaded comment]
Your version of Excel allows you to read this threaded comment; however, any edits to it will get removed if the file is opened in a newer version of Excel. Learn more: https://go.microsoft.com/fwlink/?linkid=870924
Comment:
    Additional Capital Contribution on 5/8/2020</t>
      </text>
    </comment>
    <comment ref="T29" authorId="5" shapeId="0" xr:uid="{BABA4BF0-6417-4432-B5FA-D3DD74E90BE7}">
      <text>
        <t>[Threaded comment]
Your version of Excel allows you to read this threaded comment; however, any edits to it will get removed if the file is opened in a newer version of Excel. Learn more: https://go.microsoft.com/fwlink/?linkid=870924
Comment:
    Estimated FV on outstanding lots</t>
      </text>
    </comment>
    <comment ref="M121" authorId="6" shapeId="0" xr:uid="{F8387015-CBED-4280-8386-EF7AD170A004}">
      <text>
        <t>[Threaded comment]
Your version of Excel allows you to read this threaded comment; however, any edits to it will get removed if the file is opened in a newer version of Excel. Learn more: https://go.microsoft.com/fwlink/?linkid=870924
Comment:
    Only include Cortez sq ft once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Rick Reuter</author>
  </authors>
  <commentList>
    <comment ref="L4" authorId="0" shapeId="0" xr:uid="{E31AE67A-00E3-4C16-9FF4-E40815974115}">
      <text>
        <r>
          <rPr>
            <b/>
            <sz val="9"/>
            <color indexed="81"/>
            <rFont val="Tahoma"/>
            <family val="2"/>
          </rPr>
          <t>Rick Reuter:</t>
        </r>
        <r>
          <rPr>
            <sz val="9"/>
            <color indexed="81"/>
            <rFont val="Tahoma"/>
            <family val="2"/>
          </rPr>
          <t xml:space="preserve">
Century Plaza is not rolling into these numbers right now</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Rick Reuter</author>
  </authors>
  <commentList>
    <comment ref="L4" authorId="0" shapeId="0" xr:uid="{DFB67C0E-A63B-4EB6-B533-2843CC9CBD00}">
      <text>
        <r>
          <rPr>
            <b/>
            <sz val="9"/>
            <color indexed="81"/>
            <rFont val="Tahoma"/>
            <family val="2"/>
          </rPr>
          <t>Rick Reuter:</t>
        </r>
        <r>
          <rPr>
            <sz val="9"/>
            <color indexed="81"/>
            <rFont val="Tahoma"/>
            <family val="2"/>
          </rPr>
          <t xml:space="preserve">
Century Plaza is not rolling into these numbers right now</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Austin Carlson</author>
  </authors>
  <commentList>
    <comment ref="C31" authorId="0" shapeId="0" xr:uid="{AB4E1CC2-1DFD-42F4-8180-D6C2BF66D1F1}">
      <text>
        <r>
          <rPr>
            <b/>
            <sz val="9"/>
            <color indexed="81"/>
            <rFont val="Tahoma"/>
            <family val="2"/>
          </rPr>
          <t xml:space="preserve">Austin Carlson:
</t>
        </r>
        <r>
          <rPr>
            <sz val="9"/>
            <color indexed="81"/>
            <rFont val="Tahoma"/>
            <family val="2"/>
          </rPr>
          <t>Proforma not internally consistent; In-place has 1,462,739 and MultiGNR has 1,463,432</t>
        </r>
      </text>
    </comment>
  </commentList>
</comments>
</file>

<file path=xl/sharedStrings.xml><?xml version="1.0" encoding="utf-8"?>
<sst xmlns="http://schemas.openxmlformats.org/spreadsheetml/2006/main" count="2893" uniqueCount="631">
  <si>
    <t>Property</t>
  </si>
  <si>
    <t>Type</t>
  </si>
  <si>
    <t>City</t>
  </si>
  <si>
    <t>State</t>
  </si>
  <si>
    <t>MSA</t>
  </si>
  <si>
    <t>Size (SF)</t>
  </si>
  <si>
    <t>Units</t>
  </si>
  <si>
    <t>Acquisition Date</t>
  </si>
  <si>
    <t>Purchase Price</t>
  </si>
  <si>
    <t>Status</t>
  </si>
  <si>
    <t>MLG Capital Historical Returns Tracker</t>
  </si>
  <si>
    <t>Saddletree</t>
  </si>
  <si>
    <t>Pebblebrook</t>
  </si>
  <si>
    <t>Marina Del Ray</t>
  </si>
  <si>
    <t>Chatham</t>
  </si>
  <si>
    <t>Lakewood Flats</t>
  </si>
  <si>
    <t>West Grove on the Lake</t>
  </si>
  <si>
    <t>Mercer Crossing</t>
  </si>
  <si>
    <t>Gateway Oaks</t>
  </si>
  <si>
    <t>Camelback Flats (fka Sienna Springs)</t>
  </si>
  <si>
    <t>Landings at Carrier Parkway</t>
  </si>
  <si>
    <t>Manor Homes at Eagle Glen</t>
  </si>
  <si>
    <t>Trails at Creekside</t>
  </si>
  <si>
    <t>Tempe Metro</t>
  </si>
  <si>
    <t>Crenshaw Grand</t>
  </si>
  <si>
    <t>Aspire Townhomes</t>
  </si>
  <si>
    <t>Copperfield Apartments</t>
  </si>
  <si>
    <t>Frederick Lofts</t>
  </si>
  <si>
    <t>Grove Parkview</t>
  </si>
  <si>
    <t>Botanica Cottages</t>
  </si>
  <si>
    <t>Park Crossing</t>
  </si>
  <si>
    <t>Turnbury at Countryside</t>
  </si>
  <si>
    <t>Apple Glen</t>
  </si>
  <si>
    <t>Hawthorne Terrace</t>
  </si>
  <si>
    <t>Park Avenue</t>
  </si>
  <si>
    <t>City Chase</t>
  </si>
  <si>
    <t>City Terrace</t>
  </si>
  <si>
    <t>City Gate of Champions</t>
  </si>
  <si>
    <t>City Station</t>
  </si>
  <si>
    <t>Ashford Walnut Creek</t>
  </si>
  <si>
    <t>Ashford Northwest</t>
  </si>
  <si>
    <t>Ashford Park</t>
  </si>
  <si>
    <t>The Warwick</t>
  </si>
  <si>
    <t>Ashford Ridge</t>
  </si>
  <si>
    <t>Ashford Overlook</t>
  </si>
  <si>
    <t>Morgan at Northshore</t>
  </si>
  <si>
    <t>Douglas Terrace</t>
  </si>
  <si>
    <t>Gateway Pines</t>
  </si>
  <si>
    <t>Main Street Plaza</t>
  </si>
  <si>
    <t>Active</t>
  </si>
  <si>
    <t>Dallas</t>
  </si>
  <si>
    <t>Waukesha</t>
  </si>
  <si>
    <t>Forney</t>
  </si>
  <si>
    <t>1976-1991</t>
  </si>
  <si>
    <t>2014/2016</t>
  </si>
  <si>
    <t>1931/1986</t>
  </si>
  <si>
    <t>Fair Market Value Estimate</t>
  </si>
  <si>
    <t>Valuation Date</t>
  </si>
  <si>
    <t>Value Per Unit</t>
  </si>
  <si>
    <t>Fund I Equity</t>
  </si>
  <si>
    <t>Fund II Equity</t>
  </si>
  <si>
    <t>Fund III Equity</t>
  </si>
  <si>
    <t>Fund IV Equity</t>
  </si>
  <si>
    <t>MLG Co-Investor Equity</t>
  </si>
  <si>
    <t>Sponsor 3rd Party Equity</t>
  </si>
  <si>
    <t>Total Equity</t>
  </si>
  <si>
    <t>Legacy Fund Equity</t>
  </si>
  <si>
    <t>Hales Corners Plaza</t>
  </si>
  <si>
    <t>Rush Lake</t>
  </si>
  <si>
    <t>Cedar Point</t>
  </si>
  <si>
    <t>The Grove</t>
  </si>
  <si>
    <t>MKE Airport</t>
  </si>
  <si>
    <t>Park Industrial</t>
  </si>
  <si>
    <t>Breckenridge Park</t>
  </si>
  <si>
    <t>MSP SW Industrial</t>
  </si>
  <si>
    <t>Northern Lights</t>
  </si>
  <si>
    <t>Boone Plaza</t>
  </si>
  <si>
    <t>Concorde Executive Center</t>
  </si>
  <si>
    <t>Midwest CCC Portfolio</t>
  </si>
  <si>
    <t>1300 Plum Grove Road</t>
  </si>
  <si>
    <t>Retail</t>
  </si>
  <si>
    <t>Industrial</t>
  </si>
  <si>
    <t>Office</t>
  </si>
  <si>
    <t>2007/2008</t>
  </si>
  <si>
    <t>1972-1979</t>
  </si>
  <si>
    <t>1983-1988</t>
  </si>
  <si>
    <t>1970-1988</t>
  </si>
  <si>
    <t>1983-1989</t>
  </si>
  <si>
    <t>1970-1999</t>
  </si>
  <si>
    <t>N/A</t>
  </si>
  <si>
    <t>Row Labels</t>
  </si>
  <si>
    <t>Grand Total</t>
  </si>
  <si>
    <t>Sum of Fair Market Value Estimate</t>
  </si>
  <si>
    <t>Year Built</t>
  </si>
  <si>
    <t>Value per Sq. ft.</t>
  </si>
  <si>
    <t>Belvedere Springswood</t>
  </si>
  <si>
    <t>Diamond Mesa</t>
  </si>
  <si>
    <t>Multi-Family</t>
  </si>
  <si>
    <t>Phoenix</t>
  </si>
  <si>
    <t>Grand Prairie</t>
  </si>
  <si>
    <t>Raymore</t>
  </si>
  <si>
    <t>Allen</t>
  </si>
  <si>
    <t>Pasadena</t>
  </si>
  <si>
    <t>Desmoines</t>
  </si>
  <si>
    <t>Fort Worth</t>
  </si>
  <si>
    <t>Milwaukee</t>
  </si>
  <si>
    <t>Stone Mountain</t>
  </si>
  <si>
    <t>Limerick</t>
  </si>
  <si>
    <t>Lilburn</t>
  </si>
  <si>
    <t>Clearwater</t>
  </si>
  <si>
    <t>Houston</t>
  </si>
  <si>
    <t>Oklahoma City</t>
  </si>
  <si>
    <t>Tulsa</t>
  </si>
  <si>
    <t>Pittsburgh</t>
  </si>
  <si>
    <t>Hales Corners</t>
  </si>
  <si>
    <t>New Brighton</t>
  </si>
  <si>
    <t>Richfield</t>
  </si>
  <si>
    <t>Albuqueque</t>
  </si>
  <si>
    <t>New Mexico</t>
  </si>
  <si>
    <t>Plymouth</t>
  </si>
  <si>
    <t>Tampa</t>
  </si>
  <si>
    <t>Minneapolis</t>
  </si>
  <si>
    <t>Bloomington</t>
  </si>
  <si>
    <t>Golden Valley</t>
  </si>
  <si>
    <t>Schaumburg</t>
  </si>
  <si>
    <t>Portfolio</t>
  </si>
  <si>
    <t>Toro</t>
  </si>
  <si>
    <t>Midwest CCC</t>
  </si>
  <si>
    <t>MSP Retail</t>
  </si>
  <si>
    <t>Texas</t>
  </si>
  <si>
    <t>Wisconsin</t>
  </si>
  <si>
    <t>Arizona</t>
  </si>
  <si>
    <t>Minnesota</t>
  </si>
  <si>
    <t>Missouri</t>
  </si>
  <si>
    <t>Iowa</t>
  </si>
  <si>
    <t>Georgia</t>
  </si>
  <si>
    <t>Pennsylvania</t>
  </si>
  <si>
    <t>Florida</t>
  </si>
  <si>
    <t>Oklahoma</t>
  </si>
  <si>
    <t>Illinois</t>
  </si>
  <si>
    <t>Century Plaza</t>
  </si>
  <si>
    <t>Loan</t>
  </si>
  <si>
    <t>New Berlin</t>
  </si>
  <si>
    <t>Wauwatosa</t>
  </si>
  <si>
    <t>Racine</t>
  </si>
  <si>
    <t>Kansas City</t>
  </si>
  <si>
    <t>Sponsor</t>
  </si>
  <si>
    <t>Direct</t>
  </si>
  <si>
    <t>BH Equities</t>
  </si>
  <si>
    <t>Atlanta</t>
  </si>
  <si>
    <t>Bel Canto</t>
  </si>
  <si>
    <t>CRA</t>
  </si>
  <si>
    <t>Philadelphia</t>
  </si>
  <si>
    <t>OREI</t>
  </si>
  <si>
    <t>Gainesville</t>
  </si>
  <si>
    <t>Coastal Ridge</t>
  </si>
  <si>
    <t>Chicago</t>
  </si>
  <si>
    <t>Biynah</t>
  </si>
  <si>
    <t>Hempel</t>
  </si>
  <si>
    <t>Westmount</t>
  </si>
  <si>
    <t>Hoyt</t>
  </si>
  <si>
    <t>Big River</t>
  </si>
  <si>
    <t>Managed Account (1031) Equity</t>
  </si>
  <si>
    <t>Date of Sale</t>
  </si>
  <si>
    <t>Sales Price</t>
  </si>
  <si>
    <t>Holding Period</t>
  </si>
  <si>
    <t>Total Property Distributions</t>
  </si>
  <si>
    <t>Multiple</t>
  </si>
  <si>
    <t>Average Annual Return</t>
  </si>
  <si>
    <t>Fund II Effective Equity</t>
  </si>
  <si>
    <t xml:space="preserve">MLG Capital Historic Transactions: </t>
  </si>
  <si>
    <t>Sold Properties 1987- Present</t>
  </si>
  <si>
    <r>
      <t xml:space="preserve">Commercial Assets-  </t>
    </r>
    <r>
      <rPr>
        <b/>
        <sz val="8"/>
        <color rgb="FF000000"/>
        <rFont val="Calibri"/>
        <family val="2"/>
        <scheme val="minor"/>
      </rPr>
      <t xml:space="preserve">±1.81X     </t>
    </r>
  </si>
  <si>
    <t>print</t>
  </si>
  <si>
    <r>
      <t xml:space="preserve">Apartment Assets-    </t>
    </r>
    <r>
      <rPr>
        <b/>
        <sz val="8"/>
        <color rgb="FF000000"/>
        <rFont val="Calibri"/>
        <family val="2"/>
        <scheme val="minor"/>
      </rPr>
      <t>±2.51X</t>
    </r>
  </si>
  <si>
    <t>Property Type</t>
  </si>
  <si>
    <t>Number of Projects</t>
  </si>
  <si>
    <t>Size (Sq/ft)
(Rounded)</t>
  </si>
  <si>
    <t>Apartment Units</t>
  </si>
  <si>
    <t>Sales Price
(Rounded)</t>
  </si>
  <si>
    <t>Equity Raised
(Rounded)</t>
  </si>
  <si>
    <t>Total Distributions*</t>
  </si>
  <si>
    <t>(Rounded)</t>
  </si>
  <si>
    <t>Total Return Multiple Since Inception</t>
  </si>
  <si>
    <t>2.27X</t>
  </si>
  <si>
    <t>SOLD PROPERTIES</t>
  </si>
  <si>
    <r>
      <t xml:space="preserve">Commercial Assets-  </t>
    </r>
    <r>
      <rPr>
        <b/>
        <sz val="8"/>
        <color rgb="FF000000"/>
        <rFont val="Calibri"/>
        <family val="2"/>
        <scheme val="minor"/>
      </rPr>
      <t xml:space="preserve">±2.02X     </t>
    </r>
  </si>
  <si>
    <t>Apartment Assets</t>
  </si>
  <si>
    <t>2.51X</t>
  </si>
  <si>
    <t>Commercial Property</t>
  </si>
  <si>
    <t>n/a</t>
  </si>
  <si>
    <t>Total</t>
  </si>
  <si>
    <t>Commercial Assets</t>
  </si>
  <si>
    <t>1.81X</t>
  </si>
  <si>
    <r>
      <t>The above distributions are property level distributions after property expenses, but before any asset management fee, other Fund expenses or promote profit sharing paid to MLG or other 3</t>
    </r>
    <r>
      <rPr>
        <vertAlign val="superscript"/>
        <sz val="7"/>
        <color rgb="FF000000"/>
        <rFont val="Calibri"/>
        <family val="2"/>
        <scheme val="minor"/>
      </rPr>
      <t>rd</t>
    </r>
    <r>
      <rPr>
        <sz val="7"/>
        <color rgb="FF000000"/>
        <rFont val="Calibri"/>
        <family val="2"/>
        <scheme val="minor"/>
      </rPr>
      <t xml:space="preserve"> parties, which would decrease investor returns.  All data was obtained from MLG Capital's internally produced financial statements. These statements were not independently audited. Valuation and future projected distribution amounts are internal estimates only, and were not confirmed by any third party appraisal/valuation and are subject to change. </t>
    </r>
  </si>
  <si>
    <t xml:space="preserve">* For sold properties, total distributions include actual distributions from sale plus prior distributions from operations. </t>
  </si>
  <si>
    <t>Past performance is no guarantee of future results.</t>
  </si>
  <si>
    <t>Active Investments 1987- Present</t>
  </si>
  <si>
    <t>Size (Sq/ft)
Rounded</t>
  </si>
  <si>
    <t>Estimated Current Value*
Rounded</t>
  </si>
  <si>
    <t>Equity Raised
Rounded</t>
  </si>
  <si>
    <t>ACTIVE INVESTMENTS</t>
  </si>
  <si>
    <t>Comm. Property</t>
  </si>
  <si>
    <t>Total Active and Pending</t>
  </si>
  <si>
    <r>
      <t>The above distributions are property level distributions after property expenses, but before any asset management fee, other Fund expenses or promote profit sharing paid to MLG or other 3</t>
    </r>
    <r>
      <rPr>
        <vertAlign val="superscript"/>
        <sz val="6"/>
        <color rgb="FF000000"/>
        <rFont val="Calibri"/>
        <family val="2"/>
        <scheme val="minor"/>
      </rPr>
      <t>rd</t>
    </r>
    <r>
      <rPr>
        <sz val="6"/>
        <color rgb="FF000000"/>
        <rFont val="Calibri"/>
        <family val="2"/>
        <scheme val="minor"/>
      </rPr>
      <t xml:space="preserve"> parties, which would decrease investor returns.  All data was obtained from MLG Capital's internally produced financial statements. These statements were not independently audited. Valuation and future projected distribution amounts are internal estimates only, and were not confirmed by any third party appraisal/valuation and are subject to change. </t>
    </r>
  </si>
  <si>
    <t xml:space="preserve">*For active and pending investments, the Estimated Current Value is based on the Managing Member's estimate of current value. Recent acquisitions are generally valued at the acquisition price.   </t>
  </si>
  <si>
    <t>***For pending investments, the Estimated Current Value is the acquisition price and the Projected Distributions are an estimate based on the Managing Member’s projections of future income, sale price and market capitalization rate, less projected mortgage debt, plus projected distributions prior to sale.  Amounts for pending investments are estimates and may change. MLG Capital is still in the process of raising the equity for the pending investments.</t>
  </si>
  <si>
    <t xml:space="preserve">MLG Capital All Transactions: </t>
  </si>
  <si>
    <t>1987- Present</t>
  </si>
  <si>
    <t>Property Status</t>
  </si>
  <si>
    <t>Sales Price &amp; Estimated Current Value*
(Rounded)</t>
  </si>
  <si>
    <t>TOTAL</t>
  </si>
  <si>
    <t xml:space="preserve">The above distributions are property level distributions after property expenses, but before any asset management fee, other Fund expenses or promote profit sharing paid to MLG or other 3rd parties, which would decrease investor returns.  All data was obtained from MLG Capital's internally produced financial statements. These statements were not independently audited. Valuation and future projected distribution amounts are internal estimates only, and were not confirmed by any third party appraisal/valuation and are subject to change. </t>
  </si>
  <si>
    <t xml:space="preserve">*For sold properties, actual sales price is reported. For active and pending investments, the Estimated Current Value is based on the Managing Member's estimate of current value. Recent acquisitions are generally valued at the acquisition price. </t>
  </si>
  <si>
    <t xml:space="preserve">MLG Legacy and Managed Account Historic Transactions: </t>
  </si>
  <si>
    <t>Active Investments 2019- Present</t>
  </si>
  <si>
    <t>PENDING INVESTMENTS **</t>
  </si>
  <si>
    <t xml:space="preserve">All data was obtained from MLG Capital's internally produced financial statements. These statements were not independently audited. Valuation amounts are internal estimates only, and were not confirmed by any third party appraisal/valuation and are subject to change. </t>
  </si>
  <si>
    <t>**For pending investments, the Estimated Current Value is the acquisition price.  Amounts for pending investments are estimates and may change. MLG Capital may still in the process of raising the equity for the pending investments.</t>
  </si>
  <si>
    <t>Fox Glen</t>
  </si>
  <si>
    <t>Wisconsin Land Inv</t>
  </si>
  <si>
    <t>Land</t>
  </si>
  <si>
    <t>Twin Pine</t>
  </si>
  <si>
    <t>Lisbon, WI</t>
  </si>
  <si>
    <t>Fund III</t>
  </si>
  <si>
    <t>Fund IV + Fund IV In Co-Inv</t>
  </si>
  <si>
    <t>Co-Inv</t>
  </si>
  <si>
    <t>Property Name</t>
  </si>
  <si>
    <t>Percent of Portfolio</t>
  </si>
  <si>
    <t>Equity Allocation</t>
  </si>
  <si>
    <t>TX</t>
  </si>
  <si>
    <t>OK</t>
  </si>
  <si>
    <t>Total TX</t>
  </si>
  <si>
    <t>Total OK</t>
  </si>
  <si>
    <t>Include in Deal Count (Y/N)</t>
  </si>
  <si>
    <t>Yes</t>
  </si>
  <si>
    <t>No</t>
  </si>
  <si>
    <t>MLG Capital Historical Deal Equity</t>
  </si>
  <si>
    <t xml:space="preserve">Glenbrook </t>
  </si>
  <si>
    <t>Sterling Pointe</t>
  </si>
  <si>
    <t>Pineview</t>
  </si>
  <si>
    <t>Woodstock</t>
  </si>
  <si>
    <t>Chenault Creek</t>
  </si>
  <si>
    <t>Sterling Falls</t>
  </si>
  <si>
    <t>Sutton Square</t>
  </si>
  <si>
    <t>Snug Harbor</t>
  </si>
  <si>
    <t>Meadow Creek</t>
  </si>
  <si>
    <t>Palms at Livingston</t>
  </si>
  <si>
    <t>Fountains at Palm Harbor</t>
  </si>
  <si>
    <t>Port Richey Village</t>
  </si>
  <si>
    <t>Autumn Breeze</t>
  </si>
  <si>
    <t>Springtree</t>
  </si>
  <si>
    <t>Armand Place</t>
  </si>
  <si>
    <t>Trinity Oaks</t>
  </si>
  <si>
    <t>Windtree</t>
  </si>
  <si>
    <t>Windridge</t>
  </si>
  <si>
    <t>Pinebrook</t>
  </si>
  <si>
    <t>Waterchase</t>
  </si>
  <si>
    <t>Northwoods</t>
  </si>
  <si>
    <t>Gentry's Walk</t>
  </si>
  <si>
    <t>WIAPTS</t>
  </si>
  <si>
    <t>Saddlebrook</t>
  </si>
  <si>
    <t>Woodmeadow</t>
  </si>
  <si>
    <t>Presidio</t>
  </si>
  <si>
    <t>Oasis</t>
  </si>
  <si>
    <t>Crossroads</t>
  </si>
  <si>
    <t>Argyle</t>
  </si>
  <si>
    <t>Park at Forest Hill (fka Greens at Irene)</t>
  </si>
  <si>
    <t>Lincoln Plaza</t>
  </si>
  <si>
    <t>Ashwaubenon Plaza</t>
  </si>
  <si>
    <t>Edgewater Plaza</t>
  </si>
  <si>
    <t>Holiday Tower</t>
  </si>
  <si>
    <t>1205 Building</t>
  </si>
  <si>
    <t>Falls Business Center I &amp; II</t>
  </si>
  <si>
    <t>JB Executive</t>
  </si>
  <si>
    <t>Westbrook</t>
  </si>
  <si>
    <t>Helgesen Properties (2340)</t>
  </si>
  <si>
    <t>Helgesen Properties (3070)</t>
  </si>
  <si>
    <t>Helegesen (1 building)</t>
  </si>
  <si>
    <t>Franklin Business Center</t>
  </si>
  <si>
    <t>3077 Mayfair</t>
  </si>
  <si>
    <t>Athens Town Center</t>
  </si>
  <si>
    <t>Amberly</t>
  </si>
  <si>
    <t>Fountains</t>
  </si>
  <si>
    <t>Hales Corners Shopping Ctr.</t>
  </si>
  <si>
    <t>2525 Mayfair Rd</t>
  </si>
  <si>
    <t>Lilly Creek</t>
  </si>
  <si>
    <t>Green Bay</t>
  </si>
  <si>
    <t>St. Francis Germantown</t>
  </si>
  <si>
    <t>2675 N. Mayfair</t>
  </si>
  <si>
    <t>Watertown Buildings</t>
  </si>
  <si>
    <t>St. Francis Tosa</t>
  </si>
  <si>
    <t>Normandale Village</t>
  </si>
  <si>
    <t>Gateway</t>
  </si>
  <si>
    <t>River Road I &amp; II</t>
  </si>
  <si>
    <t>River Road III &amp; IV</t>
  </si>
  <si>
    <t>Quadrant</t>
  </si>
  <si>
    <t>Meadowood</t>
  </si>
  <si>
    <t>Albertville Crossing</t>
  </si>
  <si>
    <t>Pewaukee Plaza</t>
  </si>
  <si>
    <t>Grafton Commons</t>
  </si>
  <si>
    <t>Cortez Commons - WDC HLP Investors</t>
  </si>
  <si>
    <t>Cortez Commons - Private Fund</t>
  </si>
  <si>
    <t>Waukesha Industrial Buildings</t>
  </si>
  <si>
    <t>Sold</t>
  </si>
  <si>
    <t>Ohio</t>
  </si>
  <si>
    <t>Kentucky</t>
  </si>
  <si>
    <t>Four Mile</t>
  </si>
  <si>
    <t>Name</t>
  </si>
  <si>
    <t>Date</t>
  </si>
  <si>
    <t>Preparer</t>
  </si>
  <si>
    <t>Austin Carlson</t>
  </si>
  <si>
    <t>Reviewer</t>
  </si>
  <si>
    <t>Q2 2020 - Review</t>
  </si>
  <si>
    <t>OH</t>
  </si>
  <si>
    <t>KY</t>
  </si>
  <si>
    <t>IL</t>
  </si>
  <si>
    <t>Columbus</t>
  </si>
  <si>
    <t>Cincinnati</t>
  </si>
  <si>
    <t>St. Alsip</t>
  </si>
  <si>
    <t>Florence</t>
  </si>
  <si>
    <t>Square Feet</t>
  </si>
  <si>
    <t>% of Portfolio</t>
  </si>
  <si>
    <t>Toro Portfolio Purchase Price Allocation:</t>
  </si>
  <si>
    <t>Midwest CCC Portfolio Allocation:</t>
  </si>
  <si>
    <t>Total OH</t>
  </si>
  <si>
    <t>Total KY</t>
  </si>
  <si>
    <t>Total IL</t>
  </si>
  <si>
    <t>Quarterly Review and Sign-off:</t>
  </si>
  <si>
    <t>Columbus/Cincinnati</t>
  </si>
  <si>
    <t>Fund II</t>
  </si>
  <si>
    <t xml:space="preserve"> Fund IV</t>
  </si>
  <si>
    <t xml:space="preserve"> Co-Inv</t>
  </si>
  <si>
    <t>Capital Contributions Allocated by State:</t>
  </si>
  <si>
    <t>WI Apts - Various</t>
  </si>
  <si>
    <t>N/A - Sold</t>
  </si>
  <si>
    <t>Equity in 2340</t>
  </si>
  <si>
    <t>Returns in 2340</t>
  </si>
  <si>
    <t>Landings Group</t>
  </si>
  <si>
    <t>Colorado</t>
  </si>
  <si>
    <t>Tennessee</t>
  </si>
  <si>
    <t>Alabama</t>
  </si>
  <si>
    <t>Jacksonville</t>
  </si>
  <si>
    <t>Bedford</t>
  </si>
  <si>
    <t>North Richland Hills</t>
  </si>
  <si>
    <t>Largo</t>
  </si>
  <si>
    <t>Fort Collins</t>
  </si>
  <si>
    <t>Memphis</t>
  </si>
  <si>
    <t>Holiday</t>
  </si>
  <si>
    <t>West Allis</t>
  </si>
  <si>
    <t>Menomonee Falls</t>
  </si>
  <si>
    <t>Delavan</t>
  </si>
  <si>
    <t>Janesville</t>
  </si>
  <si>
    <t>Athens</t>
  </si>
  <si>
    <t>Tampa Palms</t>
  </si>
  <si>
    <t>Bradenton</t>
  </si>
  <si>
    <t>Germantown</t>
  </si>
  <si>
    <t>Brookfield</t>
  </si>
  <si>
    <t>Fridley</t>
  </si>
  <si>
    <t>Brooklyn Park</t>
  </si>
  <si>
    <t>Madison</t>
  </si>
  <si>
    <t>Albertville</t>
  </si>
  <si>
    <t>Pewaukee</t>
  </si>
  <si>
    <t>Grafton</t>
  </si>
  <si>
    <t>Berengaria</t>
  </si>
  <si>
    <t>Soderberg</t>
  </si>
  <si>
    <t>One Corporate Center II</t>
  </si>
  <si>
    <t>Edina</t>
  </si>
  <si>
    <t>N/A - Paid off</t>
  </si>
  <si>
    <t>MLG Private Fund Wisconsin Land Investments:</t>
  </si>
  <si>
    <t>Acq. Date</t>
  </si>
  <si>
    <t>Lots</t>
  </si>
  <si>
    <t>3rd Party Equity</t>
  </si>
  <si>
    <t>GDM Uplands</t>
  </si>
  <si>
    <t>Oak Creek Land</t>
  </si>
  <si>
    <t>Avian Estates</t>
  </si>
  <si>
    <t>RM Broadlands</t>
  </si>
  <si>
    <t>Fox Chase</t>
  </si>
  <si>
    <t>Village Green</t>
  </si>
  <si>
    <t>North Prairie</t>
  </si>
  <si>
    <t>Mequon</t>
  </si>
  <si>
    <t>Oak Creek</t>
  </si>
  <si>
    <t>Franklin</t>
  </si>
  <si>
    <t>Eagle</t>
  </si>
  <si>
    <t>Fredonia</t>
  </si>
  <si>
    <t>Wateford</t>
  </si>
  <si>
    <t>Vacant Land</t>
  </si>
  <si>
    <t>Huntsville</t>
  </si>
  <si>
    <t>ID #</t>
  </si>
  <si>
    <t>Question</t>
  </si>
  <si>
    <t>Per Holding Summary</t>
  </si>
  <si>
    <t>Difference</t>
  </si>
  <si>
    <t>Reconciling Items:</t>
  </si>
  <si>
    <t>Remaining Difference</t>
  </si>
  <si>
    <t>(All)</t>
  </si>
  <si>
    <t>Count of Property</t>
  </si>
  <si>
    <t>Sub Type</t>
  </si>
  <si>
    <t>Commercial</t>
  </si>
  <si>
    <t>Sum of Size (SF)</t>
  </si>
  <si>
    <t>Sum of Units</t>
  </si>
  <si>
    <t>Sum of Sales Price</t>
  </si>
  <si>
    <t>Sum of Total Property Distributions</t>
  </si>
  <si>
    <t>Include in Summary</t>
  </si>
  <si>
    <t>MLG Cap Sum</t>
  </si>
  <si>
    <t>Legacy Sum</t>
  </si>
  <si>
    <t>MLG Capital Historic Transactions:</t>
  </si>
  <si>
    <t>Active Investments 1987-Present</t>
  </si>
  <si>
    <t>1987-Present</t>
  </si>
  <si>
    <t>Sum of Sales Price &amp; Estimated FV</t>
  </si>
  <si>
    <t>Count of Status</t>
  </si>
  <si>
    <t>(Multiple Items)</t>
  </si>
  <si>
    <t>Sold Properties 1987-Present</t>
  </si>
  <si>
    <t>**For pending investments, the Estimated Current Value is the acquisition price and the Projected Distributions are an estimate based on the Managing Member’s projections of future income, sale price and market capitalization rate, less projected mortgage debt, plus projected distributions prior to sale.  Amounts for pending investments are estimates and may change. MLG Capital is still in the process of raising the equity for the pending investments.</t>
  </si>
  <si>
    <t>Sum of Total Equity</t>
  </si>
  <si>
    <t>PENDING INVESTMENTS**</t>
  </si>
  <si>
    <t>MSP Retail Portfolio Allocation:</t>
  </si>
  <si>
    <t>HHH MSP Retail</t>
  </si>
  <si>
    <t>Capital Contributed</t>
  </si>
  <si>
    <t>% Owned</t>
  </si>
  <si>
    <t>Additional Northern Lights</t>
  </si>
  <si>
    <t>Adjustment to Actual MSP SW Ind Equity</t>
  </si>
  <si>
    <t>Adjusted 3/31</t>
  </si>
  <si>
    <t>Diff</t>
  </si>
  <si>
    <t>Imm</t>
  </si>
  <si>
    <t>Toro WC Equity</t>
  </si>
  <si>
    <t>Lakewood Flats Adj to Actual</t>
  </si>
  <si>
    <t>Belvedere Adj to Actual</t>
  </si>
  <si>
    <t>Diamond Mesa Adj to Actual</t>
  </si>
  <si>
    <t>MLG Legacy and Managed Account Historic Transactions:</t>
  </si>
  <si>
    <t>2019 - Present</t>
  </si>
  <si>
    <t>Active Investments 2019 - Present</t>
  </si>
  <si>
    <t>Sold Properties 2019 - Present</t>
  </si>
  <si>
    <t>Sum of Purchase Price</t>
  </si>
  <si>
    <t>Sum of Fund I Equity</t>
  </si>
  <si>
    <t>Sum of Fund II Effective Equity</t>
  </si>
  <si>
    <t>Difference between $6M Cost and Fund I Investments</t>
  </si>
  <si>
    <t>Sum of Fund III Equity</t>
  </si>
  <si>
    <t>Sum of Fund IV Equity</t>
  </si>
  <si>
    <t>Per 3/31 Final Historical Returns Tracker</t>
  </si>
  <si>
    <t>Total Adjustments</t>
  </si>
  <si>
    <t>Holding Summary Tie-outs:</t>
  </si>
  <si>
    <t>Tie-out to Final 3/31/2020 Historical Returns Tracker:</t>
  </si>
  <si>
    <t>Greens</t>
  </si>
  <si>
    <t>Trails AG</t>
  </si>
  <si>
    <t>Heritage Place Brookfield</t>
  </si>
  <si>
    <t>Midcontinent</t>
  </si>
  <si>
    <t>Cortez</t>
  </si>
  <si>
    <t>Sum of MLG Co-Investor Equity</t>
  </si>
  <si>
    <t>Sum of Managed Account (1031) Equity</t>
  </si>
  <si>
    <t>Calculated Field</t>
  </si>
  <si>
    <t>Solve Order</t>
  </si>
  <si>
    <t>Field</t>
  </si>
  <si>
    <t>Formula</t>
  </si>
  <si>
    <t>Sales Price &amp; Estimated FV</t>
  </si>
  <si>
    <t>='Fair Market Value Estimate'+'Sales Price'</t>
  </si>
  <si>
    <t>Calculated Item</t>
  </si>
  <si>
    <t>Item</t>
  </si>
  <si>
    <t>Note:</t>
  </si>
  <si>
    <t>When a cell is updated by more than one formula,</t>
  </si>
  <si>
    <t>the value is set by the formula with the last solve order.</t>
  </si>
  <si>
    <t>To change the solve order for multiple calculated items or fields,</t>
  </si>
  <si>
    <t>on the Options tab, in the Calculations group, click Fields, Items, &amp; Sets, and then click Solve Order.</t>
  </si>
  <si>
    <t>Percent of Total</t>
  </si>
  <si>
    <t>Percent ot Total</t>
  </si>
  <si>
    <t>Midwest CCC Proforma Square Footage not internally consistent; In-place has 1,462,739 and MultiGNR has 1,463,432</t>
  </si>
  <si>
    <t>See tab Tie-outs to Holding Summary and Tie-outs to 3.31 Sum for reconciling items between the previous version of the Historical returns summary as well as our holding summaries. Let me know if we want to adjust this report or the holding summaries</t>
  </si>
  <si>
    <t>Master Property List - Sponsor vs. Direct. I highlighted a majority of the old sold deals as I was not sure if some were JVs or we direcly managed them all. Please review</t>
  </si>
  <si>
    <t>Fund I land investments are all counted as one deal but listed out separately for tracking purposes</t>
  </si>
  <si>
    <t>Should we include Diamond Mesa and Belvedere in the Legacy Summary?</t>
  </si>
  <si>
    <t>Should we include Trails AG, Heritage Place Brookfield, Hales Corners, etc. in the Legacy summary?</t>
  </si>
  <si>
    <t>We can upload the Master Property List to Power BI and create all sorts of visuals. Do you have any preferences on visuals to present? I set-up a couple examples in tabs Geo Sum and Asset Class. This consolidates all our reporting into one file we can keep updated rather than the three different versions we used to have for different reports/purposes.</t>
  </si>
  <si>
    <t>How should we handle JV portfolio sales? We have sold off buildings from Northern Lights and MSP Retail but are not taking credit in the Sold properties summary.</t>
  </si>
  <si>
    <t>Should we include WDC Greens, WDC Belvedere, WDC Diamond Mesa in MLG Capital Historical equity or Co-Investor equity?</t>
  </si>
  <si>
    <t>How should we treat the Fund IV Toro additional Co-Investor equity contribution of $315K? I included in the holding summary as $315K since that is the cash paid (purchased at a discout); however, Fund IV gets credit for .35 units. I included in this summary as $350K of additional equity so that our total ties-out to $71.5K</t>
  </si>
  <si>
    <t>Master Property List - We stopped including the year built in the old sales summary so we lost some of that historical data. Is this something we want to try and add back in? Would be pretty time intensive as this is for about 68 properties</t>
  </si>
  <si>
    <t>I Included all Land deals and Loans in the master property list but filtered out for the MLGCap Summary since we have not historically included. Do we want to start including these deals too?</t>
  </si>
  <si>
    <t>I included the West Grove working capital investments in the Fund II and Fund III equity. I think this is fine as long as we also include the WC payoffs in the total distributions column once we sell. Let me know if you disagree</t>
  </si>
  <si>
    <t>Should we also include MORE Fund?</t>
  </si>
  <si>
    <t>Response</t>
  </si>
  <si>
    <t>Do not include working capital investment. Take out of the holding summary too.</t>
  </si>
  <si>
    <t>All direct prior to Funds</t>
  </si>
  <si>
    <t>Ok</t>
  </si>
  <si>
    <t>Open/Closed</t>
  </si>
  <si>
    <t>Closed</t>
  </si>
  <si>
    <t>Leave out of summary for now</t>
  </si>
  <si>
    <t>Leave Fund IV at 315K with 35K difference in the MLG Co-Investor piece - Updated</t>
  </si>
  <si>
    <t>AC to set-up visuals needed for quarterly report and David's new historical performance Summary.</t>
  </si>
  <si>
    <t>Equity Placed</t>
  </si>
  <si>
    <t>`</t>
  </si>
  <si>
    <t>MLG Summary of Equity Under Management</t>
  </si>
  <si>
    <t>Asset Type</t>
  </si>
  <si>
    <t>Sum of MLG Capital Historical Deal Equity</t>
  </si>
  <si>
    <t>Sum of Legacy Fund Equity</t>
  </si>
  <si>
    <t>Brackman confirmed the correct square footage is 1,462,739</t>
  </si>
  <si>
    <t>Update to 1031 Managed Accounts - Done</t>
  </si>
  <si>
    <t>MLG Summary of Assets Under Management (AUM)</t>
  </si>
  <si>
    <t>MLG Private Fund LLC</t>
  </si>
  <si>
    <t>MLG Private Fund II LLC**</t>
  </si>
  <si>
    <t>MLG Private Fund III LLC</t>
  </si>
  <si>
    <t>MLG Private Fund IV LLC</t>
  </si>
  <si>
    <t>MLG 1099 Dividend Fund IV LLC</t>
  </si>
  <si>
    <t>MLG/HHH Eagle Glen Investment LLC</t>
  </si>
  <si>
    <t>Gateway Oaks Co-Investor (Heritage Place Brookfield LLC)</t>
  </si>
  <si>
    <t>MLG/HHH MSP Retail Investment LLC</t>
  </si>
  <si>
    <t>Footnotes:</t>
  </si>
  <si>
    <t>*Excludes Fund Investments in Co-Investors</t>
  </si>
  <si>
    <t>**Excludes Fund II's investment in Fund I</t>
  </si>
  <si>
    <t>Equity Breakdown by Asset Class:</t>
  </si>
  <si>
    <t>Equity Breakdown by Geography:</t>
  </si>
  <si>
    <t>No - Leave in MLG Capital Summary</t>
  </si>
  <si>
    <t>Only include Pewaukee Plaza (Adam Group) and TNBC (Jung Trade)</t>
  </si>
  <si>
    <t>Leave separate for now. Combine MSP Retail into one investment</t>
  </si>
  <si>
    <t>Trued-up the Lakewood Flats equity on the holding summary for the 6/30 version. Do not include LOC activity in this summary. Leave Hawthorne and Apple Glen at original equity</t>
  </si>
  <si>
    <t>MSP Retail Portfolio</t>
  </si>
  <si>
    <t>Richfield/Maple Grove</t>
  </si>
  <si>
    <t>TNBC (Jung/Stern TIC)</t>
  </si>
  <si>
    <t>New Berlin Center (Original TNBC)</t>
  </si>
  <si>
    <t>Frederick Lofts LOC</t>
  </si>
  <si>
    <t>Frederick Lofts Adj to Actual</t>
  </si>
  <si>
    <t>Deal Name</t>
  </si>
  <si>
    <t>Fund I Capital Contributions</t>
  </si>
  <si>
    <t>Fund I IRR</t>
  </si>
  <si>
    <t>Saddle Brook</t>
  </si>
  <si>
    <t>Concierge</t>
  </si>
  <si>
    <t>Cortez Commons</t>
  </si>
  <si>
    <t>Waukesha Industrial</t>
  </si>
  <si>
    <t>Weighted Average IRR</t>
  </si>
  <si>
    <t>Park at Forest Hill</t>
  </si>
  <si>
    <t>MLG Private Fund II</t>
  </si>
  <si>
    <t>Fund II Capital Contributions</t>
  </si>
  <si>
    <t>Fund III Capital Contributions</t>
  </si>
  <si>
    <t>MLG Private Fund II LLC</t>
  </si>
  <si>
    <t>Fund III IRR</t>
  </si>
  <si>
    <t>Fund II IRR</t>
  </si>
  <si>
    <t>Weighted Average (All Funds)</t>
  </si>
  <si>
    <t>Grand Total (All Funds)</t>
  </si>
  <si>
    <t>Total Fund I</t>
  </si>
  <si>
    <t>Total Fund II</t>
  </si>
  <si>
    <t>Total Fund III</t>
  </si>
  <si>
    <t>Weighted Average IRR by MLG Fund:</t>
  </si>
  <si>
    <t>Percent of Grand Total (All Funds)</t>
  </si>
  <si>
    <t>Remove Fund II in Fund I</t>
  </si>
  <si>
    <t>Southtech II</t>
  </si>
  <si>
    <t>Grafton Loan Guarantee Fee</t>
  </si>
  <si>
    <t>Mid-Continent</t>
  </si>
  <si>
    <t>MLG/PF Toro Portfolio Co-Investor LLC*</t>
  </si>
  <si>
    <t>MLG/PF WGBTL Co-Investor LLC</t>
  </si>
  <si>
    <t>MLG/PF Mercer Co-Investor LLC*</t>
  </si>
  <si>
    <t>MLG/PF Chatham Co-Investor LLC</t>
  </si>
  <si>
    <t>MLG/PF Trails Co-Investor LLC*</t>
  </si>
  <si>
    <t>MLG/PF Midwest CCC Co-Investor LLC</t>
  </si>
  <si>
    <t>MLG/PF MSP SW Industrial Co-Investor LLC</t>
  </si>
  <si>
    <t>Reilly Fund LLC***</t>
  </si>
  <si>
    <t>Joseph Fund LLC***</t>
  </si>
  <si>
    <t>WDC Belvedere</t>
  </si>
  <si>
    <t>WDC Diamond Mesa</t>
  </si>
  <si>
    <t>***Exlcudes Reilly/Joseph Fund investments in Fund IV</t>
  </si>
  <si>
    <t>Entity/Deal Name</t>
  </si>
  <si>
    <t>1988</t>
  </si>
  <si>
    <t>1989</t>
  </si>
  <si>
    <t>1991</t>
  </si>
  <si>
    <t>1992</t>
  </si>
  <si>
    <t>1993</t>
  </si>
  <si>
    <t>1994</t>
  </si>
  <si>
    <t>1995</t>
  </si>
  <si>
    <t>1996</t>
  </si>
  <si>
    <t>1997</t>
  </si>
  <si>
    <t>1998</t>
  </si>
  <si>
    <t>1999</t>
  </si>
  <si>
    <t>2000</t>
  </si>
  <si>
    <t>2001</t>
  </si>
  <si>
    <t>2002</t>
  </si>
  <si>
    <t>2003</t>
  </si>
  <si>
    <t>2004</t>
  </si>
  <si>
    <t>2005</t>
  </si>
  <si>
    <t>2007</t>
  </si>
  <si>
    <t>2008</t>
  </si>
  <si>
    <t>2009</t>
  </si>
  <si>
    <t>2011</t>
  </si>
  <si>
    <t>2012</t>
  </si>
  <si>
    <t>2013</t>
  </si>
  <si>
    <t>2014</t>
  </si>
  <si>
    <t>2015</t>
  </si>
  <si>
    <t>2016</t>
  </si>
  <si>
    <t>2017</t>
  </si>
  <si>
    <t>2018</t>
  </si>
  <si>
    <t>2019</t>
  </si>
  <si>
    <t>2020</t>
  </si>
  <si>
    <t>Sum of Sponsor 3rd Party Equity</t>
  </si>
  <si>
    <t>Year</t>
  </si>
  <si>
    <t>Total Equity (w/ Sponsor)</t>
  </si>
  <si>
    <t>Total Equity (w/o Sponsor)</t>
  </si>
  <si>
    <t>2012 and Earlier</t>
  </si>
  <si>
    <t>Pending Deals:</t>
  </si>
  <si>
    <t>Pinewood</t>
  </si>
  <si>
    <t>Stone Canyon</t>
  </si>
  <si>
    <t>Total Pending</t>
  </si>
  <si>
    <t>Agricultural Drive</t>
  </si>
  <si>
    <t xml:space="preserve">*See Separate fundrasing schedules for total money raised to date. </t>
  </si>
  <si>
    <t>This schedule only shows equity put into deals that closed in the yr.</t>
  </si>
  <si>
    <t>Park at Palermo</t>
  </si>
  <si>
    <t>Pending</t>
  </si>
  <si>
    <t>Augusta</t>
  </si>
  <si>
    <t>Sterling Group</t>
  </si>
  <si>
    <t>1995/1998</t>
  </si>
  <si>
    <t>Q3 2020 - Review</t>
  </si>
  <si>
    <t>As of 9/30/2020</t>
  </si>
  <si>
    <t>Southtech LOC Paydown</t>
  </si>
  <si>
    <t>All time Equity Placed:</t>
  </si>
  <si>
    <t>Breckenridge</t>
  </si>
  <si>
    <r>
      <t xml:space="preserve">Total Return Multiple Since Inception- </t>
    </r>
    <r>
      <rPr>
        <b/>
        <sz val="8"/>
        <color rgb="FF000000"/>
        <rFont val="Calibri"/>
        <family val="2"/>
        <scheme val="minor"/>
      </rPr>
      <t>±2.25X</t>
    </r>
  </si>
  <si>
    <t>Updates</t>
  </si>
  <si>
    <r>
      <rPr>
        <b/>
        <sz val="10"/>
        <color theme="1"/>
        <rFont val="Calibri"/>
        <family val="2"/>
        <scheme val="minor"/>
      </rPr>
      <t xml:space="preserve">Pending Deals added </t>
    </r>
    <r>
      <rPr>
        <sz val="10"/>
        <color theme="1"/>
        <rFont val="Calibri"/>
        <family val="2"/>
        <scheme val="minor"/>
      </rPr>
      <t xml:space="preserve">- Pinewood, Stone Canyon, Agricultrual drive
</t>
    </r>
    <r>
      <rPr>
        <b/>
        <sz val="10"/>
        <color theme="1"/>
        <rFont val="Calibri"/>
        <family val="2"/>
        <scheme val="minor"/>
      </rPr>
      <t>Sales -</t>
    </r>
    <r>
      <rPr>
        <sz val="10"/>
        <color theme="1"/>
        <rFont val="Calibri"/>
        <family val="2"/>
        <scheme val="minor"/>
      </rPr>
      <t xml:space="preserve"> Breckenridge sold
</t>
    </r>
    <r>
      <rPr>
        <b/>
        <sz val="10"/>
        <color theme="1"/>
        <rFont val="Calibri"/>
        <family val="2"/>
        <scheme val="minor"/>
      </rPr>
      <t>Sales Updates -</t>
    </r>
    <r>
      <rPr>
        <sz val="10"/>
        <color theme="1"/>
        <rFont val="Calibri"/>
        <family val="2"/>
        <scheme val="minor"/>
      </rPr>
      <t xml:space="preserve"> PFH and Cortez - Updated total distributions for residual sale payments received during Q3 2020</t>
    </r>
  </si>
  <si>
    <t>9/30/2020</t>
  </si>
  <si>
    <t>6/30/2020</t>
  </si>
  <si>
    <r>
      <t xml:space="preserve">MLG/PF Breckenridge Co-Investor LLC  </t>
    </r>
    <r>
      <rPr>
        <b/>
        <sz val="10"/>
        <color theme="1"/>
        <rFont val="Calibri"/>
        <family val="2"/>
        <scheme val="minor"/>
      </rPr>
      <t>(SOLD)</t>
    </r>
  </si>
  <si>
    <t>IRR</t>
  </si>
  <si>
    <t>Q4 2020 - Review</t>
  </si>
  <si>
    <t>Avalon Apartments</t>
  </si>
  <si>
    <t>Des Moines Grubb Portfolio</t>
  </si>
  <si>
    <t>Blue Roc Premier</t>
  </si>
  <si>
    <t>Last Update - 11/17/2020 - AEC</t>
  </si>
  <si>
    <t>Charlotte</t>
  </si>
  <si>
    <t>North Carolina</t>
  </si>
  <si>
    <t>1999/2002</t>
  </si>
  <si>
    <t>Des Moines</t>
  </si>
  <si>
    <t>Artisan Capital</t>
  </si>
  <si>
    <t>2014/2017/2020</t>
  </si>
  <si>
    <t>As of 11/17/2020</t>
  </si>
  <si>
    <t>Des Moines Grubb</t>
  </si>
  <si>
    <t>Avalon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</si>
</sst>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3" formatCode="_(* #,##0.00_);_(* \(#,##0.00\);_(* &quot;-&quot;??_);_(@_)"/>
    <numFmt numFmtId="164" formatCode="_(* #,##0_);_(* \(#,##0\);_(* &quot;-&quot;??_);_(@_)"/>
    <numFmt numFmtId="165" formatCode="0.000%"/>
    <numFmt numFmtId="166" formatCode="_(* #,##0_);_(* \(#,##0\);_(* &quot;-&quot;???_);_(@_)"/>
  </numFmts>
  <fonts count="35" x14ac:knownFonts="1">
    <font>
      <sz val="11"/>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b/>
      <sz val="10"/>
      <color rgb="FFFF0000"/>
      <name val="Calibri"/>
      <family val="2"/>
      <scheme val="minor"/>
    </font>
    <font>
      <sz val="8"/>
      <name val="Calibri"/>
      <family val="2"/>
      <scheme val="minor"/>
    </font>
    <font>
      <sz val="10"/>
      <color rgb="FF0000FF"/>
      <name val="Calibri"/>
      <family val="2"/>
      <scheme val="minor"/>
    </font>
    <font>
      <sz val="9"/>
      <color indexed="81"/>
      <name val="Tahoma"/>
      <family val="2"/>
    </font>
    <font>
      <b/>
      <sz val="9"/>
      <color indexed="81"/>
      <name val="Tahoma"/>
      <family val="2"/>
    </font>
    <font>
      <sz val="10"/>
      <name val="Calibri"/>
      <family val="2"/>
      <scheme val="minor"/>
    </font>
    <font>
      <b/>
      <sz val="12.5"/>
      <color rgb="FF0F5950"/>
      <name val="Calibri"/>
      <family val="2"/>
      <scheme val="minor"/>
    </font>
    <font>
      <sz val="8"/>
      <color rgb="FF000000"/>
      <name val="Calibri"/>
      <family val="2"/>
      <scheme val="minor"/>
    </font>
    <font>
      <b/>
      <sz val="8"/>
      <color rgb="FF000000"/>
      <name val="Calibri"/>
      <family val="2"/>
      <scheme val="minor"/>
    </font>
    <font>
      <b/>
      <sz val="8"/>
      <color rgb="FFFFFFFF"/>
      <name val="Calibri"/>
      <family val="2"/>
      <scheme val="minor"/>
    </font>
    <font>
      <sz val="7"/>
      <color rgb="FF000000"/>
      <name val="Calibri"/>
      <family val="2"/>
      <scheme val="minor"/>
    </font>
    <font>
      <vertAlign val="superscript"/>
      <sz val="7"/>
      <color rgb="FF000000"/>
      <name val="Calibri"/>
      <family val="2"/>
      <scheme val="minor"/>
    </font>
    <font>
      <sz val="7"/>
      <name val="Calibri"/>
      <family val="2"/>
      <scheme val="minor"/>
    </font>
    <font>
      <b/>
      <i/>
      <sz val="8"/>
      <name val="Calibri"/>
      <family val="2"/>
      <scheme val="minor"/>
    </font>
    <font>
      <sz val="8"/>
      <color theme="1"/>
      <name val="Calibri"/>
      <family val="2"/>
      <scheme val="minor"/>
    </font>
    <font>
      <sz val="8"/>
      <color rgb="FF0F5950"/>
      <name val="Calibri"/>
      <family val="2"/>
      <scheme val="minor"/>
    </font>
    <font>
      <b/>
      <sz val="8"/>
      <color rgb="FFFFFFFF"/>
      <name val="Calibri"/>
      <family val="2"/>
    </font>
    <font>
      <sz val="6"/>
      <color rgb="FF000000"/>
      <name val="Calibri"/>
      <family val="2"/>
      <scheme val="minor"/>
    </font>
    <font>
      <vertAlign val="superscript"/>
      <sz val="6"/>
      <color rgb="FF000000"/>
      <name val="Calibri"/>
      <family val="2"/>
      <scheme val="minor"/>
    </font>
    <font>
      <sz val="10"/>
      <name val="Arial"/>
      <family val="2"/>
    </font>
    <font>
      <sz val="10"/>
      <color rgb="FF008000"/>
      <name val="Calibri"/>
      <family val="2"/>
      <scheme val="minor"/>
    </font>
    <font>
      <sz val="10"/>
      <color rgb="FFFF0000"/>
      <name val="Calibri"/>
      <family val="2"/>
      <scheme val="minor"/>
    </font>
    <font>
      <b/>
      <u/>
      <sz val="10"/>
      <color theme="1"/>
      <name val="Calibri"/>
      <family val="2"/>
      <scheme val="minor"/>
    </font>
    <font>
      <b/>
      <u/>
      <sz val="10"/>
      <name val="Calibri"/>
      <family val="2"/>
      <scheme val="minor"/>
    </font>
    <font>
      <b/>
      <sz val="11"/>
      <color theme="1"/>
      <name val="Calibri"/>
      <family val="2"/>
      <scheme val="minor"/>
    </font>
    <font>
      <b/>
      <sz val="10"/>
      <color rgb="FF0000FF"/>
      <name val="Calibri"/>
      <family val="2"/>
      <scheme val="minor"/>
    </font>
    <font>
      <b/>
      <i/>
      <sz val="11"/>
      <color theme="1"/>
      <name val="Calibri"/>
      <family val="2"/>
      <scheme val="minor"/>
    </font>
    <font>
      <b/>
      <sz val="10"/>
      <color theme="0"/>
      <name val="Calibri"/>
      <family val="2"/>
      <scheme val="minor"/>
    </font>
    <font>
      <i/>
      <u/>
      <sz val="10"/>
      <color theme="1"/>
      <name val="Calibri"/>
      <family val="2"/>
      <scheme val="minor"/>
    </font>
    <font>
      <i/>
      <sz val="10"/>
      <color rgb="FFFF0000"/>
      <name val="Calibri"/>
      <family val="2"/>
      <scheme val="minor"/>
    </font>
    <font>
      <b/>
      <sz val="1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0F5950"/>
        <bgColor indexed="64"/>
      </patternFill>
    </fill>
    <fill>
      <patternFill patternType="solid">
        <fgColor rgb="FFD0CECE"/>
        <bgColor indexed="64"/>
      </patternFill>
    </fill>
    <fill>
      <patternFill patternType="solid">
        <fgColor rgb="FFF58223"/>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6" tint="-0.499984740745262"/>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4" tint="0.79998168889431442"/>
        <bgColor theme="4" tint="0.79998168889431442"/>
      </patternFill>
    </fill>
    <fill>
      <patternFill patternType="solid">
        <fgColor rgb="FF002060"/>
        <bgColor indexed="64"/>
      </patternFill>
    </fill>
  </fills>
  <borders count="3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style="medium">
        <color rgb="FFFFFFFF"/>
      </right>
      <top/>
      <bottom style="thick">
        <color rgb="FFFFFFFF"/>
      </bottom>
      <diagonal/>
    </border>
    <border>
      <left style="medium">
        <color rgb="FFFFFFFF"/>
      </left>
      <right/>
      <top/>
      <bottom/>
      <diagonal/>
    </border>
    <border>
      <left/>
      <right/>
      <top style="medium">
        <color rgb="FFFFFFFF"/>
      </top>
      <bottom/>
      <diagonal/>
    </border>
    <border>
      <left style="medium">
        <color rgb="FFFFFFFF"/>
      </left>
      <right/>
      <top/>
      <bottom style="medium">
        <color rgb="FFFFFFFF"/>
      </bottom>
      <diagonal/>
    </border>
    <border>
      <left/>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right/>
      <top style="thin">
        <color indexed="64"/>
      </top>
      <bottom style="double">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8"/>
      </bottom>
      <diagonal/>
    </border>
    <border>
      <left/>
      <right/>
      <top style="thin">
        <color theme="4" tint="0.39997558519241921"/>
      </top>
      <bottom/>
      <diagonal/>
    </border>
    <border>
      <left/>
      <right/>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23" fillId="0" borderId="0"/>
    <xf numFmtId="43" fontId="23" fillId="0" borderId="0" applyFont="0" applyFill="0" applyBorder="0" applyAlignment="0" applyProtection="0"/>
    <xf numFmtId="43" fontId="23" fillId="0" borderId="0" applyFont="0" applyFill="0" applyBorder="0" applyAlignment="0" applyProtection="0"/>
  </cellStyleXfs>
  <cellXfs count="279">
    <xf numFmtId="0" fontId="0" fillId="0" borderId="0" xfId="0"/>
    <xf numFmtId="0" fontId="2" fillId="0" borderId="0" xfId="0" applyFont="1"/>
    <xf numFmtId="0" fontId="2" fillId="0" borderId="0" xfId="0" applyFont="1" applyAlignment="1">
      <alignment horizontal="center" vertical="center" wrapText="1"/>
    </xf>
    <xf numFmtId="0" fontId="3" fillId="0" borderId="0" xfId="0" applyFont="1" applyAlignment="1">
      <alignment horizontal="left" vertical="top"/>
    </xf>
    <xf numFmtId="0" fontId="4" fillId="0" borderId="0" xfId="0" applyFont="1" applyAlignment="1">
      <alignment horizontal="left" vertical="top"/>
    </xf>
    <xf numFmtId="164" fontId="2" fillId="0" borderId="0" xfId="1" applyNumberFormat="1" applyFont="1" applyAlignment="1">
      <alignment horizontal="center" vertical="center" wrapText="1"/>
    </xf>
    <xf numFmtId="14" fontId="2" fillId="0" borderId="0" xfId="0" applyNumberFormat="1" applyFont="1" applyAlignment="1">
      <alignment horizontal="center" vertical="center" wrapText="1"/>
    </xf>
    <xf numFmtId="0" fontId="2" fillId="0" borderId="0" xfId="0" applyFont="1" applyBorder="1" applyAlignment="1">
      <alignment horizontal="center" vertical="center" wrapText="1"/>
    </xf>
    <xf numFmtId="164" fontId="2" fillId="0" borderId="0" xfId="1" applyNumberFormat="1" applyFont="1" applyBorder="1" applyAlignment="1">
      <alignment horizontal="center" vertical="center" wrapText="1"/>
    </xf>
    <xf numFmtId="14" fontId="2" fillId="0" borderId="0" xfId="0" applyNumberFormat="1" applyFont="1" applyBorder="1" applyAlignment="1">
      <alignment horizontal="center" vertical="center" wrapText="1"/>
    </xf>
    <xf numFmtId="0" fontId="2" fillId="0" borderId="0" xfId="0" applyFont="1" applyFill="1"/>
    <xf numFmtId="0" fontId="2" fillId="0" borderId="0" xfId="0" applyFont="1" applyFill="1" applyAlignment="1">
      <alignment horizontal="center" vertical="center" wrapText="1"/>
    </xf>
    <xf numFmtId="164" fontId="2" fillId="0" borderId="0" xfId="1" applyNumberFormat="1" applyFont="1" applyFill="1" applyAlignment="1">
      <alignment horizontal="center" vertical="center" wrapText="1"/>
    </xf>
    <xf numFmtId="14" fontId="2" fillId="0" borderId="0" xfId="0" applyNumberFormat="1" applyFont="1" applyFill="1" applyAlignment="1">
      <alignment horizontal="center" vertical="center" wrapText="1"/>
    </xf>
    <xf numFmtId="164" fontId="2" fillId="0" borderId="0" xfId="0" applyNumberFormat="1" applyFont="1" applyAlignment="1">
      <alignment horizontal="center" vertical="center" wrapText="1"/>
    </xf>
    <xf numFmtId="164" fontId="6" fillId="0" borderId="0" xfId="1" applyNumberFormat="1" applyFont="1" applyAlignment="1">
      <alignment horizontal="center" vertical="center" wrapText="1"/>
    </xf>
    <xf numFmtId="164" fontId="6" fillId="0" borderId="0" xfId="1" applyNumberFormat="1" applyFont="1" applyFill="1" applyAlignment="1">
      <alignment horizontal="center" vertical="center" wrapText="1"/>
    </xf>
    <xf numFmtId="164" fontId="6" fillId="0" borderId="0" xfId="1" applyNumberFormat="1" applyFont="1" applyBorder="1" applyAlignment="1">
      <alignment horizontal="center" vertical="center" wrapText="1"/>
    </xf>
    <xf numFmtId="0" fontId="10" fillId="0" borderId="0" xfId="0" applyFont="1"/>
    <xf numFmtId="0" fontId="5" fillId="0" borderId="0" xfId="0" applyFont="1"/>
    <xf numFmtId="0" fontId="11" fillId="0" borderId="0" xfId="0" applyFont="1" applyAlignment="1">
      <alignment horizontal="left" vertical="center" indent="1" readingOrder="1"/>
    </xf>
    <xf numFmtId="9" fontId="5" fillId="0" borderId="0" xfId="0" applyNumberFormat="1" applyFont="1"/>
    <xf numFmtId="14" fontId="5" fillId="0" borderId="0" xfId="0" applyNumberFormat="1" applyFont="1"/>
    <xf numFmtId="0" fontId="13" fillId="3" borderId="0" xfId="0" applyFont="1" applyFill="1" applyAlignment="1">
      <alignment horizontal="center" vertical="center" wrapText="1" readingOrder="1"/>
    </xf>
    <xf numFmtId="0" fontId="5" fillId="5" borderId="0" xfId="0" applyFont="1" applyFill="1" applyAlignment="1">
      <alignment horizontal="center" vertical="top" wrapText="1"/>
    </xf>
    <xf numFmtId="0" fontId="11" fillId="4" borderId="0" xfId="0" applyFont="1" applyFill="1" applyAlignment="1">
      <alignment horizontal="center" vertical="center" wrapText="1" readingOrder="1"/>
    </xf>
    <xf numFmtId="3" fontId="11" fillId="4" borderId="0" xfId="0" applyNumberFormat="1" applyFont="1" applyFill="1" applyAlignment="1">
      <alignment horizontal="center" vertical="center" wrapText="1" readingOrder="1"/>
    </xf>
    <xf numFmtId="6" fontId="11" fillId="4" borderId="0" xfId="0" applyNumberFormat="1" applyFont="1" applyFill="1" applyAlignment="1">
      <alignment horizontal="center" vertical="center" wrapText="1" readingOrder="1"/>
    </xf>
    <xf numFmtId="43" fontId="5" fillId="0" borderId="0" xfId="0" applyNumberFormat="1" applyFont="1"/>
    <xf numFmtId="43" fontId="5" fillId="0" borderId="0" xfId="1" applyFont="1"/>
    <xf numFmtId="0" fontId="11" fillId="6" borderId="0" xfId="0" applyFont="1" applyFill="1" applyAlignment="1">
      <alignment horizontal="center" vertical="center" wrapText="1" readingOrder="1"/>
    </xf>
    <xf numFmtId="3" fontId="11" fillId="6" borderId="0" xfId="0" applyNumberFormat="1" applyFont="1" applyFill="1" applyAlignment="1">
      <alignment horizontal="center" vertical="center" wrapText="1" readingOrder="1"/>
    </xf>
    <xf numFmtId="6" fontId="11" fillId="6" borderId="0" xfId="0" applyNumberFormat="1" applyFont="1" applyFill="1" applyAlignment="1">
      <alignment horizontal="center" vertical="center" wrapText="1" readingOrder="1"/>
    </xf>
    <xf numFmtId="0" fontId="12" fillId="4" borderId="0" xfId="0" applyFont="1" applyFill="1" applyAlignment="1">
      <alignment horizontal="center" vertical="center" wrapText="1" readingOrder="1"/>
    </xf>
    <xf numFmtId="3" fontId="12" fillId="4" borderId="0" xfId="0" applyNumberFormat="1" applyFont="1" applyFill="1" applyAlignment="1">
      <alignment horizontal="center" vertical="center" wrapText="1" readingOrder="1"/>
    </xf>
    <xf numFmtId="6" fontId="12" fillId="4" borderId="0" xfId="0" applyNumberFormat="1" applyFont="1" applyFill="1" applyAlignment="1">
      <alignment horizontal="center" vertical="center" wrapText="1" readingOrder="1"/>
    </xf>
    <xf numFmtId="0" fontId="12" fillId="0" borderId="6" xfId="0" applyFont="1" applyBorder="1" applyAlignment="1">
      <alignment horizontal="center" vertical="center" wrapText="1" readingOrder="1"/>
    </xf>
    <xf numFmtId="0" fontId="12" fillId="0" borderId="0" xfId="0" applyFont="1" applyAlignment="1">
      <alignment horizontal="center" vertical="center" wrapText="1" readingOrder="1"/>
    </xf>
    <xf numFmtId="3" fontId="12" fillId="0" borderId="0" xfId="0" applyNumberFormat="1" applyFont="1" applyAlignment="1">
      <alignment horizontal="center" vertical="center" wrapText="1" readingOrder="1"/>
    </xf>
    <xf numFmtId="6" fontId="12" fillId="0" borderId="0" xfId="0" applyNumberFormat="1" applyFont="1" applyAlignment="1">
      <alignment horizontal="center" vertical="center" wrapText="1" readingOrder="1"/>
    </xf>
    <xf numFmtId="0" fontId="5" fillId="6" borderId="0" xfId="0" applyFont="1" applyFill="1"/>
    <xf numFmtId="0" fontId="16" fillId="6" borderId="10" xfId="0" applyFont="1" applyFill="1" applyBorder="1" applyAlignment="1">
      <alignment wrapText="1"/>
    </xf>
    <xf numFmtId="0" fontId="16" fillId="6" borderId="11" xfId="0" applyFont="1" applyFill="1" applyBorder="1" applyAlignment="1">
      <alignment wrapText="1"/>
    </xf>
    <xf numFmtId="0" fontId="17" fillId="0" borderId="0" xfId="0" applyFont="1"/>
    <xf numFmtId="0" fontId="14" fillId="6" borderId="10" xfId="0" applyFont="1" applyFill="1" applyBorder="1" applyAlignment="1">
      <alignment vertical="center" readingOrder="1"/>
    </xf>
    <xf numFmtId="0" fontId="14" fillId="6" borderId="11" xfId="0" applyFont="1" applyFill="1" applyBorder="1" applyAlignment="1">
      <alignment vertical="center" readingOrder="1"/>
    </xf>
    <xf numFmtId="0" fontId="14" fillId="6" borderId="12" xfId="0" applyFont="1" applyFill="1" applyBorder="1" applyAlignment="1">
      <alignment vertical="center" readingOrder="1"/>
    </xf>
    <xf numFmtId="0" fontId="18" fillId="0" borderId="0" xfId="0" applyFont="1"/>
    <xf numFmtId="0" fontId="19" fillId="0" borderId="0" xfId="0" applyFont="1"/>
    <xf numFmtId="0" fontId="12" fillId="6" borderId="0" xfId="0" applyFont="1" applyFill="1" applyAlignment="1">
      <alignment horizontal="center" vertical="center" wrapText="1" readingOrder="1"/>
    </xf>
    <xf numFmtId="3" fontId="12" fillId="6" borderId="0" xfId="0" applyNumberFormat="1" applyFont="1" applyFill="1" applyAlignment="1">
      <alignment horizontal="center" vertical="center" wrapText="1" readingOrder="1"/>
    </xf>
    <xf numFmtId="6" fontId="12" fillId="6" borderId="0" xfId="0" applyNumberFormat="1" applyFont="1" applyFill="1" applyAlignment="1">
      <alignment horizontal="center" vertical="center" wrapText="1" readingOrder="1"/>
    </xf>
    <xf numFmtId="3" fontId="5" fillId="0" borderId="0" xfId="0" applyNumberFormat="1" applyFont="1"/>
    <xf numFmtId="164" fontId="5" fillId="0" borderId="0" xfId="1" applyNumberFormat="1" applyFont="1"/>
    <xf numFmtId="38" fontId="5" fillId="0" borderId="0" xfId="0" applyNumberFormat="1" applyFont="1"/>
    <xf numFmtId="38" fontId="12" fillId="4" borderId="0" xfId="0" applyNumberFormat="1" applyFont="1" applyFill="1" applyAlignment="1">
      <alignment horizontal="center" vertical="center" wrapText="1" readingOrder="1"/>
    </xf>
    <xf numFmtId="0" fontId="12" fillId="5" borderId="0" xfId="0" applyFont="1" applyFill="1" applyAlignment="1">
      <alignment horizontal="center" vertical="center" wrapText="1" readingOrder="1"/>
    </xf>
    <xf numFmtId="3" fontId="12" fillId="5" borderId="0" xfId="0" applyNumberFormat="1" applyFont="1" applyFill="1" applyAlignment="1">
      <alignment horizontal="center" vertical="center" wrapText="1" readingOrder="1"/>
    </xf>
    <xf numFmtId="6" fontId="12" fillId="5" borderId="0" xfId="0" applyNumberFormat="1" applyFont="1" applyFill="1" applyAlignment="1">
      <alignment horizontal="center" vertical="center" wrapText="1" readingOrder="1"/>
    </xf>
    <xf numFmtId="164" fontId="5" fillId="0" borderId="0" xfId="0" applyNumberFormat="1" applyFont="1"/>
    <xf numFmtId="6" fontId="5" fillId="0" borderId="0" xfId="0" applyNumberFormat="1" applyFont="1"/>
    <xf numFmtId="0" fontId="2" fillId="0" borderId="0" xfId="0" applyFont="1" applyAlignment="1">
      <alignment horizontal="right"/>
    </xf>
    <xf numFmtId="164" fontId="2" fillId="0" borderId="0" xfId="1" applyNumberFormat="1" applyFont="1"/>
    <xf numFmtId="10" fontId="2" fillId="0" borderId="0" xfId="2" applyNumberFormat="1" applyFont="1"/>
    <xf numFmtId="0" fontId="3" fillId="0" borderId="0" xfId="0" applyFont="1" applyAlignment="1">
      <alignment horizontal="center"/>
    </xf>
    <xf numFmtId="164" fontId="3" fillId="0" borderId="13" xfId="1" applyNumberFormat="1" applyFont="1" applyBorder="1" applyAlignment="1">
      <alignment horizontal="center"/>
    </xf>
    <xf numFmtId="0" fontId="3" fillId="0" borderId="14" xfId="0" applyFont="1" applyBorder="1" applyAlignment="1">
      <alignment horizontal="left"/>
    </xf>
    <xf numFmtId="0" fontId="3" fillId="0" borderId="14" xfId="0" applyFont="1" applyBorder="1" applyAlignment="1">
      <alignment horizontal="center"/>
    </xf>
    <xf numFmtId="0" fontId="9" fillId="0" borderId="0" xfId="0" applyFont="1"/>
    <xf numFmtId="10" fontId="2" fillId="0" borderId="0" xfId="2" applyNumberFormat="1" applyFont="1" applyAlignment="1">
      <alignment horizontal="right"/>
    </xf>
    <xf numFmtId="0" fontId="3" fillId="0" borderId="0" xfId="0" applyFont="1" applyAlignment="1">
      <alignment horizontal="right"/>
    </xf>
    <xf numFmtId="10" fontId="2" fillId="0" borderId="0" xfId="0" applyNumberFormat="1" applyFont="1" applyAlignment="1">
      <alignment horizontal="right"/>
    </xf>
    <xf numFmtId="164" fontId="2" fillId="0" borderId="0" xfId="1" applyNumberFormat="1" applyFont="1" applyAlignment="1">
      <alignment horizontal="right"/>
    </xf>
    <xf numFmtId="0" fontId="3" fillId="0" borderId="14" xfId="0" applyFont="1" applyBorder="1" applyAlignment="1">
      <alignment horizontal="center" wrapText="1"/>
    </xf>
    <xf numFmtId="164" fontId="2" fillId="0" borderId="0" xfId="0" applyNumberFormat="1" applyFont="1"/>
    <xf numFmtId="0" fontId="3" fillId="0" borderId="0" xfId="0" applyFont="1" applyAlignment="1">
      <alignment horizontal="center" wrapText="1"/>
    </xf>
    <xf numFmtId="0" fontId="2" fillId="0" borderId="0" xfId="0" applyFont="1" applyAlignment="1">
      <alignment wrapText="1"/>
    </xf>
    <xf numFmtId="164" fontId="2" fillId="0" borderId="0" xfId="0" applyNumberFormat="1" applyFont="1" applyAlignment="1">
      <alignment horizontal="center"/>
    </xf>
    <xf numFmtId="164" fontId="25" fillId="0" borderId="0" xfId="1" applyNumberFormat="1" applyFont="1" applyAlignment="1">
      <alignment horizontal="center" vertical="center" wrapText="1"/>
    </xf>
    <xf numFmtId="164" fontId="25" fillId="0" borderId="0" xfId="1" applyNumberFormat="1" applyFont="1" applyFill="1" applyAlignment="1">
      <alignment horizontal="center" vertical="center" wrapText="1"/>
    </xf>
    <xf numFmtId="164" fontId="9" fillId="0" borderId="0" xfId="1" applyNumberFormat="1" applyFont="1" applyAlignment="1">
      <alignment horizontal="center" vertical="center" wrapText="1"/>
    </xf>
    <xf numFmtId="14" fontId="9" fillId="0" borderId="0" xfId="0" applyNumberFormat="1" applyFont="1" applyAlignment="1">
      <alignment horizontal="center" vertical="center" wrapText="1"/>
    </xf>
    <xf numFmtId="164" fontId="9" fillId="0" borderId="0" xfId="1" applyNumberFormat="1" applyFont="1" applyFill="1" applyAlignment="1">
      <alignment horizontal="center" vertical="center" wrapText="1"/>
    </xf>
    <xf numFmtId="164" fontId="9" fillId="0" borderId="0" xfId="1" applyNumberFormat="1" applyFont="1" applyBorder="1" applyAlignment="1">
      <alignment horizontal="center" vertical="center" wrapText="1"/>
    </xf>
    <xf numFmtId="0" fontId="26" fillId="0" borderId="16" xfId="0" applyFont="1" applyBorder="1" applyAlignment="1">
      <alignment horizontal="center"/>
    </xf>
    <xf numFmtId="0" fontId="26" fillId="0" borderId="17" xfId="0" applyFont="1" applyBorder="1" applyAlignment="1">
      <alignment horizontal="center"/>
    </xf>
    <xf numFmtId="0" fontId="26" fillId="0" borderId="18" xfId="0" applyFont="1" applyBorder="1" applyAlignment="1">
      <alignment horizontal="center"/>
    </xf>
    <xf numFmtId="14" fontId="2" fillId="0" borderId="20" xfId="0" applyNumberFormat="1" applyFont="1" applyBorder="1"/>
    <xf numFmtId="0" fontId="2" fillId="0" borderId="14" xfId="0" applyFont="1" applyBorder="1"/>
    <xf numFmtId="14" fontId="2" fillId="0" borderId="22" xfId="0" applyNumberFormat="1" applyFont="1" applyBorder="1"/>
    <xf numFmtId="0" fontId="3" fillId="0" borderId="0" xfId="0" applyFont="1"/>
    <xf numFmtId="0" fontId="26" fillId="0" borderId="0" xfId="0" applyFont="1"/>
    <xf numFmtId="0" fontId="27" fillId="0" borderId="0" xfId="0" applyFont="1"/>
    <xf numFmtId="164" fontId="6" fillId="8" borderId="0" xfId="1" applyNumberFormat="1" applyFont="1" applyFill="1" applyAlignment="1">
      <alignment horizontal="center" vertical="center" wrapText="1"/>
    </xf>
    <xf numFmtId="164" fontId="25" fillId="8" borderId="0" xfId="1" applyNumberFormat="1" applyFont="1" applyFill="1" applyAlignment="1">
      <alignment horizontal="center" vertical="center" wrapText="1"/>
    </xf>
    <xf numFmtId="164" fontId="24" fillId="9" borderId="0" xfId="1" applyNumberFormat="1" applyFont="1" applyFill="1" applyAlignment="1">
      <alignment horizontal="center" vertical="center" wrapText="1"/>
    </xf>
    <xf numFmtId="0" fontId="2" fillId="10" borderId="0" xfId="0" applyFont="1" applyFill="1" applyAlignment="1">
      <alignment horizontal="center" vertical="center" wrapText="1"/>
    </xf>
    <xf numFmtId="0" fontId="2" fillId="0" borderId="0" xfId="0" applyFont="1" applyAlignment="1">
      <alignment vertical="center" wrapText="1"/>
    </xf>
    <xf numFmtId="43" fontId="2" fillId="0" borderId="0" xfId="0" applyNumberFormat="1" applyFont="1" applyAlignment="1">
      <alignment horizontal="center" vertical="center" wrapText="1"/>
    </xf>
    <xf numFmtId="0" fontId="3" fillId="0" borderId="14" xfId="0" applyFont="1" applyBorder="1" applyAlignment="1">
      <alignment horizontal="center" vertical="center" wrapText="1"/>
    </xf>
    <xf numFmtId="0" fontId="2" fillId="0" borderId="0" xfId="0" applyFont="1" applyAlignment="1">
      <alignment horizontal="center"/>
    </xf>
    <xf numFmtId="0" fontId="3" fillId="0" borderId="13" xfId="0" applyFont="1" applyBorder="1" applyAlignment="1">
      <alignment horizontal="center"/>
    </xf>
    <xf numFmtId="164" fontId="3" fillId="0" borderId="13" xfId="1" applyNumberFormat="1" applyFont="1" applyBorder="1"/>
    <xf numFmtId="10" fontId="3" fillId="0" borderId="13" xfId="2" applyNumberFormat="1" applyFont="1" applyBorder="1"/>
    <xf numFmtId="164" fontId="3" fillId="0" borderId="0" xfId="1" applyNumberFormat="1" applyFont="1"/>
    <xf numFmtId="10" fontId="3" fillId="0" borderId="0" xfId="0" applyNumberFormat="1" applyFont="1"/>
    <xf numFmtId="164" fontId="3" fillId="0" borderId="13" xfId="0" applyNumberFormat="1" applyFont="1" applyBorder="1"/>
    <xf numFmtId="164" fontId="3" fillId="0" borderId="0" xfId="0" applyNumberFormat="1" applyFont="1"/>
    <xf numFmtId="9" fontId="3" fillId="0" borderId="13" xfId="2" applyFont="1" applyBorder="1"/>
    <xf numFmtId="43" fontId="6" fillId="0" borderId="0" xfId="1" applyFont="1" applyAlignment="1">
      <alignment horizontal="center" vertical="center" wrapText="1"/>
    </xf>
    <xf numFmtId="14" fontId="2" fillId="0" borderId="0" xfId="0" applyNumberFormat="1" applyFont="1" applyAlignment="1">
      <alignment horizontal="center"/>
    </xf>
    <xf numFmtId="164" fontId="6" fillId="0" borderId="0" xfId="1" applyNumberFormat="1" applyFont="1"/>
    <xf numFmtId="14" fontId="2" fillId="0" borderId="0" xfId="0" applyNumberFormat="1" applyFont="1"/>
    <xf numFmtId="164" fontId="6" fillId="0" borderId="0" xfId="1" applyNumberFormat="1" applyFont="1" applyAlignment="1">
      <alignment horizontal="center"/>
    </xf>
    <xf numFmtId="43" fontId="2" fillId="0" borderId="0" xfId="1" applyNumberFormat="1" applyFont="1"/>
    <xf numFmtId="0" fontId="2" fillId="0" borderId="0" xfId="0" applyFont="1" applyAlignment="1">
      <alignment horizontal="center" wrapText="1"/>
    </xf>
    <xf numFmtId="0" fontId="2" fillId="10" borderId="0" xfId="0" applyFont="1" applyFill="1" applyAlignment="1">
      <alignment horizontal="center" wrapText="1"/>
    </xf>
    <xf numFmtId="43" fontId="6" fillId="0" borderId="0" xfId="1" applyFont="1" applyFill="1" applyAlignment="1">
      <alignment horizontal="center" vertical="center" wrapText="1"/>
    </xf>
    <xf numFmtId="164" fontId="25" fillId="2" borderId="0" xfId="1" applyNumberFormat="1" applyFont="1" applyFill="1" applyAlignment="1">
      <alignment horizontal="center" vertical="center" wrapText="1"/>
    </xf>
    <xf numFmtId="0" fontId="0" fillId="0" borderId="0" xfId="0" applyAlignment="1">
      <alignment horizontal="center"/>
    </xf>
    <xf numFmtId="0" fontId="2" fillId="0" borderId="0" xfId="0" applyFont="1" applyAlignment="1">
      <alignment horizontal="right" vertical="center"/>
    </xf>
    <xf numFmtId="0" fontId="2" fillId="0" borderId="0" xfId="0" applyFont="1" applyAlignment="1">
      <alignment horizontal="right" vertical="center" wrapText="1"/>
    </xf>
    <xf numFmtId="0" fontId="3" fillId="0" borderId="0" xfId="0" applyFont="1" applyAlignment="1">
      <alignment horizontal="right" vertical="center"/>
    </xf>
    <xf numFmtId="0" fontId="26" fillId="0" borderId="0" xfId="0" applyFont="1" applyAlignment="1">
      <alignment horizontal="right" vertical="center"/>
    </xf>
    <xf numFmtId="164" fontId="2" fillId="0" borderId="13" xfId="1" applyNumberFormat="1" applyFont="1" applyBorder="1" applyAlignment="1">
      <alignment horizontal="center" vertical="center" wrapText="1"/>
    </xf>
    <xf numFmtId="164" fontId="2" fillId="0" borderId="15" xfId="1" applyNumberFormat="1" applyFont="1" applyBorder="1" applyAlignment="1">
      <alignment horizontal="center" vertical="center" wrapText="1"/>
    </xf>
    <xf numFmtId="164" fontId="2" fillId="0" borderId="15" xfId="1" applyNumberFormat="1" applyFont="1" applyFill="1" applyBorder="1" applyAlignment="1">
      <alignment horizontal="center" vertical="center" wrapText="1"/>
    </xf>
    <xf numFmtId="164" fontId="2" fillId="12" borderId="0" xfId="1" applyNumberFormat="1" applyFont="1" applyFill="1" applyAlignment="1">
      <alignment horizontal="center" vertical="center" wrapText="1"/>
    </xf>
    <xf numFmtId="0" fontId="2" fillId="0" borderId="0" xfId="0" pivotButton="1" applyFont="1"/>
    <xf numFmtId="0" fontId="2" fillId="0" borderId="0" xfId="0" applyFont="1" applyAlignment="1">
      <alignment horizontal="left"/>
    </xf>
    <xf numFmtId="0" fontId="3" fillId="0" borderId="0" xfId="0" pivotButton="1" applyFont="1" applyAlignment="1">
      <alignment horizontal="center" wrapText="1"/>
    </xf>
    <xf numFmtId="0" fontId="2" fillId="0" borderId="0" xfId="0" pivotButton="1" applyFont="1" applyAlignment="1">
      <alignment horizontal="center" wrapText="1"/>
    </xf>
    <xf numFmtId="0" fontId="2" fillId="0" borderId="0" xfId="0" pivotButton="1" applyFont="1" applyAlignment="1">
      <alignment horizontal="left" wrapText="1"/>
    </xf>
    <xf numFmtId="0" fontId="3" fillId="0" borderId="0" xfId="0" applyFont="1" applyAlignment="1">
      <alignment horizontal="left"/>
    </xf>
    <xf numFmtId="0" fontId="3" fillId="0" borderId="0" xfId="0" applyFont="1" applyBorder="1" applyAlignment="1">
      <alignment horizontal="left"/>
    </xf>
    <xf numFmtId="164" fontId="2" fillId="0" borderId="0" xfId="0" applyNumberFormat="1" applyFont="1" applyBorder="1"/>
    <xf numFmtId="43" fontId="2" fillId="0" borderId="0" xfId="1" applyNumberFormat="1" applyFont="1" applyBorder="1"/>
    <xf numFmtId="0" fontId="2" fillId="0" borderId="0" xfId="0" applyFont="1" applyBorder="1"/>
    <xf numFmtId="0" fontId="3" fillId="0" borderId="24" xfId="0" applyFont="1" applyBorder="1" applyAlignment="1">
      <alignment horizontal="left"/>
    </xf>
    <xf numFmtId="164" fontId="2" fillId="0" borderId="24" xfId="0" applyNumberFormat="1" applyFont="1" applyBorder="1"/>
    <xf numFmtId="43" fontId="2" fillId="0" borderId="24" xfId="1" applyNumberFormat="1" applyFont="1" applyBorder="1"/>
    <xf numFmtId="0" fontId="2" fillId="0" borderId="24" xfId="0" applyFont="1" applyBorder="1"/>
    <xf numFmtId="164" fontId="2" fillId="0" borderId="0" xfId="0" pivotButton="1" applyNumberFormat="1" applyFont="1"/>
    <xf numFmtId="0" fontId="12" fillId="5" borderId="0" xfId="0" applyFont="1" applyFill="1" applyAlignment="1">
      <alignment horizontal="left" vertical="center" readingOrder="1"/>
    </xf>
    <xf numFmtId="0" fontId="2" fillId="0" borderId="0" xfId="0" pivotButton="1" applyFont="1" applyAlignment="1">
      <alignment wrapText="1"/>
    </xf>
    <xf numFmtId="43" fontId="2" fillId="0" borderId="0" xfId="1" pivotButton="1" applyNumberFormat="1" applyFont="1"/>
    <xf numFmtId="0" fontId="5" fillId="0" borderId="0" xfId="0" applyFont="1" applyFill="1"/>
    <xf numFmtId="43" fontId="2" fillId="0" borderId="0" xfId="1" applyFont="1"/>
    <xf numFmtId="164" fontId="29" fillId="0" borderId="13" xfId="1" applyNumberFormat="1" applyFont="1" applyBorder="1"/>
    <xf numFmtId="164" fontId="6" fillId="0" borderId="0" xfId="1" applyNumberFormat="1" applyFont="1" applyFill="1"/>
    <xf numFmtId="164" fontId="6" fillId="0" borderId="0" xfId="4" applyNumberFormat="1" applyFont="1" applyFill="1"/>
    <xf numFmtId="10" fontId="2" fillId="0" borderId="0" xfId="0" applyNumberFormat="1" applyFont="1"/>
    <xf numFmtId="43" fontId="2" fillId="0" borderId="0" xfId="1" applyFont="1" applyAlignment="1">
      <alignment horizontal="right"/>
    </xf>
    <xf numFmtId="164" fontId="2" fillId="0" borderId="14" xfId="1" applyNumberFormat="1" applyFont="1" applyBorder="1"/>
    <xf numFmtId="0" fontId="4" fillId="0" borderId="0" xfId="0" applyFont="1"/>
    <xf numFmtId="164" fontId="2" fillId="0" borderId="13" xfId="1" applyNumberFormat="1" applyFont="1" applyBorder="1"/>
    <xf numFmtId="164" fontId="2" fillId="0" borderId="0" xfId="0" applyNumberFormat="1" applyFont="1" applyAlignment="1">
      <alignment horizontal="center" wrapText="1"/>
    </xf>
    <xf numFmtId="43" fontId="3" fillId="0" borderId="0" xfId="1" applyFont="1" applyAlignment="1">
      <alignment horizontal="right"/>
    </xf>
    <xf numFmtId="164" fontId="3" fillId="0" borderId="13" xfId="0" applyNumberFormat="1" applyFont="1" applyFill="1" applyBorder="1"/>
    <xf numFmtId="164" fontId="3" fillId="0" borderId="0" xfId="0" applyNumberFormat="1" applyFont="1" applyFill="1" applyBorder="1"/>
    <xf numFmtId="0" fontId="2" fillId="0" borderId="0" xfId="0" pivotButton="1" applyFont="1" applyAlignment="1">
      <alignment horizontal="center"/>
    </xf>
    <xf numFmtId="0" fontId="0" fillId="0" borderId="0" xfId="0" applyAlignment="1">
      <alignment horizontal="center" wrapText="1"/>
    </xf>
    <xf numFmtId="43" fontId="9" fillId="0" borderId="0" xfId="1" applyFont="1" applyFill="1" applyAlignment="1">
      <alignment horizontal="center" vertical="center" wrapText="1"/>
    </xf>
    <xf numFmtId="2" fontId="9" fillId="0" borderId="0" xfId="0" applyNumberFormat="1" applyFont="1" applyAlignment="1">
      <alignment horizontal="center" vertical="center" wrapText="1"/>
    </xf>
    <xf numFmtId="2" fontId="9" fillId="0" borderId="0" xfId="0" applyNumberFormat="1" applyFont="1" applyBorder="1" applyAlignment="1">
      <alignment horizontal="center" vertical="center" wrapText="1"/>
    </xf>
    <xf numFmtId="2" fontId="9" fillId="0" borderId="0" xfId="0" applyNumberFormat="1" applyFont="1" applyFill="1" applyAlignment="1">
      <alignment horizontal="center" vertical="center" wrapText="1"/>
    </xf>
    <xf numFmtId="10" fontId="9" fillId="0" borderId="0" xfId="2" applyNumberFormat="1" applyFont="1" applyFill="1" applyAlignment="1">
      <alignment horizontal="center" vertical="center" wrapText="1"/>
    </xf>
    <xf numFmtId="43" fontId="9" fillId="0" borderId="0" xfId="1" applyNumberFormat="1" applyFont="1" applyAlignment="1">
      <alignment horizontal="center" vertical="center" wrapText="1"/>
    </xf>
    <xf numFmtId="10" fontId="9" fillId="0" borderId="0" xfId="2" applyNumberFormat="1" applyFont="1" applyAlignment="1">
      <alignment horizontal="center" vertical="center" wrapText="1"/>
    </xf>
    <xf numFmtId="43" fontId="9" fillId="0" borderId="0" xfId="1" applyNumberFormat="1" applyFont="1" applyBorder="1" applyAlignment="1">
      <alignment horizontal="center" vertical="center" wrapText="1"/>
    </xf>
    <xf numFmtId="10" fontId="9" fillId="0" borderId="0" xfId="2" applyNumberFormat="1" applyFont="1" applyBorder="1" applyAlignment="1">
      <alignment horizontal="center" vertical="center" wrapText="1"/>
    </xf>
    <xf numFmtId="43" fontId="9" fillId="0" borderId="0" xfId="1" applyNumberFormat="1" applyFont="1" applyFill="1" applyAlignment="1">
      <alignment horizontal="center" vertical="center" wrapText="1"/>
    </xf>
    <xf numFmtId="43" fontId="9" fillId="0" borderId="0" xfId="1" applyFont="1" applyAlignment="1">
      <alignment horizontal="center" vertical="center" wrapText="1"/>
    </xf>
    <xf numFmtId="0" fontId="30" fillId="0" borderId="0" xfId="0" applyFont="1"/>
    <xf numFmtId="0" fontId="28" fillId="0" borderId="25" xfId="0" applyFont="1" applyBorder="1"/>
    <xf numFmtId="43" fontId="2" fillId="0" borderId="0" xfId="1" applyFont="1" applyAlignment="1">
      <alignment horizontal="center" wrapText="1"/>
    </xf>
    <xf numFmtId="0" fontId="0" fillId="0" borderId="23" xfId="0" applyBorder="1" applyAlignment="1">
      <alignment horizontal="center" vertical="top"/>
    </xf>
    <xf numFmtId="0" fontId="28" fillId="11" borderId="23" xfId="0" applyFont="1" applyFill="1" applyBorder="1" applyAlignment="1">
      <alignment horizontal="left" vertical="top"/>
    </xf>
    <xf numFmtId="0" fontId="28" fillId="11" borderId="23" xfId="0" applyFont="1" applyFill="1" applyBorder="1" applyAlignment="1">
      <alignment horizontal="left" vertical="top" wrapText="1"/>
    </xf>
    <xf numFmtId="0" fontId="0" fillId="0" borderId="0" xfId="0" applyAlignment="1">
      <alignment horizontal="left" vertical="top"/>
    </xf>
    <xf numFmtId="0" fontId="0" fillId="0" borderId="23" xfId="0" applyBorder="1" applyAlignment="1">
      <alignment horizontal="left" vertical="top" wrapText="1"/>
    </xf>
    <xf numFmtId="0" fontId="0" fillId="0" borderId="0" xfId="0" applyAlignment="1">
      <alignment horizontal="left" vertical="top" wrapText="1"/>
    </xf>
    <xf numFmtId="0" fontId="2" fillId="0" borderId="19" xfId="0" applyFont="1" applyBorder="1" applyAlignment="1">
      <alignment horizontal="center"/>
    </xf>
    <xf numFmtId="0" fontId="2" fillId="0" borderId="19" xfId="0" applyFont="1" applyBorder="1" applyAlignment="1">
      <alignment horizontal="center" vertical="center"/>
    </xf>
    <xf numFmtId="0" fontId="2" fillId="0" borderId="21" xfId="0" applyFont="1" applyBorder="1" applyAlignment="1">
      <alignment horizontal="center"/>
    </xf>
    <xf numFmtId="0" fontId="2" fillId="0" borderId="0" xfId="0" applyFont="1" applyFill="1" applyBorder="1" applyAlignment="1">
      <alignment horizontal="center" vertical="center" wrapText="1"/>
    </xf>
    <xf numFmtId="164" fontId="3" fillId="13" borderId="26" xfId="0" applyNumberFormat="1" applyFont="1" applyFill="1" applyBorder="1"/>
    <xf numFmtId="0" fontId="3" fillId="13" borderId="27" xfId="0" applyFont="1" applyFill="1" applyBorder="1" applyAlignment="1">
      <alignment horizontal="center" wrapText="1"/>
    </xf>
    <xf numFmtId="0" fontId="32" fillId="0" borderId="0" xfId="0" applyFont="1"/>
    <xf numFmtId="0" fontId="33" fillId="0" borderId="0" xfId="0" applyFont="1" applyAlignment="1">
      <alignment horizontal="left"/>
    </xf>
    <xf numFmtId="43" fontId="34" fillId="0" borderId="13" xfId="0" applyNumberFormat="1" applyFont="1" applyBorder="1"/>
    <xf numFmtId="43" fontId="2" fillId="0" borderId="0" xfId="1" applyFont="1" applyBorder="1" applyAlignment="1">
      <alignment horizontal="center" wrapText="1"/>
    </xf>
    <xf numFmtId="164" fontId="2" fillId="0" borderId="0" xfId="1" applyNumberFormat="1" applyFont="1" applyBorder="1" applyAlignment="1">
      <alignment horizontal="center" wrapText="1"/>
    </xf>
    <xf numFmtId="0" fontId="2" fillId="0" borderId="0" xfId="0" applyFont="1" applyBorder="1" applyAlignment="1">
      <alignment horizontal="center" wrapText="1"/>
    </xf>
    <xf numFmtId="43" fontId="2" fillId="0" borderId="0" xfId="1" applyFont="1" applyBorder="1" applyAlignment="1">
      <alignment horizontal="right"/>
    </xf>
    <xf numFmtId="164" fontId="2" fillId="0" borderId="0" xfId="1" applyNumberFormat="1" applyFont="1" applyBorder="1"/>
    <xf numFmtId="43" fontId="2" fillId="0" borderId="0" xfId="1" applyFont="1" applyBorder="1"/>
    <xf numFmtId="0" fontId="4" fillId="0" borderId="0" xfId="0" applyFont="1" applyBorder="1"/>
    <xf numFmtId="164" fontId="3" fillId="0" borderId="0" xfId="1" applyNumberFormat="1" applyFont="1" applyBorder="1"/>
    <xf numFmtId="0" fontId="31" fillId="14" borderId="0" xfId="0" applyFont="1" applyFill="1" applyAlignment="1">
      <alignment horizontal="left" wrapText="1"/>
    </xf>
    <xf numFmtId="0" fontId="31" fillId="14" borderId="0" xfId="0" applyFont="1" applyFill="1" applyAlignment="1">
      <alignment horizontal="center" wrapText="1"/>
    </xf>
    <xf numFmtId="0" fontId="31" fillId="14" borderId="28" xfId="0" applyFont="1" applyFill="1" applyBorder="1" applyAlignment="1">
      <alignment horizontal="center" wrapText="1"/>
    </xf>
    <xf numFmtId="0" fontId="3" fillId="0" borderId="15" xfId="0" applyFont="1" applyBorder="1"/>
    <xf numFmtId="43" fontId="3" fillId="0" borderId="15" xfId="0" applyNumberFormat="1" applyFont="1" applyBorder="1"/>
    <xf numFmtId="10" fontId="3" fillId="0" borderId="15" xfId="2" applyNumberFormat="1" applyFont="1" applyBorder="1"/>
    <xf numFmtId="0" fontId="2" fillId="0" borderId="15" xfId="0" applyFont="1" applyBorder="1"/>
    <xf numFmtId="10" fontId="3" fillId="0" borderId="15" xfId="0" applyNumberFormat="1" applyFont="1" applyBorder="1"/>
    <xf numFmtId="43" fontId="3" fillId="0" borderId="0" xfId="0" applyNumberFormat="1" applyFont="1" applyBorder="1"/>
    <xf numFmtId="10" fontId="3" fillId="0" borderId="0" xfId="0" applyNumberFormat="1" applyFont="1" applyBorder="1"/>
    <xf numFmtId="0" fontId="3" fillId="0" borderId="13" xfId="0" applyFont="1" applyFill="1" applyBorder="1"/>
    <xf numFmtId="43" fontId="3" fillId="0" borderId="13" xfId="0" applyNumberFormat="1" applyFont="1" applyFill="1" applyBorder="1"/>
    <xf numFmtId="10" fontId="3" fillId="0" borderId="13" xfId="0" applyNumberFormat="1" applyFont="1" applyFill="1" applyBorder="1"/>
    <xf numFmtId="43" fontId="2" fillId="0" borderId="0" xfId="0" applyNumberFormat="1" applyFont="1"/>
    <xf numFmtId="10" fontId="2" fillId="11" borderId="0" xfId="2" applyNumberFormat="1" applyFont="1" applyFill="1"/>
    <xf numFmtId="10" fontId="2" fillId="11" borderId="0" xfId="0" applyNumberFormat="1" applyFont="1" applyFill="1"/>
    <xf numFmtId="0" fontId="12" fillId="5" borderId="0" xfId="0" applyFont="1" applyFill="1" applyAlignment="1">
      <alignment horizontal="left" vertical="center" readingOrder="1"/>
    </xf>
    <xf numFmtId="0" fontId="13" fillId="3" borderId="0" xfId="0" applyFont="1" applyFill="1" applyAlignment="1">
      <alignment horizontal="center" vertical="center" wrapText="1" readingOrder="1"/>
    </xf>
    <xf numFmtId="164" fontId="2" fillId="0" borderId="0" xfId="0" applyNumberFormat="1" applyFont="1" applyFill="1" applyBorder="1"/>
    <xf numFmtId="164" fontId="2" fillId="0" borderId="0" xfId="0" applyNumberFormat="1" applyFont="1" applyFill="1"/>
    <xf numFmtId="0" fontId="31" fillId="14" borderId="0" xfId="0" applyFont="1" applyFill="1" applyAlignment="1">
      <alignment horizontal="center" vertical="center" wrapText="1"/>
    </xf>
    <xf numFmtId="0" fontId="2" fillId="0" borderId="0" xfId="0" applyFont="1" applyAlignment="1">
      <alignment horizontal="center" vertical="center"/>
    </xf>
    <xf numFmtId="0" fontId="3" fillId="0" borderId="15" xfId="0" applyFont="1" applyBorder="1" applyAlignment="1">
      <alignment horizontal="center"/>
    </xf>
    <xf numFmtId="164" fontId="2" fillId="0" borderId="15" xfId="0" applyNumberFormat="1" applyFont="1" applyBorder="1"/>
    <xf numFmtId="164" fontId="2" fillId="0" borderId="15" xfId="1" applyNumberFormat="1" applyFont="1" applyBorder="1"/>
    <xf numFmtId="0" fontId="26" fillId="0" borderId="0" xfId="0" applyFont="1" applyAlignment="1">
      <alignment horizontal="center"/>
    </xf>
    <xf numFmtId="0" fontId="2" fillId="0" borderId="0" xfId="0" pivotButton="1" applyFont="1" applyBorder="1"/>
    <xf numFmtId="164" fontId="2" fillId="0" borderId="0" xfId="1" pivotButton="1" applyNumberFormat="1" applyFont="1" applyBorder="1"/>
    <xf numFmtId="43" fontId="2" fillId="0" borderId="0" xfId="1" pivotButton="1" applyFont="1" applyBorder="1" applyAlignment="1">
      <alignment horizontal="right"/>
    </xf>
    <xf numFmtId="0" fontId="4" fillId="0" borderId="0" xfId="0" applyFont="1" applyAlignment="1">
      <alignment horizontal="left"/>
    </xf>
    <xf numFmtId="0" fontId="4" fillId="0" borderId="0" xfId="0" pivotButton="1" applyFont="1"/>
    <xf numFmtId="14" fontId="4" fillId="0" borderId="0" xfId="0" applyNumberFormat="1" applyFont="1" applyAlignment="1">
      <alignment horizontal="left"/>
    </xf>
    <xf numFmtId="14" fontId="2" fillId="0" borderId="0" xfId="0" applyNumberFormat="1" applyFont="1" applyBorder="1"/>
    <xf numFmtId="14" fontId="2" fillId="0" borderId="14" xfId="0" applyNumberFormat="1" applyFont="1" applyBorder="1"/>
    <xf numFmtId="0" fontId="26" fillId="0" borderId="18" xfId="0" applyFont="1" applyFill="1" applyBorder="1" applyAlignment="1">
      <alignment horizontal="center"/>
    </xf>
    <xf numFmtId="0" fontId="0" fillId="0" borderId="20" xfId="0" applyBorder="1"/>
    <xf numFmtId="0" fontId="0" fillId="0" borderId="22" xfId="0" applyBorder="1"/>
    <xf numFmtId="0" fontId="2" fillId="0" borderId="19" xfId="0" applyFont="1" applyBorder="1" applyAlignment="1">
      <alignment horizontal="center" vertical="top"/>
    </xf>
    <xf numFmtId="0" fontId="2" fillId="0" borderId="0" xfId="0" applyFont="1" applyBorder="1" applyAlignment="1">
      <alignment vertical="top"/>
    </xf>
    <xf numFmtId="14" fontId="2" fillId="0" borderId="0" xfId="0" applyNumberFormat="1" applyFont="1" applyBorder="1" applyAlignment="1">
      <alignment vertical="top"/>
    </xf>
    <xf numFmtId="0" fontId="0" fillId="0" borderId="0" xfId="0" applyAlignment="1">
      <alignment vertical="top"/>
    </xf>
    <xf numFmtId="0" fontId="2" fillId="0" borderId="20" xfId="0" applyFont="1" applyBorder="1" applyAlignment="1">
      <alignment vertical="top" wrapText="1"/>
    </xf>
    <xf numFmtId="0" fontId="2" fillId="0" borderId="23" xfId="0" applyFont="1" applyBorder="1"/>
    <xf numFmtId="0" fontId="2" fillId="0" borderId="23" xfId="0" applyFont="1" applyFill="1" applyBorder="1"/>
    <xf numFmtId="164" fontId="9" fillId="0" borderId="23" xfId="1" applyNumberFormat="1" applyFont="1" applyBorder="1"/>
    <xf numFmtId="164" fontId="9" fillId="0" borderId="23" xfId="1" applyNumberFormat="1" applyFont="1" applyFill="1" applyBorder="1"/>
    <xf numFmtId="0" fontId="9" fillId="0" borderId="23" xfId="0" applyFont="1" applyFill="1" applyBorder="1"/>
    <xf numFmtId="0" fontId="31" fillId="14" borderId="29" xfId="0" applyFont="1" applyFill="1" applyBorder="1" applyAlignment="1">
      <alignment horizontal="left" vertical="center"/>
    </xf>
    <xf numFmtId="14" fontId="31" fillId="14" borderId="29" xfId="0" applyNumberFormat="1" applyFont="1" applyFill="1" applyBorder="1" applyAlignment="1">
      <alignment horizontal="center" vertical="center"/>
    </xf>
    <xf numFmtId="0" fontId="3" fillId="0" borderId="17" xfId="0" applyFont="1" applyBorder="1"/>
    <xf numFmtId="164" fontId="3" fillId="0" borderId="17" xfId="1" applyNumberFormat="1" applyFont="1" applyBorder="1"/>
    <xf numFmtId="14" fontId="2" fillId="2" borderId="0" xfId="0" applyNumberFormat="1" applyFont="1" applyFill="1" applyBorder="1" applyAlignment="1">
      <alignment vertical="top"/>
    </xf>
    <xf numFmtId="0" fontId="2" fillId="2" borderId="20" xfId="0" applyFont="1" applyFill="1" applyBorder="1" applyAlignment="1">
      <alignment vertical="top" wrapText="1"/>
    </xf>
    <xf numFmtId="9" fontId="2" fillId="0" borderId="0" xfId="2" applyFont="1" applyAlignment="1">
      <alignment horizontal="center" vertical="center" wrapText="1"/>
    </xf>
    <xf numFmtId="165" fontId="2" fillId="0" borderId="0" xfId="2" applyNumberFormat="1" applyFont="1" applyAlignment="1">
      <alignment horizontal="center" vertical="center" wrapText="1"/>
    </xf>
    <xf numFmtId="166" fontId="2" fillId="0" borderId="0" xfId="0" applyNumberFormat="1" applyFont="1" applyAlignment="1">
      <alignment horizontal="center" vertical="center" wrapText="1"/>
    </xf>
    <xf numFmtId="0" fontId="3" fillId="7" borderId="1" xfId="0" applyFont="1" applyFill="1" applyBorder="1" applyAlignment="1">
      <alignment horizontal="center"/>
    </xf>
    <xf numFmtId="0" fontId="3" fillId="7" borderId="15" xfId="0" applyFont="1" applyFill="1" applyBorder="1" applyAlignment="1">
      <alignment horizontal="center"/>
    </xf>
    <xf numFmtId="0" fontId="3" fillId="7" borderId="2" xfId="0" applyFont="1" applyFill="1" applyBorder="1" applyAlignment="1">
      <alignment horizontal="center"/>
    </xf>
    <xf numFmtId="0" fontId="13" fillId="3" borderId="0" xfId="0" applyFont="1" applyFill="1" applyAlignment="1">
      <alignment horizontal="center" vertical="center" wrapText="1" readingOrder="1"/>
    </xf>
    <xf numFmtId="0" fontId="13" fillId="3" borderId="3" xfId="0" applyFont="1" applyFill="1" applyBorder="1" applyAlignment="1">
      <alignment horizontal="center" vertical="center" wrapText="1" readingOrder="1"/>
    </xf>
    <xf numFmtId="0" fontId="13" fillId="3" borderId="5" xfId="0" applyFont="1" applyFill="1" applyBorder="1" applyAlignment="1">
      <alignment horizontal="center" vertical="center" wrapText="1" readingOrder="1"/>
    </xf>
    <xf numFmtId="3" fontId="11" fillId="4" borderId="4" xfId="0" applyNumberFormat="1" applyFont="1" applyFill="1" applyBorder="1" applyAlignment="1">
      <alignment horizontal="center" vertical="center" wrapText="1" readingOrder="1"/>
    </xf>
    <xf numFmtId="3" fontId="11" fillId="4" borderId="6" xfId="0" applyNumberFormat="1" applyFont="1" applyFill="1" applyBorder="1" applyAlignment="1">
      <alignment horizontal="center" vertical="center" wrapText="1" readingOrder="1"/>
    </xf>
    <xf numFmtId="0" fontId="21" fillId="6" borderId="6" xfId="0" applyFont="1" applyFill="1" applyBorder="1" applyAlignment="1">
      <alignment horizontal="left" vertical="top" wrapText="1" readingOrder="1"/>
    </xf>
    <xf numFmtId="0" fontId="21" fillId="6" borderId="0" xfId="0" applyFont="1" applyFill="1" applyBorder="1" applyAlignment="1">
      <alignment horizontal="left" vertical="top" wrapText="1" readingOrder="1"/>
    </xf>
    <xf numFmtId="0" fontId="14" fillId="6" borderId="4" xfId="0" applyFont="1" applyFill="1" applyBorder="1" applyAlignment="1">
      <alignment horizontal="left" vertical="top" wrapText="1" readingOrder="1"/>
    </xf>
    <xf numFmtId="0" fontId="14" fillId="6" borderId="7" xfId="0" applyFont="1" applyFill="1" applyBorder="1" applyAlignment="1">
      <alignment horizontal="left" vertical="top" wrapText="1" readingOrder="1"/>
    </xf>
    <xf numFmtId="0" fontId="14" fillId="6" borderId="8" xfId="0" applyFont="1" applyFill="1" applyBorder="1" applyAlignment="1">
      <alignment horizontal="left" vertical="center" wrapText="1" readingOrder="1"/>
    </xf>
    <xf numFmtId="0" fontId="14" fillId="6" borderId="9" xfId="0" applyFont="1" applyFill="1" applyBorder="1" applyAlignment="1">
      <alignment horizontal="left" vertical="center" wrapText="1" readingOrder="1"/>
    </xf>
    <xf numFmtId="0" fontId="20" fillId="3" borderId="0" xfId="0" applyFont="1" applyFill="1" applyAlignment="1">
      <alignment horizontal="center" vertical="center" wrapText="1" readingOrder="1"/>
    </xf>
    <xf numFmtId="0" fontId="12" fillId="5" borderId="0" xfId="0" applyFont="1" applyFill="1" applyAlignment="1">
      <alignment horizontal="left" vertical="center" readingOrder="1"/>
    </xf>
    <xf numFmtId="0" fontId="21" fillId="6" borderId="4" xfId="0" applyFont="1" applyFill="1" applyBorder="1" applyAlignment="1">
      <alignment horizontal="left" vertical="top" wrapText="1" readingOrder="1"/>
    </xf>
    <xf numFmtId="0" fontId="21" fillId="6" borderId="7" xfId="0" applyFont="1" applyFill="1" applyBorder="1" applyAlignment="1">
      <alignment horizontal="left" vertical="top" wrapText="1" readingOrder="1"/>
    </xf>
    <xf numFmtId="0" fontId="21" fillId="6" borderId="8" xfId="0" applyFont="1" applyFill="1" applyBorder="1" applyAlignment="1">
      <alignment horizontal="left" vertical="top" wrapText="1" readingOrder="1"/>
    </xf>
    <xf numFmtId="0" fontId="21" fillId="6" borderId="9" xfId="0" applyFont="1" applyFill="1" applyBorder="1" applyAlignment="1">
      <alignment horizontal="left" vertical="top" wrapText="1" readingOrder="1"/>
    </xf>
    <xf numFmtId="0" fontId="21" fillId="6" borderId="10" xfId="0" applyFont="1" applyFill="1" applyBorder="1" applyAlignment="1">
      <alignment horizontal="left" vertical="center" readingOrder="1"/>
    </xf>
    <xf numFmtId="0" fontId="21" fillId="6" borderId="11" xfId="0" applyFont="1" applyFill="1" applyBorder="1" applyAlignment="1">
      <alignment horizontal="left" vertical="center" readingOrder="1"/>
    </xf>
    <xf numFmtId="0" fontId="12" fillId="5" borderId="0" xfId="0" applyFont="1" applyFill="1" applyAlignment="1">
      <alignment horizontal="left" vertical="center" wrapText="1" readingOrder="1"/>
    </xf>
    <xf numFmtId="0" fontId="21" fillId="6" borderId="0" xfId="0" applyFont="1" applyFill="1" applyAlignment="1">
      <alignment horizontal="left" vertical="top" wrapText="1" readingOrder="1"/>
    </xf>
  </cellXfs>
  <cellStyles count="6">
    <cellStyle name="Comma" xfId="1" builtinId="3"/>
    <cellStyle name="Comma 2" xfId="5" xr:uid="{1B03253D-CDD6-42A0-BC6D-65633C44A400}"/>
    <cellStyle name="Comma 3" xfId="4" xr:uid="{6C242EA5-5E95-4437-8B80-F880BC86D487}"/>
    <cellStyle name="Normal" xfId="0" builtinId="0"/>
    <cellStyle name="Normal 2" xfId="3" xr:uid="{2904968D-AE85-4F7A-B706-82077B5FFCD8}"/>
    <cellStyle name="Percent" xfId="2" builtinId="5"/>
  </cellStyles>
  <dxfs count="542">
    <dxf>
      <alignment horizontal="center"/>
    </dxf>
    <dxf>
      <alignment horizontal="center"/>
    </dxf>
    <dxf>
      <alignment wrapText="1"/>
    </dxf>
    <dxf>
      <alignment wrapText="1"/>
    </dxf>
    <dxf>
      <alignment horizontal="center"/>
    </dxf>
    <dxf>
      <alignment wrapText="1"/>
    </dxf>
    <dxf>
      <font>
        <sz val="10"/>
      </font>
    </dxf>
    <dxf>
      <font>
        <sz val="10"/>
      </font>
    </dxf>
    <dxf>
      <font>
        <sz val="10"/>
      </font>
    </dxf>
    <dxf>
      <font>
        <sz val="10"/>
      </font>
    </dxf>
    <dxf>
      <font>
        <sz val="10"/>
      </font>
    </dxf>
    <dxf>
      <font>
        <sz val="10"/>
      </font>
    </dxf>
    <dxf>
      <numFmt numFmtId="164" formatCode="_(* #,##0_);_(* \(#,##0\);_(* &quot;-&quot;??_);_(@_)"/>
    </dxf>
    <dxf>
      <numFmt numFmtId="164" formatCode="_(* #,##0_);_(* \(#,##0\);_(* &quot;-&quot;??_);_(@_)"/>
    </dxf>
    <dxf>
      <alignment horizontal="center"/>
    </dxf>
    <dxf>
      <alignment horizontal="center"/>
    </dxf>
    <dxf>
      <alignment wrapText="1"/>
    </dxf>
    <dxf>
      <alignment wrapText="1"/>
    </dxf>
    <dxf>
      <alignment horizontal="center"/>
    </dxf>
    <dxf>
      <alignment wrapText="1"/>
    </dxf>
    <dxf>
      <font>
        <sz val="10"/>
      </font>
    </dxf>
    <dxf>
      <font>
        <sz val="10"/>
      </font>
    </dxf>
    <dxf>
      <font>
        <sz val="10"/>
      </font>
    </dxf>
    <dxf>
      <font>
        <sz val="10"/>
      </font>
    </dxf>
    <dxf>
      <font>
        <sz val="10"/>
      </font>
    </dxf>
    <dxf>
      <font>
        <sz val="10"/>
      </font>
    </dxf>
    <dxf>
      <numFmt numFmtId="164" formatCode="_(* #,##0_);_(* \(#,##0\);_(* &quot;-&quot;??_);_(@_)"/>
    </dxf>
    <dxf>
      <numFmt numFmtId="164" formatCode="_(* #,##0_);_(* \(#,##0\);_(* &quot;-&quot;??_);_(@_)"/>
    </dxf>
    <dxf>
      <alignment horizontal="center"/>
    </dxf>
    <dxf>
      <alignment horizontal="center"/>
    </dxf>
    <dxf>
      <alignment wrapText="1"/>
    </dxf>
    <dxf>
      <alignment wrapText="1"/>
    </dxf>
    <dxf>
      <alignment horizontal="center"/>
    </dxf>
    <dxf>
      <alignment wrapText="1"/>
    </dxf>
    <dxf>
      <font>
        <sz val="10"/>
      </font>
    </dxf>
    <dxf>
      <font>
        <sz val="10"/>
      </font>
    </dxf>
    <dxf>
      <font>
        <sz val="10"/>
      </font>
    </dxf>
    <dxf>
      <font>
        <sz val="10"/>
      </font>
    </dxf>
    <dxf>
      <font>
        <sz val="10"/>
      </font>
    </dxf>
    <dxf>
      <font>
        <sz val="10"/>
      </font>
    </dxf>
    <dxf>
      <numFmt numFmtId="164" formatCode="_(* #,##0_);_(* \(#,##0\);_(* &quot;-&quot;??_);_(@_)"/>
    </dxf>
    <dxf>
      <numFmt numFmtId="164" formatCode="_(* #,##0_);_(* \(#,##0\);_(* &quot;-&quot;??_);_(@_)"/>
    </dxf>
    <dxf>
      <alignment horizontal="center"/>
    </dxf>
    <dxf>
      <alignment horizontal="center"/>
    </dxf>
    <dxf>
      <alignment wrapText="1"/>
    </dxf>
    <dxf>
      <alignment wrapText="1"/>
    </dxf>
    <dxf>
      <alignment horizontal="center"/>
    </dxf>
    <dxf>
      <alignment wrapText="1"/>
    </dxf>
    <dxf>
      <font>
        <sz val="10"/>
      </font>
    </dxf>
    <dxf>
      <font>
        <sz val="10"/>
      </font>
    </dxf>
    <dxf>
      <font>
        <sz val="10"/>
      </font>
    </dxf>
    <dxf>
      <font>
        <sz val="10"/>
      </font>
    </dxf>
    <dxf>
      <font>
        <sz val="10"/>
      </font>
    </dxf>
    <dxf>
      <font>
        <sz val="10"/>
      </font>
    </dxf>
    <dxf>
      <numFmt numFmtId="164" formatCode="_(* #,##0_);_(* \(#,##0\);_(* &quot;-&quot;??_);_(@_)"/>
    </dxf>
    <dxf>
      <numFmt numFmtId="164" formatCode="_(* #,##0_);_(* \(#,##0\);_(* &quot;-&quot;??_);_(@_)"/>
    </dxf>
    <dxf>
      <font>
        <b val="0"/>
        <i val="0"/>
        <strike val="0"/>
        <condense val="0"/>
        <extend val="0"/>
        <outline val="0"/>
        <shadow val="0"/>
        <u val="none"/>
        <vertAlign val="baseline"/>
        <sz val="10"/>
        <color theme="1"/>
        <name val="Calibri"/>
        <family val="2"/>
        <scheme val="minor"/>
      </font>
    </dxf>
    <dxf>
      <font>
        <strike val="0"/>
        <outline val="0"/>
        <shadow val="0"/>
        <vertAlign val="baseline"/>
        <sz val="10"/>
        <color theme="1"/>
        <name val="Calibri"/>
        <family val="2"/>
        <scheme val="minor"/>
      </font>
      <numFmt numFmtId="13" formatCode="0%"/>
    </dxf>
    <dxf>
      <font>
        <b val="0"/>
        <i val="0"/>
        <strike val="0"/>
        <condense val="0"/>
        <extend val="0"/>
        <outline val="0"/>
        <shadow val="0"/>
        <u val="none"/>
        <vertAlign val="baseline"/>
        <sz val="10"/>
        <color theme="1"/>
        <name val="Calibri"/>
        <family val="2"/>
        <scheme val="minor"/>
      </font>
    </dxf>
    <dxf>
      <font>
        <strike val="0"/>
        <outline val="0"/>
        <shadow val="0"/>
        <vertAlign val="baseline"/>
        <sz val="10"/>
        <color theme="1"/>
        <name val="Calibri"/>
        <family val="2"/>
        <scheme val="minor"/>
      </font>
      <numFmt numFmtId="35" formatCode="_(* #,##0.00_);_(* \(#,##0.00\);_(* &quot;-&quot;??_);_(@_)"/>
    </dxf>
    <dxf>
      <font>
        <b val="0"/>
        <i val="0"/>
        <strike val="0"/>
        <condense val="0"/>
        <extend val="0"/>
        <outline val="0"/>
        <shadow val="0"/>
        <u val="none"/>
        <vertAlign val="baseline"/>
        <sz val="10"/>
        <color theme="1"/>
        <name val="Calibri"/>
        <family val="2"/>
        <scheme val="minor"/>
      </font>
    </dxf>
    <dxf>
      <font>
        <strike val="0"/>
        <outline val="0"/>
        <shadow val="0"/>
        <vertAlign val="baseline"/>
        <sz val="10"/>
        <color rgb="FF0000FF"/>
        <name val="Calibri"/>
        <family val="2"/>
        <scheme val="minor"/>
      </font>
      <numFmt numFmtId="164" formatCode="_(* #,##0_);_(* \(#,##0\);_(* &quot;-&quot;??_);_(@_)"/>
    </dxf>
    <dxf>
      <font>
        <b val="0"/>
        <i val="0"/>
        <strike val="0"/>
        <condense val="0"/>
        <extend val="0"/>
        <outline val="0"/>
        <shadow val="0"/>
        <u val="none"/>
        <vertAlign val="baseline"/>
        <sz val="10"/>
        <color theme="1"/>
        <name val="Calibri"/>
        <family val="2"/>
        <scheme val="minor"/>
      </font>
    </dxf>
    <dxf>
      <font>
        <strike val="0"/>
        <outline val="0"/>
        <shadow val="0"/>
        <vertAlign val="baseline"/>
        <sz val="10"/>
        <color theme="1"/>
        <name val="Calibri"/>
        <family val="2"/>
        <scheme val="minor"/>
      </font>
      <numFmt numFmtId="35" formatCode="_(* #,##0.00_);_(* \(#,##0.00\);_(* &quot;-&quot;??_);_(@_)"/>
    </dxf>
    <dxf>
      <font>
        <b val="0"/>
        <i val="0"/>
        <strike val="0"/>
        <condense val="0"/>
        <extend val="0"/>
        <outline val="0"/>
        <shadow val="0"/>
        <u val="none"/>
        <vertAlign val="baseline"/>
        <sz val="10"/>
        <color theme="1"/>
        <name val="Calibri"/>
        <family val="2"/>
        <scheme val="minor"/>
      </font>
    </dxf>
    <dxf>
      <font>
        <strike val="0"/>
        <outline val="0"/>
        <shadow val="0"/>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strike val="0"/>
        <outline val="0"/>
        <shadow val="0"/>
        <vertAlign val="baseline"/>
        <sz val="10"/>
        <color theme="1"/>
        <name val="Calibri"/>
        <family val="2"/>
        <scheme val="minor"/>
      </font>
      <numFmt numFmtId="19" formatCode="m/d/yyyy"/>
    </dxf>
    <dxf>
      <font>
        <b val="0"/>
        <i val="0"/>
        <strike val="0"/>
        <condense val="0"/>
        <extend val="0"/>
        <outline val="0"/>
        <shadow val="0"/>
        <u val="none"/>
        <vertAlign val="baseline"/>
        <sz val="10"/>
        <color theme="1"/>
        <name val="Calibri"/>
        <family val="2"/>
        <scheme val="minor"/>
      </font>
      <numFmt numFmtId="164" formatCode="_(* #,##0_);_(* \(#,##0\);_(* &quot;-&quot;??_);_(@_)"/>
    </dxf>
    <dxf>
      <font>
        <strike val="0"/>
        <outline val="0"/>
        <shadow val="0"/>
        <vertAlign val="baseline"/>
        <sz val="10"/>
        <color theme="1"/>
        <name val="Calibri"/>
        <family val="2"/>
        <scheme val="minor"/>
      </font>
      <numFmt numFmtId="164" formatCode="_(* #,##0_);_(* \(#,##0\);_(* &quot;-&quot;??_);_(@_)"/>
    </dxf>
    <dxf>
      <font>
        <b val="0"/>
        <i val="0"/>
        <strike val="0"/>
        <condense val="0"/>
        <extend val="0"/>
        <outline val="0"/>
        <shadow val="0"/>
        <u val="none"/>
        <vertAlign val="baseline"/>
        <sz val="10"/>
        <color theme="1"/>
        <name val="Calibri"/>
        <family val="2"/>
        <scheme val="minor"/>
      </font>
      <numFmt numFmtId="164" formatCode="_(* #,##0_);_(* \(#,##0\);_(* &quot;-&quot;??_);_(@_)"/>
    </dxf>
    <dxf>
      <font>
        <strike val="0"/>
        <outline val="0"/>
        <shadow val="0"/>
        <u val="none"/>
        <vertAlign val="baseline"/>
        <sz val="10"/>
        <color rgb="FF0000FF"/>
        <name val="Calibri"/>
        <family val="2"/>
        <scheme val="minor"/>
      </font>
      <numFmt numFmtId="164" formatCode="_(* #,##0_);_(* \(#,##0\);_(* &quot;-&quot;??_);_(@_)"/>
    </dxf>
    <dxf>
      <font>
        <b val="0"/>
        <i val="0"/>
        <strike val="0"/>
        <condense val="0"/>
        <extend val="0"/>
        <outline val="0"/>
        <shadow val="0"/>
        <u val="none"/>
        <vertAlign val="baseline"/>
        <sz val="10"/>
        <color theme="1"/>
        <name val="Calibri"/>
        <family val="2"/>
        <scheme val="minor"/>
      </font>
      <numFmt numFmtId="164" formatCode="_(* #,##0_);_(* \(#,##0\);_(* &quot;-&quot;??_);_(@_)"/>
    </dxf>
    <dxf>
      <font>
        <strike val="0"/>
        <outline val="0"/>
        <shadow val="0"/>
        <u val="none"/>
        <vertAlign val="baseline"/>
        <sz val="10"/>
        <color rgb="FF0000FF"/>
        <name val="Calibri"/>
        <family val="2"/>
        <scheme val="minor"/>
      </font>
      <numFmt numFmtId="164" formatCode="_(* #,##0_);_(* \(#,##0\);_(* &quot;-&quot;??_);_(@_)"/>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FF"/>
        <name val="Calibri"/>
        <family val="2"/>
        <scheme val="minor"/>
      </font>
      <numFmt numFmtId="164" formatCode="_(* #,##0_);_(* \(#,##0\);_(* &quot;-&quot;??_);_(@_)"/>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strike val="0"/>
        <outline val="0"/>
        <shadow val="0"/>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strike val="0"/>
        <outline val="0"/>
        <shadow val="0"/>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strike val="0"/>
        <outline val="0"/>
        <shadow val="0"/>
        <vertAlign val="baseline"/>
        <sz val="10"/>
        <color theme="1"/>
        <name val="Calibri"/>
        <family val="2"/>
        <scheme val="minor"/>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strike val="0"/>
        <outline val="0"/>
        <shadow val="0"/>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strike val="0"/>
        <outline val="0"/>
        <shadow val="0"/>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strike val="0"/>
        <outline val="0"/>
        <shadow val="0"/>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strike val="0"/>
        <outline val="0"/>
        <shadow val="0"/>
        <vertAlign val="baseline"/>
        <sz val="10"/>
        <color theme="1"/>
        <name val="Calibri"/>
        <family val="2"/>
        <scheme val="minor"/>
      </font>
      <alignment horizontal="center" vertical="bottom" textRotation="0" wrapText="0" indent="0" justifyLastLine="0" shrinkToFit="0" readingOrder="0"/>
    </dxf>
    <dxf>
      <font>
        <strike val="0"/>
        <outline val="0"/>
        <shadow val="0"/>
        <vertAlign val="baseline"/>
        <sz val="10"/>
        <color theme="1"/>
        <name val="Calibri"/>
        <family val="2"/>
        <scheme val="minor"/>
      </font>
    </dxf>
    <dxf>
      <font>
        <strike val="0"/>
        <outline val="0"/>
        <shadow val="0"/>
        <vertAlign val="baseline"/>
        <sz val="10"/>
        <color theme="1"/>
        <name val="Calibri"/>
        <family val="2"/>
        <scheme val="minor"/>
      </font>
    </dxf>
    <dxf>
      <font>
        <strike val="0"/>
        <outline val="0"/>
        <shadow val="0"/>
        <vertAlign val="baseline"/>
        <sz val="10"/>
        <color theme="1"/>
        <name val="Calibri"/>
        <family val="2"/>
        <scheme val="minor"/>
      </font>
      <alignment horizontal="center" vertical="bottom" textRotation="0" wrapText="1" indent="0" justifyLastLine="0" shrinkToFit="0" readingOrder="0"/>
    </dxf>
    <dxf>
      <alignment horizontal="center"/>
    </dxf>
    <dxf>
      <alignment wrapText="1"/>
    </dxf>
    <dxf>
      <font>
        <sz val="10"/>
      </font>
    </dxf>
    <dxf>
      <font>
        <sz val="10"/>
      </font>
    </dxf>
    <dxf>
      <font>
        <sz val="10"/>
      </font>
    </dxf>
    <dxf>
      <font>
        <sz val="10"/>
      </font>
    </dxf>
    <dxf>
      <font>
        <sz val="10"/>
      </font>
    </dxf>
    <dxf>
      <font>
        <sz val="10"/>
      </font>
    </dxf>
    <dxf>
      <numFmt numFmtId="164" formatCode="_(* #,##0_);_(* \(#,##0\);_(* &quot;-&quot;??_);_(@_)"/>
    </dxf>
    <dxf>
      <numFmt numFmtId="164" formatCode="_(* #,##0_);_(* \(#,##0\);_(* &quot;-&quot;??_);_(@_)"/>
    </dxf>
    <dxf>
      <alignment horizontal="center"/>
    </dxf>
    <dxf>
      <alignment wrapText="1"/>
    </dxf>
    <dxf>
      <alignment wrapText="1"/>
    </dxf>
    <dxf>
      <font>
        <sz val="10"/>
      </font>
    </dxf>
    <dxf>
      <font>
        <sz val="10"/>
      </font>
    </dxf>
    <dxf>
      <font>
        <sz val="10"/>
      </font>
    </dxf>
    <dxf>
      <font>
        <sz val="10"/>
      </font>
    </dxf>
    <dxf>
      <font>
        <sz val="10"/>
      </font>
    </dxf>
    <dxf>
      <font>
        <sz val="10"/>
      </font>
    </dxf>
    <dxf>
      <numFmt numFmtId="164" formatCode="_(* #,##0_);_(* \(#,##0\);_(* &quot;-&quot;??_);_(@_)"/>
    </dxf>
    <dxf>
      <numFmt numFmtId="164" formatCode="_(* #,##0_);_(* \(#,##0\);_(* &quot;-&quot;??_);_(@_)"/>
    </dxf>
    <dxf>
      <alignment horizontal="center"/>
    </dxf>
    <dxf>
      <alignment wrapText="1"/>
    </dxf>
    <dxf>
      <font>
        <sz val="10"/>
      </font>
    </dxf>
    <dxf>
      <font>
        <sz val="10"/>
      </font>
    </dxf>
    <dxf>
      <font>
        <sz val="10"/>
      </font>
    </dxf>
    <dxf>
      <font>
        <sz val="10"/>
      </font>
    </dxf>
    <dxf>
      <font>
        <sz val="10"/>
      </font>
    </dxf>
    <dxf>
      <font>
        <sz val="10"/>
      </font>
    </dxf>
    <dxf>
      <numFmt numFmtId="164" formatCode="_(* #,##0_);_(* \(#,##0\);_(* &quot;-&quot;??_);_(@_)"/>
    </dxf>
    <dxf>
      <numFmt numFmtId="164" formatCode="_(* #,##0_);_(* \(#,##0\);_(* &quot;-&quot;??_);_(@_)"/>
    </dxf>
    <dxf>
      <alignment horizontal="center"/>
    </dxf>
    <dxf>
      <alignment wrapText="1"/>
    </dxf>
    <dxf>
      <font>
        <sz val="10"/>
      </font>
    </dxf>
    <dxf>
      <font>
        <sz val="10"/>
      </font>
    </dxf>
    <dxf>
      <font>
        <sz val="10"/>
      </font>
    </dxf>
    <dxf>
      <font>
        <sz val="10"/>
      </font>
    </dxf>
    <dxf>
      <font>
        <sz val="10"/>
      </font>
    </dxf>
    <dxf>
      <font>
        <sz val="10"/>
      </font>
    </dxf>
    <dxf>
      <numFmt numFmtId="164" formatCode="_(* #,##0_);_(* \(#,##0\);_(* &quot;-&quot;??_);_(@_)"/>
    </dxf>
    <dxf>
      <numFmt numFmtId="164" formatCode="_(* #,##0_);_(* \(#,##0\);_(* &quot;-&quot;??_);_(@_)"/>
    </dxf>
    <dxf>
      <font>
        <b val="0"/>
        <i val="0"/>
        <strike val="0"/>
        <condense val="0"/>
        <extend val="0"/>
        <outline val="0"/>
        <shadow val="0"/>
        <u val="none"/>
        <vertAlign val="baseline"/>
        <sz val="10"/>
        <color auto="1"/>
        <name val="Calibri"/>
        <family val="2"/>
        <scheme val="minor"/>
      </font>
      <numFmt numFmtId="164"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outline="0">
        <top style="thin">
          <color indexed="64"/>
        </top>
        <bottom style="double">
          <color indexed="64"/>
        </bottom>
      </border>
    </dxf>
    <dxf>
      <border outline="0">
        <bottom style="thin">
          <color indexed="64"/>
        </bottom>
      </border>
    </dxf>
    <dxf>
      <font>
        <b/>
      </font>
    </dxf>
    <dxf>
      <font>
        <color rgb="FFFF0000"/>
      </font>
    </dxf>
    <dxf>
      <font>
        <b/>
      </font>
    </dxf>
    <dxf>
      <font>
        <color rgb="FFFF0000"/>
      </font>
    </dxf>
    <dxf>
      <alignment horizontal="left"/>
    </dxf>
    <dxf>
      <alignment horizontal="center" wrapText="1"/>
    </dxf>
    <dxf>
      <alignment horizontal="center" wrapText="1"/>
    </dxf>
    <dxf>
      <alignment horizontal="center"/>
    </dxf>
    <dxf>
      <alignment wrapText="1"/>
    </dxf>
    <dxf>
      <alignment wrapText="1"/>
    </dxf>
    <dxf>
      <alignment wrapText="1"/>
    </dxf>
    <dxf>
      <alignment horizontal="center"/>
    </dxf>
    <dxf>
      <font>
        <sz val="10"/>
      </font>
    </dxf>
    <dxf>
      <font>
        <sz val="10"/>
      </font>
    </dxf>
    <dxf>
      <font>
        <sz val="10"/>
      </font>
    </dxf>
    <dxf>
      <font>
        <sz val="10"/>
      </font>
    </dxf>
    <dxf>
      <font>
        <sz val="10"/>
      </font>
    </dxf>
    <dxf>
      <font>
        <sz val="10"/>
      </font>
    </dxf>
    <dxf>
      <numFmt numFmtId="164" formatCode="_(* #,##0_);_(* \(#,##0\);_(* &quot;-&quot;??_);_(@_)"/>
    </dxf>
    <dxf>
      <alignment horizontal="left"/>
    </dxf>
    <dxf>
      <alignment wrapText="1"/>
    </dxf>
    <dxf>
      <alignment wrapText="1"/>
    </dxf>
    <dxf>
      <alignment horizontal="center"/>
    </dxf>
    <dxf>
      <font>
        <sz val="10"/>
      </font>
    </dxf>
    <dxf>
      <font>
        <sz val="10"/>
      </font>
    </dxf>
    <dxf>
      <font>
        <sz val="10"/>
      </font>
    </dxf>
    <dxf>
      <font>
        <sz val="10"/>
      </font>
    </dxf>
    <dxf>
      <font>
        <sz val="10"/>
      </font>
    </dxf>
    <dxf>
      <font>
        <sz val="10"/>
      </font>
    </dxf>
    <dxf>
      <numFmt numFmtId="164" formatCode="_(* #,##0_);_(* \(#,##0\);_(* &quot;-&quot;??_);_(@_)"/>
    </dxf>
    <dxf>
      <alignment wrapText="1"/>
    </dxf>
    <dxf>
      <alignment wrapText="1"/>
    </dxf>
    <dxf>
      <font>
        <sz val="10"/>
      </font>
    </dxf>
    <dxf>
      <font>
        <sz val="10"/>
      </font>
    </dxf>
    <dxf>
      <font>
        <sz val="10"/>
      </font>
    </dxf>
    <dxf>
      <font>
        <sz val="10"/>
      </font>
    </dxf>
    <dxf>
      <font>
        <sz val="10"/>
      </font>
    </dxf>
    <dxf>
      <font>
        <sz val="10"/>
      </font>
    </dxf>
    <dxf>
      <numFmt numFmtId="164" formatCode="_(* #,##0_);_(* \(#,##0\);_(* &quot;-&quot;??_);_(@_)"/>
    </dxf>
    <dxf>
      <alignment horizontal="center"/>
    </dxf>
    <dxf>
      <numFmt numFmtId="14" formatCode="0.00%"/>
    </dxf>
    <dxf>
      <alignment wrapText="1"/>
    </dxf>
    <dxf>
      <alignment horizontal="center"/>
    </dxf>
    <dxf>
      <alignment horizontal="center"/>
    </dxf>
    <dxf>
      <alignment wrapText="1"/>
    </dxf>
    <dxf>
      <alignment wrapText="1"/>
    </dxf>
    <dxf>
      <numFmt numFmtId="164" formatCode="_(* #,##0_);_(* \(#,##0\);_(* &quot;-&quot;??_);_(@_)"/>
    </dxf>
    <dxf>
      <font>
        <sz val="10"/>
      </font>
    </dxf>
    <dxf>
      <font>
        <sz val="10"/>
      </font>
    </dxf>
    <dxf>
      <font>
        <sz val="10"/>
      </font>
    </dxf>
    <dxf>
      <font>
        <sz val="10"/>
      </font>
    </dxf>
    <dxf>
      <font>
        <sz val="10"/>
      </font>
    </dxf>
    <dxf>
      <alignment horizontal="center"/>
    </dxf>
    <dxf>
      <numFmt numFmtId="14" formatCode="0.00%"/>
    </dxf>
    <dxf>
      <numFmt numFmtId="164" formatCode="_(* #,##0_);_(* \(#,##0\);_(* &quot;-&quot;??_);_(@_)"/>
    </dxf>
    <dxf>
      <font>
        <sz val="10"/>
      </font>
    </dxf>
    <dxf>
      <font>
        <sz val="10"/>
      </font>
    </dxf>
    <dxf>
      <font>
        <sz val="10"/>
      </font>
    </dxf>
    <dxf>
      <font>
        <sz val="10"/>
      </font>
    </dxf>
    <dxf>
      <font>
        <sz val="10"/>
      </font>
    </dxf>
    <dxf>
      <alignment wrapText="1"/>
    </dxf>
    <dxf>
      <alignment wrapText="1"/>
    </dxf>
    <dxf>
      <alignment horizontal="center"/>
    </dxf>
    <dxf>
      <alignment horizontal="center"/>
    </dxf>
    <dxf>
      <numFmt numFmtId="14" formatCode="0.00%"/>
    </dxf>
    <dxf>
      <alignment horizontal="center"/>
    </dxf>
    <dxf>
      <alignment wrapText="1"/>
    </dxf>
    <dxf>
      <alignment wrapText="1"/>
    </dxf>
    <dxf>
      <numFmt numFmtId="164" formatCode="_(* #,##0_);_(* \(#,##0\);_(* &quot;-&quot;??_);_(@_)"/>
    </dxf>
    <dxf>
      <font>
        <sz val="10"/>
      </font>
    </dxf>
    <dxf>
      <font>
        <sz val="10"/>
      </font>
    </dxf>
    <dxf>
      <font>
        <sz val="10"/>
      </font>
    </dxf>
    <dxf>
      <font>
        <sz val="10"/>
      </font>
    </dxf>
    <dxf>
      <font>
        <sz val="10"/>
      </font>
    </dxf>
    <dxf>
      <alignment wrapText="1"/>
    </dxf>
    <dxf>
      <alignment wrapText="1"/>
    </dxf>
    <dxf>
      <alignment horizontal="center"/>
    </dxf>
    <dxf>
      <alignment horizontal="center"/>
    </dxf>
    <dxf>
      <numFmt numFmtId="14" formatCode="0.00%"/>
    </dxf>
    <dxf>
      <numFmt numFmtId="164" formatCode="_(* #,##0_);_(* \(#,##0\);_(* &quot;-&quot;??_);_(@_)"/>
    </dxf>
    <dxf>
      <font>
        <sz val="10"/>
      </font>
    </dxf>
    <dxf>
      <font>
        <sz val="10"/>
      </font>
    </dxf>
    <dxf>
      <font>
        <sz val="10"/>
      </font>
    </dxf>
    <dxf>
      <font>
        <sz val="10"/>
      </font>
    </dxf>
    <dxf>
      <font>
        <sz val="10"/>
      </font>
    </dxf>
    <dxf>
      <alignment horizontal="left"/>
    </dxf>
    <dxf>
      <alignment horizontal="center"/>
    </dxf>
    <dxf>
      <numFmt numFmtId="14" formatCode="0.00%"/>
    </dxf>
    <dxf>
      <alignment wrapText="1"/>
    </dxf>
    <dxf>
      <alignment horizontal="center"/>
    </dxf>
    <dxf>
      <alignment wrapText="1"/>
    </dxf>
    <dxf>
      <alignment wrapText="1"/>
    </dxf>
    <dxf>
      <numFmt numFmtId="164" formatCode="_(* #,##0_);_(* \(#,##0\);_(* &quot;-&quot;??_);_(@_)"/>
    </dxf>
    <dxf>
      <font>
        <sz val="10"/>
      </font>
    </dxf>
    <dxf>
      <font>
        <sz val="10"/>
      </font>
    </dxf>
    <dxf>
      <font>
        <sz val="10"/>
      </font>
    </dxf>
    <dxf>
      <font>
        <sz val="10"/>
      </font>
    </dxf>
    <dxf>
      <font>
        <sz val="10"/>
      </font>
    </dxf>
    <dxf>
      <alignment horizontal="center"/>
    </dxf>
    <dxf>
      <numFmt numFmtId="14" formatCode="0.00%"/>
    </dxf>
    <dxf>
      <alignment horizontal="center"/>
    </dxf>
    <dxf>
      <alignment wrapText="1"/>
    </dxf>
    <dxf>
      <alignment wrapText="1"/>
    </dxf>
    <dxf>
      <numFmt numFmtId="164" formatCode="_(* #,##0_);_(* \(#,##0\);_(* &quot;-&quot;??_);_(@_)"/>
    </dxf>
    <dxf>
      <font>
        <sz val="10"/>
      </font>
    </dxf>
    <dxf>
      <font>
        <sz val="10"/>
      </font>
    </dxf>
    <dxf>
      <font>
        <sz val="10"/>
      </font>
    </dxf>
    <dxf>
      <font>
        <sz val="10"/>
      </font>
    </dxf>
    <dxf>
      <font>
        <sz val="10"/>
      </font>
    </dxf>
    <dxf>
      <font>
        <sz val="10"/>
      </font>
    </dxf>
    <dxf>
      <alignment horizontal="center"/>
    </dxf>
    <dxf>
      <numFmt numFmtId="14" formatCode="0.00%"/>
    </dxf>
    <dxf>
      <alignment horizontal="center"/>
    </dxf>
    <dxf>
      <alignment wrapText="1"/>
    </dxf>
    <dxf>
      <alignment wrapText="1"/>
    </dxf>
    <dxf>
      <numFmt numFmtId="164" formatCode="_(* #,##0_);_(* \(#,##0\);_(* &quot;-&quot;??_);_(@_)"/>
    </dxf>
    <dxf>
      <font>
        <sz val="10"/>
      </font>
    </dxf>
    <dxf>
      <font>
        <sz val="10"/>
      </font>
    </dxf>
    <dxf>
      <font>
        <sz val="10"/>
      </font>
    </dxf>
    <dxf>
      <font>
        <sz val="10"/>
      </font>
    </dxf>
    <dxf>
      <font>
        <sz val="10"/>
      </font>
    </dxf>
    <dxf>
      <font>
        <sz val="10"/>
      </font>
    </dxf>
    <dxf>
      <alignment horizontal="left"/>
    </dxf>
    <dxf>
      <alignment wrapText="1"/>
    </dxf>
    <dxf>
      <alignment wrapText="1"/>
    </dxf>
    <dxf>
      <alignment horizontal="center"/>
    </dxf>
    <dxf>
      <numFmt numFmtId="14" formatCode="0.00%"/>
    </dxf>
    <dxf>
      <numFmt numFmtId="164" formatCode="_(* #,##0_);_(* \(#,##0\);_(* &quot;-&quot;??_);_(@_)"/>
    </dxf>
    <dxf>
      <font>
        <sz val="10"/>
      </font>
    </dxf>
    <dxf>
      <font>
        <sz val="10"/>
      </font>
    </dxf>
    <dxf>
      <font>
        <sz val="10"/>
      </font>
    </dxf>
    <dxf>
      <font>
        <sz val="10"/>
      </font>
    </dxf>
    <dxf>
      <font>
        <sz val="10"/>
      </font>
    </dxf>
    <dxf>
      <font>
        <sz val="10"/>
      </font>
    </dxf>
    <dxf>
      <alignment horizontal="center"/>
    </dxf>
    <dxf>
      <numFmt numFmtId="14" formatCode="0.00%"/>
    </dxf>
    <dxf>
      <alignment horizontal="center"/>
    </dxf>
    <dxf>
      <alignment wrapText="1"/>
    </dxf>
    <dxf>
      <alignment wrapText="1"/>
    </dxf>
    <dxf>
      <numFmt numFmtId="164" formatCode="_(* #,##0_);_(* \(#,##0\);_(* &quot;-&quot;??_);_(@_)"/>
    </dxf>
    <dxf>
      <font>
        <sz val="10"/>
      </font>
    </dxf>
    <dxf>
      <font>
        <sz val="10"/>
      </font>
    </dxf>
    <dxf>
      <font>
        <sz val="10"/>
      </font>
    </dxf>
    <dxf>
      <font>
        <sz val="10"/>
      </font>
    </dxf>
    <dxf>
      <font>
        <sz val="10"/>
      </font>
    </dxf>
    <dxf>
      <font>
        <sz val="10"/>
      </font>
    </dxf>
    <dxf>
      <alignment horizontal="center"/>
    </dxf>
    <dxf>
      <numFmt numFmtId="14" formatCode="0.00%"/>
    </dxf>
    <dxf>
      <numFmt numFmtId="164" formatCode="_(* #,##0_);_(* \(#,##0\);_(* &quot;-&quot;??_);_(@_)"/>
    </dxf>
    <dxf>
      <font>
        <sz val="10"/>
      </font>
    </dxf>
    <dxf>
      <font>
        <sz val="10"/>
      </font>
    </dxf>
    <dxf>
      <font>
        <sz val="10"/>
      </font>
    </dxf>
    <dxf>
      <font>
        <sz val="10"/>
      </font>
    </dxf>
    <dxf>
      <font>
        <sz val="10"/>
      </font>
    </dxf>
    <dxf>
      <font>
        <sz val="10"/>
      </font>
    </dxf>
    <dxf>
      <alignment horizontal="left"/>
    </dxf>
    <dxf>
      <alignment horizontal="center"/>
    </dxf>
    <dxf>
      <alignment wrapText="1"/>
    </dxf>
    <dxf>
      <alignment wrapText="1"/>
    </dxf>
    <dxf>
      <font>
        <sz val="10"/>
      </font>
    </dxf>
    <dxf>
      <font>
        <sz val="10"/>
      </font>
    </dxf>
    <dxf>
      <font>
        <sz val="10"/>
      </font>
    </dxf>
    <dxf>
      <font>
        <sz val="10"/>
      </font>
    </dxf>
    <dxf>
      <font>
        <sz val="10"/>
      </font>
    </dxf>
    <dxf>
      <font>
        <sz val="10"/>
      </font>
    </dxf>
    <dxf>
      <numFmt numFmtId="164" formatCode="_(* #,##0_);_(* \(#,##0\);_(* &quot;-&quot;??_);_(@_)"/>
    </dxf>
    <dxf>
      <numFmt numFmtId="164" formatCode="_(* #,##0_);_(* \(#,##0\);_(* &quot;-&quot;??_);_(@_)"/>
    </dxf>
    <dxf>
      <alignment wrapText="1"/>
    </dxf>
    <dxf>
      <alignment horizontal="left"/>
    </dxf>
    <dxf>
      <alignment horizontal="center"/>
    </dxf>
    <dxf>
      <alignment wrapText="1"/>
    </dxf>
    <dxf>
      <alignment wrapText="1"/>
    </dxf>
    <dxf>
      <font>
        <sz val="10"/>
      </font>
    </dxf>
    <dxf>
      <font>
        <sz val="10"/>
      </font>
    </dxf>
    <dxf>
      <font>
        <sz val="10"/>
      </font>
    </dxf>
    <dxf>
      <font>
        <sz val="10"/>
      </font>
    </dxf>
    <dxf>
      <font>
        <sz val="10"/>
      </font>
    </dxf>
    <dxf>
      <font>
        <sz val="10"/>
      </font>
    </dxf>
    <dxf>
      <numFmt numFmtId="164" formatCode="_(* #,##0_);_(* \(#,##0\);_(* &quot;-&quot;??_);_(@_)"/>
    </dxf>
    <dxf>
      <font>
        <sz val="10"/>
      </font>
    </dxf>
    <dxf>
      <font>
        <sz val="10"/>
      </font>
    </dxf>
    <dxf>
      <font>
        <sz val="10"/>
      </font>
    </dxf>
    <dxf>
      <font>
        <sz val="10"/>
      </font>
    </dxf>
    <dxf>
      <font>
        <sz val="10"/>
      </font>
    </dxf>
    <dxf>
      <font>
        <sz val="10"/>
      </font>
    </dxf>
    <dxf>
      <numFmt numFmtId="164" formatCode="_(* #,##0_);_(* \(#,##0\);_(* &quot;-&quot;??_);_(@_)"/>
    </dxf>
    <dxf>
      <alignment horizontal="center"/>
    </dxf>
    <dxf>
      <alignment horizontal="center"/>
    </dxf>
    <dxf>
      <alignment wrapText="1"/>
    </dxf>
    <dxf>
      <alignment wrapText="1"/>
    </dxf>
    <dxf>
      <font>
        <sz val="10"/>
      </font>
    </dxf>
    <dxf>
      <font>
        <sz val="10"/>
      </font>
    </dxf>
    <dxf>
      <font>
        <sz val="10"/>
      </font>
    </dxf>
    <dxf>
      <font>
        <sz val="10"/>
      </font>
    </dxf>
    <dxf>
      <font>
        <sz val="10"/>
      </font>
    </dxf>
    <dxf>
      <numFmt numFmtId="164" formatCode="_(* #,##0_);_(* \(#,##0\);_(* &quot;-&quot;??_);_(@_)"/>
    </dxf>
    <dxf>
      <alignment horizontal="left"/>
    </dxf>
    <dxf>
      <alignment horizontal="center"/>
    </dxf>
    <dxf>
      <alignment wrapText="1"/>
    </dxf>
    <dxf>
      <alignment wrapText="1"/>
    </dxf>
    <dxf>
      <font>
        <sz val="10"/>
      </font>
    </dxf>
    <dxf>
      <font>
        <sz val="10"/>
      </font>
    </dxf>
    <dxf>
      <font>
        <sz val="10"/>
      </font>
    </dxf>
    <dxf>
      <font>
        <sz val="10"/>
      </font>
    </dxf>
    <dxf>
      <font>
        <sz val="10"/>
      </font>
    </dxf>
    <dxf>
      <font>
        <sz val="10"/>
      </font>
    </dxf>
    <dxf>
      <numFmt numFmtId="164" formatCode="_(* #,##0_);_(* \(#,##0\);_(* &quot;-&quot;??_);_(@_)"/>
    </dxf>
    <dxf>
      <alignment wrapText="1"/>
    </dxf>
    <dxf>
      <alignment horizontal="left"/>
    </dxf>
    <dxf>
      <alignment horizontal="center"/>
    </dxf>
    <dxf>
      <alignment wrapText="1"/>
    </dxf>
    <dxf>
      <alignment wrapText="1"/>
    </dxf>
    <dxf>
      <font>
        <sz val="10"/>
      </font>
    </dxf>
    <dxf>
      <font>
        <sz val="10"/>
      </font>
    </dxf>
    <dxf>
      <font>
        <sz val="10"/>
      </font>
    </dxf>
    <dxf>
      <font>
        <sz val="10"/>
      </font>
    </dxf>
    <dxf>
      <font>
        <sz val="10"/>
      </font>
    </dxf>
    <dxf>
      <font>
        <sz val="10"/>
      </font>
    </dxf>
    <dxf>
      <numFmt numFmtId="164" formatCode="_(* #,##0_);_(* \(#,##0\);_(* &quot;-&quot;??_);_(@_)"/>
    </dxf>
    <dxf>
      <alignment horizontal="left"/>
    </dxf>
    <dxf>
      <alignment horizontal="center"/>
    </dxf>
    <dxf>
      <alignment wrapText="1"/>
    </dxf>
    <dxf>
      <alignment wrapText="1"/>
    </dxf>
    <dxf>
      <font>
        <sz val="10"/>
      </font>
    </dxf>
    <dxf>
      <font>
        <sz val="10"/>
      </font>
    </dxf>
    <dxf>
      <font>
        <sz val="10"/>
      </font>
    </dxf>
    <dxf>
      <font>
        <sz val="10"/>
      </font>
    </dxf>
    <dxf>
      <font>
        <sz val="10"/>
      </font>
    </dxf>
    <dxf>
      <font>
        <sz val="10"/>
      </font>
    </dxf>
    <dxf>
      <numFmt numFmtId="164" formatCode="_(* #,##0_);_(* \(#,##0\);_(* &quot;-&quot;??_);_(@_)"/>
    </dxf>
    <dxf>
      <alignment horizontal="left"/>
    </dxf>
    <dxf>
      <alignment wrapText="1"/>
    </dxf>
    <dxf>
      <font>
        <sz val="10"/>
      </font>
    </dxf>
    <dxf>
      <font>
        <sz val="10"/>
      </font>
    </dxf>
    <dxf>
      <font>
        <sz val="10"/>
      </font>
    </dxf>
    <dxf>
      <font>
        <sz val="10"/>
      </font>
    </dxf>
    <dxf>
      <font>
        <sz val="10"/>
      </font>
    </dxf>
    <dxf>
      <numFmt numFmtId="164" formatCode="_(* #,##0_);_(* \(#,##0\);_(* &quot;-&quot;??_);_(@_)"/>
    </dxf>
    <dxf>
      <alignment horizontal="left"/>
    </dxf>
    <dxf>
      <alignment horizontal="center"/>
    </dxf>
    <dxf>
      <alignment wrapText="1"/>
    </dxf>
    <dxf>
      <alignment wrapText="1"/>
    </dxf>
    <dxf>
      <font>
        <sz val="10"/>
      </font>
    </dxf>
    <dxf>
      <font>
        <sz val="10"/>
      </font>
    </dxf>
    <dxf>
      <font>
        <sz val="10"/>
      </font>
    </dxf>
    <dxf>
      <font>
        <sz val="10"/>
      </font>
    </dxf>
    <dxf>
      <font>
        <sz val="10"/>
      </font>
    </dxf>
    <dxf>
      <font>
        <sz val="10"/>
      </font>
    </dxf>
    <dxf>
      <numFmt numFmtId="164" formatCode="_(* #,##0_);_(* \(#,##0\);_(* &quot;-&quot;??_);_(@_)"/>
    </dxf>
    <dxf>
      <numFmt numFmtId="164" formatCode="_(* #,##0_);_(* \(#,##0\);_(* &quot;-&quot;??_);_(@_)"/>
    </dxf>
    <dxf>
      <alignment horizontal="center"/>
    </dxf>
    <dxf>
      <alignment horizontal="center"/>
    </dxf>
    <dxf>
      <alignment wrapText="1"/>
    </dxf>
    <dxf>
      <alignment wrapText="1"/>
    </dxf>
    <dxf>
      <alignment horizontal="center"/>
    </dxf>
    <dxf>
      <alignment wrapText="1"/>
    </dxf>
    <dxf>
      <font>
        <sz val="10"/>
      </font>
    </dxf>
    <dxf>
      <font>
        <sz val="10"/>
      </font>
    </dxf>
    <dxf>
      <font>
        <sz val="10"/>
      </font>
    </dxf>
    <dxf>
      <font>
        <sz val="10"/>
      </font>
    </dxf>
    <dxf>
      <font>
        <sz val="10"/>
      </font>
    </dxf>
    <dxf>
      <numFmt numFmtId="164" formatCode="_(* #,##0_);_(* \(#,##0\);_(* &quot;-&quot;??_);_(@_)"/>
    </dxf>
    <dxf>
      <alignment horizontal="left"/>
    </dxf>
    <dxf>
      <alignment horizontal="center"/>
    </dxf>
    <dxf>
      <alignment wrapText="1"/>
    </dxf>
    <dxf>
      <alignment wrapText="1"/>
    </dxf>
    <dxf>
      <font>
        <sz val="10"/>
      </font>
    </dxf>
    <dxf>
      <font>
        <sz val="10"/>
      </font>
    </dxf>
    <dxf>
      <font>
        <sz val="10"/>
      </font>
    </dxf>
    <dxf>
      <font>
        <sz val="10"/>
      </font>
    </dxf>
    <dxf>
      <font>
        <sz val="10"/>
      </font>
    </dxf>
    <dxf>
      <font>
        <sz val="10"/>
      </font>
    </dxf>
    <dxf>
      <numFmt numFmtId="164" formatCode="_(* #,##0_);_(* \(#,##0\);_(* &quot;-&quot;??_);_(@_)"/>
    </dxf>
    <dxf>
      <alignment wrapText="1"/>
    </dxf>
    <dxf>
      <alignment wrapText="1"/>
    </dxf>
    <dxf>
      <alignment horizontal="center"/>
    </dxf>
    <dxf>
      <alignment horizontal="center"/>
    </dxf>
    <dxf>
      <font>
        <sz val="10"/>
      </font>
    </dxf>
    <dxf>
      <font>
        <sz val="10"/>
      </font>
    </dxf>
    <dxf>
      <font>
        <sz val="10"/>
      </font>
    </dxf>
    <dxf>
      <font>
        <sz val="10"/>
      </font>
    </dxf>
    <dxf>
      <font>
        <sz val="10"/>
      </font>
    </dxf>
    <dxf>
      <font>
        <sz val="10"/>
      </font>
    </dxf>
    <dxf>
      <numFmt numFmtId="164" formatCode="_(* #,##0_);_(* \(#,##0\);_(* &quot;-&quot;??_);_(@_)"/>
    </dxf>
    <dxf>
      <font>
        <sz val="10"/>
      </font>
    </dxf>
    <dxf>
      <font>
        <sz val="10"/>
      </font>
    </dxf>
    <dxf>
      <font>
        <sz val="10"/>
      </font>
    </dxf>
    <dxf>
      <font>
        <sz val="10"/>
      </font>
    </dxf>
    <dxf>
      <font>
        <sz val="10"/>
      </font>
    </dxf>
    <dxf>
      <font>
        <sz val="10"/>
      </font>
    </dxf>
    <dxf>
      <numFmt numFmtId="164" formatCode="_(* #,##0_);_(* \(#,##0\);_(* &quot;-&quot;??_);_(@_)"/>
    </dxf>
    <dxf>
      <alignment horizontal="left"/>
    </dxf>
    <dxf>
      <alignment horizontal="center"/>
    </dxf>
    <dxf>
      <alignment wrapText="1"/>
    </dxf>
    <dxf>
      <alignment wrapText="1"/>
    </dxf>
    <dxf>
      <font>
        <sz val="10"/>
      </font>
    </dxf>
    <dxf>
      <font>
        <sz val="10"/>
      </font>
    </dxf>
    <dxf>
      <font>
        <sz val="10"/>
      </font>
    </dxf>
    <dxf>
      <font>
        <sz val="10"/>
      </font>
    </dxf>
    <dxf>
      <font>
        <sz val="10"/>
      </font>
    </dxf>
    <dxf>
      <font>
        <sz val="10"/>
      </font>
    </dxf>
    <dxf>
      <numFmt numFmtId="164" formatCode="_(* #,##0_);_(* \(#,##0\);_(* &quot;-&quot;??_);_(@_)"/>
    </dxf>
    <dxf>
      <alignment wrapText="1"/>
    </dxf>
    <dxf>
      <alignment wrapText="1"/>
    </dxf>
    <dxf>
      <alignment horizontal="center"/>
    </dxf>
    <dxf>
      <alignment horizontal="center"/>
    </dxf>
    <dxf>
      <font>
        <sz val="10"/>
      </font>
    </dxf>
    <dxf>
      <font>
        <sz val="10"/>
      </font>
    </dxf>
    <dxf>
      <font>
        <sz val="10"/>
      </font>
    </dxf>
    <dxf>
      <font>
        <sz val="10"/>
      </font>
    </dxf>
    <dxf>
      <font>
        <sz val="10"/>
      </font>
    </dxf>
    <dxf>
      <font>
        <sz val="10"/>
      </font>
    </dxf>
    <dxf>
      <numFmt numFmtId="164" formatCode="_(* #,##0_);_(* \(#,##0\);_(* &quot;-&quot;??_);_(@_)"/>
    </dxf>
    <dxf>
      <alignment horizontal="left"/>
    </dxf>
    <dxf>
      <alignment wrapText="1"/>
    </dxf>
    <dxf>
      <font>
        <sz val="10"/>
      </font>
    </dxf>
    <dxf>
      <font>
        <sz val="10"/>
      </font>
    </dxf>
    <dxf>
      <font>
        <sz val="10"/>
      </font>
    </dxf>
    <dxf>
      <font>
        <sz val="10"/>
      </font>
    </dxf>
    <dxf>
      <font>
        <sz val="10"/>
      </font>
    </dxf>
    <dxf>
      <numFmt numFmtId="164" formatCode="_(* #,##0_);_(* \(#,##0\);_(* &quot;-&quot;??_);_(@_)"/>
    </dxf>
    <dxf>
      <font>
        <b val="0"/>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rgb="FF0000FF"/>
        <name val="Calibri"/>
        <family val="2"/>
        <scheme val="minor"/>
      </font>
      <numFmt numFmtId="14" formatCode="0.00%"/>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35" formatCode="_(* #,##0.00_);_(* \(#,##0.00\);_(* &quot;-&quot;??_);_(@_)"/>
      <alignment horizontal="center" vertical="center"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35" formatCode="_(* #,##0.00_);_(* \(#,##0.00\);_(*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35" formatCode="_(* #,##0.00_);_(* \(#,##0.00\);_(* &quot;-&quot;??_);_(@_)"/>
      <alignment horizontal="center" vertical="center" textRotation="0" wrapText="1" indent="0" justifyLastLine="0" shrinkToFit="0" readingOrder="0"/>
    </dxf>
    <dxf>
      <font>
        <b val="0"/>
        <i val="0"/>
        <strike val="0"/>
        <condense val="0"/>
        <extend val="0"/>
        <outline val="0"/>
        <shadow val="0"/>
        <u val="none"/>
        <vertAlign val="baseline"/>
        <sz val="10"/>
        <color rgb="FF0000FF"/>
        <name val="Calibri"/>
        <family val="2"/>
        <scheme val="minor"/>
      </font>
      <numFmt numFmtId="35" formatCode="_(* #,##0.00_);_(* \(#,##0.00\);_(*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rgb="FF0000FF"/>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rgb="FF0000FF"/>
        <name val="Calibri"/>
        <family val="2"/>
        <scheme val="minor"/>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rgb="FF0000FF"/>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9" formatCode="m/d/yyyy"/>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rgb="FF0000FF"/>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rgb="FF0000FF"/>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rgb="FF0000FF"/>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rgb="FF0000FF"/>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rgb="FF0000FF"/>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rgb="FF0000FF"/>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rgb="FF0000FF"/>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rgb="FF0000FF"/>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rgb="FF0000FF"/>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9" formatCode="m/d/yyyy"/>
      <alignment horizontal="center" vertical="center"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19" formatCode="m/d/yyyy"/>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rgb="FF0000FF"/>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9" formatCode="m/d/yyyy"/>
      <alignment horizontal="center" vertical="center" textRotation="0" wrapText="1" indent="0" justifyLastLine="0" shrinkToFit="0" readingOrder="0"/>
    </dxf>
    <dxf>
      <font>
        <strike val="0"/>
        <outline val="0"/>
        <shadow val="0"/>
        <u val="none"/>
        <vertAlign val="baseline"/>
        <sz val="10"/>
        <color theme="1"/>
        <name val="Calibri"/>
        <family val="2"/>
        <scheme val="minor"/>
      </font>
      <numFmt numFmtId="19" formatCode="m/d/yyyy"/>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
      <font>
        <strike val="0"/>
        <outline val="0"/>
        <shadow val="0"/>
        <u val="none"/>
        <vertAlign val="baseline"/>
        <sz val="10"/>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_(* \(#,##0\);_(* &quot;-&quot;??_);_(@_)"/>
      <alignment horizontal="center" vertical="center" textRotation="0" wrapText="1" indent="0" justifyLastLine="0" shrinkToFit="0" readingOrder="0"/>
    </dxf>
    <dxf>
      <font>
        <strike val="0"/>
        <outline val="0"/>
        <shadow val="0"/>
        <u val="none"/>
        <vertAlign val="baseline"/>
        <sz val="10"/>
        <color theme="1"/>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_(* #,##0_);_(* \(#,##0\);_(* &quot;-&quot;??_);_(@_)"/>
      <alignment horizontal="center" vertical="center" textRotation="0" wrapText="1" indent="0" justifyLastLine="0" shrinkToFit="0" readingOrder="0"/>
    </dxf>
    <dxf>
      <font>
        <strike val="0"/>
        <outline val="0"/>
        <shadow val="0"/>
        <u val="none"/>
        <vertAlign val="baseline"/>
        <sz val="10"/>
        <color theme="1"/>
        <name val="Calibri"/>
        <family val="2"/>
        <scheme val="minor"/>
      </font>
      <numFmt numFmtId="164" formatCode="_(* #,##0_);_(* \(#,##0\);_(*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
      <font>
        <strike val="0"/>
        <outline val="0"/>
        <shadow val="0"/>
        <u val="none"/>
        <vertAlign val="baseline"/>
        <sz val="10"/>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
      <font>
        <strike val="0"/>
        <outline val="0"/>
        <shadow val="0"/>
        <u val="none"/>
        <vertAlign val="baseline"/>
        <sz val="10"/>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
      <font>
        <strike val="0"/>
        <outline val="0"/>
        <shadow val="0"/>
        <u val="none"/>
        <vertAlign val="baseline"/>
        <sz val="10"/>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
      <font>
        <strike val="0"/>
        <outline val="0"/>
        <shadow val="0"/>
        <u val="none"/>
        <vertAlign val="baseline"/>
        <sz val="10"/>
        <color theme="1"/>
        <name val="Calibri"/>
        <family val="2"/>
        <scheme val="minor"/>
      </font>
      <alignment horizontal="center" vertical="center" textRotation="0" wrapText="1" indent="0" justifyLastLine="0" shrinkToFit="0" readingOrder="0"/>
    </dxf>
    <dxf>
      <font>
        <strike val="0"/>
        <outline val="0"/>
        <shadow val="0"/>
        <u val="none"/>
        <vertAlign val="baseline"/>
        <sz val="10"/>
        <name val="Calibri"/>
        <family val="2"/>
        <scheme val="minor"/>
      </font>
    </dxf>
    <dxf>
      <font>
        <strike val="0"/>
        <outline val="0"/>
        <shadow val="0"/>
        <u val="none"/>
        <vertAlign val="baseline"/>
        <sz val="10"/>
        <color theme="1"/>
        <name val="Calibri"/>
        <family val="2"/>
        <scheme val="minor"/>
      </font>
      <alignment horizontal="center" vertical="center" textRotation="0" wrapText="1" indent="0" justifyLastLine="0" shrinkToFit="0" readingOrder="0"/>
    </dxf>
    <dxf>
      <font>
        <strike val="0"/>
        <outline val="0"/>
        <shadow val="0"/>
        <u val="none"/>
        <vertAlign val="baseline"/>
        <sz val="10"/>
        <color theme="1"/>
        <name val="Calibri"/>
        <family val="2"/>
        <scheme val="minor"/>
      </font>
      <alignment horizontal="center" vertical="center" textRotation="0" wrapText="1" indent="0" justifyLastLine="0" shrinkToFit="0" readingOrder="0"/>
    </dxf>
  </dxfs>
  <tableStyles count="0" defaultTableStyle="TableStyleMedium2" defaultPivotStyle="PivotStyleLight16"/>
  <colors>
    <mruColors>
      <color rgb="FF0000FF"/>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calcChain" Target="calcChain.xml"/><Relationship Id="rId30" Type="http://schemas.openxmlformats.org/officeDocument/2006/relationships/customXml" Target="../customXml/item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[50E47BE8.xlsx]Geo Sum!PivotTable14</c:name>
    <c:fmtId val="1"/>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Fund</a:t>
            </a:r>
            <a:r>
              <a:rPr lang="en-US" baseline="0"/>
              <a:t> I Equity by state</a:t>
            </a:r>
            <a:endParaRPr lang="en-US"/>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2"/>
          </a:solidFill>
          <a:ln>
            <a:noFill/>
          </a:ln>
          <a:effectLst>
            <a:outerShdw blurRad="63500" sx="102000" sy="102000" algn="ctr" rotWithShape="0">
              <a:prstClr val="black">
                <a:alpha val="20000"/>
              </a:prstClr>
            </a:outerShdw>
          </a:effectLst>
        </c:spPr>
      </c:pivotFmt>
      <c:pivotFmt>
        <c:idx val="3"/>
        <c:spPr>
          <a:solidFill>
            <a:schemeClr val="accent3"/>
          </a:solidFill>
          <a:ln>
            <a:noFill/>
          </a:ln>
          <a:effectLst>
            <a:outerShdw blurRad="63500" sx="102000" sy="102000" algn="ctr" rotWithShape="0">
              <a:prstClr val="black">
                <a:alpha val="20000"/>
              </a:prstClr>
            </a:outerShdw>
          </a:effectLst>
        </c:spPr>
        <c:dLbl>
          <c:idx val="0"/>
          <c:layout>
            <c:manualLayout>
              <c:x val="6.3375990249847566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4"/>
          </a:solidFill>
          <a:ln>
            <a:noFill/>
          </a:ln>
          <a:effectLst>
            <a:outerShdw blurRad="63500" sx="102000" sy="102000" algn="ctr" rotWithShape="0">
              <a:prstClr val="black">
                <a:alpha val="20000"/>
              </a:prstClr>
            </a:outerShdw>
          </a:effectLst>
        </c:spPr>
      </c:pivotFmt>
      <c:pivotFmt>
        <c:idx val="5"/>
        <c:spPr>
          <a:solidFill>
            <a:schemeClr val="accent5"/>
          </a:solidFill>
          <a:ln>
            <a:noFill/>
          </a:ln>
          <a:effectLst>
            <a:outerShdw blurRad="63500" sx="102000" sy="102000" algn="ctr" rotWithShape="0">
              <a:prstClr val="black">
                <a:alpha val="20000"/>
              </a:prstClr>
            </a:outerShdw>
          </a:effectLst>
        </c:spPr>
      </c:pivotFmt>
      <c:pivotFmt>
        <c:idx val="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pivotFmt>
      <c:pivotFmt>
        <c:idx val="8"/>
        <c:spPr>
          <a:solidFill>
            <a:schemeClr val="accent2"/>
          </a:solidFill>
          <a:ln>
            <a:noFill/>
          </a:ln>
          <a:effectLst>
            <a:outerShdw blurRad="63500" sx="102000" sy="102000" algn="ctr" rotWithShape="0">
              <a:prstClr val="black">
                <a:alpha val="20000"/>
              </a:prstClr>
            </a:outerShdw>
          </a:effectLst>
        </c:spPr>
      </c:pivotFmt>
      <c:pivotFmt>
        <c:idx val="9"/>
        <c:spPr>
          <a:solidFill>
            <a:schemeClr val="accent3"/>
          </a:solidFill>
          <a:ln>
            <a:noFill/>
          </a:ln>
          <a:effectLst>
            <a:outerShdw blurRad="63500" sx="102000" sy="102000" algn="ctr" rotWithShape="0">
              <a:prstClr val="black">
                <a:alpha val="20000"/>
              </a:prstClr>
            </a:outerShdw>
          </a:effectLst>
        </c:spPr>
      </c:pivotFmt>
      <c:pivotFmt>
        <c:idx val="10"/>
        <c:spPr>
          <a:solidFill>
            <a:schemeClr val="accent4"/>
          </a:solidFill>
          <a:ln>
            <a:noFill/>
          </a:ln>
          <a:effectLst>
            <a:outerShdw blurRad="63500" sx="102000" sy="102000" algn="ctr" rotWithShape="0">
              <a:prstClr val="black">
                <a:alpha val="20000"/>
              </a:prstClr>
            </a:outerShdw>
          </a:effectLst>
        </c:spPr>
      </c:pivotFmt>
      <c:pivotFmt>
        <c:idx val="11"/>
        <c:spPr>
          <a:solidFill>
            <a:schemeClr val="accent5"/>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'Geo Sum'!$C$31</c:f>
              <c:strCache>
                <c:ptCount val="1"/>
                <c:pt idx="0">
                  <c:v>Sum of Fund I Equity</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8CA8-4E3F-96AB-E1C0D67FD300}"/>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CA8-4E3F-96AB-E1C0D67FD300}"/>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CA8-4E3F-96AB-E1C0D67FD300}"/>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CA8-4E3F-96AB-E1C0D67FD300}"/>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CA8-4E3F-96AB-E1C0D67FD300}"/>
              </c:ext>
            </c:extLst>
          </c:dPt>
          <c:dLbls>
            <c:dLbl>
              <c:idx val="2"/>
              <c:layout>
                <c:manualLayout>
                  <c:x val="6.3375990249847566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CA8-4E3F-96AB-E1C0D67FD30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'Geo Sum'!$B$32:$B$37</c:f>
              <c:strCache>
                <c:ptCount val="5"/>
                <c:pt idx="0">
                  <c:v>Colorado</c:v>
                </c:pt>
                <c:pt idx="1">
                  <c:v>Florida</c:v>
                </c:pt>
                <c:pt idx="2">
                  <c:v>Minnesota</c:v>
                </c:pt>
                <c:pt idx="3">
                  <c:v>Texas</c:v>
                </c:pt>
                <c:pt idx="4">
                  <c:v>Wisconsin</c:v>
                </c:pt>
              </c:strCache>
            </c:strRef>
          </c:cat>
          <c:val>
            <c:numRef>
              <c:f>'Geo Sum'!$C$32:$C$37</c:f>
              <c:numCache>
                <c:formatCode>_(* #,##0_);_(* \(#,##0\);_(* "-"??_);_(@_)</c:formatCode>
                <c:ptCount val="5"/>
                <c:pt idx="0">
                  <c:v>1000000</c:v>
                </c:pt>
                <c:pt idx="1">
                  <c:v>11280325</c:v>
                </c:pt>
                <c:pt idx="2">
                  <c:v>7569829</c:v>
                </c:pt>
                <c:pt idx="3">
                  <c:v>10475000</c:v>
                </c:pt>
                <c:pt idx="4">
                  <c:v>3238819.44</c:v>
                </c:pt>
              </c:numCache>
            </c:numRef>
          </c:val>
          <c:extLst>
            <c:ext xmlns:c16="http://schemas.microsoft.com/office/drawing/2014/chart" uri="{C3380CC4-5D6E-409C-BE32-E72D297353CC}">
              <c16:uniqueId val="{00000000-8CA8-4E3F-96AB-E1C0D67FD300}"/>
            </c:ext>
          </c:extLst>
        </c:ser>
        <c:ser>
          <c:idx val="1"/>
          <c:order val="1"/>
          <c:tx>
            <c:strRef>
              <c:f>'Geo Sum'!$D$31</c:f>
              <c:strCache>
                <c:ptCount val="1"/>
                <c:pt idx="0">
                  <c:v>Percent of 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CA8-4E3F-96AB-E1C0D67FD300}"/>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CA8-4E3F-96AB-E1C0D67FD300}"/>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CA8-4E3F-96AB-E1C0D67FD300}"/>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CA8-4E3F-96AB-E1C0D67FD300}"/>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CA8-4E3F-96AB-E1C0D67FD30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'Geo Sum'!$B$32:$B$37</c:f>
              <c:strCache>
                <c:ptCount val="5"/>
                <c:pt idx="0">
                  <c:v>Colorado</c:v>
                </c:pt>
                <c:pt idx="1">
                  <c:v>Florida</c:v>
                </c:pt>
                <c:pt idx="2">
                  <c:v>Minnesota</c:v>
                </c:pt>
                <c:pt idx="3">
                  <c:v>Texas</c:v>
                </c:pt>
                <c:pt idx="4">
                  <c:v>Wisconsin</c:v>
                </c:pt>
              </c:strCache>
            </c:strRef>
          </c:cat>
          <c:val>
            <c:numRef>
              <c:f>'Geo Sum'!$D$32:$D$37</c:f>
              <c:numCache>
                <c:formatCode>0.00%</c:formatCode>
                <c:ptCount val="5"/>
                <c:pt idx="0">
                  <c:v>2.9793850295693716E-2</c:v>
                </c:pt>
                <c:pt idx="1">
                  <c:v>0.33608431433677122</c:v>
                </c:pt>
                <c:pt idx="2">
                  <c:v>0.22553435199000088</c:v>
                </c:pt>
                <c:pt idx="3">
                  <c:v>0.31209058184739169</c:v>
                </c:pt>
                <c:pt idx="4">
                  <c:v>9.6496901530142565E-2</c:v>
                </c:pt>
              </c:numCache>
            </c:numRef>
          </c:val>
          <c:extLst>
            <c:ext xmlns:c16="http://schemas.microsoft.com/office/drawing/2014/chart" uri="{C3380CC4-5D6E-409C-BE32-E72D297353CC}">
              <c16:uniqueId val="{00000006-8CA8-4E3F-96AB-E1C0D67FD300}"/>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[50E47BE8.xlsx]Geo Sum!PivotTable15</c:name>
    <c:fmtId val="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Fund II Effective Equity By state</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2"/>
          </a:solidFill>
          <a:ln>
            <a:noFill/>
          </a:ln>
          <a:effectLst>
            <a:outerShdw blurRad="63500" sx="102000" sy="102000" algn="ctr" rotWithShape="0">
              <a:prstClr val="black">
                <a:alpha val="20000"/>
              </a:prstClr>
            </a:outerShdw>
          </a:effectLst>
        </c:spPr>
      </c:pivotFmt>
      <c:pivotFmt>
        <c:idx val="3"/>
        <c:spPr>
          <a:solidFill>
            <a:schemeClr val="accent3"/>
          </a:solidFill>
          <a:ln>
            <a:noFill/>
          </a:ln>
          <a:effectLst>
            <a:outerShdw blurRad="63500" sx="102000" sy="102000" algn="ctr" rotWithShape="0">
              <a:prstClr val="black">
                <a:alpha val="20000"/>
              </a:prstClr>
            </a:outerShdw>
          </a:effectLst>
        </c:spPr>
      </c:pivotFmt>
      <c:pivotFmt>
        <c:idx val="4"/>
        <c:spPr>
          <a:solidFill>
            <a:schemeClr val="accent4"/>
          </a:solidFill>
          <a:ln>
            <a:noFill/>
          </a:ln>
          <a:effectLst>
            <a:outerShdw blurRad="63500" sx="102000" sy="102000" algn="ctr" rotWithShape="0">
              <a:prstClr val="black">
                <a:alpha val="20000"/>
              </a:prstClr>
            </a:outerShdw>
          </a:effectLst>
        </c:spPr>
      </c:pivotFmt>
      <c:pivotFmt>
        <c:idx val="5"/>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solidFill>
          <a:ln>
            <a:noFill/>
          </a:ln>
          <a:effectLst>
            <a:outerShdw blurRad="63500" sx="102000" sy="102000" algn="ctr" rotWithShape="0">
              <a:prstClr val="black">
                <a:alpha val="20000"/>
              </a:prstClr>
            </a:outerShdw>
          </a:effectLst>
        </c:spPr>
      </c:pivotFmt>
      <c:pivotFmt>
        <c:idx val="7"/>
        <c:spPr>
          <a:solidFill>
            <a:schemeClr val="accent1">
              <a:lumMod val="60000"/>
            </a:schemeClr>
          </a:solidFill>
          <a:ln>
            <a:noFill/>
          </a:ln>
          <a:effectLst>
            <a:outerShdw blurRad="63500" sx="102000" sy="102000" algn="ctr" rotWithShape="0">
              <a:prstClr val="black">
                <a:alpha val="20000"/>
              </a:prstClr>
            </a:outerShdw>
          </a:effectLst>
        </c:spPr>
      </c:pivotFmt>
      <c:pivotFmt>
        <c:idx val="8"/>
        <c:spPr>
          <a:solidFill>
            <a:schemeClr val="accent2">
              <a:lumMod val="60000"/>
            </a:schemeClr>
          </a:solidFill>
          <a:ln>
            <a:noFill/>
          </a:ln>
          <a:effectLst>
            <a:outerShdw blurRad="63500" sx="102000" sy="102000" algn="ctr" rotWithShape="0">
              <a:prstClr val="black">
                <a:alpha val="20000"/>
              </a:prstClr>
            </a:outerShdw>
          </a:effectLst>
        </c:spPr>
      </c:pivotFmt>
      <c:pivotFmt>
        <c:idx val="9"/>
        <c:spPr>
          <a:solidFill>
            <a:schemeClr val="accent3">
              <a:lumMod val="60000"/>
            </a:schemeClr>
          </a:solidFill>
          <a:ln>
            <a:noFill/>
          </a:ln>
          <a:effectLst>
            <a:outerShdw blurRad="63500" sx="102000" sy="102000" algn="ctr" rotWithShape="0">
              <a:prstClr val="black">
                <a:alpha val="20000"/>
              </a:prstClr>
            </a:outerShdw>
          </a:effectLst>
        </c:spPr>
        <c:dLbl>
          <c:idx val="0"/>
          <c:layout>
            <c:manualLayout>
              <c:x val="-4.2721582879063191E-2"/>
              <c:y val="1.995768774900681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4">
              <a:lumMod val="60000"/>
            </a:schemeClr>
          </a:solidFill>
          <a:ln>
            <a:noFill/>
          </a:ln>
          <a:effectLst>
            <a:outerShdw blurRad="63500" sx="102000" sy="102000" algn="ctr" rotWithShape="0">
              <a:prstClr val="black">
                <a:alpha val="20000"/>
              </a:prstClr>
            </a:outerShdw>
          </a:effectLst>
        </c:spPr>
        <c:dLbl>
          <c:idx val="0"/>
          <c:layout>
            <c:manualLayout>
              <c:x val="6.9518509546814327E-3"/>
              <c:y val="-1.023598051425030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'Geo Sum'!$C$56</c:f>
              <c:strCache>
                <c:ptCount val="1"/>
                <c:pt idx="0">
                  <c:v>Sum of Fund II Effective Equity</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F1AF-4271-88AB-1F307A422575}"/>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F1AF-4271-88AB-1F307A422575}"/>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F1AF-4271-88AB-1F307A422575}"/>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F1AF-4271-88AB-1F307A422575}"/>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F1AF-4271-88AB-1F307A422575}"/>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F1AF-4271-88AB-1F307A422575}"/>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F1AF-4271-88AB-1F307A422575}"/>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F1AF-4271-88AB-1F307A422575}"/>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F1AF-4271-88AB-1F307A422575}"/>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F1AF-4271-88AB-1F307A422575}"/>
              </c:ext>
            </c:extLst>
          </c:dPt>
          <c:dLbls>
            <c:dLbl>
              <c:idx val="4"/>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1AF-4271-88AB-1F307A422575}"/>
                </c:ext>
              </c:extLst>
            </c:dLbl>
            <c:dLbl>
              <c:idx val="8"/>
              <c:layout>
                <c:manualLayout>
                  <c:x val="-4.2721582879063191E-2"/>
                  <c:y val="1.995768774900681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1AF-4271-88AB-1F307A422575}"/>
                </c:ext>
              </c:extLst>
            </c:dLbl>
            <c:dLbl>
              <c:idx val="9"/>
              <c:layout>
                <c:manualLayout>
                  <c:x val="6.9518509546814327E-3"/>
                  <c:y val="-1.023598051425030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F1AF-4271-88AB-1F307A42257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'Geo Sum'!$B$57:$B$67</c:f>
              <c:strCache>
                <c:ptCount val="10"/>
                <c:pt idx="0">
                  <c:v>Arizona</c:v>
                </c:pt>
                <c:pt idx="1">
                  <c:v>Colorado</c:v>
                </c:pt>
                <c:pt idx="2">
                  <c:v>Florida</c:v>
                </c:pt>
                <c:pt idx="3">
                  <c:v>Illinois</c:v>
                </c:pt>
                <c:pt idx="4">
                  <c:v>Kentucky</c:v>
                </c:pt>
                <c:pt idx="5">
                  <c:v>Minnesota</c:v>
                </c:pt>
                <c:pt idx="6">
                  <c:v>Ohio</c:v>
                </c:pt>
                <c:pt idx="7">
                  <c:v>Tennessee</c:v>
                </c:pt>
                <c:pt idx="8">
                  <c:v>Texas</c:v>
                </c:pt>
                <c:pt idx="9">
                  <c:v>Wisconsin</c:v>
                </c:pt>
              </c:strCache>
            </c:strRef>
          </c:cat>
          <c:val>
            <c:numRef>
              <c:f>'Geo Sum'!$C$57:$C$67</c:f>
              <c:numCache>
                <c:formatCode>_(* #,##0_);_(* \(#,##0\);_(* "-"??_);_(@_)</c:formatCode>
                <c:ptCount val="10"/>
                <c:pt idx="0">
                  <c:v>7500000</c:v>
                </c:pt>
                <c:pt idx="1">
                  <c:v>7719941.3489736067</c:v>
                </c:pt>
                <c:pt idx="2">
                  <c:v>9481009.897360703</c:v>
                </c:pt>
                <c:pt idx="3">
                  <c:v>230131.27427381097</c:v>
                </c:pt>
                <c:pt idx="4">
                  <c:v>249089.55049397054</c:v>
                </c:pt>
                <c:pt idx="5">
                  <c:v>23432363.401759531</c:v>
                </c:pt>
                <c:pt idx="6">
                  <c:v>2235779.1752322181</c:v>
                </c:pt>
                <c:pt idx="7">
                  <c:v>3300000</c:v>
                </c:pt>
                <c:pt idx="8">
                  <c:v>19121818.720498536</c:v>
                </c:pt>
                <c:pt idx="9">
                  <c:v>9132350.3167155441</c:v>
                </c:pt>
              </c:numCache>
            </c:numRef>
          </c:val>
          <c:extLst>
            <c:ext xmlns:c16="http://schemas.microsoft.com/office/drawing/2014/chart" uri="{C3380CC4-5D6E-409C-BE32-E72D297353CC}">
              <c16:uniqueId val="{00000000-F1AF-4271-88AB-1F307A422575}"/>
            </c:ext>
          </c:extLst>
        </c:ser>
        <c:ser>
          <c:idx val="1"/>
          <c:order val="1"/>
          <c:tx>
            <c:strRef>
              <c:f>'Geo Sum'!$D$56</c:f>
              <c:strCache>
                <c:ptCount val="1"/>
                <c:pt idx="0">
                  <c:v>Percent of Total</c:v>
                </c:pt>
              </c:strCache>
            </c:strRef>
          </c:tx>
          <c:dLbls>
            <c:spPr>
              <a:noFill/>
              <a:ln>
                <a:no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extLst>
          </c:dLbls>
          <c:cat>
            <c:strRef>
              <c:f>'Geo Sum'!$B$57:$B$67</c:f>
              <c:strCache>
                <c:ptCount val="10"/>
                <c:pt idx="0">
                  <c:v>Arizona</c:v>
                </c:pt>
                <c:pt idx="1">
                  <c:v>Colorado</c:v>
                </c:pt>
                <c:pt idx="2">
                  <c:v>Florida</c:v>
                </c:pt>
                <c:pt idx="3">
                  <c:v>Illinois</c:v>
                </c:pt>
                <c:pt idx="4">
                  <c:v>Kentucky</c:v>
                </c:pt>
                <c:pt idx="5">
                  <c:v>Minnesota</c:v>
                </c:pt>
                <c:pt idx="6">
                  <c:v>Ohio</c:v>
                </c:pt>
                <c:pt idx="7">
                  <c:v>Tennessee</c:v>
                </c:pt>
                <c:pt idx="8">
                  <c:v>Texas</c:v>
                </c:pt>
                <c:pt idx="9">
                  <c:v>Wisconsin</c:v>
                </c:pt>
              </c:strCache>
            </c:strRef>
          </c:cat>
          <c:val>
            <c:numRef>
              <c:f>'Geo Sum'!$D$57:$D$67</c:f>
              <c:numCache>
                <c:formatCode>0.00%</c:formatCode>
                <c:ptCount val="10"/>
                <c:pt idx="0">
                  <c:v>9.1016674068250508E-2</c:v>
                </c:pt>
                <c:pt idx="1">
                  <c:v>9.3685784744738793E-2</c:v>
                </c:pt>
                <c:pt idx="2">
                  <c:v>0.11505733168879151</c:v>
                </c:pt>
                <c:pt idx="3">
                  <c:v>2.7927710911320822E-3</c:v>
                </c:pt>
                <c:pt idx="4">
                  <c:v>3.0228403241488993E-3</c:v>
                </c:pt>
                <c:pt idx="5">
                  <c:v>0.28436477098489987</c:v>
                </c:pt>
                <c:pt idx="6">
                  <c:v>2.7132424597425698E-2</c:v>
                </c:pt>
                <c:pt idx="7">
                  <c:v>4.0047336590030229E-2</c:v>
                </c:pt>
                <c:pt idx="8">
                  <c:v>0.2320539122767715</c:v>
                </c:pt>
                <c:pt idx="9">
                  <c:v>0.11082615363381107</c:v>
                </c:pt>
              </c:numCache>
            </c:numRef>
          </c:val>
          <c:extLst>
            <c:ext xmlns:c16="http://schemas.microsoft.com/office/drawing/2014/chart" uri="{C3380CC4-5D6E-409C-BE32-E72D297353CC}">
              <c16:uniqueId val="{00000014-FDBD-40C4-87E6-A7B43244A201}"/>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[50E47BE8.xlsx]Geo Sum!PivotTable2</c:name>
    <c:fmtId val="9"/>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Fund III Equity by state</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pivotFmt>
      <c:pivotFmt>
        <c:idx val="3"/>
        <c:spPr>
          <a:solidFill>
            <a:schemeClr val="accent2"/>
          </a:solidFill>
          <a:ln>
            <a:noFill/>
          </a:ln>
          <a:effectLst>
            <a:outerShdw blurRad="63500" sx="102000" sy="102000" algn="ctr" rotWithShape="0">
              <a:prstClr val="black">
                <a:alpha val="20000"/>
              </a:prstClr>
            </a:outerShdw>
          </a:effectLst>
        </c:spPr>
      </c:pivotFmt>
      <c:pivotFmt>
        <c:idx val="4"/>
        <c:spPr>
          <a:solidFill>
            <a:schemeClr val="accent3"/>
          </a:solidFill>
          <a:ln>
            <a:noFill/>
          </a:ln>
          <a:effectLst>
            <a:outerShdw blurRad="63500" sx="102000" sy="102000" algn="ctr" rotWithShape="0">
              <a:prstClr val="black">
                <a:alpha val="20000"/>
              </a:prstClr>
            </a:outerShdw>
          </a:effectLst>
        </c:spPr>
      </c:pivotFmt>
      <c:pivotFmt>
        <c:idx val="5"/>
        <c:spPr>
          <a:solidFill>
            <a:schemeClr val="accent4"/>
          </a:solidFill>
          <a:ln>
            <a:noFill/>
          </a:ln>
          <a:effectLst>
            <a:outerShdw blurRad="63500" sx="102000" sy="102000" algn="ctr" rotWithShape="0">
              <a:prstClr val="black">
                <a:alpha val="20000"/>
              </a:prstClr>
            </a:outerShdw>
          </a:effectLst>
        </c:spPr>
      </c:pivotFmt>
      <c:pivotFmt>
        <c:idx val="6"/>
        <c:spPr>
          <a:solidFill>
            <a:schemeClr val="accent5"/>
          </a:solidFill>
          <a:ln>
            <a:noFill/>
          </a:ln>
          <a:effectLst>
            <a:outerShdw blurRad="63500" sx="102000" sy="102000" algn="ctr" rotWithShape="0">
              <a:prstClr val="black">
                <a:alpha val="20000"/>
              </a:prstClr>
            </a:outerShdw>
          </a:effectLst>
        </c:spPr>
      </c:pivotFmt>
      <c:pivotFmt>
        <c:idx val="7"/>
        <c:spPr>
          <a:solidFill>
            <a:schemeClr val="accent6"/>
          </a:solidFill>
          <a:ln>
            <a:noFill/>
          </a:ln>
          <a:effectLst>
            <a:outerShdw blurRad="63500" sx="102000" sy="102000" algn="ctr" rotWithShape="0">
              <a:prstClr val="black">
                <a:alpha val="20000"/>
              </a:prstClr>
            </a:outerShdw>
          </a:effectLst>
        </c:spPr>
      </c:pivotFmt>
      <c:pivotFmt>
        <c:idx val="8"/>
        <c:spPr>
          <a:solidFill>
            <a:schemeClr val="accent1">
              <a:lumMod val="60000"/>
            </a:schemeClr>
          </a:solidFill>
          <a:ln>
            <a:noFill/>
          </a:ln>
          <a:effectLst>
            <a:outerShdw blurRad="63500" sx="102000" sy="102000" algn="ctr" rotWithShape="0">
              <a:prstClr val="black">
                <a:alpha val="20000"/>
              </a:prstClr>
            </a:outerShdw>
          </a:effectLst>
        </c:spPr>
      </c:pivotFmt>
      <c:pivotFmt>
        <c:idx val="9"/>
        <c:spPr>
          <a:solidFill>
            <a:schemeClr val="accent2">
              <a:lumMod val="60000"/>
            </a:schemeClr>
          </a:solidFill>
          <a:ln>
            <a:noFill/>
          </a:ln>
          <a:effectLst>
            <a:outerShdw blurRad="63500" sx="102000" sy="102000" algn="ctr" rotWithShape="0">
              <a:prstClr val="black">
                <a:alpha val="20000"/>
              </a:prstClr>
            </a:outerShdw>
          </a:effectLst>
        </c:spPr>
      </c:pivotFmt>
      <c:pivotFmt>
        <c:idx val="10"/>
        <c:spPr>
          <a:solidFill>
            <a:schemeClr val="accent3">
              <a:lumMod val="60000"/>
            </a:schemeClr>
          </a:solidFill>
          <a:ln>
            <a:noFill/>
          </a:ln>
          <a:effectLst>
            <a:outerShdw blurRad="63500" sx="102000" sy="102000" algn="ctr" rotWithShape="0">
              <a:prstClr val="black">
                <a:alpha val="20000"/>
              </a:prstClr>
            </a:outerShdw>
          </a:effectLst>
        </c:spPr>
      </c:pivotFmt>
      <c:pivotFmt>
        <c:idx val="11"/>
        <c:spPr>
          <a:solidFill>
            <a:schemeClr val="accent4">
              <a:lumMod val="60000"/>
            </a:schemeClr>
          </a:solidFill>
          <a:ln>
            <a:noFill/>
          </a:ln>
          <a:effectLst>
            <a:outerShdw blurRad="63500" sx="102000" sy="102000" algn="ctr" rotWithShape="0">
              <a:prstClr val="black">
                <a:alpha val="20000"/>
              </a:prstClr>
            </a:outerShdw>
          </a:effectLst>
        </c:spPr>
      </c:pivotFmt>
      <c:pivotFmt>
        <c:idx val="12"/>
        <c:spPr>
          <a:solidFill>
            <a:schemeClr val="accent5">
              <a:lumMod val="60000"/>
            </a:schemeClr>
          </a:solidFill>
          <a:ln>
            <a:noFill/>
          </a:ln>
          <a:effectLst>
            <a:outerShdw blurRad="63500" sx="102000" sy="102000" algn="ctr" rotWithShape="0">
              <a:prstClr val="black">
                <a:alpha val="20000"/>
              </a:prstClr>
            </a:outerShdw>
          </a:effectLst>
        </c:spPr>
      </c:pivotFmt>
      <c:pivotFmt>
        <c:idx val="13"/>
        <c:spPr>
          <a:solidFill>
            <a:schemeClr val="accent6">
              <a:lumMod val="60000"/>
            </a:schemeClr>
          </a:solidFill>
          <a:ln>
            <a:noFill/>
          </a:ln>
          <a:effectLst>
            <a:outerShdw blurRad="63500" sx="102000" sy="102000" algn="ctr" rotWithShape="0">
              <a:prstClr val="black">
                <a:alpha val="20000"/>
              </a:prstClr>
            </a:outerShdw>
          </a:effectLst>
        </c:spPr>
      </c:pivotFmt>
      <c:pivotFmt>
        <c:idx val="14"/>
        <c:spPr>
          <a:solidFill>
            <a:schemeClr val="accent1">
              <a:lumMod val="80000"/>
              <a:lumOff val="20000"/>
            </a:schemeClr>
          </a:solidFill>
          <a:ln>
            <a:noFill/>
          </a:ln>
          <a:effectLst>
            <a:outerShdw blurRad="63500" sx="102000" sy="102000" algn="ctr" rotWithShape="0">
              <a:prstClr val="black">
                <a:alpha val="20000"/>
              </a:prstClr>
            </a:outerShdw>
          </a:effectLst>
        </c:spPr>
      </c:pivotFmt>
      <c:pivotFmt>
        <c:idx val="15"/>
        <c:spPr>
          <a:solidFill>
            <a:schemeClr val="accent2">
              <a:lumMod val="80000"/>
              <a:lumOff val="20000"/>
            </a:schemeClr>
          </a:solidFill>
          <a:ln>
            <a:noFill/>
          </a:ln>
          <a:effectLst>
            <a:outerShdw blurRad="63500" sx="102000" sy="102000" algn="ctr" rotWithShape="0">
              <a:prstClr val="black">
                <a:alpha val="20000"/>
              </a:prstClr>
            </a:outerShdw>
          </a:effectLst>
        </c:spPr>
      </c:pivotFmt>
      <c:pivotFmt>
        <c:idx val="16"/>
        <c:spPr>
          <a:solidFill>
            <a:schemeClr val="accent1"/>
          </a:solidFill>
          <a:ln>
            <a:noFill/>
          </a:ln>
          <a:effectLst>
            <a:outerShdw blurRad="63500" sx="102000" sy="102000" algn="ctr" rotWithShape="0">
              <a:prstClr val="black">
                <a:alpha val="20000"/>
              </a:prstClr>
            </a:outerShdw>
          </a:effectLst>
        </c:spPr>
      </c:pivotFmt>
      <c:pivotFmt>
        <c:idx val="17"/>
        <c:spPr>
          <a:solidFill>
            <a:schemeClr val="accent2"/>
          </a:solidFill>
          <a:ln>
            <a:noFill/>
          </a:ln>
          <a:effectLst>
            <a:outerShdw blurRad="63500" sx="102000" sy="102000" algn="ctr" rotWithShape="0">
              <a:prstClr val="black">
                <a:alpha val="20000"/>
              </a:prstClr>
            </a:outerShdw>
          </a:effectLst>
        </c:spPr>
      </c:pivotFmt>
      <c:pivotFmt>
        <c:idx val="18"/>
        <c:spPr>
          <a:solidFill>
            <a:schemeClr val="accent3"/>
          </a:solidFill>
          <a:ln>
            <a:noFill/>
          </a:ln>
          <a:effectLst>
            <a:outerShdw blurRad="63500" sx="102000" sy="102000" algn="ctr" rotWithShape="0">
              <a:prstClr val="black">
                <a:alpha val="20000"/>
              </a:prstClr>
            </a:outerShdw>
          </a:effectLst>
        </c:spPr>
      </c:pivotFmt>
      <c:pivotFmt>
        <c:idx val="19"/>
        <c:spPr>
          <a:solidFill>
            <a:schemeClr val="accent4"/>
          </a:solidFill>
          <a:ln>
            <a:noFill/>
          </a:ln>
          <a:effectLst>
            <a:outerShdw blurRad="63500" sx="102000" sy="102000" algn="ctr" rotWithShape="0">
              <a:prstClr val="black">
                <a:alpha val="20000"/>
              </a:prstClr>
            </a:outerShdw>
          </a:effectLst>
        </c:spPr>
      </c:pivotFmt>
      <c:pivotFmt>
        <c:idx val="20"/>
        <c:spPr>
          <a:solidFill>
            <a:schemeClr val="accent5"/>
          </a:solidFill>
          <a:ln>
            <a:noFill/>
          </a:ln>
          <a:effectLst>
            <a:outerShdw blurRad="63500" sx="102000" sy="102000" algn="ctr" rotWithShape="0">
              <a:prstClr val="black">
                <a:alpha val="20000"/>
              </a:prstClr>
            </a:outerShdw>
          </a:effectLst>
        </c:spPr>
      </c:pivotFmt>
      <c:pivotFmt>
        <c:idx val="21"/>
        <c:spPr>
          <a:solidFill>
            <a:schemeClr val="accent6"/>
          </a:solidFill>
          <a:ln>
            <a:noFill/>
          </a:ln>
          <a:effectLst>
            <a:outerShdw blurRad="63500" sx="102000" sy="102000" algn="ctr" rotWithShape="0">
              <a:prstClr val="black">
                <a:alpha val="20000"/>
              </a:prstClr>
            </a:outerShdw>
          </a:effectLst>
        </c:spPr>
      </c:pivotFmt>
      <c:pivotFmt>
        <c:idx val="22"/>
        <c:spPr>
          <a:solidFill>
            <a:schemeClr val="accent1">
              <a:lumMod val="60000"/>
            </a:schemeClr>
          </a:solidFill>
          <a:ln>
            <a:noFill/>
          </a:ln>
          <a:effectLst>
            <a:outerShdw blurRad="63500" sx="102000" sy="102000" algn="ctr" rotWithShape="0">
              <a:prstClr val="black">
                <a:alpha val="20000"/>
              </a:prstClr>
            </a:outerShdw>
          </a:effectLst>
        </c:spPr>
      </c:pivotFmt>
      <c:pivotFmt>
        <c:idx val="23"/>
        <c:spPr>
          <a:solidFill>
            <a:schemeClr val="accent2">
              <a:lumMod val="60000"/>
            </a:schemeClr>
          </a:solidFill>
          <a:ln>
            <a:noFill/>
          </a:ln>
          <a:effectLst>
            <a:outerShdw blurRad="63500" sx="102000" sy="102000" algn="ctr" rotWithShape="0">
              <a:prstClr val="black">
                <a:alpha val="20000"/>
              </a:prstClr>
            </a:outerShdw>
          </a:effectLst>
        </c:spPr>
      </c:pivotFmt>
      <c:pivotFmt>
        <c:idx val="24"/>
        <c:spPr>
          <a:solidFill>
            <a:schemeClr val="accent3">
              <a:lumMod val="60000"/>
            </a:schemeClr>
          </a:solidFill>
          <a:ln>
            <a:noFill/>
          </a:ln>
          <a:effectLst>
            <a:outerShdw blurRad="63500" sx="102000" sy="102000" algn="ctr" rotWithShape="0">
              <a:prstClr val="black">
                <a:alpha val="20000"/>
              </a:prstClr>
            </a:outerShdw>
          </a:effectLst>
        </c:spPr>
      </c:pivotFmt>
      <c:pivotFmt>
        <c:idx val="25"/>
        <c:spPr>
          <a:solidFill>
            <a:schemeClr val="accent4">
              <a:lumMod val="60000"/>
            </a:schemeClr>
          </a:solidFill>
          <a:ln>
            <a:noFill/>
          </a:ln>
          <a:effectLst>
            <a:outerShdw blurRad="63500" sx="102000" sy="102000" algn="ctr" rotWithShape="0">
              <a:prstClr val="black">
                <a:alpha val="20000"/>
              </a:prstClr>
            </a:outerShdw>
          </a:effectLst>
        </c:spPr>
      </c:pivotFmt>
      <c:pivotFmt>
        <c:idx val="26"/>
        <c:spPr>
          <a:solidFill>
            <a:schemeClr val="accent5">
              <a:lumMod val="60000"/>
            </a:schemeClr>
          </a:solidFill>
          <a:ln>
            <a:noFill/>
          </a:ln>
          <a:effectLst>
            <a:outerShdw blurRad="63500" sx="102000" sy="102000" algn="ctr" rotWithShape="0">
              <a:prstClr val="black">
                <a:alpha val="20000"/>
              </a:prstClr>
            </a:outerShdw>
          </a:effectLst>
        </c:spPr>
      </c:pivotFmt>
      <c:pivotFmt>
        <c:idx val="27"/>
        <c:spPr>
          <a:solidFill>
            <a:schemeClr val="accent6">
              <a:lumMod val="60000"/>
            </a:schemeClr>
          </a:solidFill>
          <a:ln>
            <a:noFill/>
          </a:ln>
          <a:effectLst>
            <a:outerShdw blurRad="63500" sx="102000" sy="102000" algn="ctr" rotWithShape="0">
              <a:prstClr val="black">
                <a:alpha val="20000"/>
              </a:prstClr>
            </a:outerShdw>
          </a:effectLst>
        </c:spPr>
      </c:pivotFmt>
      <c:pivotFmt>
        <c:idx val="28"/>
        <c:spPr>
          <a:solidFill>
            <a:schemeClr val="accent1">
              <a:lumMod val="80000"/>
              <a:lumOff val="20000"/>
            </a:schemeClr>
          </a:solidFill>
          <a:ln>
            <a:noFill/>
          </a:ln>
          <a:effectLst>
            <a:outerShdw blurRad="63500" sx="102000" sy="102000" algn="ctr" rotWithShape="0">
              <a:prstClr val="black">
                <a:alpha val="20000"/>
              </a:prstClr>
            </a:outerShdw>
          </a:effectLst>
        </c:spPr>
      </c:pivotFmt>
      <c:pivotFmt>
        <c:idx val="29"/>
        <c:spPr>
          <a:solidFill>
            <a:schemeClr val="accent2">
              <a:lumMod val="80000"/>
              <a:lumOff val="20000"/>
            </a:schemeClr>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'Geo Sum'!$C$84</c:f>
              <c:strCache>
                <c:ptCount val="1"/>
                <c:pt idx="0">
                  <c:v>Sum of Fund III Equity</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BCF-48D8-A97D-E74E9C334E3F}"/>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BCF-48D8-A97D-E74E9C334E3F}"/>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BCF-48D8-A97D-E74E9C334E3F}"/>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BCF-48D8-A97D-E74E9C334E3F}"/>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BCF-48D8-A97D-E74E9C334E3F}"/>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BCF-48D8-A97D-E74E9C334E3F}"/>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BCF-48D8-A97D-E74E9C334E3F}"/>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BCF-48D8-A97D-E74E9C334E3F}"/>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BCF-48D8-A97D-E74E9C334E3F}"/>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BCF-48D8-A97D-E74E9C334E3F}"/>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BCF-48D8-A97D-E74E9C334E3F}"/>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BCF-48D8-A97D-E74E9C334E3F}"/>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EBCF-48D8-A97D-E74E9C334E3F}"/>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EBCF-48D8-A97D-E74E9C334E3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'Geo Sum'!$B$85:$B$99</c:f>
              <c:strCache>
                <c:ptCount val="14"/>
                <c:pt idx="0">
                  <c:v>Arizona</c:v>
                </c:pt>
                <c:pt idx="1">
                  <c:v>Colorado</c:v>
                </c:pt>
                <c:pt idx="2">
                  <c:v>Florida</c:v>
                </c:pt>
                <c:pt idx="3">
                  <c:v>Georgia</c:v>
                </c:pt>
                <c:pt idx="4">
                  <c:v>Illinois</c:v>
                </c:pt>
                <c:pt idx="5">
                  <c:v>Iowa</c:v>
                </c:pt>
                <c:pt idx="6">
                  <c:v>Kentucky</c:v>
                </c:pt>
                <c:pt idx="7">
                  <c:v>Minnesota</c:v>
                </c:pt>
                <c:pt idx="8">
                  <c:v>Missouri</c:v>
                </c:pt>
                <c:pt idx="9">
                  <c:v>Ohio</c:v>
                </c:pt>
                <c:pt idx="10">
                  <c:v>Oklahoma</c:v>
                </c:pt>
                <c:pt idx="11">
                  <c:v>Pennsylvania</c:v>
                </c:pt>
                <c:pt idx="12">
                  <c:v>Texas</c:v>
                </c:pt>
                <c:pt idx="13">
                  <c:v>Wisconsin</c:v>
                </c:pt>
              </c:strCache>
            </c:strRef>
          </c:cat>
          <c:val>
            <c:numRef>
              <c:f>'Geo Sum'!$C$85:$C$99</c:f>
              <c:numCache>
                <c:formatCode>_(* #,##0_);_(* \(#,##0\);_(* "-"??_);_(@_)</c:formatCode>
                <c:ptCount val="14"/>
                <c:pt idx="0">
                  <c:v>17650000</c:v>
                </c:pt>
                <c:pt idx="1">
                  <c:v>8105000</c:v>
                </c:pt>
                <c:pt idx="2">
                  <c:v>17600000</c:v>
                </c:pt>
                <c:pt idx="3">
                  <c:v>3867500</c:v>
                </c:pt>
                <c:pt idx="4">
                  <c:v>762866.10256511928</c:v>
                </c:pt>
                <c:pt idx="5">
                  <c:v>7616471</c:v>
                </c:pt>
                <c:pt idx="6">
                  <c:v>825711.2171070847</c:v>
                </c:pt>
                <c:pt idx="7">
                  <c:v>19964870.990000002</c:v>
                </c:pt>
                <c:pt idx="8">
                  <c:v>8188000</c:v>
                </c:pt>
                <c:pt idx="9">
                  <c:v>7411422.6803277954</c:v>
                </c:pt>
                <c:pt idx="10">
                  <c:v>1088235.2941176472</c:v>
                </c:pt>
                <c:pt idx="11">
                  <c:v>9140714</c:v>
                </c:pt>
                <c:pt idx="12">
                  <c:v>46781764.705882356</c:v>
                </c:pt>
                <c:pt idx="13">
                  <c:v>22383640.859999999</c:v>
                </c:pt>
              </c:numCache>
            </c:numRef>
          </c:val>
          <c:extLst>
            <c:ext xmlns:c16="http://schemas.microsoft.com/office/drawing/2014/chart" uri="{C3380CC4-5D6E-409C-BE32-E72D297353CC}">
              <c16:uniqueId val="{00000000-EBCF-48D8-A97D-E74E9C334E3F}"/>
            </c:ext>
          </c:extLst>
        </c:ser>
        <c:ser>
          <c:idx val="1"/>
          <c:order val="1"/>
          <c:tx>
            <c:strRef>
              <c:f>'Geo Sum'!$D$84</c:f>
              <c:strCache>
                <c:ptCount val="1"/>
                <c:pt idx="0">
                  <c:v>Percent of 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EBCF-48D8-A97D-E74E9C334E3F}"/>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EBCF-48D8-A97D-E74E9C334E3F}"/>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EBCF-48D8-A97D-E74E9C334E3F}"/>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EBCF-48D8-A97D-E74E9C334E3F}"/>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EBCF-48D8-A97D-E74E9C334E3F}"/>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EBCF-48D8-A97D-E74E9C334E3F}"/>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EBCF-48D8-A97D-E74E9C334E3F}"/>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EBCF-48D8-A97D-E74E9C334E3F}"/>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EBCF-48D8-A97D-E74E9C334E3F}"/>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9-EBCF-48D8-A97D-E74E9C334E3F}"/>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A-EBCF-48D8-A97D-E74E9C334E3F}"/>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B-EBCF-48D8-A97D-E74E9C334E3F}"/>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C-EBCF-48D8-A97D-E74E9C334E3F}"/>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D-EBCF-48D8-A97D-E74E9C334E3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'Geo Sum'!$B$85:$B$99</c:f>
              <c:strCache>
                <c:ptCount val="14"/>
                <c:pt idx="0">
                  <c:v>Arizona</c:v>
                </c:pt>
                <c:pt idx="1">
                  <c:v>Colorado</c:v>
                </c:pt>
                <c:pt idx="2">
                  <c:v>Florida</c:v>
                </c:pt>
                <c:pt idx="3">
                  <c:v>Georgia</c:v>
                </c:pt>
                <c:pt idx="4">
                  <c:v>Illinois</c:v>
                </c:pt>
                <c:pt idx="5">
                  <c:v>Iowa</c:v>
                </c:pt>
                <c:pt idx="6">
                  <c:v>Kentucky</c:v>
                </c:pt>
                <c:pt idx="7">
                  <c:v>Minnesota</c:v>
                </c:pt>
                <c:pt idx="8">
                  <c:v>Missouri</c:v>
                </c:pt>
                <c:pt idx="9">
                  <c:v>Ohio</c:v>
                </c:pt>
                <c:pt idx="10">
                  <c:v>Oklahoma</c:v>
                </c:pt>
                <c:pt idx="11">
                  <c:v>Pennsylvania</c:v>
                </c:pt>
                <c:pt idx="12">
                  <c:v>Texas</c:v>
                </c:pt>
                <c:pt idx="13">
                  <c:v>Wisconsin</c:v>
                </c:pt>
              </c:strCache>
            </c:strRef>
          </c:cat>
          <c:val>
            <c:numRef>
              <c:f>'Geo Sum'!$D$85:$D$99</c:f>
              <c:numCache>
                <c:formatCode>0.00%</c:formatCode>
                <c:ptCount val="14"/>
                <c:pt idx="0">
                  <c:v>0.1029837893856036</c:v>
                </c:pt>
                <c:pt idx="1">
                  <c:v>4.7290856258941479E-2</c:v>
                </c:pt>
                <c:pt idx="2">
                  <c:v>0.1026920506054744</c:v>
                </c:pt>
                <c:pt idx="3">
                  <c:v>2.2565994642992741E-2</c:v>
                </c:pt>
                <c:pt idx="4">
                  <c:v>4.4511525232851278E-3</c:v>
                </c:pt>
                <c:pt idx="5">
                  <c:v>4.444039916858683E-2</c:v>
                </c:pt>
                <c:pt idx="6">
                  <c:v>4.8178396643561707E-3</c:v>
                </c:pt>
                <c:pt idx="7">
                  <c:v>0.11649054216118455</c:v>
                </c:pt>
                <c:pt idx="8">
                  <c:v>4.7775142633955929E-2</c:v>
                </c:pt>
                <c:pt idx="9">
                  <c:v>4.3243988235612651E-2</c:v>
                </c:pt>
                <c:pt idx="10">
                  <c:v>6.349608743988224E-3</c:v>
                </c:pt>
                <c:pt idx="11">
                  <c:v>5.3334015037395925E-2</c:v>
                </c:pt>
                <c:pt idx="12">
                  <c:v>0.27296109935169699</c:v>
                </c:pt>
                <c:pt idx="13">
                  <c:v>0.13060352158692526</c:v>
                </c:pt>
              </c:numCache>
            </c:numRef>
          </c:val>
          <c:extLst>
            <c:ext xmlns:c16="http://schemas.microsoft.com/office/drawing/2014/chart" uri="{C3380CC4-5D6E-409C-BE32-E72D297353CC}">
              <c16:uniqueId val="{00000001-EBCF-48D8-A97D-E74E9C334E3F}"/>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[50E47BE8.xlsx]Geo Sum!PivotTable3</c:name>
    <c:fmtId val="1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Fund IV Equity by state</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1">
              <a:lumMod val="60000"/>
            </a:schemeClr>
          </a:solidFill>
          <a:ln>
            <a:noFill/>
          </a:ln>
          <a:effectLst>
            <a:outerShdw blurRad="63500" sx="102000" sy="102000" algn="ctr" rotWithShape="0">
              <a:prstClr val="black">
                <a:alpha val="20000"/>
              </a:prstClr>
            </a:outerShdw>
          </a:effectLst>
        </c:spPr>
        <c:dLbl>
          <c:idx val="0"/>
          <c:layout>
            <c:manualLayout>
              <c:x val="7.5117380989764254E-2"/>
              <c:y val="5.785668522194478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6"/>
          </a:solidFill>
          <a:ln>
            <a:noFill/>
          </a:ln>
          <a:effectLst>
            <a:outerShdw blurRad="63500" sx="102000" sy="102000" algn="ctr" rotWithShape="0">
              <a:prstClr val="black">
                <a:alpha val="20000"/>
              </a:prstClr>
            </a:outerShdw>
          </a:effectLst>
        </c:spPr>
        <c:dLbl>
          <c:idx val="0"/>
          <c:layout>
            <c:manualLayout>
              <c:x val="6.6581314968200134E-2"/>
              <c:y val="1.314924664135099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5"/>
          </a:solidFill>
          <a:ln>
            <a:noFill/>
          </a:ln>
          <a:effectLst>
            <a:outerShdw blurRad="63500" sx="102000" sy="102000" algn="ctr" rotWithShape="0">
              <a:prstClr val="black">
                <a:alpha val="20000"/>
              </a:prstClr>
            </a:outerShdw>
          </a:effectLst>
        </c:spPr>
        <c:dLbl>
          <c:idx val="0"/>
          <c:layout>
            <c:manualLayout>
              <c:x val="0.12121213750621049"/>
              <c:y val="-2.629849328270217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pivotFmt>
      <c:pivotFmt>
        <c:idx val="6"/>
        <c:spPr>
          <a:solidFill>
            <a:schemeClr val="accent2"/>
          </a:solidFill>
          <a:ln>
            <a:noFill/>
          </a:ln>
          <a:effectLst>
            <a:outerShdw blurRad="63500" sx="102000" sy="102000" algn="ctr" rotWithShape="0">
              <a:prstClr val="black">
                <a:alpha val="20000"/>
              </a:prstClr>
            </a:outerShdw>
          </a:effectLst>
        </c:spPr>
      </c:pivotFmt>
      <c:pivotFmt>
        <c:idx val="7"/>
        <c:spPr>
          <a:solidFill>
            <a:schemeClr val="accent3"/>
          </a:solidFill>
          <a:ln>
            <a:noFill/>
          </a:ln>
          <a:effectLst>
            <a:outerShdw blurRad="63500" sx="102000" sy="102000" algn="ctr" rotWithShape="0">
              <a:prstClr val="black">
                <a:alpha val="20000"/>
              </a:prstClr>
            </a:outerShdw>
          </a:effectLst>
        </c:spPr>
      </c:pivotFmt>
      <c:pivotFmt>
        <c:idx val="8"/>
        <c:spPr>
          <a:solidFill>
            <a:schemeClr val="accent4"/>
          </a:solidFill>
          <a:ln>
            <a:noFill/>
          </a:ln>
          <a:effectLst>
            <a:outerShdw blurRad="63500" sx="102000" sy="102000" algn="ctr" rotWithShape="0">
              <a:prstClr val="black">
                <a:alpha val="20000"/>
              </a:prstClr>
            </a:outerShdw>
          </a:effectLst>
        </c:spPr>
      </c:pivotFmt>
      <c:pivotFmt>
        <c:idx val="9"/>
        <c:spPr>
          <a:solidFill>
            <a:schemeClr val="accent2">
              <a:lumMod val="60000"/>
            </a:schemeClr>
          </a:solidFill>
          <a:ln>
            <a:noFill/>
          </a:ln>
          <a:effectLst>
            <a:outerShdw blurRad="63500" sx="102000" sy="102000" algn="ctr" rotWithShape="0">
              <a:prstClr val="black">
                <a:alpha val="20000"/>
              </a:prstClr>
            </a:outerShdw>
          </a:effectLst>
        </c:spPr>
      </c:pivotFmt>
      <c:pivotFmt>
        <c:idx val="10"/>
        <c:spPr>
          <a:solidFill>
            <a:schemeClr val="accent3">
              <a:lumMod val="60000"/>
            </a:schemeClr>
          </a:solidFill>
          <a:ln>
            <a:noFill/>
          </a:ln>
          <a:effectLst>
            <a:outerShdw blurRad="63500" sx="102000" sy="102000" algn="ctr" rotWithShape="0">
              <a:prstClr val="black">
                <a:alpha val="20000"/>
              </a:prstClr>
            </a:outerShdw>
          </a:effectLst>
        </c:spPr>
      </c:pivotFmt>
      <c:pivotFmt>
        <c:idx val="11"/>
        <c:spPr>
          <a:solidFill>
            <a:schemeClr val="accent4">
              <a:lumMod val="60000"/>
            </a:schemeClr>
          </a:solidFill>
          <a:ln>
            <a:noFill/>
          </a:ln>
          <a:effectLst>
            <a:outerShdw blurRad="63500" sx="102000" sy="102000" algn="ctr" rotWithShape="0">
              <a:prstClr val="black">
                <a:alpha val="20000"/>
              </a:prstClr>
            </a:outerShdw>
          </a:effectLst>
        </c:spPr>
      </c:pivotFmt>
      <c:pivotFmt>
        <c:idx val="12"/>
        <c:spPr>
          <a:solidFill>
            <a:schemeClr val="accent5">
              <a:lumMod val="60000"/>
            </a:schemeClr>
          </a:solidFill>
          <a:ln>
            <a:noFill/>
          </a:ln>
          <a:effectLst>
            <a:outerShdw blurRad="63500" sx="102000" sy="102000" algn="ctr" rotWithShape="0">
              <a:prstClr val="black">
                <a:alpha val="20000"/>
              </a:prstClr>
            </a:outerShdw>
          </a:effectLst>
        </c:spPr>
      </c:pivotFmt>
      <c:pivotFmt>
        <c:idx val="13"/>
        <c:spPr>
          <a:solidFill>
            <a:schemeClr val="accent6">
              <a:lumMod val="60000"/>
            </a:schemeClr>
          </a:solidFill>
          <a:ln>
            <a:noFill/>
          </a:ln>
          <a:effectLst>
            <a:outerShdw blurRad="63500" sx="102000" sy="102000" algn="ctr" rotWithShape="0">
              <a:prstClr val="black">
                <a:alpha val="20000"/>
              </a:prstClr>
            </a:outerShdw>
          </a:effectLst>
        </c:spPr>
      </c:pivotFmt>
      <c:pivotFmt>
        <c:idx val="14"/>
        <c:spPr>
          <a:solidFill>
            <a:schemeClr val="accent1"/>
          </a:solidFill>
          <a:ln>
            <a:noFill/>
          </a:ln>
          <a:effectLst>
            <a:outerShdw blurRad="63500" sx="102000" sy="102000" algn="ctr" rotWithShape="0">
              <a:prstClr val="black">
                <a:alpha val="20000"/>
              </a:prstClr>
            </a:outerShdw>
          </a:effectLst>
        </c:spPr>
      </c:pivotFmt>
      <c:pivotFmt>
        <c:idx val="15"/>
        <c:spPr>
          <a:solidFill>
            <a:schemeClr val="accent2"/>
          </a:solidFill>
          <a:ln>
            <a:noFill/>
          </a:ln>
          <a:effectLst>
            <a:outerShdw blurRad="63500" sx="102000" sy="102000" algn="ctr" rotWithShape="0">
              <a:prstClr val="black">
                <a:alpha val="20000"/>
              </a:prstClr>
            </a:outerShdw>
          </a:effectLst>
        </c:spPr>
      </c:pivotFmt>
      <c:pivotFmt>
        <c:idx val="16"/>
        <c:spPr>
          <a:solidFill>
            <a:schemeClr val="accent3"/>
          </a:solidFill>
          <a:ln>
            <a:noFill/>
          </a:ln>
          <a:effectLst>
            <a:outerShdw blurRad="63500" sx="102000" sy="102000" algn="ctr" rotWithShape="0">
              <a:prstClr val="black">
                <a:alpha val="20000"/>
              </a:prstClr>
            </a:outerShdw>
          </a:effectLst>
        </c:spPr>
      </c:pivotFmt>
      <c:pivotFmt>
        <c:idx val="17"/>
        <c:spPr>
          <a:solidFill>
            <a:schemeClr val="accent4"/>
          </a:solidFill>
          <a:ln>
            <a:noFill/>
          </a:ln>
          <a:effectLst>
            <a:outerShdw blurRad="63500" sx="102000" sy="102000" algn="ctr" rotWithShape="0">
              <a:prstClr val="black">
                <a:alpha val="20000"/>
              </a:prstClr>
            </a:outerShdw>
          </a:effectLst>
        </c:spPr>
      </c:pivotFmt>
      <c:pivotFmt>
        <c:idx val="18"/>
        <c:spPr>
          <a:solidFill>
            <a:schemeClr val="accent5"/>
          </a:solidFill>
          <a:ln>
            <a:noFill/>
          </a:ln>
          <a:effectLst>
            <a:outerShdw blurRad="63500" sx="102000" sy="102000" algn="ctr" rotWithShape="0">
              <a:prstClr val="black">
                <a:alpha val="20000"/>
              </a:prstClr>
            </a:outerShdw>
          </a:effectLst>
        </c:spPr>
      </c:pivotFmt>
      <c:pivotFmt>
        <c:idx val="19"/>
        <c:spPr>
          <a:solidFill>
            <a:schemeClr val="accent6"/>
          </a:solidFill>
          <a:ln>
            <a:noFill/>
          </a:ln>
          <a:effectLst>
            <a:outerShdw blurRad="63500" sx="102000" sy="102000" algn="ctr" rotWithShape="0">
              <a:prstClr val="black">
                <a:alpha val="20000"/>
              </a:prstClr>
            </a:outerShdw>
          </a:effectLst>
        </c:spPr>
      </c:pivotFmt>
      <c:pivotFmt>
        <c:idx val="20"/>
        <c:spPr>
          <a:solidFill>
            <a:schemeClr val="accent1">
              <a:lumMod val="60000"/>
            </a:schemeClr>
          </a:solidFill>
          <a:ln>
            <a:noFill/>
          </a:ln>
          <a:effectLst>
            <a:outerShdw blurRad="63500" sx="102000" sy="102000" algn="ctr" rotWithShape="0">
              <a:prstClr val="black">
                <a:alpha val="20000"/>
              </a:prstClr>
            </a:outerShdw>
          </a:effectLst>
        </c:spPr>
      </c:pivotFmt>
      <c:pivotFmt>
        <c:idx val="21"/>
        <c:spPr>
          <a:solidFill>
            <a:schemeClr val="accent2">
              <a:lumMod val="60000"/>
            </a:schemeClr>
          </a:solidFill>
          <a:ln>
            <a:noFill/>
          </a:ln>
          <a:effectLst>
            <a:outerShdw blurRad="63500" sx="102000" sy="102000" algn="ctr" rotWithShape="0">
              <a:prstClr val="black">
                <a:alpha val="20000"/>
              </a:prstClr>
            </a:outerShdw>
          </a:effectLst>
        </c:spPr>
      </c:pivotFmt>
      <c:pivotFmt>
        <c:idx val="22"/>
        <c:spPr>
          <a:solidFill>
            <a:schemeClr val="accent3">
              <a:lumMod val="60000"/>
            </a:schemeClr>
          </a:solidFill>
          <a:ln>
            <a:noFill/>
          </a:ln>
          <a:effectLst>
            <a:outerShdw blurRad="63500" sx="102000" sy="102000" algn="ctr" rotWithShape="0">
              <a:prstClr val="black">
                <a:alpha val="20000"/>
              </a:prstClr>
            </a:outerShdw>
          </a:effectLst>
        </c:spPr>
      </c:pivotFmt>
      <c:pivotFmt>
        <c:idx val="23"/>
        <c:spPr>
          <a:solidFill>
            <a:schemeClr val="accent4">
              <a:lumMod val="60000"/>
            </a:schemeClr>
          </a:solidFill>
          <a:ln>
            <a:noFill/>
          </a:ln>
          <a:effectLst>
            <a:outerShdw blurRad="63500" sx="102000" sy="102000" algn="ctr" rotWithShape="0">
              <a:prstClr val="black">
                <a:alpha val="20000"/>
              </a:prstClr>
            </a:outerShdw>
          </a:effectLst>
        </c:spPr>
      </c:pivotFmt>
      <c:pivotFmt>
        <c:idx val="24"/>
        <c:spPr>
          <a:solidFill>
            <a:schemeClr val="accent5">
              <a:lumMod val="60000"/>
            </a:schemeClr>
          </a:solidFill>
          <a:ln>
            <a:noFill/>
          </a:ln>
          <a:effectLst>
            <a:outerShdw blurRad="63500" sx="102000" sy="102000" algn="ctr" rotWithShape="0">
              <a:prstClr val="black">
                <a:alpha val="20000"/>
              </a:prstClr>
            </a:outerShdw>
          </a:effectLst>
        </c:spPr>
      </c:pivotFmt>
      <c:pivotFmt>
        <c:idx val="25"/>
        <c:spPr>
          <a:solidFill>
            <a:schemeClr val="accent6">
              <a:lumMod val="60000"/>
            </a:schemeClr>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'Geo Sum'!$C$112</c:f>
              <c:strCache>
                <c:ptCount val="1"/>
                <c:pt idx="0">
                  <c:v>Sum of Fund IV Equity</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97C0-45A4-9697-24CE55CC380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97C0-45A4-9697-24CE55CC380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97C0-45A4-9697-24CE55CC380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97C0-45A4-9697-24CE55CC3806}"/>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97C0-45A4-9697-24CE55CC3806}"/>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97C0-45A4-9697-24CE55CC3806}"/>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97C0-45A4-9697-24CE55CC3806}"/>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97C0-45A4-9697-24CE55CC3806}"/>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97C0-45A4-9697-24CE55CC3806}"/>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97C0-45A4-9697-24CE55CC3806}"/>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97C0-45A4-9697-24CE55CC3806}"/>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97C0-45A4-9697-24CE55CC3806}"/>
              </c:ext>
            </c:extLst>
          </c:dPt>
          <c:dLbls>
            <c:dLbl>
              <c:idx val="4"/>
              <c:layout>
                <c:manualLayout>
                  <c:x val="0.12121213750621049"/>
                  <c:y val="-2.629849328270217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7C0-45A4-9697-24CE55CC3806}"/>
                </c:ext>
              </c:extLst>
            </c:dLbl>
            <c:dLbl>
              <c:idx val="5"/>
              <c:layout>
                <c:manualLayout>
                  <c:x val="6.6581314968200134E-2"/>
                  <c:y val="1.314924664135099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7C0-45A4-9697-24CE55CC3806}"/>
                </c:ext>
              </c:extLst>
            </c:dLbl>
            <c:dLbl>
              <c:idx val="6"/>
              <c:layout>
                <c:manualLayout>
                  <c:x val="7.5117380989764254E-2"/>
                  <c:y val="5.785668522194478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7C0-45A4-9697-24CE55CC380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'Geo Sum'!$B$113:$B$126</c:f>
              <c:strCache>
                <c:ptCount val="13"/>
                <c:pt idx="0">
                  <c:v>Arizona</c:v>
                </c:pt>
                <c:pt idx="1">
                  <c:v>Florida</c:v>
                </c:pt>
                <c:pt idx="2">
                  <c:v>Georgia</c:v>
                </c:pt>
                <c:pt idx="3">
                  <c:v>Illinois</c:v>
                </c:pt>
                <c:pt idx="4">
                  <c:v>Iowa</c:v>
                </c:pt>
                <c:pt idx="5">
                  <c:v>Kentucky</c:v>
                </c:pt>
                <c:pt idx="6">
                  <c:v>Minnesota</c:v>
                </c:pt>
                <c:pt idx="7">
                  <c:v>New Mexico</c:v>
                </c:pt>
                <c:pt idx="8">
                  <c:v>Ohio</c:v>
                </c:pt>
                <c:pt idx="9">
                  <c:v>Oklahoma</c:v>
                </c:pt>
                <c:pt idx="10">
                  <c:v>Pennsylvania</c:v>
                </c:pt>
                <c:pt idx="11">
                  <c:v>Texas</c:v>
                </c:pt>
                <c:pt idx="12">
                  <c:v>North Carolina</c:v>
                </c:pt>
              </c:strCache>
            </c:strRef>
          </c:cat>
          <c:val>
            <c:numRef>
              <c:f>'Geo Sum'!$C$113:$C$126</c:f>
              <c:numCache>
                <c:formatCode>_(* #,##0_);_(* \(#,##0\);_(* "-"??_);_(@_)</c:formatCode>
                <c:ptCount val="13"/>
                <c:pt idx="0">
                  <c:v>5542500</c:v>
                </c:pt>
                <c:pt idx="1">
                  <c:v>35660000</c:v>
                </c:pt>
                <c:pt idx="2">
                  <c:v>23231900</c:v>
                </c:pt>
                <c:pt idx="3">
                  <c:v>2239051.601140053</c:v>
                </c:pt>
                <c:pt idx="4">
                  <c:v>26365000</c:v>
                </c:pt>
                <c:pt idx="5">
                  <c:v>366982.76315870433</c:v>
                </c:pt>
                <c:pt idx="6">
                  <c:v>3250000</c:v>
                </c:pt>
                <c:pt idx="7">
                  <c:v>8075000</c:v>
                </c:pt>
                <c:pt idx="8">
                  <c:v>3293965.6357012424</c:v>
                </c:pt>
                <c:pt idx="9">
                  <c:v>21160735.294117644</c:v>
                </c:pt>
                <c:pt idx="10">
                  <c:v>20432686</c:v>
                </c:pt>
                <c:pt idx="11">
                  <c:v>33839264.705882356</c:v>
                </c:pt>
                <c:pt idx="12">
                  <c:v>11386800</c:v>
                </c:pt>
              </c:numCache>
            </c:numRef>
          </c:val>
          <c:extLst>
            <c:ext xmlns:c16="http://schemas.microsoft.com/office/drawing/2014/chart" uri="{C3380CC4-5D6E-409C-BE32-E72D297353CC}">
              <c16:uniqueId val="{00000000-97C0-45A4-9697-24CE55CC3806}"/>
            </c:ext>
          </c:extLst>
        </c:ser>
        <c:ser>
          <c:idx val="1"/>
          <c:order val="1"/>
          <c:tx>
            <c:strRef>
              <c:f>'Geo Sum'!$D$112</c:f>
              <c:strCache>
                <c:ptCount val="1"/>
                <c:pt idx="0">
                  <c:v>Percent of 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97C0-45A4-9697-24CE55CC380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97C0-45A4-9697-24CE55CC380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97C0-45A4-9697-24CE55CC380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97C0-45A4-9697-24CE55CC3806}"/>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97C0-45A4-9697-24CE55CC3806}"/>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97C0-45A4-9697-24CE55CC3806}"/>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97C0-45A4-9697-24CE55CC3806}"/>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97C0-45A4-9697-24CE55CC3806}"/>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97C0-45A4-9697-24CE55CC3806}"/>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97C0-45A4-9697-24CE55CC3806}"/>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97C0-45A4-9697-24CE55CC3806}"/>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9-97C0-45A4-9697-24CE55CC380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'Geo Sum'!$B$113:$B$126</c:f>
              <c:strCache>
                <c:ptCount val="13"/>
                <c:pt idx="0">
                  <c:v>Arizona</c:v>
                </c:pt>
                <c:pt idx="1">
                  <c:v>Florida</c:v>
                </c:pt>
                <c:pt idx="2">
                  <c:v>Georgia</c:v>
                </c:pt>
                <c:pt idx="3">
                  <c:v>Illinois</c:v>
                </c:pt>
                <c:pt idx="4">
                  <c:v>Iowa</c:v>
                </c:pt>
                <c:pt idx="5">
                  <c:v>Kentucky</c:v>
                </c:pt>
                <c:pt idx="6">
                  <c:v>Minnesota</c:v>
                </c:pt>
                <c:pt idx="7">
                  <c:v>New Mexico</c:v>
                </c:pt>
                <c:pt idx="8">
                  <c:v>Ohio</c:v>
                </c:pt>
                <c:pt idx="9">
                  <c:v>Oklahoma</c:v>
                </c:pt>
                <c:pt idx="10">
                  <c:v>Pennsylvania</c:v>
                </c:pt>
                <c:pt idx="11">
                  <c:v>Texas</c:v>
                </c:pt>
                <c:pt idx="12">
                  <c:v>North Carolina</c:v>
                </c:pt>
              </c:strCache>
            </c:strRef>
          </c:cat>
          <c:val>
            <c:numRef>
              <c:f>'Geo Sum'!$D$113:$D$126</c:f>
              <c:numCache>
                <c:formatCode>0.00%</c:formatCode>
                <c:ptCount val="13"/>
                <c:pt idx="0">
                  <c:v>2.8445850233145113E-2</c:v>
                </c:pt>
                <c:pt idx="1">
                  <c:v>0.18301831652033465</c:v>
                </c:pt>
                <c:pt idx="2">
                  <c:v>0.11923340514774992</c:v>
                </c:pt>
                <c:pt idx="3">
                  <c:v>1.1491515834066525E-2</c:v>
                </c:pt>
                <c:pt idx="4">
                  <c:v>0.13531345807791989</c:v>
                </c:pt>
                <c:pt idx="5">
                  <c:v>1.8834707657119111E-3</c:v>
                </c:pt>
                <c:pt idx="6">
                  <c:v>1.6680020434410758E-2</c:v>
                </c:pt>
                <c:pt idx="7">
                  <c:v>4.144343538703596E-2</c:v>
                </c:pt>
                <c:pt idx="8">
                  <c:v>1.690566588115186E-2</c:v>
                </c:pt>
                <c:pt idx="9">
                  <c:v>0.10860353757324284</c:v>
                </c:pt>
                <c:pt idx="10">
                  <c:v>0.10486696000304573</c:v>
                </c:pt>
                <c:pt idx="11">
                  <c:v>0.17367373131678535</c:v>
                </c:pt>
                <c:pt idx="12">
                  <c:v>5.8440632825399512E-2</c:v>
                </c:pt>
              </c:numCache>
            </c:numRef>
          </c:val>
          <c:extLst>
            <c:ext xmlns:c16="http://schemas.microsoft.com/office/drawing/2014/chart" uri="{C3380CC4-5D6E-409C-BE32-E72D297353CC}">
              <c16:uniqueId val="{00000001-97C0-45A4-9697-24CE55CC3806}"/>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[50E47BE8.xlsx]Asset Class!PivotTable14</c:name>
    <c:fmtId val="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Fund</a:t>
            </a:r>
            <a:r>
              <a:rPr lang="en-US" baseline="0"/>
              <a:t> I Equity by Asset Class</a:t>
            </a:r>
            <a:endParaRPr lang="en-US"/>
          </a:p>
        </c:rich>
      </c:tx>
      <c:overlay val="0"/>
      <c:spPr>
        <a:noFill/>
        <a:ln>
          <a:noFill/>
        </a:ln>
        <a:effectLst/>
      </c:sp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olidFill>
          <a:ln>
            <a:noFill/>
          </a:ln>
          <a:effectLst>
            <a:outerShdw blurRad="63500" sx="102000" sy="102000" algn="ctr" rotWithShape="0">
              <a:prstClr val="black">
                <a:alpha val="20000"/>
              </a:prstClr>
            </a:outerShdw>
          </a:effectLst>
        </c:spPr>
        <c:dLbl>
          <c:idx val="0"/>
          <c:layout>
            <c:manualLayout>
              <c:x val="6.3375990249847566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layout>
            <c:manualLayout>
              <c:x val="6.3375990249847566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63500" sx="102000" sy="102000" algn="ctr" rotWithShape="0">
              <a:prstClr val="black">
                <a:alpha val="20000"/>
              </a:prstClr>
            </a:outerShdw>
          </a:effectLst>
        </c:spPr>
      </c:pivotFmt>
      <c:pivotFmt>
        <c:idx val="25"/>
        <c:spPr>
          <a:solidFill>
            <a:schemeClr val="accent2"/>
          </a:solidFill>
          <a:ln>
            <a:noFill/>
          </a:ln>
          <a:effectLst>
            <a:outerShdw blurRad="63500" sx="102000" sy="102000" algn="ctr" rotWithShape="0">
              <a:prstClr val="black">
                <a:alpha val="20000"/>
              </a:prstClr>
            </a:outerShdw>
          </a:effectLst>
        </c:spPr>
      </c:pivotFmt>
      <c:pivotFmt>
        <c:idx val="26"/>
        <c:spPr>
          <a:solidFill>
            <a:schemeClr val="accent3"/>
          </a:solidFill>
          <a:ln>
            <a:noFill/>
          </a:ln>
          <a:effectLst>
            <a:outerShdw blurRad="63500" sx="102000" sy="102000" algn="ctr" rotWithShape="0">
              <a:prstClr val="black">
                <a:alpha val="20000"/>
              </a:prstClr>
            </a:outerShdw>
          </a:effectLst>
        </c:spPr>
      </c:pivotFmt>
      <c:pivotFmt>
        <c:idx val="27"/>
        <c:spPr>
          <a:solidFill>
            <a:schemeClr val="accent4"/>
          </a:solidFill>
          <a:ln>
            <a:noFill/>
          </a:ln>
          <a:effectLst>
            <a:outerShdw blurRad="63500" sx="102000" sy="102000" algn="ctr" rotWithShape="0">
              <a:prstClr val="black">
                <a:alpha val="20000"/>
              </a:prstClr>
            </a:outerShdw>
          </a:effectLst>
        </c:spPr>
      </c:pivotFmt>
      <c:pivotFmt>
        <c:idx val="28"/>
        <c:spPr>
          <a:solidFill>
            <a:schemeClr val="accent5"/>
          </a:solidFill>
          <a:ln>
            <a:noFill/>
          </a:ln>
          <a:effectLst>
            <a:outerShdw blurRad="63500" sx="102000" sy="102000" algn="ctr" rotWithShape="0">
              <a:prstClr val="black">
                <a:alpha val="20000"/>
              </a:prstClr>
            </a:outerShdw>
          </a:effectLst>
        </c:spPr>
      </c:pivotFmt>
      <c:pivotFmt>
        <c:idx val="29"/>
        <c:spPr>
          <a:solidFill>
            <a:schemeClr val="accent1"/>
          </a:solidFill>
          <a:ln>
            <a:noFill/>
          </a:ln>
          <a:effectLst>
            <a:outerShdw blurRad="63500" sx="102000" sy="102000" algn="ctr" rotWithShape="0">
              <a:prstClr val="black">
                <a:alpha val="20000"/>
              </a:prstClr>
            </a:outerShdw>
          </a:effectLst>
        </c:spPr>
      </c:pivotFmt>
      <c:pivotFmt>
        <c:idx val="30"/>
        <c:spPr>
          <a:solidFill>
            <a:schemeClr val="accent2"/>
          </a:solidFill>
          <a:ln>
            <a:noFill/>
          </a:ln>
          <a:effectLst>
            <a:outerShdw blurRad="63500" sx="102000" sy="102000" algn="ctr" rotWithShape="0">
              <a:prstClr val="black">
                <a:alpha val="20000"/>
              </a:prstClr>
            </a:outerShdw>
          </a:effectLst>
        </c:spPr>
      </c:pivotFmt>
      <c:pivotFmt>
        <c:idx val="31"/>
        <c:spPr>
          <a:solidFill>
            <a:schemeClr val="accent3"/>
          </a:solidFill>
          <a:ln>
            <a:noFill/>
          </a:ln>
          <a:effectLst>
            <a:outerShdw blurRad="63500" sx="102000" sy="102000" algn="ctr" rotWithShape="0">
              <a:prstClr val="black">
                <a:alpha val="20000"/>
              </a:prstClr>
            </a:outerShdw>
          </a:effectLst>
        </c:spPr>
      </c:pivotFmt>
      <c:pivotFmt>
        <c:idx val="32"/>
        <c:spPr>
          <a:solidFill>
            <a:schemeClr val="accent4"/>
          </a:solidFill>
          <a:ln>
            <a:noFill/>
          </a:ln>
          <a:effectLst>
            <a:outerShdw blurRad="63500" sx="102000" sy="102000" algn="ctr" rotWithShape="0">
              <a:prstClr val="black">
                <a:alpha val="20000"/>
              </a:prstClr>
            </a:outerShdw>
          </a:effectLst>
        </c:spPr>
      </c:pivotFmt>
      <c:pivotFmt>
        <c:idx val="33"/>
        <c:spPr>
          <a:solidFill>
            <a:schemeClr val="accent5"/>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'Asset Class'!$C$20</c:f>
              <c:strCache>
                <c:ptCount val="1"/>
                <c:pt idx="0">
                  <c:v>Sum of Fund I Equity</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51FD-4701-8E20-AD283D931A8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51FD-4701-8E20-AD283D931A86}"/>
              </c:ext>
            </c:extLst>
          </c:dPt>
          <c:dPt>
            <c:idx val="2"/>
            <c:bubble3D val="0"/>
            <c:extLst>
              <c:ext xmlns:c16="http://schemas.microsoft.com/office/drawing/2014/chart" uri="{C3380CC4-5D6E-409C-BE32-E72D297353CC}">
                <c16:uniqueId val="{00000005-51FD-4701-8E20-AD283D931A86}"/>
              </c:ext>
            </c:extLst>
          </c:dPt>
          <c:dPt>
            <c:idx val="3"/>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51FD-4701-8E20-AD283D931A86}"/>
              </c:ext>
            </c:extLst>
          </c:dPt>
          <c:dPt>
            <c:idx val="4"/>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51FD-4701-8E20-AD283D931A86}"/>
              </c:ext>
            </c:extLst>
          </c:dPt>
          <c:dPt>
            <c:idx val="5"/>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96F5-4194-B507-92C041E735B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'Asset Class'!$B$21:$B$27</c:f>
              <c:strCache>
                <c:ptCount val="6"/>
                <c:pt idx="0">
                  <c:v>Industrial</c:v>
                </c:pt>
                <c:pt idx="1">
                  <c:v>Land</c:v>
                </c:pt>
                <c:pt idx="2">
                  <c:v>Loan</c:v>
                </c:pt>
                <c:pt idx="3">
                  <c:v>Multi-Family</c:v>
                </c:pt>
                <c:pt idx="4">
                  <c:v>Office</c:v>
                </c:pt>
                <c:pt idx="5">
                  <c:v>Retail</c:v>
                </c:pt>
              </c:strCache>
            </c:strRef>
          </c:cat>
          <c:val>
            <c:numRef>
              <c:f>'Asset Class'!$C$21:$C$27</c:f>
              <c:numCache>
                <c:formatCode>_(* #,##0_);_(* \(#,##0\);_(* "-"??_);_(@_)</c:formatCode>
                <c:ptCount val="6"/>
                <c:pt idx="0">
                  <c:v>2822661</c:v>
                </c:pt>
                <c:pt idx="1">
                  <c:v>1790987.44</c:v>
                </c:pt>
                <c:pt idx="3">
                  <c:v>19862225</c:v>
                </c:pt>
                <c:pt idx="4">
                  <c:v>1890000</c:v>
                </c:pt>
                <c:pt idx="5">
                  <c:v>7198100</c:v>
                </c:pt>
              </c:numCache>
            </c:numRef>
          </c:val>
          <c:extLst>
            <c:ext xmlns:c16="http://schemas.microsoft.com/office/drawing/2014/chart" uri="{C3380CC4-5D6E-409C-BE32-E72D297353CC}">
              <c16:uniqueId val="{0000000A-51FD-4701-8E20-AD283D931A86}"/>
            </c:ext>
          </c:extLst>
        </c:ser>
        <c:ser>
          <c:idx val="1"/>
          <c:order val="1"/>
          <c:tx>
            <c:strRef>
              <c:f>'Asset Class'!$D$20</c:f>
              <c:strCache>
                <c:ptCount val="1"/>
                <c:pt idx="0">
                  <c:v>Percent of 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51FD-4701-8E20-AD283D931A8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51FD-4701-8E20-AD283D931A86}"/>
              </c:ext>
            </c:extLst>
          </c:dPt>
          <c:dPt>
            <c:idx val="2"/>
            <c:bubble3D val="0"/>
            <c:extLst>
              <c:ext xmlns:c16="http://schemas.microsoft.com/office/drawing/2014/chart" uri="{C3380CC4-5D6E-409C-BE32-E72D297353CC}">
                <c16:uniqueId val="{00000010-51FD-4701-8E20-AD283D931A86}"/>
              </c:ext>
            </c:extLst>
          </c:dPt>
          <c:dPt>
            <c:idx val="3"/>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51FD-4701-8E20-AD283D931A86}"/>
              </c:ext>
            </c:extLst>
          </c:dPt>
          <c:dPt>
            <c:idx val="4"/>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51FD-4701-8E20-AD283D931A86}"/>
              </c:ext>
            </c:extLst>
          </c:dPt>
          <c:dPt>
            <c:idx val="5"/>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96F5-4194-B507-92C041E735B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'Asset Class'!$B$21:$B$27</c:f>
              <c:strCache>
                <c:ptCount val="6"/>
                <c:pt idx="0">
                  <c:v>Industrial</c:v>
                </c:pt>
                <c:pt idx="1">
                  <c:v>Land</c:v>
                </c:pt>
                <c:pt idx="2">
                  <c:v>Loan</c:v>
                </c:pt>
                <c:pt idx="3">
                  <c:v>Multi-Family</c:v>
                </c:pt>
                <c:pt idx="4">
                  <c:v>Office</c:v>
                </c:pt>
                <c:pt idx="5">
                  <c:v>Retail</c:v>
                </c:pt>
              </c:strCache>
            </c:strRef>
          </c:cat>
          <c:val>
            <c:numRef>
              <c:f>'Asset Class'!$D$21:$D$27</c:f>
              <c:numCache>
                <c:formatCode>0.00%</c:formatCode>
                <c:ptCount val="6"/>
                <c:pt idx="0">
                  <c:v>8.4097939269493119E-2</c:v>
                </c:pt>
                <c:pt idx="1">
                  <c:v>5.3360411668827733E-2</c:v>
                </c:pt>
                <c:pt idx="2">
                  <c:v>0</c:v>
                </c:pt>
                <c:pt idx="3">
                  <c:v>0.59177215818938511</c:v>
                </c:pt>
                <c:pt idx="4">
                  <c:v>5.6310377058861126E-2</c:v>
                </c:pt>
                <c:pt idx="5">
                  <c:v>0.21445911381343294</c:v>
                </c:pt>
              </c:numCache>
            </c:numRef>
          </c:val>
          <c:extLst>
            <c:ext xmlns:c16="http://schemas.microsoft.com/office/drawing/2014/chart" uri="{C3380CC4-5D6E-409C-BE32-E72D297353CC}">
              <c16:uniqueId val="{00000015-51FD-4701-8E20-AD283D931A86}"/>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[50E47BE8.xlsx]Asset Class!PivotTable15</c:name>
    <c:fmtId val="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Fund II Effective Equity by asset class</a:t>
            </a:r>
          </a:p>
        </c:rich>
      </c:tx>
      <c:overlay val="0"/>
      <c:spPr>
        <a:noFill/>
        <a:ln>
          <a:noFill/>
        </a:ln>
        <a:effectLst/>
      </c:sp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outerShdw blurRad="63500" sx="102000" sy="102000" algn="ctr" rotWithShape="0">
              <a:prstClr val="black">
                <a:alpha val="20000"/>
              </a:prstClr>
            </a:outerShdw>
          </a:effectLst>
        </c:spPr>
        <c:dLbl>
          <c:idx val="0"/>
          <c:layout>
            <c:manualLayout>
              <c:x val="-8.3002248093033564E-17"/>
              <c:y val="2.406014657744414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a:outerShdw blurRad="63500" sx="102000" sy="102000" algn="ctr" rotWithShape="0">
              <a:prstClr val="black">
                <a:alpha val="20000"/>
              </a:prstClr>
            </a:outerShdw>
          </a:effectLst>
        </c:spPr>
        <c:dLbl>
          <c:idx val="0"/>
          <c:layout>
            <c:manualLayout>
              <c:x val="2.9428409734012451E-2"/>
              <c:y val="-6.015036644361044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1">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2">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
        <c:spPr>
          <a:solidFill>
            <a:schemeClr val="accent3">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4">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layout>
            <c:manualLayout>
              <c:x val="-8.3002248093033564E-17"/>
              <c:y val="2.406014657744414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dLbl>
          <c:idx val="0"/>
          <c:layout>
            <c:manualLayout>
              <c:x val="2.9428409734012451E-2"/>
              <c:y val="-6.015036644361044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63500" sx="102000" sy="102000" algn="ctr" rotWithShape="0">
              <a:prstClr val="black">
                <a:alpha val="20000"/>
              </a:prstClr>
            </a:outerShdw>
          </a:effectLst>
        </c:spPr>
      </c:pivotFmt>
      <c:pivotFmt>
        <c:idx val="24"/>
        <c:spPr>
          <a:solidFill>
            <a:schemeClr val="accent2"/>
          </a:solidFill>
          <a:ln>
            <a:noFill/>
          </a:ln>
          <a:effectLst>
            <a:outerShdw blurRad="63500" sx="102000" sy="102000" algn="ctr" rotWithShape="0">
              <a:prstClr val="black">
                <a:alpha val="20000"/>
              </a:prstClr>
            </a:outerShdw>
          </a:effectLst>
        </c:spPr>
        <c:dLbl>
          <c:idx val="0"/>
          <c:layout>
            <c:manualLayout>
              <c:x val="8.4155161078238006E-2"/>
              <c:y val="-4.21607319811284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3"/>
          </a:solidFill>
          <a:ln>
            <a:noFill/>
          </a:ln>
          <a:effectLst>
            <a:outerShdw blurRad="63500" sx="102000" sy="102000" algn="ctr" rotWithShape="0">
              <a:prstClr val="black">
                <a:alpha val="20000"/>
              </a:prstClr>
            </a:outerShdw>
          </a:effectLst>
        </c:spPr>
        <c:dLbl>
          <c:idx val="0"/>
          <c:layout>
            <c:manualLayout>
              <c:x val="7.3635765943458345E-2"/>
              <c:y val="3.513394331760690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4"/>
          </a:solidFill>
          <a:ln>
            <a:noFill/>
          </a:ln>
          <a:effectLst>
            <a:outerShdw blurRad="63500" sx="102000" sy="102000" algn="ctr" rotWithShape="0">
              <a:prstClr val="black">
                <a:alpha val="20000"/>
              </a:prstClr>
            </a:outerShdw>
          </a:effectLst>
        </c:spPr>
      </c:pivotFmt>
      <c:pivotFmt>
        <c:idx val="27"/>
        <c:spPr>
          <a:solidFill>
            <a:schemeClr val="accent5"/>
          </a:solidFill>
          <a:ln>
            <a:noFill/>
          </a:ln>
          <a:effectLst>
            <a:outerShdw blurRad="63500" sx="102000" sy="102000" algn="ctr" rotWithShape="0">
              <a:prstClr val="black">
                <a:alpha val="20000"/>
              </a:prstClr>
            </a:outerShdw>
          </a:effectLst>
        </c:spPr>
      </c:pivotFmt>
      <c:pivotFmt>
        <c:idx val="28"/>
        <c:spPr>
          <a:solidFill>
            <a:schemeClr val="accent6"/>
          </a:solidFill>
          <a:ln>
            <a:noFill/>
          </a:ln>
          <a:effectLst>
            <a:outerShdw blurRad="63500" sx="102000" sy="102000" algn="ctr" rotWithShape="0">
              <a:prstClr val="black">
                <a:alpha val="20000"/>
              </a:prstClr>
            </a:outerShdw>
          </a:effectLst>
        </c:spPr>
      </c:pivotFmt>
      <c:pivotFmt>
        <c:idx val="29"/>
        <c:spPr>
          <a:solidFill>
            <a:schemeClr val="accent1"/>
          </a:solidFill>
          <a:ln>
            <a:noFill/>
          </a:ln>
          <a:effectLst>
            <a:outerShdw blurRad="63500" sx="102000" sy="102000" algn="ctr" rotWithShape="0">
              <a:prstClr val="black">
                <a:alpha val="20000"/>
              </a:prstClr>
            </a:outerShdw>
          </a:effectLst>
        </c:spPr>
      </c:pivotFmt>
      <c:pivotFmt>
        <c:idx val="30"/>
        <c:spPr>
          <a:solidFill>
            <a:schemeClr val="accent2"/>
          </a:solidFill>
          <a:ln>
            <a:noFill/>
          </a:ln>
          <a:effectLst>
            <a:outerShdw blurRad="63500" sx="102000" sy="102000" algn="ctr" rotWithShape="0">
              <a:prstClr val="black">
                <a:alpha val="20000"/>
              </a:prstClr>
            </a:outerShdw>
          </a:effectLst>
        </c:spPr>
      </c:pivotFmt>
      <c:pivotFmt>
        <c:idx val="31"/>
        <c:spPr>
          <a:solidFill>
            <a:schemeClr val="accent3"/>
          </a:solidFill>
          <a:ln>
            <a:noFill/>
          </a:ln>
          <a:effectLst>
            <a:outerShdw blurRad="63500" sx="102000" sy="102000" algn="ctr" rotWithShape="0">
              <a:prstClr val="black">
                <a:alpha val="20000"/>
              </a:prstClr>
            </a:outerShdw>
          </a:effectLst>
        </c:spPr>
      </c:pivotFmt>
      <c:pivotFmt>
        <c:idx val="32"/>
        <c:spPr>
          <a:solidFill>
            <a:schemeClr val="accent4"/>
          </a:solidFill>
          <a:ln>
            <a:noFill/>
          </a:ln>
          <a:effectLst>
            <a:outerShdw blurRad="63500" sx="102000" sy="102000" algn="ctr" rotWithShape="0">
              <a:prstClr val="black">
                <a:alpha val="20000"/>
              </a:prstClr>
            </a:outerShdw>
          </a:effectLst>
        </c:spPr>
      </c:pivotFmt>
      <c:pivotFmt>
        <c:idx val="33"/>
        <c:spPr>
          <a:solidFill>
            <a:schemeClr val="accent5"/>
          </a:solidFill>
          <a:ln>
            <a:noFill/>
          </a:ln>
          <a:effectLst>
            <a:outerShdw blurRad="63500" sx="102000" sy="102000" algn="ctr" rotWithShape="0">
              <a:prstClr val="black">
                <a:alpha val="20000"/>
              </a:prstClr>
            </a:outerShdw>
          </a:effectLst>
        </c:spPr>
      </c:pivotFmt>
      <c:pivotFmt>
        <c:idx val="34"/>
        <c:spPr>
          <a:solidFill>
            <a:schemeClr val="accent6"/>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'Asset Class'!$C$41</c:f>
              <c:strCache>
                <c:ptCount val="1"/>
                <c:pt idx="0">
                  <c:v>Sum of Fund II Effective Equity</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72D9-4639-AA2E-F982FC5138B2}"/>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72D9-4639-AA2E-F982FC5138B2}"/>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72D9-4639-AA2E-F982FC5138B2}"/>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72D9-4639-AA2E-F982FC5138B2}"/>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72D9-4639-AA2E-F982FC5138B2}"/>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72D9-4639-AA2E-F982FC5138B2}"/>
              </c:ext>
            </c:extLst>
          </c:dPt>
          <c:dPt>
            <c:idx val="6"/>
            <c:bubble3D val="0"/>
            <c:extLst>
              <c:ext xmlns:c16="http://schemas.microsoft.com/office/drawing/2014/chart" uri="{C3380CC4-5D6E-409C-BE32-E72D297353CC}">
                <c16:uniqueId val="{0000000D-72D9-4639-AA2E-F982FC5138B2}"/>
              </c:ext>
            </c:extLst>
          </c:dPt>
          <c:dPt>
            <c:idx val="7"/>
            <c:bubble3D val="0"/>
            <c:extLst>
              <c:ext xmlns:c16="http://schemas.microsoft.com/office/drawing/2014/chart" uri="{C3380CC4-5D6E-409C-BE32-E72D297353CC}">
                <c16:uniqueId val="{0000000F-72D9-4639-AA2E-F982FC5138B2}"/>
              </c:ext>
            </c:extLst>
          </c:dPt>
          <c:dPt>
            <c:idx val="8"/>
            <c:bubble3D val="0"/>
            <c:extLst>
              <c:ext xmlns:c16="http://schemas.microsoft.com/office/drawing/2014/chart" uri="{C3380CC4-5D6E-409C-BE32-E72D297353CC}">
                <c16:uniqueId val="{00000011-72D9-4639-AA2E-F982FC5138B2}"/>
              </c:ext>
            </c:extLst>
          </c:dPt>
          <c:dPt>
            <c:idx val="9"/>
            <c:bubble3D val="0"/>
            <c:extLst>
              <c:ext xmlns:c16="http://schemas.microsoft.com/office/drawing/2014/chart" uri="{C3380CC4-5D6E-409C-BE32-E72D297353CC}">
                <c16:uniqueId val="{00000013-72D9-4639-AA2E-F982FC5138B2}"/>
              </c:ext>
            </c:extLst>
          </c:dPt>
          <c:dLbls>
            <c:dLbl>
              <c:idx val="1"/>
              <c:layout>
                <c:manualLayout>
                  <c:x val="8.4155161078238006E-2"/>
                  <c:y val="-4.21607319811284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2D9-4639-AA2E-F982FC5138B2}"/>
                </c:ext>
              </c:extLst>
            </c:dLbl>
            <c:dLbl>
              <c:idx val="2"/>
              <c:layout>
                <c:manualLayout>
                  <c:x val="7.3635765943458345E-2"/>
                  <c:y val="3.513394331760690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2D9-4639-AA2E-F982FC5138B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'Asset Class'!$B$42:$B$48</c:f>
              <c:strCache>
                <c:ptCount val="6"/>
                <c:pt idx="0">
                  <c:v>Industrial</c:v>
                </c:pt>
                <c:pt idx="1">
                  <c:v>Land</c:v>
                </c:pt>
                <c:pt idx="2">
                  <c:v>Loan</c:v>
                </c:pt>
                <c:pt idx="3">
                  <c:v>Multi-Family</c:v>
                </c:pt>
                <c:pt idx="4">
                  <c:v>Office</c:v>
                </c:pt>
                <c:pt idx="5">
                  <c:v>Retail</c:v>
                </c:pt>
              </c:strCache>
            </c:strRef>
          </c:cat>
          <c:val>
            <c:numRef>
              <c:f>'Asset Class'!$C$42:$C$48</c:f>
              <c:numCache>
                <c:formatCode>_(* #,##0_);_(* \(#,##0\);_(* "-"??_);_(@_)</c:formatCode>
                <c:ptCount val="6"/>
                <c:pt idx="0">
                  <c:v>16375264.868035192</c:v>
                </c:pt>
                <c:pt idx="1">
                  <c:v>393912.19354838709</c:v>
                </c:pt>
                <c:pt idx="2">
                  <c:v>1000000</c:v>
                </c:pt>
                <c:pt idx="3">
                  <c:v>56186457.650117308</c:v>
                </c:pt>
                <c:pt idx="4">
                  <c:v>415689.14956011728</c:v>
                </c:pt>
                <c:pt idx="5">
                  <c:v>8031159.824046921</c:v>
                </c:pt>
              </c:numCache>
            </c:numRef>
          </c:val>
          <c:extLst>
            <c:ext xmlns:c16="http://schemas.microsoft.com/office/drawing/2014/chart" uri="{C3380CC4-5D6E-409C-BE32-E72D297353CC}">
              <c16:uniqueId val="{00000014-72D9-4639-AA2E-F982FC5138B2}"/>
            </c:ext>
          </c:extLst>
        </c:ser>
        <c:ser>
          <c:idx val="1"/>
          <c:order val="1"/>
          <c:tx>
            <c:strRef>
              <c:f>'Asset Class'!$D$41</c:f>
              <c:strCache>
                <c:ptCount val="1"/>
                <c:pt idx="0">
                  <c:v>Percent ot 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72D9-4639-AA2E-F982FC5138B2}"/>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72D9-4639-AA2E-F982FC5138B2}"/>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72D9-4639-AA2E-F982FC5138B2}"/>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9-72D9-4639-AA2E-F982FC5138B2}"/>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A-72D9-4639-AA2E-F982FC5138B2}"/>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B-72D9-4639-AA2E-F982FC5138B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'Asset Class'!$B$42:$B$48</c:f>
              <c:strCache>
                <c:ptCount val="6"/>
                <c:pt idx="0">
                  <c:v>Industrial</c:v>
                </c:pt>
                <c:pt idx="1">
                  <c:v>Land</c:v>
                </c:pt>
                <c:pt idx="2">
                  <c:v>Loan</c:v>
                </c:pt>
                <c:pt idx="3">
                  <c:v>Multi-Family</c:v>
                </c:pt>
                <c:pt idx="4">
                  <c:v>Office</c:v>
                </c:pt>
                <c:pt idx="5">
                  <c:v>Retail</c:v>
                </c:pt>
              </c:strCache>
            </c:strRef>
          </c:cat>
          <c:val>
            <c:numRef>
              <c:f>'Asset Class'!$D$42:$D$48</c:f>
              <c:numCache>
                <c:formatCode>0.00%</c:formatCode>
                <c:ptCount val="6"/>
                <c:pt idx="0">
                  <c:v>0.19872295270336424</c:v>
                </c:pt>
                <c:pt idx="1">
                  <c:v>4.7803436975604194E-3</c:v>
                </c:pt>
                <c:pt idx="2">
                  <c:v>1.2135556542433397E-2</c:v>
                </c:pt>
                <c:pt idx="3">
                  <c:v>0.68185393373203806</c:v>
                </c:pt>
                <c:pt idx="4">
                  <c:v>5.0446191785628565E-3</c:v>
                </c:pt>
                <c:pt idx="5">
                  <c:v>9.746259414604086E-2</c:v>
                </c:pt>
              </c:numCache>
            </c:numRef>
          </c:val>
          <c:extLst>
            <c:ext xmlns:c16="http://schemas.microsoft.com/office/drawing/2014/chart" uri="{C3380CC4-5D6E-409C-BE32-E72D297353CC}">
              <c16:uniqueId val="{00000015-72D9-4639-AA2E-F982FC5138B2}"/>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[50E47BE8.xlsx]Asset Class!PivotTable4</c:name>
    <c:fmtId val="6"/>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Fund III Equity by asset type</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a:noFill/>
          </a:ln>
          <a:effectLst>
            <a:outerShdw blurRad="63500" sx="102000" sy="102000" algn="ctr" rotWithShape="0">
              <a:prstClr val="black">
                <a:alpha val="20000"/>
              </a:prstClr>
            </a:outerShdw>
          </a:effectLst>
        </c:spPr>
        <c:dLbl>
          <c:idx val="0"/>
          <c:layout>
            <c:manualLayout>
              <c:x val="6.6728445777932244E-2"/>
              <c:y val="2.882882882882882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5"/>
          </a:solidFill>
          <a:ln>
            <a:noFill/>
          </a:ln>
          <a:effectLst>
            <a:outerShdw blurRad="63500" sx="102000" sy="102000" algn="ctr" rotWithShape="0">
              <a:prstClr val="black">
                <a:alpha val="20000"/>
              </a:prstClr>
            </a:outerShdw>
          </a:effectLst>
        </c:spPr>
        <c:dLbl>
          <c:idx val="0"/>
          <c:layout>
            <c:manualLayout>
              <c:x val="-5.9314174024828664E-2"/>
              <c:y val="1.801801801801801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pivotFmt>
      <c:pivotFmt>
        <c:idx val="15"/>
        <c:spPr>
          <a:solidFill>
            <a:schemeClr val="accent2"/>
          </a:solidFill>
          <a:ln>
            <a:noFill/>
          </a:ln>
          <a:effectLst>
            <a:outerShdw blurRad="63500" sx="102000" sy="102000" algn="ctr" rotWithShape="0">
              <a:prstClr val="black">
                <a:alpha val="20000"/>
              </a:prstClr>
            </a:outerShdw>
          </a:effectLst>
        </c:spPr>
      </c:pivotFmt>
      <c:pivotFmt>
        <c:idx val="16"/>
        <c:spPr>
          <a:solidFill>
            <a:schemeClr val="accent4"/>
          </a:solidFill>
          <a:ln>
            <a:noFill/>
          </a:ln>
          <a:effectLst>
            <a:outerShdw blurRad="63500" sx="102000" sy="102000" algn="ctr" rotWithShape="0">
              <a:prstClr val="black">
                <a:alpha val="20000"/>
              </a:prstClr>
            </a:outerShdw>
          </a:effectLst>
        </c:spPr>
      </c:pivotFmt>
      <c:pivotFmt>
        <c:idx val="17"/>
        <c:spPr>
          <a:solidFill>
            <a:schemeClr val="accent6"/>
          </a:solidFill>
          <a:ln>
            <a:noFill/>
          </a:ln>
          <a:effectLst>
            <a:outerShdw blurRad="63500" sx="102000" sy="102000" algn="ctr" rotWithShape="0">
              <a:prstClr val="black">
                <a:alpha val="20000"/>
              </a:prstClr>
            </a:outerShdw>
          </a:effectLst>
        </c:spPr>
      </c:pivotFmt>
      <c:pivotFmt>
        <c:idx val="18"/>
        <c:spPr>
          <a:solidFill>
            <a:schemeClr val="accent1"/>
          </a:solidFill>
          <a:ln>
            <a:noFill/>
          </a:ln>
          <a:effectLst>
            <a:outerShdw blurRad="63500" sx="102000" sy="102000" algn="ctr" rotWithShape="0">
              <a:prstClr val="black">
                <a:alpha val="20000"/>
              </a:prstClr>
            </a:outerShdw>
          </a:effectLst>
        </c:spPr>
      </c:pivotFmt>
      <c:pivotFmt>
        <c:idx val="19"/>
        <c:spPr>
          <a:solidFill>
            <a:schemeClr val="accent2"/>
          </a:solidFill>
          <a:ln>
            <a:noFill/>
          </a:ln>
          <a:effectLst>
            <a:outerShdw blurRad="63500" sx="102000" sy="102000" algn="ctr" rotWithShape="0">
              <a:prstClr val="black">
                <a:alpha val="20000"/>
              </a:prstClr>
            </a:outerShdw>
          </a:effectLst>
        </c:spPr>
      </c:pivotFmt>
      <c:pivotFmt>
        <c:idx val="20"/>
        <c:spPr>
          <a:solidFill>
            <a:schemeClr val="accent3"/>
          </a:solidFill>
          <a:ln>
            <a:noFill/>
          </a:ln>
          <a:effectLst>
            <a:outerShdw blurRad="63500" sx="102000" sy="102000" algn="ctr" rotWithShape="0">
              <a:prstClr val="black">
                <a:alpha val="20000"/>
              </a:prstClr>
            </a:outerShdw>
          </a:effectLst>
        </c:spPr>
      </c:pivotFmt>
      <c:pivotFmt>
        <c:idx val="21"/>
        <c:spPr>
          <a:solidFill>
            <a:schemeClr val="accent4"/>
          </a:solidFill>
          <a:ln>
            <a:noFill/>
          </a:ln>
          <a:effectLst>
            <a:outerShdw blurRad="63500" sx="102000" sy="102000" algn="ctr" rotWithShape="0">
              <a:prstClr val="black">
                <a:alpha val="20000"/>
              </a:prstClr>
            </a:outerShdw>
          </a:effectLst>
        </c:spPr>
      </c:pivotFmt>
      <c:pivotFmt>
        <c:idx val="22"/>
        <c:spPr>
          <a:solidFill>
            <a:schemeClr val="accent5"/>
          </a:solidFill>
          <a:ln>
            <a:noFill/>
          </a:ln>
          <a:effectLst>
            <a:outerShdw blurRad="63500" sx="102000" sy="102000" algn="ctr" rotWithShape="0">
              <a:prstClr val="black">
                <a:alpha val="20000"/>
              </a:prstClr>
            </a:outerShdw>
          </a:effectLst>
        </c:spPr>
      </c:pivotFmt>
      <c:pivotFmt>
        <c:idx val="23"/>
        <c:spPr>
          <a:solidFill>
            <a:schemeClr val="accent6"/>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'Asset Class'!$C$65</c:f>
              <c:strCache>
                <c:ptCount val="1"/>
                <c:pt idx="0">
                  <c:v>Sum of Fund III Equity</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270-41B9-9D20-6D42F8963AE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270-41B9-9D20-6D42F8963AE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270-41B9-9D20-6D42F8963AE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270-41B9-9D20-6D42F8963AE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270-41B9-9D20-6D42F8963AE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270-41B9-9D20-6D42F8963AE7}"/>
              </c:ext>
            </c:extLst>
          </c:dPt>
          <c:dLbls>
            <c:dLbl>
              <c:idx val="2"/>
              <c:layout>
                <c:manualLayout>
                  <c:x val="6.6728445777932244E-2"/>
                  <c:y val="2.882882882882882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270-41B9-9D20-6D42F8963AE7}"/>
                </c:ext>
              </c:extLst>
            </c:dLbl>
            <c:dLbl>
              <c:idx val="4"/>
              <c:layout>
                <c:manualLayout>
                  <c:x val="-5.9314174024828664E-2"/>
                  <c:y val="1.801801801801801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270-41B9-9D20-6D42F8963AE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'Asset Class'!$B$66:$B$72</c:f>
              <c:strCache>
                <c:ptCount val="6"/>
                <c:pt idx="0">
                  <c:v>Industrial</c:v>
                </c:pt>
                <c:pt idx="1">
                  <c:v>Land</c:v>
                </c:pt>
                <c:pt idx="2">
                  <c:v>Loan</c:v>
                </c:pt>
                <c:pt idx="3">
                  <c:v>Multi-Family</c:v>
                </c:pt>
                <c:pt idx="4">
                  <c:v>Office</c:v>
                </c:pt>
                <c:pt idx="5">
                  <c:v>Retail</c:v>
                </c:pt>
              </c:strCache>
            </c:strRef>
          </c:cat>
          <c:val>
            <c:numRef>
              <c:f>'Asset Class'!$C$66:$C$72</c:f>
              <c:numCache>
                <c:formatCode>_(* #,##0_);_(* \(#,##0\);_(* "-"??_);_(@_)</c:formatCode>
                <c:ptCount val="6"/>
                <c:pt idx="0">
                  <c:v>29050672.990000002</c:v>
                </c:pt>
                <c:pt idx="1">
                  <c:v>870698.56</c:v>
                </c:pt>
                <c:pt idx="2">
                  <c:v>4000000</c:v>
                </c:pt>
                <c:pt idx="3">
                  <c:v>127175627.30000001</c:v>
                </c:pt>
                <c:pt idx="4">
                  <c:v>1814198</c:v>
                </c:pt>
                <c:pt idx="5">
                  <c:v>8475000</c:v>
                </c:pt>
              </c:numCache>
            </c:numRef>
          </c:val>
          <c:extLst>
            <c:ext xmlns:c16="http://schemas.microsoft.com/office/drawing/2014/chart" uri="{C3380CC4-5D6E-409C-BE32-E72D297353CC}">
              <c16:uniqueId val="{00000000-8270-41B9-9D20-6D42F8963AE7}"/>
            </c:ext>
          </c:extLst>
        </c:ser>
        <c:ser>
          <c:idx val="1"/>
          <c:order val="1"/>
          <c:tx>
            <c:strRef>
              <c:f>'Asset Class'!$D$65</c:f>
              <c:strCache>
                <c:ptCount val="1"/>
                <c:pt idx="0">
                  <c:v>Percent of 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270-41B9-9D20-6D42F8963AE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270-41B9-9D20-6D42F8963AE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270-41B9-9D20-6D42F8963AE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270-41B9-9D20-6D42F8963AE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270-41B9-9D20-6D42F8963AE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270-41B9-9D20-6D42F8963AE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'Asset Class'!$B$66:$B$72</c:f>
              <c:strCache>
                <c:ptCount val="6"/>
                <c:pt idx="0">
                  <c:v>Industrial</c:v>
                </c:pt>
                <c:pt idx="1">
                  <c:v>Land</c:v>
                </c:pt>
                <c:pt idx="2">
                  <c:v>Loan</c:v>
                </c:pt>
                <c:pt idx="3">
                  <c:v>Multi-Family</c:v>
                </c:pt>
                <c:pt idx="4">
                  <c:v>Office</c:v>
                </c:pt>
                <c:pt idx="5">
                  <c:v>Retail</c:v>
                </c:pt>
              </c:strCache>
            </c:strRef>
          </c:cat>
          <c:val>
            <c:numRef>
              <c:f>'Asset Class'!$D$66:$D$72</c:f>
              <c:numCache>
                <c:formatCode>0.00%</c:formatCode>
                <c:ptCount val="6"/>
                <c:pt idx="0">
                  <c:v>0.16950415800069141</c:v>
                </c:pt>
                <c:pt idx="1">
                  <c:v>5.0803307150928236E-3</c:v>
                </c:pt>
                <c:pt idx="2">
                  <c:v>2.3339102410335093E-2</c:v>
                </c:pt>
                <c:pt idx="3">
                  <c:v>0.74204124741332689</c:v>
                </c:pt>
                <c:pt idx="4">
                  <c:v>1.0585438228656275E-2</c:v>
                </c:pt>
                <c:pt idx="5">
                  <c:v>4.9449723231897474E-2</c:v>
                </c:pt>
              </c:numCache>
            </c:numRef>
          </c:val>
          <c:extLst>
            <c:ext xmlns:c16="http://schemas.microsoft.com/office/drawing/2014/chart" uri="{C3380CC4-5D6E-409C-BE32-E72D297353CC}">
              <c16:uniqueId val="{00000001-8270-41B9-9D20-6D42F8963AE7}"/>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[50E47BE8.xlsx]Asset Class!PivotTable5</c:name>
    <c:fmtId val="7"/>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Fund IV Equity by asset class</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pivotFmt>
      <c:pivotFmt>
        <c:idx val="7"/>
        <c:spPr>
          <a:solidFill>
            <a:schemeClr val="accent2"/>
          </a:solidFill>
          <a:ln>
            <a:noFill/>
          </a:ln>
          <a:effectLst>
            <a:outerShdw blurRad="63500" sx="102000" sy="102000" algn="ctr" rotWithShape="0">
              <a:prstClr val="black">
                <a:alpha val="20000"/>
              </a:prstClr>
            </a:outerShdw>
          </a:effectLst>
        </c:spPr>
      </c:pivotFmt>
      <c:pivotFmt>
        <c:idx val="8"/>
        <c:spPr>
          <a:solidFill>
            <a:schemeClr val="accent1"/>
          </a:solidFill>
          <a:ln>
            <a:noFill/>
          </a:ln>
          <a:effectLst>
            <a:outerShdw blurRad="63500" sx="102000" sy="102000" algn="ctr" rotWithShape="0">
              <a:prstClr val="black">
                <a:alpha val="20000"/>
              </a:prstClr>
            </a:outerShdw>
          </a:effectLst>
        </c:spPr>
      </c:pivotFmt>
      <c:pivotFmt>
        <c:idx val="9"/>
        <c:spPr>
          <a:solidFill>
            <a:schemeClr val="accent2"/>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'Asset Class'!$C$89</c:f>
              <c:strCache>
                <c:ptCount val="1"/>
                <c:pt idx="0">
                  <c:v>Sum of Fund IV Equity</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3D03-4ED4-83AB-FEADAF733205}"/>
              </c:ext>
            </c:extLst>
          </c:dPt>
          <c:dPt>
            <c:idx val="1"/>
            <c:bubble3D val="0"/>
            <c:extLst>
              <c:ext xmlns:c16="http://schemas.microsoft.com/office/drawing/2014/chart" uri="{C3380CC4-5D6E-409C-BE32-E72D297353CC}">
                <c16:uniqueId val="{00000003-3D03-4ED4-83AB-FEADAF733205}"/>
              </c:ext>
            </c:extLst>
          </c:dPt>
          <c:dPt>
            <c:idx val="3"/>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9C21-47E7-861D-02EB8045CA8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'Asset Class'!$B$90:$B$96</c:f>
              <c:strCache>
                <c:ptCount val="6"/>
                <c:pt idx="0">
                  <c:v>Industrial</c:v>
                </c:pt>
                <c:pt idx="1">
                  <c:v>Land</c:v>
                </c:pt>
                <c:pt idx="2">
                  <c:v>Loan</c:v>
                </c:pt>
                <c:pt idx="3">
                  <c:v>Multi-Family</c:v>
                </c:pt>
                <c:pt idx="4">
                  <c:v>Office</c:v>
                </c:pt>
                <c:pt idx="5">
                  <c:v>Retail</c:v>
                </c:pt>
              </c:strCache>
            </c:strRef>
          </c:cat>
          <c:val>
            <c:numRef>
              <c:f>'Asset Class'!$C$90:$C$96</c:f>
              <c:numCache>
                <c:formatCode>_(* #,##0_);_(* \(#,##0\);_(* "-"??_);_(@_)</c:formatCode>
                <c:ptCount val="6"/>
                <c:pt idx="0">
                  <c:v>9150000</c:v>
                </c:pt>
                <c:pt idx="3">
                  <c:v>185693886</c:v>
                </c:pt>
              </c:numCache>
            </c:numRef>
          </c:val>
          <c:extLst>
            <c:ext xmlns:c16="http://schemas.microsoft.com/office/drawing/2014/chart" uri="{C3380CC4-5D6E-409C-BE32-E72D297353CC}">
              <c16:uniqueId val="{00000000-3D03-4ED4-83AB-FEADAF733205}"/>
            </c:ext>
          </c:extLst>
        </c:ser>
        <c:ser>
          <c:idx val="1"/>
          <c:order val="1"/>
          <c:tx>
            <c:strRef>
              <c:f>'Asset Class'!$D$89</c:f>
              <c:strCache>
                <c:ptCount val="1"/>
                <c:pt idx="0">
                  <c:v>Percent of 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3D03-4ED4-83AB-FEADAF733205}"/>
              </c:ext>
            </c:extLst>
          </c:dPt>
          <c:dPt>
            <c:idx val="1"/>
            <c:bubble3D val="0"/>
            <c:extLst>
              <c:ext xmlns:c16="http://schemas.microsoft.com/office/drawing/2014/chart" uri="{C3380CC4-5D6E-409C-BE32-E72D297353CC}">
                <c16:uniqueId val="{00000005-3D03-4ED4-83AB-FEADAF733205}"/>
              </c:ext>
            </c:extLst>
          </c:dPt>
          <c:dPt>
            <c:idx val="3"/>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9C21-47E7-861D-02EB8045CA8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'Asset Class'!$B$90:$B$96</c:f>
              <c:strCache>
                <c:ptCount val="6"/>
                <c:pt idx="0">
                  <c:v>Industrial</c:v>
                </c:pt>
                <c:pt idx="1">
                  <c:v>Land</c:v>
                </c:pt>
                <c:pt idx="2">
                  <c:v>Loan</c:v>
                </c:pt>
                <c:pt idx="3">
                  <c:v>Multi-Family</c:v>
                </c:pt>
                <c:pt idx="4">
                  <c:v>Office</c:v>
                </c:pt>
                <c:pt idx="5">
                  <c:v>Retail</c:v>
                </c:pt>
              </c:strCache>
            </c:strRef>
          </c:cat>
          <c:val>
            <c:numRef>
              <c:f>'Asset Class'!$D$90:$D$96</c:f>
              <c:numCache>
                <c:formatCode>0.00%</c:formatCode>
                <c:ptCount val="6"/>
                <c:pt idx="0">
                  <c:v>4.6960672915341055E-2</c:v>
                </c:pt>
                <c:pt idx="1">
                  <c:v>0</c:v>
                </c:pt>
                <c:pt idx="2">
                  <c:v>0</c:v>
                </c:pt>
                <c:pt idx="3">
                  <c:v>0.95303932708465899</c:v>
                </c:pt>
                <c:pt idx="4">
                  <c:v>0</c:v>
                </c:pt>
                <c:pt idx="5">
                  <c:v>0</c:v>
                </c:pt>
              </c:numCache>
            </c:numRef>
          </c:val>
          <c:extLst>
            <c:ext xmlns:c16="http://schemas.microsoft.com/office/drawing/2014/chart" uri="{C3380CC4-5D6E-409C-BE32-E72D297353CC}">
              <c16:uniqueId val="{00000001-3D03-4ED4-83AB-FEADAF733205}"/>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All Time MLG Equity Placed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All Time MLG Equity Placed by State</a:t>
          </a:r>
        </a:p>
      </cx:txPr>
    </cx:title>
    <cx:plotArea>
      <cx:plotAreaRegion>
        <cx:series layoutId="regionMap" uniqueId="{E97E2424-6C78-4BF2-A703-12C9C9742832}">
          <cx:dataId val="0"/>
          <cx:layoutPr>
            <cx:geography cultureLanguage="en-US" cultureRegion="US" attribution="Powered by Bing">
              <cx:geoCache provider="{E9337A44-BEBE-4D9F-B70C-5C5E7DAFC167}">
                <cx:binary>1HxZc9w4su5fcfj5Uk1sBDExfSKGrE2qRVLJaqv1wpAlNQlu4E6Qv/4mUbZKqta0feI64oZfIOQC
FIpJJDK/ROnfj/pfj+nzQ/VBZ2le/+tR//4xapriX7/9Vj9Gz9lDfZbJx0rV6q/m7FFlv6m//pKP
z789VQ+9zMPfsI3ob4/RQ9U864//82+YLXxWG/X40EiVX7fP1bB/rtu0qf9B9q7ow8NTJvOZrJtK
Pjbo94+fZf2o8lrmHz88541shk9D8fz7xzdqHz/8djrZ3z74Qwpra9onGEvpmUOEYJxiLrjLkPPx
Q6ry8KvYcsUZJxgkLrZd2+Yu+vbZu4cMxv/QksyCHp6eque6hi9l/r4Z+uYbgOT844dH1ebN9OhC
eIq/f7zNZfP89OGmeWie648fZK38g4Kvpq9xe2O+929vH/7//PuEAU/ihPPKPqeP7Xuiv5nnP+nD
l4fs4dsD+n83DsFn3HEodmwXWmYe/hvjOGcutQnBNkGYffvcg2F+YDHvm+Vl4IlR/rP5JY2ye+4/
bJ+1fFTfns9PsAs9oxgRhzuUYQf+4rebBtnOGbJdImDLuMhmlH/77INtfmxN75vn9dgTC+22v6SF
/lPJUeU/c9vQMywIJoIJwmzmMnFiHoTOYFs5SFDKjFN7a54fWND7tnkZeGKY/9z/koY5T1OZKwnu
9qedNvYZwhRR5AiCEMOEvrUMnDaIug52QeI6BJ+eNj+yovdNcxx5YpvzX9Ot+SpV1cPTz3Rq7pkQ
LmM2RcwG1+WQt7YBP3YGnszFrsMpQQ49iQR+ZEXv2+Y48sQ2/uWvuW9U/xO9GcVnNqcORGjURmCf
6TB5HQQIcsZs23aQTRhizmkccP6dxbxvksOoE3Oc/+eXNMcCdop8+okWwe4ZE4whOGHsKQpAJ+eL
i8+oywnFLqGUY4dBTH3woIfj/wcW9L5VXgaeGGbxa/qwT8/64SceLgSdUYdwgeFIF1NUfLJPxBkB
JqcuRcSGoADOntdW+e5q3rfJ12EnFvl090tulTU8kPYxGb49mZ8QKvMzhiGDdKlAGNmCuG+t4rIz
7HLYQmafnDqvH1nP+2Y5jjyxzPrPX9Iyy2dVhfInOjHILR0Kh7kLD961IRxGJ4YhZ5RSwqntvuvE
fmBB71vmZeCJYZa/5umylXn+XKvmJ5qGOmcEtgtgMQhNMfC0K96c+PQMCZcgl7oIMhiCIFJ77cl+
aEnvG+fV0BPzbHe/5L7ZyrpWbSW/PaGf4NHcMzjzIeQiNkP876CMgNOfc8hyXuz37bMPp/+PrOi/
Gefbdzm1za8ZJ19G8ifmL9Q+g2fOYOdwctgWb3cNRGUczh/mYsQOkNlbu3xvNe/b5DDqxB6Xq19i
r/wzxHrwKIf98kbzf4kwEwH5CWGMTSjylKGc5JVCnEFegwWDs2gKy6YI4bU3O0F+//uy3jfQyfA3
3+TXgJUvk/QhUj8VV4ZMfspNHGbD4f9OSglBG8CXBu4/Dcl+ZDXvW+I48nS7rH+J7fJm1VCNuXrO
83pIu4f8Z8Zl4MZc4TiCAxhjU8flJ4c/52cucV3Buc2mcsypfX50Ve/b6O3oN98YvvCvGaF9AjtB
4en5+Ztf+QkxAIPCCxaA73OG6QRonpw1UwRHMIPgGU4cRh1ACF77tB9a0vsWejX0xDyffs0Ibaeq
JvrgP1QK0OafGEUTcHJEEM7+S5zGAWt2GViJEjDTVEJ7a6MfX9f7hjodf2Ktnf//x+n99/rnS5l4
9tA8zE19+VUJ9J+l5hFA2ftk6NeX/t0g4rAfzp9+/wg76FVMMU3xZrOcnOAn454f6ub3j5bjnAkO
sDUXVGBkvGb/PEkQh3hcUC4gZscCi2kr5tMr9/tHjs4IwKnEFBomPwqZwsRHgITD5kUCIAuDTPCX
sv6VSocQSvDfvu9X+kPeZldK5k39+0cC+GxxUJu+HBSghANFWpsRBvkcLA3QwOLxYQ9XB0Ab/Z/E
icoGa6vb9QMqPKsP2nCZUhFuK4SvRNSiFVJC9p7hdXV5HjXdp7FxykVJhHXu8AJdx13ee01fZo9Q
r7lw+oR+PmpA1Bv6hR3IFceZ2rGpaWsU+inqxLxs3HzXhlrtTC+t991Y+2FdZ1489sM9GWjkt3RI
dm3U4CsjsBMeXL2y2TuPYQJF//YYoLjAAasGtNpx7LePgWtdIIDu2t2YVQyXHhfZPOUB2dlYOXPV
FoVP8BgSzy0LujOSNCQzqkm5cSbWkW9GFGla+EYQFdmslaqPYcu9XI54Z8mTF3+zZI5cBEEpI1Ms
BEUreE1fW470AUJ5J+NdEIeddTMGvPKbIZT3FfLTTgz33M6SZSkCe/mNXafdAGL7PXaImq9sm7Ty
nvb+UbuOGz5jssw9m81L8Fe3GRfyFrM5FILS+RDVltf3HZ3lCYr2Vlh+7Q0Tr2+LaJ+HiM6GqXfU
y5XKvX9+KJBLvXkqEJJA0GELB6AJDmU8gJDePpUUxVWO+oQ9l0RtWW6TW12meFZEo1iizsG3PS3x
LBsrsTRS27XQQYqrnBykaZp8lb431kxllN8bi8SDDFU0C7uiXJvGTdOy8I600EO55lNzwovDsfim
aNUbJ2/0KqRjtTk2aSFek5Jm1lolK1EK8jks0mxDHBH61kSWQ27P+z7iS+yU9DPmzVOSN/1lqEcP
RdFc8SpeJNMeY0Xp5w0Sn7tQL5iImybwbD7SWRqMwXoYymBtek4hgnUehE7lHekkQOSi62IvGexw
TnkweE1F4nDm9iNa6xTxcgFVVbQ2dOS0l5YK7C9FIuPVENN8E4+R2qRTEwWa+6ldUP9EYEjTOLJS
m6RIrNoz3WIlwj7ZGFmqtTUPIx3Pw3DoFpqM7i6uq24RFoG7i6beqLX2KsHUrEBLVZP6D2GX1lWT
qmSZWJHydNGpXTc1gZVAw8vBY8Xk3Zo+bAuPZk42K8pQLEnT7FDYjLuwsOgNAsc3x10QLipdsZso
LPptWNS3ZZYFMzuyWbdPkri+0JHPHVbvWztt9vA9ulUupTzwjGBy/Z6QcXhuSGfE4f6fBpmJUtat
SKXUea+JKj0m22Hdu8nrxvAKzPUrgeF1tLj9anOX7Ia4W1HUp5cVkdFNEFhsWcNVBb+iTnSj6wF5
XV/rWYz7ZlkmDVkjhNuLgvfdykWl3DEdO/PcHdUea5f4zEqiz0nKc6/XolsXeWnPFNapH/d1/Ifp
pS+9urfkgXfsAXaPV3EaOXOUVtJHPGdLEQVt5Bu6zzu2DDMRrjo0tLNujErPqvvohuskX41VV65C
bbv7ou4qr7Oy+CnS/bwpo+y+CQY0i6glt6zBwSYkCZ0FzRAsVEuZlxVBiDzwu8yDl14tihSrXTRE
amfzSu2GqSl5zzwtqmJhBJU7RAj2DUisqGHTQfHIW70tg/Qex1kf+YUorYuJzPOui3zFR+uCtOoe
tid8oReyyml1XY/niIzZemQNKT2aULSO8zQJZ02imjnpx+rAPMjjGn1xiixa8YzJuYosx287K3aX
zHq0mkxv4cQku0wL3415Ov7RpX3q2aUM3dxzwyb1ECsGL2TJcCVGpg9NTmcwQr7mhNr1VFmNy4CC
qk61rykelikP5bUKFPbwUGWPsg9XOm71Z1ZXO56Xy2TyI6YBrxes2eRHDJkZZ3KkwYCXwZhLj1co
3jQdyrZRRfkMoqfxLgzsjVNj5ymS4w0dmfycuaKf2yyIN2qssq0U4qtql4+bmGbq8z+fLgBwn5wu
whaYCubQKQmGg+bkzOUok23kRO5z4sj0XIokTj0sZHFhFY66aBIMtOme0qeqr+i/dU/H1sOY+Faj
6ZyS0b5ty3BfskFfZlLGt6r3g6zO/EANwSFiMcEJckYKPixLNnnaHPgZVhHxjNSdRmirCuZG7xDO
TK/Iy4gjnx3Cnh/7jDKvtmXe5zeDWyVe3an+WuKq2gROFM+Y0xQPYdJdhJqEf2TCkufUDbJFWLnF
Q7duZJg81JmqF3B11V05aVL/YVnZeRYnXj82Nzoc8yvLadg+i9ptOPD2bmAsWo1QPpoj3rR3eVdm
XlbV0WXG6nBVhRz5qEKZJ6ohuu+CevAz29abLneHmywpr/jEr10dze1sDM5LyfLPY2v7ht+KmC+G
JsbLIEuie9Rc9oPmd8GQW6uurejcsMOOnjdxIW9D4Tbrho7JLOghCCM4nn3n7XOhRvwq4oM8nXMC
Ho9CxAcRDryKb2ObMSZu7diOfIpRQhLpw9EV28l4T+3R8fsBQ8xQBGTfji4c5Wq4t1Ph+FbY1Jux
Hsg+Cq3PA2zYBepVPBvSINlUxE42WVF97Rme5WZXST6GqxO+0dWto2vP6B3FsVNeVaSCJ/7OdIZn
1/GyiNprzqia67btN3aTsU1SufE8U2N41zjxJZ82NwvYVQkpy2ejiiP6VbUb8StVxVP+pCxyFRcZ
+uwEg5qjAkWzKmpCGnkWtcYiv3Lb/hy25KKPaRx6U89OaRJ6YRt97b2VnupZWi50omDEWz3l1ugC
Vy313VzYG2sYXzeiQOcxcarzE/5RNwkKe2NIh6lNo7NgJZNhaL2jynGs4TGVX+I+1Ssz1AgN/3RY
Juy9leB+plWyCMZ0+ASHZ+xDJlHdOUMjPdm4/ZewaLZjEkahFyeNJ6XVSi+ThdcwUe2RzCrfYvkt
inV8iSMb375QowjJrZTlLe6y+BJN1CQzFIaT6qj5Q+PG6RNeZjl+XgifYKgX2fHzJtmRelkZy1N+
nhSy9WIko61bhNTXDKtZxmm4NTzTOzaJEYQp9R2kv+q9pxzpIICKyj+lbvxt0g1ZJtz1gCuEgjgI
Sqlwu+DtRtaRtHBUEetJxvZNM1butcvjeFsnQeebHQ0hwWObE/caQh+5LV/4LvDrF343yt5XJR6m
EOJRcyle6Rs+CfljGjzISuxFk46tB5sbbYKXt/bQm3j2WJfzWDrUE1Ftg+L0UhuxaczbZnpGEU5H
6jmEwoyGeZjcRUHul2NkzywFQXGZJoWXdyJfl1NQnCliLyObyJkh7dxNrxsUHyg1aZAgLDypM7WW
7H5sUt8NBrZOy6a+7HFf+I1MsseSRX4cOPo+gzB5ftRw2FPALurOdc45IYnXIAeCrCNdkO9EA9NF
qdfueLLihN1gDIUKqHifWrFoB8XBB7lPVpgiZnkMlXhuEkOFlmmLrU+GSJJVzwrrUyEddSOHhy7j
66COw63jVBAVvpBFYMOC4z44SIXk1bUIh5kN5w0bS7whNA1XdWHjDZt6ZOKZnuEdpaoIrOVRz/R6
2e9RPspNzwXkIBTrRVNW9WUyhl8bI1Ct0JAUfuMZlREOWd8ICpZq5lXTOKh1fp3GaBtFkQziO/m8
8/edAleiID/EAi5DY8jp3+6UkHXSsnVEnljehH4tJdq0L41TS3hTDd00FKLDIpyTRtYXR1aZg2FS
2ZH5KBndWTKhu6ROvZhE9ZYOLd3hqTF8GdN0LgZE/ROBkWqRQmaL5bxphdWcq1HydGerLp5JnN2V
WqJzplh9Weu2viRTb+Ir6gyrg24S0+SStsm6ox2+HbESV5zLddUX5JYkg3s1yQy48iKrJ6iF0v6T
UukwV9gqz+u+iNemF/fD11760jtKj72w5/E6wXW1/GcvBpcJ/7YBXA6//XDgmjpcaRP0BDSLeBSk
8WBXT0mTjzWd80IsqmiwtqlbXhWW7s4NdWBxFIxelbfDLCSu8NMDPWkbeZzI4aLn1fmQu9aWZBHr
loNQr6YxAqMrHUxnjeobLyiq2I/VaP3JcL5XRYVCDwCSoeHwNyRXGuflfR8UgDY2uX1jR6Oe58oK
tmVhx+dY5uW560Rkm8ChOUd9XN2QLI/9oY7C+2nGKOH2NCMNwmTvkqhaUqsgB6yT2vay1P1wJ7ss
mI8W7y9Q6gRXRiOtnH6XxnHsNeZ1nV5PTVt7w80725dD4TESpov2RXJUVLhNZyTscj/vSX0ttPLS
Ukc3tBTRDe5bPJPCrReG96LR6DKZIR3syyl/ZGOUL3AQyFk9kYYnU54tSgGxHzcZZ/hC55CpXRtF
w7NEHM9GFNfXRnCcKzOJa46ph2qruaBldArgGoy3YDlbozKcH4FdwzcQrxFOI48s0zPAcDWNfJn2
yDcjsdSHaY3qyfC309ZCfefMdv/2ssOPaSiUo124MQsuf7rA+RpubRxpx0OSB3BBMZ8hxB3ltWMJ
GboNabqD3GxtyJIFyGNVPM7UCDmhZ8QnirEbce4f1I2SnuYwmkd1M6UhzZRuwS5TTLKFjJthJykp
sNcEabsr1oYz9mTYJYbNizhYhL2tvRQOdewd5VCEaD3O02Q5IjnsDuKvsyBAkbyqygDTDedF5bYN
ICZttUGxKrOZ6ZqmttJgnYVzQ9g9rTavlI9qwySJoAK5ttK5LAqYzrAO3aCVcABxEiyCOlXbOs+H
RQExu8cBe9sanmkYIAvaM12355vCHqpzJ2qir7yjYiSarzMYniiYuPiOu6MnyT+UtIU9VeQg/wcP
RdwTdxeKMWaiaKwvSZ3MG8AuiGdVbjlDqtUzc0YczxK3E3rn3huGzAtQNWfKkJFylozjV33DMyNH
Oepd9wieZJp1OqUOc72d//ChMuZ/cXgJEp3V19nUdHwf2bS8OsQMU+AAKfiRE7pZclXEG9piX4Nd
rpMmZTfC6sJZTRVdhoFgN/noxGunhNqHkWqk2c00gAbgBwwLEFcY0I9eWtf50sQ2lkjaGewZtTJk
mJXtDKdIrewJTI+Cb1KDvB+lBnk3UntSPhmLEju/VVmfnY+F/isYcHYV2VF+aKywexqLBJ0blhG2
btqdx7j6K0N1fpXaeJxpgQl8k0zl7SIm4aybIse4qxN/wAO7LAe7XfOaFXNWB+F9zS2/CiJyN47B
LAxLtQx0G83gcIluupJENyjRcxE21qVhaakVBLJFNOtZDGdc2+O5aNp8EVmy8xnUyy5LKtxLPvUK
FoYeoCnp+VGgE0G3pTX6Ru3IN5O0Td69EgBWOHrEtiDYkAEd111VArqRQDQXF+rKtpzHZuD6buhU
vuCIDUunKIa7oFWXTuv2+ySKvuMI+dtSGeWAitnwaw863S9EkMKcYGBtH7iVXY76i64A6be9XFu5
51DNthCnXSuWBYXPG/oX6SKxHmO7uwHYtl4lPOt9Q5qmKz45+VjuDYElvDdwbzFYGDJCOduGMbs2
VBvk3U0ng7+StGzXuLOKV8W2YbDmqu+ttcGwDlhV6opoEXVp4h+LcofinWiDeSnYzEovTBCWCYiU
kyK1ZybuUm9JMYhs1vBiAVVctiWpujHgvmmKJLsKu6rYGSoAE8xTwp35oRoQV85RX6GB+B0EqBc0
1mRmepmj3U/lUG36CacxfKhx0gvRBO6nxi1O+aS3IRyKZeX3yA6D70VybDq8IGSEYvFUBZ5+BoLg
Xo9w4BcjzIGfj5yE2Tyz8rLLu+K+CGjnZ0PtrO1O5pVHJIL20HcCxtYdL2wfRw71mREdFIzo0FSs
WMa9TD3A4cpll+XpIScqJtJtonRudn+gnGKprDqdG9/gdOqrNO4ydS0gDTFQ+hFzb+v2tuKtPD/y
j6h8/01o9A08f1QTdn8bj/Ve4dwb80TeJrGe8y4b7zBKs/NIZhZEW9VwJ/pRewLSjV0i+oOaNfJu
m2kL+ybPhWKFvQgYkgeoxvBMc8Br3ibXR2WTdR8z6hPyODPcUJSHhPo4KdbdpiGxeyl0szMQWSb7
a2Ql/WdasXJO47TZCCsRGyscorllxdldTaqdrCHXbE2ukodNuA9In3ioaMpLyjJ902P7Ak9fmtQs
W9VDBanrRBo1DFW1TYG63FPBUEKGpbOrLgZcEAKg/Cocstuu0PaFaBV3PeIUekUycLdGxTTNpBw5
6rbtlX1x5B91zZxSBzCBxdRhvlgN0q/HqPLBXyZ7SIrQTNdMzAvB4r1pcCbvx4wOa0MFPXKvguTO
EGZMxAN8ThpRQ90Gxrw3j84Te/7PsQGb7mOcbCD4PwQQIEC9i0wR4olTTHRSZ0GkivsmwtkFhIjR
1tyYgJpZ5ieFEDNWs7yeGeZ7YiNoCvZnXdNibXxeIy5bJ+z2hkiqqp7hwI2WhrR0i7Z2oPcHf5sk
9nOpeLjpKpetBsSkH2jN+lks2nBGykLN+mpwVmXcfpZ5pudKRlBLGkdxyWiPOISy5LOb0/jC8Jzp
5IoHC2ChoFwaahxoO5V9oczWd0W9H5SqqZcHgl670Tg3i8owHII2XCmZG8cdqDa6BkzVd1TY3xiN
iqaAJeSpOjdkyR33op9iDkMiklKvTGQPN1DGfFNQPWuIO+ycYhh2Y9lAyIsiu5+HrdX4kdvmzsyI
asu+F4VLV4MIRz8Mw2ilhrybhVqjfcTrbjZCnLEPk6Gb6akXTzwVuHhrlRoNa54gcYGpBFQ3ja5Y
hCGDn5p6gjoMH+C5K0ON0p4DpCrWrpPwq9Hq/jSuo1bhuOgKK1uiqg/XbRM751EeXDeprremetrg
PDmPRBUAbtZGN6axsuA6SXi9NdRRw1RfzaiXOYyGDPXgEdjx3tEvGmeHUR1tm+DphG1I3uFoC1GT
IY4u0/hHIwvap6OzNL2SbrvarZzdtL8LN0428Mu26EIAc+XErN/aSEHdxk01hJ6RhIfK4j/aiHZe
1pTqocyaK5HS4C+n+dLlgwOAPCrmCorZT3WD7nNH5H+GiRP6OeTeFwWGbBNbhG8HHPNtzBu+laxW
5zlKrt0kJ+MsmnhGkLs3TpTJy862XNdzdBj7eYfD5TFK1Hm6UKLbwltw7YYRfXzppGF84MTfOpOo
QfzSirpk7dipu7Wiuh29voIot2VWtTBMgeAywaxsgmKR91xey5ixi8LW0ovaxk79mrJwZtmJWJii
PXif6joeLlPLhes3I9sc/R+Hp7GQI/iEg+vr6n0TudacI6j49zJJP4H+HQpo+6WVTuZ1CHAHRkV9
we2CzMsK4Aye1Z7RUC2Ss6aqkm3WtnznBLTwk5Ljc8uFSznYFWxdZLmzrqbGkMemKu1lT9Lo/Mhq
naRfkgH+H8IfqKrbJeRec4gDox0GYOxKA6h65Vqx4yE98mXHqRV4yo27RVQ6tm/EdFKUOoo3th0C
plbGS1emwiMdEcs4rcYLlOX5Jk0atGhRBS8P/MjLr1nAP5ecPeqR5c9FQuDyFVSUvTEcVlZZ6S+J
BbA+butgNkB+5rmdqm6UFXkCY+c6rd3yRsWtnNttkiyMkMiGXwaWWBihYYUot7wGYuNzQ1p22q9Z
yKDu0SdN4Y99epvGJN2OZZHPCgZXQxZlbWdzmUFmHqWQ58N1aEjnTdcwTZNM4kPPxkx5RQ44wFHH
kOBunaVLtXWRBBHmnqaVvIhkfKeVFpdBmYnLbuqVWFq+nRTD3Aj6ROlVUIWWh7KR+0kgwa24erjD
GEAczT8XHQ7WoS5qPx9qr8xoPP4x5rYNLy6O96YJrds2KIMrC/KffcNyvUZDdX+Uk4q6877QeGZ4
2K4fXKVjCBQ41DqX6SAhaQ+Lh4Zlzkw4WG1kb/MdQkPvw5uSPb6jUYQ2WvQFvSN0UPsQQnESQQ3J
UDELX1GTDCINQD8nTYWs+ZGaZIPjJM8Z5BPrVLXxVQvl28N+K1PIPzUE5a8u0+R1tw4o1I6DItsN
DbL+YG7tV9XYfQqsutvbKIf/wqCsP2jO9KYkKfL6SSsuer6My6iYG2kaR/Usqgu46FIAmm2u12CV
pleoaV9d0+n6Ti2rIP66gjgk2bIJk9irE5ds9Ij3bcbHFCwj03nnAOqIerfemwagu50uFJs3QX0J
vxiCGkpVA1gTyQbyyKk0c2CmA1PLDgOqF4QxHGGOlcwlTvKrgnQ53Mqw+ss4OjecI/uoGiGWXRlB
miE9qdrcEsuugFunK6lsPId0rfbgokP6XEOdE6ngmWeuhGS1aW5ZKuD2GGrHDVyMRGtuebr1IUi0
Zoe6UiovhDN2t3bIq4sudF/x4U5kvFWj+pKFGdnD4ePbKRGfkC7FJ+UGPtwmLfaGigN+h7og2BoK
Ix36XVuqC0N2YSNmgAmlS0NK4jTLWHI8M7M5QzVccGxxj7lBveiQiucYC4Atg4ptbApJfsWR4/VB
E32BvXfdoSS8pQQOsAJnZGFLVW6HCWxRTb6sK0s+8ZRkHrjg9iYYQ2vZRsOwgoJYt09Ht/WMSpx0
MyiX2vdpb4FFugjqqDjrvpOO0XeCSW7Dz47hVzBwYMB/s3gLNRK4YhAiUaT3Uiae05XtFSJWvU8a
nFwUdVJ6UEBr9oZX8BqB00/bpSGNYCT8dJS20GpQorFumNN5+ei7WmSJR9tjB2D+7JrYIZ53nQXo
NCdNvTZNkLFyoZj9MFpWvc5DrgsPc1yv7akxKoakeQPjTPc4+NUYM48eqj//OfhGps6gXmev03+f
gHvVcCUHLkn87XnVlV1HfUb6P3GXZ4ssRLFHpngCTY3pFVEKx7q0m30leXxueHIKKvqSgcBtRb3k
Fok9w2wT6W4zTPgm6TikQCqEZNRBlye9Dqf4wNMvvf+9Xo+rRcPCcWkgMwZ3U7yIAhRn0mJDhjRO
1gYjM2RCdfyKNNKj8nFsozrXO1E+kmFdwQelVuDbGvGNq5S6dIdklU2FBtOERUn8TBCyZFPdIR1F
fulw4lNsl1+qZLA8uC7TXMOVQbwqEkgiI5cmkBcQ4sW6c56SwKvB2k9O0lpelur4okDgkp2iLjxX
p/ldOIDLtyKNlobMNf9kKZ5f5xhwISgU7+AHFNmdTFW9iqwWbr0ZMh5Hz+mDYdvH/5ewK9uuU9eW
X8QYokevsPrevZ0XRpw4IIlGNEKIr78Fzklysu/d94WBGvDyMkhz1qwqD+bZrT54OVWvuqiqI2ru
85ONW4P0xlZ1RLrDMmo8K6F51YK7QEakE/gEy81IybLN8gk+m968Qg2wzaNVc98N/qXMcn/t+5zt
FWq8q3YM/WNZyPTG+EzXEA17x8vxxqLafXAJd/cBs/NN5/P2SxS+W32Yv/91Yarsl39//mG49lfy
CWApcEKUJXyHOF601On+4PBPLlZNiwblczAiFnn2oM3edDkPzCYrVmpQ6dEK3PSYD81dnmXedmkt
/X2pwjb+3QaxM0oaVCR3Wnvl3gQcOV7u1WUSOsqOw3Tq9u7gj/dNE8hbHagkawtzv3RV9ThsBqvq
V0tzGYBM6SFoFWrX80UheKKnLp+eltZyGFNbgmcMVGUA+2TNHVBow6kLt7VKp/XIUbVHkJknLemL
kw9c/GVkAMij0jyhqJvtGx7yJB8Gv58rc1PiwCNotbzEn6/88iqzvt56XnvMFHFiH9vSltOpu3qF
/HmQwnNir/CLPwbyecpyRThfsUyuZPBuu2kAKqcEVXvIVHMkVDTH/tdZu4wsbWCOUZTA4+DbKCm4
R/NEaySXngS3v3CApfm7j5l4QkH1tPTU2I7OvyGD3smaYwecLs6jKj+AjGg9Zzz94mHtvy4t1V8L
r46eSict70iYX715jqPy8QghAUtaX1nP4MuybcCbdadBlLgHF7S6x1rN7zr8QXJB/AeL49Dkuo6p
5M1x6Ssl3dZ9abYpl8PRSi11tGozHGnhRFCP/GovZ7/nRPPspYm075JTAa60Pe4+k7gc4MUhT+XT
gugvGP5y5uWqiceagvRkJJK9jHZ/zPNrkJE7i08ID2zvajPfT4IWEZQ7N5cD6TP/WnnybiaXHEzr
szDuB5Ge2yGN/5rGm97En0RtMqXeUXRtfl0O1diKS2RuSwNooEpXkZc/18qZ9tWkSy9eRkIW5StI
8azV0qR4mI5Rz89Ycfj92IVxUevitrRkIMpTBhxyaS2HsqDNZgLVF+EF5i8HT+aI5WWUlGLIz1Vr
vnfp4D6JQEZLSzLuPnFr+qOV/6fVlY7zJET6x9gAfu4K0Gu5ymQwHfyck8Ny1utx+jxb+iAJcGOi
C3DFVNEcQj+SB7e2U7IOQlUV8ee57YEyX/KiisN8cPZRY8x+LFVxcqIU1HDLpBely2ltgcJ1X5eS
rbwq758qvwnjVLf8bRzYB0c++c2vbDzOYw8yGuOxNzAkHV3bxqHIygxMQ3UqGyt6D/LuRxr00WtF
axp70i6fahCWV2kEXuy/L6j/EJFELop7SB6xqGIxxfBflT4RpHmlmy58yvuUxMvWq6VqkkLz4rDA
16MF0YQkpDgsW+8yWrLu5yixi5+jv69dRh1/3Cunlnf/2/XL7ZYLcgdkF79tHXOsmhEllj6v4r/I
aYEC+wvJ8ODEnyBWxKk+eQ7rEuTL+km2aZtkNNBPHpJ2Bd6FZTlXz2PyZYrYdBjDmiRLE0ghWUeZ
a7BIYjTIQrC6mr45T71dv/h+nTSmKbbK7+k66/NgBxpqs/UHJ3hSk3+/JIKmn/I4AvfmgWvf33UZ
abZZz8Mna3DvGVi7u8zPvZ07NgfS1dWbb4ElBhGaffbcyjnmFFoiWgfDc9kFzwvK/Wtq2VU/p4ZD
an9Ojej4UmtprUDeD89eBIXMyi5A4+W1OvaQrQG+MVl0dsC8P7u9jt6dcroP8FK+E7f5CPMxeHNl
qWJaptMLCNRg5wfB8DSG4AOW1FEPBa/MqlEAKYjVD+uoyb1rVVnDBhyV/JK2kmxH5fWnQHvhzrFG
eqBRWB5cqx73odbkGDVNvTMBeOmU1WyrRhleJPetdRCZ6eaAobKua63uK14XK86i/rFrHeTyTqWf
sXC5sSpH+5WFVhF3Ultfwml6xW/SfkMAcA6nJvzwdbnxVJ0fMhRtdo3GrzN4VXE1tWnuKtm8j9y1
3+zMI6sus5uD6MDJtwsdL/3l2IfbFmXWzZiF5C3P/F1eRPmjVtcRL/d+oobvJFQ7IO12LMm7QXzz
GhXnjVAfpomyWAVKPrG0yDaOb7nHvqmyc5T5EM6RJnsROnjWdFIfluAbpXxvE9Tc2RnkNEntCnVf
1qm7cRUZjiGIFVgQM7lRbS4fupJjuczd8t1vpo0t2/4oalYkoZDRsQms8POwNAOoaRCD+PlqGbBD
W7fxckpKjtNl0ucpnS93+6k6CvbHbZbJEet1EpK62DsW7VajJu0lJcw5qKByNhkK6I+ovVfYcLzq
w83f9JRP3ypszMnYVuTOaaZqZ3Ev2nlW5tysPMKr14TNe5e1yXJNFUU/lEPqJ1l6YqPw6B19FyIh
y65CsEnyEXB0S7At8vKA1fCBLdHHfHDnKGXpb9X0ABLCz67f/d1kPywtnTrg5xWs+7zH/9m33GT5
CeNQvJYuyZOARf4KjMfsUQ1Nd+nL6OZYPH9cugK/P3TCNlcyd0W0LcHlZ2S7DHI/KlHZRDFgaVLH
AI8Ltl5IeJd047AG0/viFlN/DXqrf+hzdswKARjLHopdAzeU9TCjWlDx8HhwaHdtXFc9OCr7Y5oy
KPqX9MUVodlJwHQl1SCUOE3UnkYfZdTlsDRLYfD38/1qBfjIvaV2nd04O0AlArxy6bK0/8UltP/Z
NwV40VNSN+tlFFGGhCPEv9F9gTP8d4AegbsI01AHpVW8nLZN/hIlNm5VTjWvnCfUP1GM2WCtlQc9
RdsAuNtdM2/kE6VbKAh+tuax3615bJnZz9v6+F8z/3ndMrOb7/nrJ/y6jgmr3eq2muJ0SFFOSZVG
eYWeSDf45zEKzGXpWQ6mkGZr8QKquP8e6IICWcACFEdRSVa0rQ658EGqm0tueMGh8m3T3dJaDl7H
/C0Wijax/VwLFMMjlQw0Mtu8spMpCCPQ0RW9hoalB+byO1Zxel26ljOLoVyjssnCjvGfAaBb7aYq
M3PhtFt75QRx8By1mrKRq0BYzXaCWOwhtzk5In4QsSmd9xY47yOzo4+pd/Kn1h70xlSpfbBT4V/g
N5aDvJJ1e1lrugYaBSIx1CahLOWDkNVWlEH9ElSan3wFbHBpjlHjYNXyewj/KvliJoclln0Iaqku
VlGVK2BSDqhgdYDXXPv1JWvXk91BQtxZ1h6hRL8eSugxtmaavvpOrWMjhn4NZDp6UtK5d1Fs/VYO
KKGMNdiJwUSCXeGikv6/zAC6Wa/61Ha24JTam0n2KGo4ZXlGDizXpSTlM/ay7+Asph+O86Z61d0K
iFy8HaTDGVIn6QO9KfybLmr7wIGUrMH/81+JtDb56JffbKv4OQOfnhxm/vM6DFC+6qTXJXkpEILP
7BNA6iopWuTKjmTsFfQHZkX6mC61tjRX2YmZ8TSSrMkAEbC4tzpIEzruQ0SqnR+Z7V0AM4v3FhKV
eAAr4yWSTZUgKBWPZmD2KsUvcysY7TcVWExnPy/NbuyJczBsyI/p6Ne7OqqjM+DGYsNhXXeHvxj0
gS4KyiYrg26DGHw6u40BTc+p3X1GLPMqRuwBcqTAzNP2PIIKFy/9XtpNKzcfMW1euMZm/GMaEY0f
9/MKZpkKd+v9n9OEgNpI0B/Y2sWLh68Qer72LYPybl0EUX7qedNeClukSQau+LsNEWxGgm+MkDqZ
ekGvQUadw+y+jw/rNC+iLi9lIIJvZVF8VJZuH8Omkf9f6Ov/RXLDUkVt13NghwhpuQfm9X9jj/0o
7LBQtXkifknvW+85chUWXig3D/5AQV4rRPNWMi7jwOrVddCNezc6NlSe6BeTWA9Gr3JQAhNXjmK/
JCJLk3X+n81lNKj7Y8PkHZ2i4pTaTG/ydpT3RSvaZATa8eaW0x1TsstiGu2lHzY/ukB+dU0RvVhQ
GySltss9ij8/+r4jR4t0KN4oab7kYXXfwYvhoZ37c/DCVpnnmi/DqeFpfdUE0PuS0ddiIhs91Vmy
5PsLLoAC13hmjvT3QRF6/davSRU3vsu3YTEgsoSGCbXKqGp/gumhtlcg7gynkFcZAiQy6tPSTrNa
n7LRV6hKjPzvgWVKIANcskzsaTuuy2h86r3gRmb27aIEheCqOM1dFvhrd7kMC6gdI72CDoCco7Bv
1iGZkyFCJNSobPzeQ8nDnMz/EUbNPU8j6xXaNj8RvLVvE3RTWP9tYHG/Lmdp/fNyfHOflwd+5v1o
2XA/uSa7Ki/Vu5CN1bUDwy2us6B6bVvWb+AmUW6ttqte8zB4U6mnb6yZ2AOFgmPpNrSKdtDxQW0+
X1QZZH+e06YnLyf9C6t3npuWr7SWwRFV4jZZmqNlHkAFvS7+D1WbXkLuN4+Z7oujtt1htfRnVXZN
7a55dHuzquhkx6SQG6/vEYIjkj91Rv95+N1Hwl6vvbp142XK74GlqSJfr0GfDVeV7sxqdMrijjYV
XSPcINgo2bBlvGxOWWPqvUBYeCjBXDi6eEF3LlcKctXS3pBsiK4+n8q1Kfl4XxQ0TWRUdU+ir9N4
tG31SvJOxCU37lcnnWvAsv5oZbcxIk3zePK3kZ9RFrsmjZXIWBaTGkWYNOy/qYw9uMNU8R8DyBT7
pWI2dqgLpErckbmaVkfskGJ9u1vGUNH5HHNnfdavsaUm98/rqGjz1aAr55PIRj0WQFlK8x2MHkEH
RZBzqGUOnvAs1+mz0Np4upDwC8ATqR4oyfYI47MfIM3v87Rmb8BCbCwUo7gUtHAPBCrrTcmd8CFq
UcVmUAl/8CDB2x9+b+2GxJNTWfeRPdXbHsHAYcyg3M8axJuNU5i3usmOjBb9uSPC3YZA8mIAn9mP
vFqXlef+sGT/VqO4/BIqIVdNpKarG0qzm1xH7t1UeRthFfkRol22KfLOPrqtzc6kb4o1SF/ixdXF
MyRp6gMsl40SXv7VCEhIZWDyGzh6WGmaKt9l7eDehbnIkRY7/nuovyBk5iYuKlef2WiEAS9B6uNc
n9RVPp6XATCCfp55thkhtaunmBg/uA26f2slHV+HyJhNWHnAGmciVg/DDKIs+mgK3ZxAsWUJ6T32
qmoOuhoej93SpFN7Vl2m79u07+90LR6ceRat3WJX9gb66LkJ8A7Ip5V/q3ytLqgn4KuQ4MX+JklN
zISoNDNg+b/IVkYNKwvuB9elK6xCtmuLfItagXssxOgfUAuiW092WBlIYa06W6lHEYxBTNpBf+kz
ecfxdGSxtNZCiDqPKy6Pxh2y936yoTHLmPdEpstnYGCJb1ion9Pec19kb087VVb5emlSOqjEsvCm
fY7i19JVFsBy6t/i9Nnr708SVwSDZhcAseNHoU3JP8RGtp6g1gka61HTyga3yXUT00zDlehSHDrd
phsw9+vHtEZY4jll+F2CF5j1eIl/zzWg2O9hV4OwANOZrB5lkxexrN3g9/QS/nafty6gtTh8zp1v
7VchZNNp7ySfmqFqUlVcFMWxB+L70fb2YVS1+NJ3g5ewnlc3T7TOrkbesctqm98yCBiSwKqzLyXE
QRmC8uWiQYcCKCh4GhN4E4tSU/olewwzHjtzdT6H98Kj0Cj+zivIMvarZcT099h8HVgu4f+jcAZl
7p9/Ac+FnI4E+LcxUPn+RaMDfJN6oBOGjy5KuyuhjJAvhZ/GoJiJLYhi3TEiGjKB5bRVKEf28+Fz
pPIMTZZOXXSoRE4mSrLSB5M0mM4Lz2Whwyxnf3Fi/mpq7RsIGfvA24G3C5m6GgYE4EP0ENoOgs5o
UEfbasJTL4Jh3UHl+QTVbBbPWdBHKU/QBfrfl4tKi+GikKsNcZHzLxd1IsNrmUfuU1hIhPrF1XFk
/l1pvY6cDm9Jk9VJYECGAdH8a9gH0yu1+y7hsHG6J0ZAoSFYcO65Z+1AhSd7QUR+9kEX2HiTtg40
957zFIBaAZLNCRAdPYIfyjdWOenHCvRs7JXafKQ85r2HBwR8PPA9Bv6kBfXXjLY/LwIQzj4vQtra
/LrILEyBFq4RbeGwz4v4/JPmtOnzJ6WOpR9JGqBEAgLQdvDgplSB2Mmepz77avuRfdKu4IdJcopg
FyhjlyKW7cYx23kzBtm4pI79xtBPDBJOB/Gcbz7Jwl9pAv6mZdnBqxx+LB5FverHTQs8ZRf5PJy7
G5fXt8wTr2VYpnDqgGyk65wXOOqkl6VrOSxNWhYbAO/89Fe/1zlOokrdritzL5RrjvnsxYMKCHQt
89nvw9In4OazE9UJK1Q0IG8jD5WYCcdF6p/sWQ0RBuDTOlEVnJwhcJ6WUaOIf2rpQ9aO3d4phfsi
JrpBkS54IGOY37W5fiicEUUwr6M7uxTBypocd20pSNNr2VY7Dfx9tby1dmSqHTWR+mwuo2Ug96lt
tr7sf/hzajamBNp30LjQhabF7XMD/ud9Wn93TWidOmrC8xLg5vaGhaQ5f8a8+L8b/QR03hlWAKcR
zggYjWjCYeTR5WBXw0YIWWa2gnIuP0melw/+xP/sn5D1jZVfPszzfVXSN885FcZFob2H3EOofO0t
n4iVco/QP1ppdyC7YPLxByjzKS77Pjr3Iq+frD5bL3mmqZTcl8CHEy0c9WDGXG5l5PLNUihMRenG
pfDoSeAre6n4TRLbPIN99vhJggHXy11NrkU2iI3DQ5kq6xwNPdJL3jevfi9u2Yx1DlwegrLy37QY
OYjilF2blKV7anXdlmXUuy+qwokjcFW+987GE92PKiX+W1XfAwyuefzrxLL+7vlzqAJ7gcd/zqma
PnwjlXheSg7gvsw1ohBw6/w4VR1KRg6zs80yOrR7UC/NexTGlUGunuLPmdCi7i8FC8VJ+TWDDUgX
vqmyXXdFb38ra0ViaovprkCQBCJgEG0KpulTCYe3ZUZbMiSsrHjqZdFsVVSxvV2o5l7N4NsyA35q
W+kP5iyxpq36WfrazgdNAg3fo9JeRXZukNcHHJ1h4CaFCvlTObKL6xTNbdl8arRwgbwtj/E89rvV
u9kfrV/XpSkexH/f/SkJ/7n/z3QbVH5sFOr+Kct3fauzMjKax4keWsvWas9KcJIo9YbVUPPguAgj
lrNMpUiAPKdgK96lcD/rh3SjKijQB64hCQM2cWw82OVUOXkUoaDrAEvV1ng93wRpBVR4phYvJGM+
y637GlL5RsKNAfr6Y4CV9Tn06HMVCee6tEg2xm7FHwUDamMHVXrAut2usir03yD++R6CKHcnaWdd
xDSMcelr52Ko1QCDGO/g2de9wzXluw/TtLcWyBq4C4N54XB6S1hb3ITJ9KXmEESxKKovLQ3THbd1
t2+RnZbIIddGNcPD6JDpVDD1xZ6c4cE0lZPwfsg2AUVVQWKv+06DLnbx3e2Eza1dk/bvpoUlSemV
Et8HHPO0TduvNt72ypHhi2e8dIv/L1Nt4ZWn7vJAngtQed+K0l0tdSXSQyJvdJ3fQt7caSvn+3Fk
wTGtoEVZDtg+wVCsGzh/xBm20Lpmww/tYL9FhYY19DWvU3g+uaQ9RqHpryiJYStVzKxdf2w2rUi9
a4vVKdFpE20iDUZBDAERDASUCO+jlFxd0OC+2iDMxLWEY10aSomEx2xqEr3kfjW8RxGr40a33ZpP
im+DltgJVgD9QoOAxa2XD98yKLParNF5rNzHofLoD3+w7pAU73pU51cmhGLBCCfpe7uPdZlHW+H1
9FiP3bgLIuuQ4p+UrW0DQVXRDTEBu/plqtS4GcCL29SpQgZe9VdHgr/XgXT4roS+RSi2fqDkBMwm
pEmW5tEGyvX+UIAWQwc/v2BCSeK0HvJLZaYBsoXiNGY5v1sOTUPsoyVA4Zu7hGW1CSsjfy392j7r
0EB/oOXrGMlbE1TyEazcR7ulxRV6fvJUW/ZzndnhxeGyOxu/vUEIAEp/yTlSuA9OVHUiLLunfDT7
LCyZF7es9k4WAGi6nvKgfNMBUGOpSLtZmpYJrpFEehg4g76ooB/jzKqqN8/ibNUSlR8dqs6gaUbg
P8PQYlHQ5BRnDewDhMyzbWn0z/5lUADEBFwzT1naML74YoV1tRpS84TKSHVtCv6E6KS7mJHjTZq0
fdC6G55JhJUa1PByC5DkO/ZdfVdGg3sex3DnF17OEng7ANDzQEGfB4lJ9d0whuFBTuIdNUbM0BDr
7SmDRcZnm8GcLTadU8TpWA1rCWT5GWGMWoN6j21tbuKf/dGEUFvtK1gFbhiVJtF9Z0GJHLjV8fM0
9BTSJERcUaLnXpFhg4ocK8n1ReqcHmAbfWsM969R2W+Rfa496n6vtY0Ij/fv2vOH29SXMnHqqN20
7G1qQfTlyHSM4t0P7T3oKNRPncjpqUmnPg6bArIKoSAi4VjS4SaT7ohmZSzxOt9KS8lbNZ+Fnn0r
segfl65lcKi7cqv1bBA6zwC5qbxYdvsuUBKuu9B/bAUZ9roL2mRphiybgLyJr9yqgkfY3On7UtVJ
MbdkTUDfzAa1Hslonab5ADbZz7NCuMN2yIOvv7t+T/s9l7qyQWkDP/3XlWHQHcHi/dGkMjqMTcf3
kUrpEfhluWOenZ01Y902b11xQSnRbFzpNtcpasM1LaEy1Tq7UezMu7qsyyOs8fpDjtd/B0vQ6OTC
tGvjGDJdx6av1yl4H/dqEnBB9DR5lMVd2/pgHURTeQeLRb4bvLbd84z2V8MUA+5VtG9OWp1Jgzdd
FOAW2FX3hbfKTcDUK28uyq47EKnIbpBKJE3tQG4HFHVvB7ib9q15y9BNEoWu/TVAYuGQNviIZPlg
I4ZIOoCKN+1aa+hc5Q8PorIca+FbNuAT6lzUN79iatea/hLhVdoKJ9Lb0QdXhoQRsIUgd16I3707
Qcl/VMEZLE0AuXiZbwFqz29h7sqkGezuHspjtWmKvj5FY3ukHDXBNLO6GxRGKqk6VAKaekzyui0+
SI40i1aISYLIqzaQF9bHaXL9swMeySqn2n71tDkDA4lQqKQ2luxNR4LmK8v9aa0j0hwAU4b3Vac/
oK3AQomqPTLiLrgrO8WPLstgKlMO5lLSOX3x/XduywyyjN7s7LxX2yBDiAT1/J0CS/cbBU0utqvS
3JvS02CYt2TTVoN6ATyBAglmsDlwjpq6vHN0V4MH0O1ImBX7cKLB3p54fcLfUmwN6YMrhcPDiunZ
OWHkdGccZk6VBB1/ZDR99D2vu4XteBCSx9rVsdug3JuNfXFm8ILZooLcrxdyV4bvchVo1uwX6peC
xyaYIlF/WUY7FcUK9lqPhAzVPUlrQKa9f/TboUhcb9B7pexsPUV29QYhxgeqLuOtoZB21G7+nc1r
ri9oLCHETZgDHNbg3/XtBzaY7TiI6j5zNAVeqbpvAW3hK6XsDwsli4aw8Kkh3rS2bfEWmVau6sql
t3I+GJvr2OF4UNPAcqwYQJC9mtpQrvO0pbdlIqWBt424R+PffTAZgb7Fx8Iy32WZVvhjcIs+7/15
syKwtxlYDYOeXoyV5euoltXZygAAQh+I+HlwixPl9EsoXHpmLvLrvHuYXJclzuTAO40evbJNDyGN
7LOEQCWZYPUI6gn8WWnROftqKMxVzge2q0xZbZAcs51EprDyAuW8wHnrq9uO4w/U5yYwlRGoINtu
raKMu57Waw3sG8tlkU0Hq8BC7Vn+3Yh1ZEeMxVdFE9hPAc/CXSqsCn5BFd5Xu3gFZ6ZYTVGHgItI
c5pSsEdK1w83PHBHSNNFvYmICU91o9QAUb968Ouw3C19vw92F/1nShc5wNVC0L8QjcAcp+teok53
cRV67HmAv+hqKH33JmiOFBVcCPC5t9ydIBGAIAH8HngSaafR8cT6s25dpIBAqB5K1JnixvHG/dJn
l24QD1MPUbEV3bjLwg/UomDIm/RpFt1nLqJk5pCvxLLMAczT6eBZUJrEKWz8mJmhicbSCATFq9Wx
4k2THIR10IFm4nIEADw/gJU+wIvDDRIxRu06AIfezxkKklnJTkSO1Z5NFd4HSaxVE04OSns0vTeh
vs+C7AxtdJZDp24BYBFqm9ptfQc8DZJkC/bHlt1bUGIgaoKktn0KasPPI3ANQCF9+yRkHV2o8B7x
/ASPk4GaB3LZSGXiGiqAPab6VNEuerAGWdyqGVAAXkS1Sx9vuvTSy29LI8hzsq5DLVZh2E43AZeG
2LX7EcoEd7p99hE/2DpFBO7FPGUZQLbgXX3rtPRIzUVC/AoB8OzlMdKwOSlV/DwrXCnWcDDy4Tih
ux51WMz5PMVKhOeqIMMG7q2w6PHhfmQRSLtLm6bn5YDHgO4VlFYuraaz3wbYAEp+1zeWwOuPZRER
bHhnT6OOU3wze7/1w7ulr4/qgyO6aVfzyIHXAZRdqghQhR9hTEKqChoTc0HVyb0RY/zETfPsLsen
3prQFDsLqWXjZBPUaGaGEK5gsK4GmHtjmwZzk0oHWhzuvQ0Q9Z3z4btxaxRalZEbGgG4lUyEhy7t
EIvNZ7aAmcVn59JeDn14QZXXbAbF+jVgU5QoJJSQ2ireUpGLL/C1hS+wZ/XPWO/tpOdp9gAuClt7
vE2vAcFDwcRXJFcowKsW5H3lY2uZm8tBUwesWp8CHYCuDUPOGAaHSq8sXTg3t7tnXgdhIwkKWLDh
C+aUw8SP0LbYp4Gjod+wLZbICXiAJ/xixSbLvVsOTQ5JIKIttbEz8rOv7RUURqPT7Mei9T7nadu+
oKAXnETt043kM088tL1Dz4C0UNgpPtp50N3rTscEfmyPXjisqSDW3Ryop6qzX1wwVk8ACNLPpi/L
MuFG803pSN7C9g1mzBJOtNuCFAVqsfW3KOU1TGy1PuBdY8iYvfHOr0WdGFpMW5+m0VG01nPOa3Gv
oZD0VNs9Zsa0jzXYSNLt7YvMrPaRutpPBtglYoVFE4bgKZy9Ac2kfXrxa5CqIN1KLxUPvtvTxF+y
krd7RnJUhGgmXgKoZdae7thuGYUi4n9ou7LltpEg+UWIwH28EuBNiqIkW7ZfELZnBvfZjaPx9Ztd
oAWZY8/OxMa+INBV1Q2I4oGuysoEjVRs1kCvwAvGYxCuZcozhOfUJ/x+AMYC8+j06FuMK3tlY6N5
dJQJgMHeMnaWwfJACVUbHVMZ2xUAMAXoA7c/FEglgErZVQPk9eEVqratK/y8K5ljIcUSg0oKMNE1
zdW9PtrWWt2t57kdQGf4tUeeTwbjCY9tqgnIePJmPXJ/ppiaeQiYFn6wxKhuKLgcctQ3RxPMOvK6
apSV67ZDYmyeO45h4KCgvaVgo+c6ODPdcPbmNusC1HSb3Tw3GVB461ESoj8hm2LFR4U120LmYGc5
Xn/pwcK6KZKpPrnZEeiT5EVhfq+pw4uiOf1L0Y4f0UXlnSuzHHdNj+ZNxRiHS8fBhpL0HnqHlMSe
bVz72kyg9phNPcgKHkwUm0O1BuUaBAZMAM3jgzu4w4XWKNskD7B/TrZuOfqFUw54xEucAPDp/BhF
aPxG19v3Esmpr3Udg5m4MqxLEVrpLhndA+dT8dhZ2YdOzaJX9CPrB1Asg3zRG6PXNuN8g1y72JAX
4AHmo0boHchbme1zwar+MUpc42P3lTVFtNPjSg3qwWpXaWG3AUPf6palKHKCXnkSB68GUfU6tZwf
p7k8NbWi0f13Ae9OzUKrN5lA+iCynkI0YX608ec9eyZgvKMXfTTwbruGeXWgkWIN5iWNxBON0qkE
O3U5fKdRiz8a7dtJg3JrE3+cWpCouCNqdLRqyidjEwKZEqS2YlxEqN4OprJ3lCG6LGY88NeHPIw+
UNBiz81OW8cCleI7RxWl6qoJ0S2wBFMI8hHY69juaXi7XNhjw2i1mvYB/fCbZODiszvZYTBxgJqF
VqpnVUe6C9jpwE2xR45FG/uJJOSmAyj+b2c5NNbw8S7xG+6Aipu82ttZXhXeeuzRUHLnoGDyDp0S
vfOi2QdM4PbAkJVA7nVelTF3lbMJwL0OTcVIsIipPFQsuR1SPCoccnmgs8WxxC2Ou7h/EbIsPwEQ
n61o/WUeDZeY5Ur/IuRuqWXub+/yt1db7mAJuVueRRKYd+e+u9KyzHIzd8ssIf/t9fjtMv98JZpG
d6n1otl0cfK0/AlkX4a/vcRvQxbH3Qvx35da/oy7pZYX7D9d7e4O/tPcf35dfrvUP98p6B1aPB0a
lQ+CEDzaJfJjSId/GL9zoRSFWWXu3mbN487MqnmVeTxPeDftl1cgIy31ftbv72i56hKjou48rRfP
+5X+r9fHZgZb78FM8XS+XHFedb7Oct331v/rdecrvv9L6OocPRBWM/Sb5arLXd3ZluH9jf52Cjne
3fqyBHly+S+/s5HjX9j+Rch/XwqY+i4QIJtfmalgD90YO+sWiHifhnEvKQPMkgG5Ay8wWpavNm4Y
KC6r9G3OoC/DWg9PlNJNgaOIgIkDeOWEJvX2oFeQDwjIHfVr08y9MzC/6KAjUz95+RFCQVtAwmt9
qwvDCUwUlXz0/fkoMwB6KZVDZl0RkhghdRH07NXNik6tccoUf9Ec0Z3bxMW0qJKEoZGCcI/lX8OE
KXsT7IN+WUCrCDUp5KPUonoCKnNnNiV/ANlS+aQg+3KyPP5IPopq8MndeHY7BmgLL58oTM+gahEj
2XKgED1U8YhU4tEUq1JAXlfAcJmptloW+pdX193+0bH0EEnUX1zZE2Be0sNvUWkgA1e6w3kCEgs4
MHB/nGns6E7sj7l3cy8O8y3ENhWEVCNCquE2jebSgeK8t1WsJos3lYnmXa1GR4vRpqgC0CkdkCV0
UrTOwLUc5qDMdc9AX4rtuzlAnv4If2etYi13/dFQB4iqgE4WKiT2Q68lzgOd5aBR7vuyO9/Z8UCU
BHg+xXvobsLI41OfRWBr+LEGRdChxvYWLFB2v11sdBbnTr9DG+Sfd3ZapGbusa0n+0BOMjn5sClU
Mewb4O2BmUSdEJoCFl4ixy/t1pvt5CQ7nS0HwOvsIw0nIsCjUxfFlLBNb3NpGjOTMEiMlkN+oxg3
gAD0fpJOurcCvx57XDUakiTg11fwrgWEGmk7e9ykXsUfh0jlj61WOwend1/ItNhBv/ViFdzFXgOh
dCgAR97YZtT7Qs4k23wNWmkx0nVcJxLzdcih1tOnomrZltp06Qw8UNdbv+5d6y5I+Lx6Nfvmc+rZ
pe7dmAugHXjgNck5Rg33oHLDyEGx2RTsoDSKjfNQUdufzrlmtKpP4SFv+/HINd1eRawvApYat97p
TOk8F9kNdEcvB6Nm0KJCNp9M70LuO6/JH6Uu2rHfhRpKONB0asQGfcEqAeUsNDyQszYNNEqz3LWP
sQRFQKxI/VJUYAeSAnZLRGxr2t4oh8LX93egn6wA+HxDRkcKV6H/1UICJKjesEHgNDqWdoTKkcwA
4pPylKCKeqS8Hh3ADVpA4oT3M2lePanocJZxHNWwOQ5Qi2EN1hMG6riaXSVDwSbhbRrEYB2NfSAF
S8BBijQYQq+91oNor2TTpK2b2e+Ro93QmNx364xqemFdGO17mw2nXrX6kzegQryicQpC1KOrP1Rd
NZbB7EDyCXiA0em+xeBZR+Fe731ViepgWaEr09tad7ZYrhfqD3dmW02UraKP1+5NsOrd78pN0KoN
Jx85BO3dL8z8s4MS4HGOofG7mfOPzBAmqh8B9OSjw8/xQwUV0yJPXqGdV21LqXtCh/ztTJC+yTIm
dz9k84w7Ow2xg+63QP5/YkPnTiskPtE15aGJuTAT5bwcypDdhmbEVx1gIidykn2e26Mbx4+mdlov
05BVD4O+bjQfJEkQmDLRcIg2qAFkgKaRJAABa81acdhnQ3RFdOClM5zKtMTGNIFYYzrlzT4zcld9
GizkDtTRLX2KaWVgRq0KwgMyukPVDXnIBzK5sV75eBgdQA/CNLXwPd3OVtPoTDv8zGkXNLPqFzor
IEmlT0l3Xuw6VEROhW6BuwihngpQ7Uoba2vr4LbR4gfjckBaD38JUN9BooBrdnYnpgeqyrerUTST
lxwrBSUZXG25gbgt2aln5ny1d/Yyb4COgUTLMOn7KU+aLfLU6rPXFSCqVEL7Dx3M0nFXDN9cXg5+
i6b+x/AtNjGc6S52cD61uEzexA92pKEE0DGQo+UeQzqpjHYG+JqG2d3YCTKSQDrcbBUaq6qxAdm7
nDFPpnWGWCb1mthdMelpwWOmBbSiPcY7CrmfItdGa21ypBnkrawmyHXHGe0LMOvl2mUp0qvyT7Rj
9IloWfM1tlPwelgsvzRtBhk66OpsLPS5vFAs0bX8HKv2k4UyDaAPit4qK0fDTxL1DDAQ8KIZJsNQ
NhSoBnjVyEvdBuR1XAAdyEtzqw51SKiAml7rh1jHN1EnX7VS2gD5emTgG+CnliF5GymKQN6iAsF5
awLQxLRtCojHygxzdgFRCTp45NniWGyx9ALBoW3tFN0KFEeHgTs3B3o3/phQ4ZuGAUXUZQJd4m4l
uoQA28mKHBS8XDuXNwX0FTs3gDUZjlmvbQE4XmKP6Wf0QYGZXP0c4QVAsTAx1wDga58bSwPIqhbP
ohrQn6dkOSrhkfbZKVUHxU81PEf5pEKLB29YOZ1WLXnZ7kfke//dquGogxtDUUA1j4fHvTW41lYL
e3RmA5+1An9Yf0r0JHqN62kfNcj2czedXqqm8kdJjIb+uepB76BgEMkoNC3i2dkG3Tl5vUxv8Kdg
SfLSkujKG07kTUz13ZKlKFEoxhour/5ASSFHhcGrgKB3uidVyfi+c2N7A90F+6MyJQ/0O7xE5AB+
7uvEsTYxs7hvmWCnGlbtZDVbek6e0sQ4mk7p3z0ro6kST+CTqhpHK715bzbyJKx95xEjfn5W86M6
Cj47o2LPmVQSMvIcLDomO3B1UIaHtyGKotGZDlPp7NEcXZ9tBdIqWKjaMc1NnujgAeBRZ8Di0Qjc
Fvq5MfnR6E1wkReiGLdFN/T4ksWECZ//J6fIOYRuEuhTgooOfOVcPdS8c84UIvRweLDdabtM0O0p
2+EbFF31NAGtzJbPrSaZY+brTtmlrqp4XsQAveMlFih80l04gOFDQTS0VhRLB6Cm8wDYpmFjyuUn
xa0h9ZdFz0oeqCkovauODc8ianU/GaDBRrYRiNsTUFF/eJLvlUxNZYIqqFDPjjQNQKdvstbGU6Qc
1tj0PRnWJ/JRuJmij9Qr0LLD1dA8iCL8DO6Q4ehF0XAU4QgUOp3SAV/visKPS8B9VPM2lWJoGFY8
alY0BtVZstatqZ/XXGKKKhWhv8ymda1W3O5jXoLGdeG8qEMbbe9CbKbiFzXyPsRWC1LvzjMPbq8k
wA5OKk7psIzJT5HkdkCVdYuksb1Ezi4KRUFC+FoEnhEKojXobLmkDRo7w//l1SgSe9QYrINAJqo6
Gy8OCAaDdNSyNQ17L4atN8ZL707OagAHxebOEQ75HzHqLft7ezUe4rrQjm3Z5vaKFhndZ13Uw0Ok
RxzgpMLZeNhZXm21aFdhOw17GtIh69wn1ezTE42aNNWunTVCWziOL5UceWYUXdGYuUxpwMJx7jpr
Fwo2Jb7XcbAMeMVXDe3fiQ+OlwkfER1kfzRdXng042HDkgI4pab1Ae8Zrq2jxs9oBACuMnymg5Ha
HAgiKzzk0uYyAFWnSeEBeVGt7y5lpB8a07tN0HtAGCxo2pAJrWjF2pl60MbK6cDelqe+cv5a4tEa
CHiXDaEVGdD0jfCjPhY7Gk687gBGsxOfhoqbG09l/bHI8tvVwIrUIH1pO3sj5xlQN5WBpI0rJTTA
JZriL4MOLyjWqzPZksoCiHgZm3sDjXJnMoRyEkXRkA5GYqfA0VTQ8pXexbEMNZDObmLLBkbwo6G5
9XkURnRFVzGKTWNe+RaAjwEf2LRBFR6Csm4SX9XEXaWiLv7mpblm560oNjfc6Jnmo7n/fj5FxCCn
nSOWK7xdn5zLGgAFg8sXIHTPStAfEIPDK2uh5rKy0bxzdhW+RmdGBCIBa/je8jQ6pBJjvaLozk4c
X8TG+EgHDtbUcx1C77fl4rG00eRRpGGxpXsCxfTnkFntaR65KKMxxRpXGb0cb166u+IX3hwpsXdz
Ozl3kC9dqWbWDrXqCB1OOVpvsro9AC4IbikAYKVEcJ7Igr+0VGrqHeyx/Itcc1Abduu8cZP1Mica
qnwl+ui2DjlAZvz/uM5y7fF/v5+un1TfsMBQ1uSWcaqYvu1T3drz0MDzVt73xkk0WAaPXrlxym0j
PYxoAYZCkXEi00DeOYbCGzTlrDXuoZdETqFIWpuGyjipgAhAZXbFs0asyUju+YoUPqIJaY3mq3aV
uEl2+5auBXA+q9o0xK6b+BpCLInpI6lhHpKmsADdxnc+j/CTd6KxR9/v5EcuR7jruuF8d3uuCcdk
jyyf8oAPSHRxu9zdjBU3wHX8w6ZKB6RY0JnT6rO9BPMOdPtkCMQ0P/W6Ve9pPplogoa3T4B3CmhR
5HxyDH3hnmxdKJu0GNHPMdQnYCWa0wQ14NOvhuSgEAFWa7ud0Fr7v8fSSnkSfXVsMKK19nOtGIpP
ZyZAK/NZKW11rkCH5s37z3GQJlOACkYy083Xd9xYNNQB41XKBIBZ+RxHJjq0cR+9U4TMAS3IQwO0
bUV01pwIzWeoL5tmAYzzaBoAMKfPhjSHRZcdBPbSPg2tBq334EhSAGCeqlddQxIeWSAQjspgPNHP
a0x4pnlMnfg5QrPSKw4ZPrYmnmOgcGEXkB7ZVrXzxEIbwkbLEM0h+z4CoclWYd7sjUBWdk1t0zqR
RPMEmhRLGN2RVJtDqcfMEgUs2E2iB05f48sLWtzZaXJvE2gWHVwjn6fSiOaPVpauHUBpgtptcuQ6
O7GttMS41mi0Wnc18mSmZUHdRdpCxeR+XdlsDiGHwAIrMLOVh1oXf3aRpR2QGjauIDU9qGmsnrWO
u4lfvQr0il25dImOK2fNHnfccLwEmo6FOGSK/tccaaJZC+h0s/LpmsvN5BG4vlPAYmpg2I9kz7nH
/QYSH9t5qeVmyE03CN3r+UaW5apXzcucfZnqEQgTsGM05H7STZR+B6g/+rYUbOlXi1ETE3C3tF+k
cGC+EQnS+jlmWWJxLLZlmUkuM+FzCtnV8SNSaK9oqFReeCWsbdWZ9Y4Xbf4CJr9vOoCP338OGBMI
XrQR0jJEBSRU9MkYIPIiMkA1to3Abor3Q1MOKZi8FLwMyXs3t4L69Y4DY+0PnWWciwx4oDF0PwHf
qoWHSANdOpp4wPLV1opAmiY1z8jtGmeKZiMPstYYjhX/K68s8xCD4umITlL8qxoFkknoDK1akIjB
CknN8YiUEHmFDKEzOrQMTVKz535sJ9w42P332gOtPac4Wo7GSCJ1aIVuDqmIQNcOtekCbdA4GJMW
K7uxQcJ+wu+I31tN6f6V52ZxBBq4RuozKYojAyLKh1i65tMk5ubeOum6BM9WpaNAtKlW0bU+CHQA
SrFOOQRrlLjMmvSOd/Naat9eJ0gDnNGA94pdZ/WpK9JppVVJ+Np1gCNpfSVewyaxVh5n5Wvo5FBW
ryIPKgpMgSIKenY7Ax1NKBt4Bw1CaXOftpmm4TzUiOoBbDXvhouX+ur+7dw8jxLfGbAl57L70+gA
jzHaRMOzguecbcl2gvIZUOwCNcPjEDVrso2AXE7B7JZTir7S1q1cwURD19rT9Hbttkq9A32Ku87Q
tvtZz9KPDC0GV7Vv9MtQNPmK7GXRQ2xeBYzck6BetD/j0Uz7FE4NP+AFYFAqKbLP6G5jKxZ54QOw
gNNTrfAr2SO9aDZ5aFpIjOEiCeObzgSciINn8xVK3HE6/jFMEeQK8LV27Ws+7aB+0uxUs4iesB0E
ht4u7T+SLzoH/wlFgt5MXO0UtDC3J2vwTaLzqRRxAAqLHD1Qb0qoZESrQb4WwsnPQOM5l7JRFF+J
LPyavZ1FJVKlZEvezhbvfJaO1bkrQY6VRPY1xtPrHu9F44EOaGI3H6w0VLd2blSrOwcNRRpe67pw
9xS7RIDnHZkwC5jTPo+eQO5XPmttnq5DFbD/iqFxLFXq2rd6J//Ox9SfTDF+idI2XU9t9j6CyRLJ
P0YQT1SeJn6RxBC2ihQ0fJSg2tyC3abAp0hR40tIkn+x5wSWCk6wWc8vps2JIzca5A8j9DcoiXX0
wBnaBZ50kNfLXXxo8vYslLpFU4jc07ybJtdGDXg8svZMesF6j4Sv0Xj1kwAwcT+4ir4Zp1r5iAzW
HGGg6WdVCBAP2SlaokrUhzXJt64X1VeUnrUjmHX5E3gUxQO4z3dGidv21UpUG0tAapti6WCo+VdQ
2GlHGjVdMqGnst+Bz509YnPp91OLsmRYQLwUgmGfOEMerjKQHZkYFx8cvQyoBRr0qNgOQ04loC5n
V3e0lWvb6hkNin4ea73ynIRCrMG6X9nolAEtLh1iW1UPiiUPwJoX+BbBKbC1po6Wgu5bge9GVAqk
h8JlT/vvTstIgOQF7bDoe23EeE3k9zXIvizUcHIL23o0LpR/TiEvN6yOBAhccZiAuz1OTrPNXeHs
yGQYYBEHf+VPIWVqjMdcxOZqAgtHsMxd4ugsytg2fVvqLixzL4qnFSzZgnJFTwPIyQec2+WjVefY
aJpZum11ngdMT7DTVHM0znfqtLfM9ttQF95G79UJUgSQSiQZRbJxr5/8URkhuSodv7Wpci46/NCa
usTQlLxlg9+JUQuo8LgQRM9ly3d1zBjqRZtwGD5Q1XJ2z9zRfz+fy5umYaBJmJbsqs7e9FX3wU0C
kF+uLH3Mz4Po+3idKWj1dMq/DUmmuRyQoct7vp0lnn+EctmLTLLOb3ZakUZkp4i3pcluSoGkt3i6
JIV6X+wGBEy1ZK2mA+So7TXr22m12OhM8mee9coDjS3FWC54CdGvf5sHpXo0BVHkkDXReRwyZ101
2fuYZUUO4rUtqlF/QC/BPjSN9TC/HjQE6xXaoqPb/dJtoso2h5HdLR1UAd6mzkPy3NmQ8f0aRm2z
0vRBXTOObzZiF6iZ8QcA9f0lArQYGFZowEqychY1xck0wRNKUTTJiXqwL0jv3ydxlp1vpRIt0SA6
aZZod6szAQ0pKAWustoezzSOII+z6QVKiWRTZMz7QHRdr/Ft5cyzyY2csIbKIvJvwF4bIB5K/zRR
edsrpTAe6TDx3gmcgUXrxdaivQ4lRMggF6VqYlsM1dBBCofRAdlq8K22yHmXYwgGRykcFtuZAV3E
LxTwztz12gZ0toVPtmUN5OSAe2KOM69BDrvUvLMe4VFTXqp7ux5QQPlmmszh3oFnju8ovfb7ZfHG
w8egNju8+Tx9BwYlUMK8iRobeoU+a8e8sPKHPrIMIBOpHtMhdd6bKFROBFjZmidS1Ntay/I/ryUq
/glq9drB1eOVY1vsiQ6pVkF8VQu7m64Nr0CKpE+eue/UnD/1feE99kUsc1TQkhmiwdyGKqLnMRJX
qMWX2i3aQTvOY4WtzH30cj2aocr1ySbM0XscsT6Nulp7TYr4dcwS5zoOeNxrMiPe05Bad7zJOaIL
jZ2ph6dIveiaakcaUFAMZnr0Mpoviez7ITuiw23WAzXVWmgG8ztI5wUawyeHZlAMOpBvl1qWkpdy
kMQ9U5jGq/gatujzk2uo6Lw6DbhM4cnKlhqWm0iqw+bA6T/GRf/QTrk4kokONVidts6U6SBzRBgy
j0BapIhTLYAHMsVpDs1opk6z0are3tFWIqOfODqlAzgcw4BrmraibQrZaFtCZ4ttmXFnowVMVP1W
qlt16xgNoIAMgS/sHWkYmkWdfavmx5lODO2uN8KwSrRry9JBkdlDXHCjoH9y08oC6ZTVxQZtBtmm
kdXUxSsi/fuoAUGDkl7io0/JWd/B5GlI3holx9m7wOQJTo8qbTzPvXPMS0lvNuGdDG1DZLfQRQRN
o49TDaauEAq+KHho1sew079AkKm8kLPj+gokefpLU7Tek9DjLZnjAkJ8xoA+3FFP7I9jpbJ9qdZZ
QF4rYso68iBpTcPQaW4XmJccnbsLoJj47gKJy9wNqEyBekWbCz9ZceZjiLQLDaGkCxY3TffzrD+A
wNM9daGAZrqVJN8aNHJMOvhPIQRnbga9skFqUWUfRgVa6TIAAEoHZBeRcVlmQh4w/tZo2AR7ofkp
nwprA3EXvK0ssNbnYwF+GIlZ6SXYZTmQrYTwCuhty+1i95J22DQASiLPBXGwu6k0VAhMKeeiTxd6
UW8Li6c0wZvJ6qK2XnVSn4IOdtUhUUWnbQoIFpeHxU02MUVxMA1IBJHjfol5nbpFoRhZ6MDQW/u0
HIauZ4e+BnTpzR4BjXQyRhDtBT9O0XLYT+xdTMWTcZtx71sfjdUDuJL1c6tsaABqaABfbDyOz/am
2JKdLHTG5ZwhY/oZzzaLOYKgJDjtUGT9adF36y32nxaNIIjVlyxxHV9H55TcU9AGxApdezuO2Zd5
iyLtdHa3/0Cj8CeIfgFPKyOAL9Oh2j4iWyyHS6wjV2vi5Mu8AyLvvJ/pmyEAoMk9pkbRIKVTts8s
RwOfqkxoRikaBzzCjfMibHSmg7DmL0jYuR80fH8ih6eFpylt26NuAAgJ/SLjGa/5sIoVrv6h8Avp
fMk5VqPf5oSaEp5YlLTHKavEWhuEL4oKu2JktL9wfD+vepC4XFrWg85DjbD7iosJotngfgBfpPBz
Bi5HZxBVgIpKegH0eNzbrlC2usOqq6t5DXY+6MMyPNAtS/IwkQyPY8/0T3eTNN4qYFs1qytvwXvg
Ct3Zm4MnCqhO4AES/UGts8ms0viYteNDLtz8e2Zk6KTE09sT+DVb9JgiIlZU42M79JBQR/7sVxFv
a/w2Ak1srl+iCzhwu+wDeCkg9ywhDN1aRXXroyVYiwaw+IUAFVWs2ocRHFszzKGoDUA9oYaxMUaw
V3Xg293WBlS9q8rUD4SESMtkXpTm84AWFUBL0qKEoUBjpzMv2mmiW6cQLQG0GM8qqjM8RmpTnqBt
gB0IxMnmIXro2ZV4YzWYkDsBw4o0kV2a2lQtT7TE2zpkgqCn76SKhpcZ9P02QI9ovALJR3SabD27
MCmk18Vx+b2LgZjinvdFTGoY5NhozREWV/tVDJCOB6TdxmYpGqje8qmgA2CXqs41OCAjJyh/uhgt
8GBD5lLB1oVmo2jTrHRwPsgf5MgOqnFCek0UxaWowSXa5r340jXpCEDV3x2trWAvIR0RMmrzjKz3
8C6WjiitzZNugIf4PCJVVVRMZc+3/M5gOMVmRIGa9O6CsBfqV569Qim0+I5Mn+onnpgeNOCbTmhg
B0XYLaDsk3WbK8DzKam7FbzbWCp3jrYILSdAuiTblCBSBMpIS2Z3oujOMcHfA/oh6FXmaL3b5zqa
2OkvA8x6bQD9/9qNYPpY7ODGWZt5Fr/+It6Wdj3xKiAbGbjIKtB75FmLT2nYoSwox6obtSuUjS0I
2iF34dXauDLtgkMytjFeGSovLUcSEsmBh7jt6hWxbIJnBZRWCvgOaWhC4v0fJzWaCXBeKc5IUlWg
v5UHBTyVgBdCP4NPP2zSkUKmDIowA2BPqr0WYDeuNbc5pUyIaywP5WitWV2B3V2O6ADAv5kwPHRK
i1d06qVDrZhGoHQEHweQfZBEjo6LKR3b4jj06mcy0cHuvGrvqjqfZ7Kkjfdla/0JiZ7uCO5PyBh1
Y9ZDHLTqfBChW6gxDTXy7dJIHoqkszmcxmZU/Fnmqgq8TDaesGXS1s3UDyvCWmoDum/wXA4PjSmG
zugAljTwFmSnxQz6XgA46667TWgZJLabSb1kugMpI4V7Dr6TFR2vXNeGa9FEbpBmhnhhfYw8quVd
dRVYrniswR5qa8qRnNOgqmiohNA6eV3XanYQrQ598rr4qTnbwvmKzmLxYoEL+hlyAFXbtp1ftcql
GcAtRpGVhe7sRpTqntbRW3x0mDWINXl11g0HDf2uYMPEHQHHkT6men2gZSkCSEgQ9inNE42SEkSU
2HI2J1oNOasOJPaNAI2WDb1RE3p4ltZjGzbF+ocQzawoeCSgiYIS6W7AG3lvgEb3jK5sfDW3Uf3S
gBwD+kVQZqvwooVI+ESQC2KBGqXjrotKAC5kThXbac1PkrgBKx6GhV7FxgpohuyMHyXwtdQmmm0U
0wlSnmp+HhY/BcYORADCptioZQMVYAvVN0WW4MLJGgH3HnyvH/kDmchpMxDYqJ45bCiCHHYHIiea
T7ZlEc3qgNEtugeyq0wZIEkDzSz062untmvKXR2H13BSTFB/EaVVVOggstLAkTqF6fcCv+UgV5Ge
mHk4hRZMtrGhHbwiI7ibEU6ncyioK8t116EsBXnqwPNe44qLy5ICEIqJtoAwUXaUOCBHwswRQtis
DfAFazySI9cZat6V9gqCjPzgVFWJLz5P35pF5z3UHLoGhZVAUCGcJl9tnfSVD261cqYi/Nq4zcMw
ICG/GqcvNTZ8eFUrjg6SvvkzM4uP1pCVXzoF/1r0L4sP2A8UQVzm7Nr1FRICpqWd3XicdiJyukOj
egNUefW/XbkazfdXtuSVlbh+qEWFPEuVf0HR/v2V+y77mNaF6qel2V+mpNyAxAxs3JOpbM1KKF+N
Ae9zr8t0kGG37hoU/94JPf/9AXV0bWsMqfqYgdDMd1hTf7JY9ypB25j/F6iNUOmcsq+KpqivUe9k
gY4P/WOUh8oW/dvpIclSdh55Oq0tb6penDgEYXRsat8gpHG7DQ23oYRR9K0zkAS8uw0xeX+7jcR0
q59uo8WDzdnAc7Lfjfg8NwPkK1CEKF5ABVtdDY6vFTkyPRUHYPlKR5QPZMLTFgs8ZnRbGtL0eAJW
iYbcGOfp6Ot2mC+nojEAPeYgRXYmMwl6I7aew0orrthJAZjArWfoCVjPfSSTMBBBOpKtjSKJ+pVc
VyA5fgbCqLja4W06JMFQT0wsZBPMTj113LwdmDzLAH+3lR7oUjmyk35CbiU3kDiVHpDzQLVHU/cq
WCoD0nUwNWQXUAKZTmCDhaae+p3MUBeFVIyMIp0aiionIU51o17x3BL6SV2DD1MMZnvqJYMKHXTe
93g+Bhl0AvrH/eKANAKi1bdoMbbrioc7yHV2voH82Z6Kd3kG7iswTLggQwXOmrzgvPb2VPgr9Aly
vC7oZe0wXM/AgWmI41UYDu62SrTWCEjvXZNGaCq4WxJ2J7F4OiOvDha3FZfehgM70w0cqusgCbtM
sfGiE0utHAlbfSEKW/LJ0eKTkepb5M/zIDA8R9ZGa6CRDLCwcLDEOuPgUKJHwPlpkIxjUkMnRD4s
UqmcDnO0yQ10+aI0vxw8oYi1qPH0O8T2LjUVAyCFRHwBsCuocy97FUlbo9UPduKmzRIPTBZNPttd
IRnG3FB8kfYlXtPNP/H4NuA7DLmXUTK204FnOrpFhi5Bug22xRvJuMLhE8AOtFss8yJ+iDT8cHE+
oNNClnk8L4yC0Sj0A1V3nOpxmgR7vYsanFTWFg85dvBXBf+0zrBRuHATxwzcMkaBUwqzDgYbr43A
v5TKGr2OPRuV10ZDca65qRrPYNlZK/i9gWaK1Z2UHPs1UqrRcw2Pc3qMJiKpYwPZlxLQ9Jgdyctz
6yBAW/EURbFJa5C5h7ToKS6wBi1pIA8GPFJWrIq4yqBg1cXPtWga0O8AqNQYSfxcgbgfZC2uP41g
n/Ubo4emYRg6m8a0b94M22qaSqZfzZcR5HTQYLe2oEmD3oHW4bX8U9hMYO5UZnPCn8JmznLVitsT
eSdZGScvquMIjsFvvnjp00TD2NHfz/1VMH3W8K2WnYZjmTijX9qe8qJE4m9nYtRvtuHt7C5OSaHl
PrJ23LIyM47x6IJ0R75pgYN4EvUonq2eG8e6EzlUDfHmbEH3bWD38s5Ob+bwR/yQggt06qvBVte1
7SBBBBKT48Ri/Sh0bgeQhDdWZFscvxoil6A3K5q3uI1ysgMeQyH7zqHJ9XP84gbcNSDxpWjxhQ5F
lb+gf9UB4vGHic7A6+b54JTP1xXpZZKxTtn/sHZlS3LqyvaLiAAxv9Y8Vw/uwX4hbG8bMQ8CJPj6
u5S0u9rePufGjbgvCpRKiXK7CqTMlWuBNsULQIH2u3fCAXbPvW83sz3Gye0OhV+93cF3gd3SrHHh
ksU8X9OMm7NnFI+xLPaGAZZNVC+li6ZQ6aaDyie05AK27yazuZg602vwIjyaPSAGOtOLN614EIg5
QWahgW6r9qCBQjh7CzVk8ySUF/crAXGz0ZqiC+RIu4WRh/XnrkY60mUFPxbRUL9Aj2y2tyNUiiBI
5KybrG0+19irWlZVPdhlBLaiYgTSWNsHPR0VUPFtegPJ1cfY658hclGtoL2XPUoT4Ra6IpvUtlHb
6Or/x8+oEF4oTXBNK8WtZWhPoNvXTzR3Ow1j9+owPh5HE5hlsmZ5YS2VxBOl5jb0K9b9BBLsECI8
BgjyNq1IrS0JXUy+fXGtynzICpXdJYL9Q2byCpLA3JaOM75qLzP0t3YBPExlOI/Ya6Ka2cVDAPl4
95FsFecrhSLHe9uFPkkKoeaVD9T1ljxogjMi3KkFYB/JpicMHthb5zhAwOIEIL5sDdZu/gK4dLuP
hpatuQ59+bC7nfvRXuFY9EX7/80upxzqs0204Ir3l6yUwSZjQ7WuSl48gcbQ3kGXMlzyqCueJG9R
tOzH/sII0U2nCEEJrXNEzpYNPp+hkBcazOp0eshAQhZj6yShs7Uq4op9Yr1M7qXfyd2QeYGJMJzX
HWq8LPOFtOJo79hbyxVi+IcGjAp0V8eCqe4wu0O2D3ozEKECGKsBC8tUq4uTVP1Lt/KUI19MQ3QQ
nFI51EzQjeteM0wakIHVXaiS1hBXQCkLdQsFBbPYlY/ITIf3Qe+dyYy/LhiKYoDc66zFkgFU0AoI
wexo1LfGL5Ezdpssx/nu9rpFdCQfFwkiJNAC+PAaprft7eUbqbUu6v3gQGOcFFgwOEHmZX5X00SG
GHQCMqSTA3Z3nCEtuRl0lq3oVfeQTNGm63l8JVNvBtA75u0/NEam26Sb7fdJnZqao9XLf8j//zop
6YEWA9sDPlovAsRJfXUN0xhQj1pIu/k2tvHRSLHbfCyjrvpUZtFPS++6Gr9NFgE2k2fQCdpz1/u9
S6M3Z0SsxPnWlRkqzqw8blahsY8cXVms7GC6Qy+mOuPhrz3bL8uFzL3mAZAQtnQLzu4DZo0byEq3
JxDBDQcpIJYT+oG4Ir5srwwAJp6mBkIaY9W034KG74UFvO2iApwbJAUQCi3sb1De4a8e89kyQ7pt
XnIwNO2jX74tKScAlnrpvi2JkvJTjO9u0gn5alRsADUjrkbU4C2gcyBfS4F70pXUtr/6VfYEmtgQ
hKVL1RV8Q9pgEcIqZ88HxUUD4uQ1ddu+hVA4FDlJKYw0w+qC+ed3O0mLeQhg4GWcpdgLnoMSssEL
XDgR3j8LSHXMFx+H/ouPCcDPYZgSexP3dr/ikx/tkzAcX33IWfeyqp+FVaXnHAzRCwVdj1dyS5LM
2IMjGDqbjr+o2RDu0oxFW45ixRUKk511Imv8X9f51K/sKofuB/XHzulBK+I4awVRIeiCetPaNv0t
sEz/RO4Y74m3HqCr7kpX7/abieyTa83+RHFPJlcDRhTseKvGe7KTiQb/V/sf6+M7/uHz/L4+fc6Q
EB3va0vmbkJUtW0sw3PwhfzVDCCyHVl/7csMvO+NDJC6KNNvre1H2RrYdsR/2h4kI3rC7GNPKYRe
Uh+qMCme0v9e6mZ5X26enoLS11MFFMK1GoJTufpbJOplaAX5hmykndCD+fQic3NhDwy82HiV2k5s
7ZEaNWfcmAxyZ+GKoD/7YJl/Shr77QWc1m9uM4xMu4Vd1Z/BGuI9Zb/cpk79a7Xf3Wh6FcX4L/bw
7bcnHIyhwHTtahea9Hbj3ycice6B9pSoH8YXvTJPeQdmC/IUjt3tPM8OwJXIcCjR/u2UgOqQt+C6
JZ/RcL1FK4CmY8ixzD76DmBfdj/cwVzN7rmMphNoI+7Im5ZVIZ5b9pwcMoU6KB+oFScyil0OHcxn
s0ZKIvKj+ExdUP1t26JLHg0o0j0Wo70adY1rltsMVU+iWlB3mix7BzJmcx7NFQcQRpXljkZpSQ7B
jTN19ZJjDk4+WrIEvU7ex93ZjSPQohghghV8yShuohvRFoCJQw7uRLGUPq4naOIl8Ya6VsblkZnQ
LBoaXn6KkTd6dPI5lEIObQPK59t0IRpzGfr92upsqBTGaXivGpSqMa0WWssBtBN+B6BxP4D94d8e
MuiOrcKr/g8PIKcQFtcpj7+s4eP8vlKJDX147FkKtgYSByEVz3bQTpp2f0iNDRHpz7Z5HKT6INlv
WrDAuqVhbd3GQVaCgdUU6bTm5FMXKZO5SwgbwtRw6c6mG6bmfVKj02Dk9W6iHrm+T2QoRzjxGKXU
KauufZ4dIT/oPwIa7D/6jD2jjKs9gyTWh2R5E6wR31ZrGux8IzyPCFl1epBMZZlfKj9nYKXF7Cxx
0zVK6tsNTQ9MYeEk2n6bZ+tJkNLYAt6f3JHJDAZsqkD8vKVPoIagP3LoAS9olNZgyMGVJhvuySRr
AxVE0s929BGgrt0cXOaZAID8+kRg9oHql/FAls4soPo0fYvSZNhTAE6AIHc7NX09B/BkYncXvGjv
aZC+ZMjGQvQ95ff0BeNZh7KP36eLoq5X3GOgby6zYJ/gPQDsbrDvwqb45LK0/FRgn2SrTF3jxsZ3
3GXO0mVc7GgQCOlpZ4MoYUkT3qfjeVWAxHX014FXpRfbfiTQBMNLaAVI7wT2HfDdZw2Syq1UyTfQ
4H71euj7gGgk3Bccaox+nltfMJHGaeJYG8HKTQGaKVeGmbK9qyH4ltGMO6TFLQ29EPfIC7uLqG7z
TQDWAgkZpNc+S2ywnebIYOjMYqelXLQdyFr2wf67P3KGZxa2vN+jdFkBwpoBqaAjf3/EAGs/qZd2
goTGbeBDsLClSKAvwapZJniGD0MFLg0Z3UPFK7r3LGRZsD0OtwNkbO/BEYCYv4fSLxmEJ/JgUWrd
qf7rNLpuusxD7mn68B+RL7106Wp24FYvSb60Bi3pNi00+/QdmoEheNtDvTsaUPSmT3Z4LnmQ8Yu7
PXVbZq44WGGfEpw8sG35txu9KgYXCtph0f3VrdGrEZD53U2fY+bVyE43NXpH3G5Kq/UDGJWHTAI4
AWGybTdl2RG6YPmxsAxnOwKFcOWyAoy9soLHPkLoumFu9Zkl/HPCZf2jSaF3l/mKL2wFCHTLqx99
2HweDV5+LpoyhTRO5j+ODD/m2uD5FQIVb3dpLPXxLp6TpGvkwVrQH39pbPONNQZK0/IIzBZxxHww
QxtyppX5m40maQqOILaWAL8G6xyxt0eIxFQHFykbCPO4ziPZYvHaSWd4kBZeB6EL2eF2AhfWzR/S
V4A0ChO71NZq7+fmZegmiJZWzp07Ku9g682qB+zGxsrGFGnsSVyRbFdAu/5unMXjyWhrz3TtHJQI
gn+qzDyZYDm5XfieNVvCXxe/+VRpOD4nXfOF9si0W6aN8jhAbF5E5p7sMgyu3A6Afcinz30M2YFb
eJfCwNruMIidO168ocqDUT7XMZQqIBVhrRLkGSE5l04XOxLmkhzc8DnrGmfJSxSrtyLOl2Iy482U
uM7FAOJ2bqyQ8VMonPVQRAhv0QC5SMgtLUv8yDZkG1D/tzLdJIYwXS+ugwRdSOdmalOVAn+/pjIQ
gBTjAZvG8RXsuT4kKl3j0OsuY5smVP5LDfKaoxtAvY9r7WirmPxlL0DhP/lGCSas+kc92sYXfRFk
9duFBX7cTEAQxLWQXSyt3Hpugq5b8V44V2lBWyBrk+KAhAEYHaIpXNcMqgipFZXLvAb5Tqzl6Up9
1QdAewPIg75pIemXKtNa/2cfcqQmTcF2wrX3bTG64sXXsuxCHLfsEx05h4pPd8yYTiRDlqVsvNNj
dMKksZbh26IPp+9j/20e+FDAcq+cLy1kGRYgPuKP3I6CzRgAYyNBY3hmaZis+0ZYz5XRfy0qBTXz
BDx42NV9B92zvVB6ksF+TQL4Vp1R0JOCWdMwnyel5kmQVZ0ntRUCWoCbGNGQHZPGNZb5JNMlYk7Z
MY4USNpppIvS8e2ShqbMRADFLaaDrZBAK3VZZWWgEDyxILwOLbDkFEZg0DAK0T4YTlovq1rwL2Mh
r76LWq/FIL8OIuh+oGTqJw/c4NnPbfAwB8q5Zr6ZQfdJ8AP+svU5G222Fk7gP7JUvCRRvJ10/oga
WY0hsDUcdePUz22kizNXHSzKQH3weR/mAR8P1OtMKM53YzhtCRJUKeiUDy0iejNCSMOHQMnyd5vw
wEBBotTkTH7qfS6hjmg98vuP67kt9uhB1p3Av4HyFNM3VrcIy+CYn8CSDsyNDtKUDkCBleuBqkyj
o3VDkyJoO61vtikNL5bxpcGx+5AEYY1Tsmko/A3j1dxVsvCuoyxSVO4mIcIFIE5KdEMDYLKLFrZb
8u0Hb+yWV+2YD+ebs+trYu+sfvzgBiH3ZK3cogUX+AsIYsKzqGrXXnSIB+xDO3qpGYsuo8C5ZQX4
/cazwUA2u6DmalqkSWTg6TIWK+CJIGpwez4pltcgs17Tg6kjuzP2zqXMu2IltTONRDkycAtTACCY
itn5j4cfrV4w2wLZIsrSNduhp+kRY1aiLpMuTSI+vA2RUVqpA1QfsBl6CmngffDjg1XxFTm6iYXy
ILv27T1z5GybV7DHetdCps3hi6IuIDdhWc5dkk3Nzk26fF/a7nidIAQJjbi0+awg9+gbsfEjkM3O
q5j/pfMLtaRJhZc2O5lbYB4J+/FqY8l5UmF6Z3oiOGW3Q4zImydFwLXdhem4ZlDoWxS6UsHTlQrU
1KpZImgVnm1HWsDV6KM9uDY46K9QegBCxjc/nJrAXCLqBnhzhHwW75PNKpFb6KNB3hjpnCsww+pa
ZLI5Mw8K9YIVHsR3wKNiJu14qELznnqeNtEVeEvyXe/p8gQ9lRahgdKIs41ZA37nR235tkqY592K
9YikJlYQJevSwUFTZQyEhLdbIbeETwMEzY5WU2O6i9JUXARIFdZBIJM1/aIq/bMyk/IRSm7sRL02
Crtz2fTg/cMYNWFjyrUHxMU6rcI3GypX76PKCObfIqpqy3M92Vfyp58iyOPFOuayWd8WkpG4syFb
fKZ1EBwG/cbopwgygVKl1vxXVpb8FDL179wB4t0iAms92YXn+kurtdixjUv1xFK+7cbA+pxLC0rW
ZTtuyS1DCj23cLBvp4Ed/tOyEzPqhSdBw0XLFpEsDzbBAlujt3eoGozWhTt1G2Iho26K2PqHLtdd
oiwz2yZa30YjiaCEWf6M8Vp4GqApdBAZ/pXUdTii5ZUXoBBBj6au5ojkNXCJumumwB4KTdNPXaQM
knNWd9ncjUdpnuPa+DGvhIzHJY3Lr9SLhetehs589qdpeupK0V0N6IjRGLdsftfm4YXGFJCLd+1o
gzMAdwSjRnOPDdYuAsHKU2JMBjBF44bGioFZDx4IA2le7/bt49glSxqrpzj55BU/a3zztjIF1r2P
yuFRFmUGWq58OHqa3AmwYXuXMqeGlg74omYXVNM0tuveUy8tcwYMYGJtqDtYwHCXWXihHk0qsUFf
IEAwHKlLS/pBf+9n6adR057kQ5s9GDpqW9bc2WKDMUDuhtd7hdr9C7kgKcMv0KDY3yZ0hTC3KAQA
gkIvQk1fJGJeJC6aYW8DurwAw0SIVHbtLdImBJq5dhxjwQyXQ2RLhCunn6K7Oq+iO1RL5rsE8kYL
k3wahjK7su4vNEoNOY+HMoy9u9kpa/FwafEdmNfNQjAlmW4W726Tbvcq9W2sFBS2YVa6KxRcAUMS
xiY7uvjjvO8FCpkArU39D29/lYz5uvcRBK87c5v2+bDzUC30GHP3H55OxffSDJE58KunAnRpf3PI
Wv8pHKt6dsCLd9jVIw5deoUch6UHHzwyi8SDpn1pxfXZzw37hYnNFBXJS92o5qKSGDhtbe5LybcZ
gOMbJKPsl9ukty526ykiWdNUHec3o2IhfiMJr1DeB3mkD00fAfDGhxEqvxho9buVriDz7l9w4Els
Fa7IEjKGfU5WVdsoL6GG5zohZF1zsXYFS59Ega1g0sXdPxViVQZznJ8CaazaH9PPboegRg58Nk7a
PY6H2H4frLpFsZ2eHkHsZp4+BWb7hJTHsE5z7PZbjYXwND5CtA5el35/oZ5vgk1h6jKxtEYL+A49
2gfybTSOUS7fuBUQU3rq+/wwUOXGDMFgmoDCGrEAFMIPugQlt0Grgh/II/L2AbiicBYYfGZ+6eUn
Go/A7bZidjgdaWKuJ3Z6YjOpT02ejAdfl1U0XVBeXH1F3diL8DuNhpM1QWsbLBzgZ2wqeSI38piM
uNp2Pchi9wAf9cvALRpkPEdjrg2I8rRaJJYp76whqC/AvhhAsyJ16sm6wvez1uKkv2bYcRbegxAQ
HOa5890XgTjSy6lvk/ACGbRtx/GmX7YsHjZg0mtXt62enuDJvDuSSYKmb2MGNkDSCI+K1FNforze
g3jH+GG51gnCpdNnAWaBpY96/yt4s4yd25vDDuWlQG3qSb6LusXUbPaT4tV1ipxykY0lP+e6KjVL
AI+WkASae+92V7ilWBWyOJQ2uBRvJDOAhULXx+h9sKua5YEGcny91lXuIMfPIii59uZ4bsCQ9tL/
rKXVv8RMxeDIBSta2IT2iwD/1ya1pNqQE1hb3+Ywr3FerO9OnO9kUyb3fWPzR1bYAMbnJuir2jR5
zEXVnvDE+UyDE+f1GRTV51J5+ckes3wFZVwILOpu2OMNuKBLaiIjxSNMj4wqw4gP4U4t1OOtyTi4
3wCJy++d0W8uOfCji24IzVfeKmNVNazcUzdDxgLqmPIps/QRDDjbBQczzGuUNgrYCjPY+zxIj6g6
9ZbYDi36TIjnqYj52TTGEAS6gAFASLZbGVUQHyrd1W5Cu5lxw8+IV0ITLW6RDAMKawUqG36g7rub
pVcDWAzcaAQqmNpvqOwAw1ZdfQ09xNR1xDw1WwmkVR9cVFhWJ1TEeat3D6QkUAKQSrn0tEfUgVKe
PKBJVH2Nm7c1yMOA4hy4iMCRjAeS+dAhmbaeGtSAqKqxHlBKbz3kIty0iFJeyaNIUhuIg1AtEJ0C
z66fetMCT5txT86OjcJsMbbAXGEqzWj1mghHtmunklOxrD1jowb3M4Om1j4DHdOi08ww7hTVR+pC
pMZ+cnvx1o3VmGwSlCqvVCO8XV1CMIzO6h7+1TtRyWRFB3kapS6d1m/OTiejI4I66YKyWp3TgSo4
LYdN0gYGQMpFfxCOHRxNoLbm7FgWgZJLIcNKE8hOqbN2VMl2BAZoXuk24c81ESmCKuEq49j2sBxA
N14M2V2Y4Y2mJv++iUqYgCE4KhZ8uZmG1IMkglPIZdzlfbr0eSFWqdFlm7lfx5PmLE/s/dy3Irx8
m6q80BJV4WV3o+pxPtSTgbeb189RYguSOnXIk2MRy+yE3c5bMwUpwD5/9nlVD8eiPZKdZnRRaING
1SSqGfvia7D5NEQQDPZRS2lHBluQzdUD+O+vliVAUesbDQhdIYyONCqQdjwpHid3dD8pAZjMmFx7
UM59IottTHvQR/R3QpsG22wWad37R/IokZFYtQJKaK3RethRoVRSNOCQoqkcUrIHFGOFC+qiJNa6
/C938u2mv0sAcWmRhQ/73EWl9NQUx043ibLR70deADM0FUe6ouHK6RXIiW0F3sb3OTG50zh51lMN
Pp8/L2ncaIdmDSmtZOvkcbYi3fB9oavDanxPVqw15bkHAP/s5nm2yk1mH5VX/RBR1p8s2b81cer0
J7J5Afj1XCc/0uCkPXqwNSCO9u5CIwoVdKB0Bq9aYdzf0lTT4POjOTafxXtluYM0A5koTUWN0YGi
UntRj1xp4sS7eeKc0fq11m3539ci+/sdb2uxX3eklVlZ2kfUYuPxiYdRk6HylhC8wXsXxx32lHZ4
rNxGsZ342KVRJMR5ztqz4xryrJiI9ni1HTqWArFDtvkyAEBln1rWgWzUlF6NembdoMwAJKUvvMMJ
Arxdwh+fDMDvg9R4qbum+lbawUuAL8I3UEHPF8CTzhe/DZmR8p8hlXHQw6We+b8s8f/uAwkwVHmB
v3vt9q57apTnLIjooeA537TQqZ3ZIWwfyi51bbqXDv/kZxZ8SiZmv/xtUhSwdmaH+Pckldb2S2w7
yUmWKL7sC0PdUdMlfg6tzOXNMiEQd+clekOecS36amo2y7K2tlaCM6onrfHD1LxfGlFTRfOSgwWu
DlPpoIS+g47p3TURt7ZZBCJYsjnIUC7azi9BDVrW6wE19fvIF/nzaEzbsmEAtWq7aWfhzS7j6s3u
g7Ft3wBf9+xWOEO+22/+v9urBvVrlL2aE186ewXKS2gyj3OyrAFt7akP20+3/Fk+sGY7uIFa3vJn
EilMRGGTYHNLivVO/DmPHXUk02znyypCRRnl3CYjyk7crj/dbt3jgbNtGj4ub8u00fBxaRoYrXxe
mhYyQeV813tsOVmoEBTehMBgDkjKJa89b2m0okAdgIou8wieUOMedS1PhbaRX8siKCgCQbKlFea5
tMD7KhLsPiho0ou+N9iezivdTLc1myTb4n3jH2kQOLCH1M3704Ay/pUqfOy49UZm3nngxVePDlKz
2hSAZ3pX5SOounSXtituGSPXJqPsSDYvAMEBQOFXGpzd9LoeUuGbm61kP2/LGmPwcVmaFBoIZqVS
ZDhHYRtEyw5gtKZBarr3ZSOBo8JYY1elOsPd1x12drSfCWLgIKhL+xnqesEgUYiE1MStS6OoZcPv
JTsFMU49AyqIt5GavoYdjkSxbw4nEIpjj0d9XxvpipokKiERm7VbmhqBZR2vDT2F+rcVogoE//bQ
Pvxhn1f+cJMxD5OFH5RygxDHsFd+/MicwfziQ4g1jNzke9Gnw7JVaXCBBHB3Ao0HygnHKvxqNWdy
cKFKvKx8cMo3qq7PJXREVjTgQQKoQMF9WzUrr5HJOeRxceETsAdIbSXfPfZpqK3pq42i9BV0bEu9
bY62SBEj9iAg3Il37vilMB2xSDI7vitLz7nQAI4AqK3QAwZK7OaB2gD/csRQR6Gag29xUCu6GgKl
hHwgm+xcoOzGYXxoEBnc2LEhr1HO2dVqzXuhN7UpUknUk53BNwYY86EIDJHH2PfZAVGVPRW13Apd
qAt1Z/cA8vN5kPzJTs2I1NLBTbzdn3a9LNihjUNldbsP/tpON8gmgx9RkDMP/jEd1bvIH5ty/ni3
ehtyAySyPE51vr0ty4CpP6eBXDaGUGfPQ0JHAZN/HSK8rlFoljyILATst4Jig2rDcmk5Vv3iixZl
fLLNvwQBUABSlt/DDORJpdf/7J1ylWWFD/3QBySDUpxScrGsQzv6idQZYNx59k0l/6BGr3ly+n5c
czwaT41ZVkcL2dXNFDjYVIJ8YBEXQffdZvHSmPLiJzi4n3t3dF5CQyG4j8j7xTNMc185KN33cSa7
T8tgWMrOtL6MzrCXnpX/NP3p0I9h8wWgTQh0gf3Q78WCy2F6NFmZbiOnyQ6NL7KrE/B4ZYWD/AIk
/Xass/yHOfLXPk/H50GqEadPqzyFVu+c8Muu1v7gVy9+j3CgdrW7aZ/4AT82beIu6zjtQYHtimMS
WNNjJ6xH8HS4X6DRDDWnyOlO0A+rH0DT9o3s+McgKjM08lyCtu6+FRxA6iRYGSGK60CAGV+MokzO
jcVx2Lft4Vvrrr00Kb8DXAOZLO3AhDduUUPJ1ynLyjsUv5R3VYQCLwQcasTr3eLOgvZasKgLfOIp
v5IJNVwGMtMytPlCGdUuNrp0IzXoA//Vxj0L8mSBsLE82Pq9Nw9EqBaYouqOetyLqnPB+Pk2Ka/w
1h95AhLP94VKJIxX+DGlG4MgIthQvy1MPj63xKII2u9E9jZpPs4668djVyxKV1O+zcRvc0s+1Hzo
1yqejgJY194KDpCwWbgeWDyq3L7MmIUJ0hgIDqQbwjjEJRNnFGg80yCZPG6dmT28+Qsg3JEmi92j
0QbukugonKp9rRLHemAImp3+Yh+a8qM9Zd2rm4s3/wYAoCWxV+B78xpGKXtQMaqp5khWGQ3ijd8V
SZCT74EblDAJVKpWgH+haztwT0TOHf4w1dMASaZdhxLuTTfa1uuEB2/c+/wbXmGgTxGZcRp7d7pC
pToAUQYKkvVM5HSrJ6VnigqBodir55nk4EYoAqOZNhAV1z6F6Lj/aybd0/QBUaSZLg/MVwHwETlg
p4fai3hdxK3zAIR4usF/RniSWQK+YYhX72xh18gLcBtq4b0JPWob9Ko2y75Dumgz1v4UoyaRr8HR
ZX1PHVQWAjGbPruTKVchk+xaydjYDtPQHbymG0/Is0N83K+ahwaPeZTnDeVnbCM+RRnAvQv+MPUt
GMNqv9aqIs5nYZjl8m+fbertf322uDY/fLbEMCCyq2u/qHSLK1Eshc27w1ycpbtAzXcHKvsSzHhA
HYnY1zLL5AKRVVDIUbguaP1mbSdgDJiNHtK260BxY4E0dolTa+dvFMTMllxF+KuTUVQJ3tGxe5q0
ipfSTdmb/kbEEDv3a7W1lV8eDEBCztLr1ZmuqOnTCgxlkeetbgNNE31LhBktitZXGzuN7X3g1/wh
GHVJm6YqAfLkhBLP+oU8RsdmyG/aT6j+kUvosccHhUeJfUvrf4jxz5fkNMGJUgB+mrgbqTiO/WCj
GxHcdf0ANShRvm40rFjYoltYHZCBA2BBnzwXEGknm17JLTJBc+rWNSJwA84aSdJ1l067DTFq+fT0
v7kp/PK3JaCIkLHy+6e2KLYo5UZeD7+8DXP5tC10V+b1MoVuyEtWNuYhYx5kx43J/Gy66seYhsEd
Es3qCjZtVKxrf9sKvaXofWSu9LJFX27Jf0z9t2UrxI13U4HKdlBrg2F3EwAztkR2MdnT0Za6tZmm
+/ngq0dRsZF86CKWmezTxkQmukF1aUDA1Thxh4VlDe46LEPz5BLaFS+JwdugPOPu7Y5QpznGHeI0
+cS6E4pMQC9RgKj6BIHOiG3iGkXlla/khsapMfzka+rVbKtK1qOGBU1SxsO5Ek2FUv7cBYNM4KkF
GZNKvPnYXt8vayGQ/dXeNND7sQL/JZQWshrJW2it9+deRgATQl9q2VWQaJQZ0PxI3eMSO69uA8a3
bhEgNKkWZGz1CF0FQMrsq8a/3uy1xUD9MY/29sqqATRU2Bm4eI0fBf3Q8BPi5y5z8JujSx481nae
QuEMcXNqkKPKJUK6v/od+IVK8PqT5cNM6k9ZYkGzfElr3eZASAiheN2wwrfXjsq9/AJ6sG5jggv8
UluRfTb7J0vDvaghM11NXNpLLx3LdYKdio8zSBScprhYkktGtjEsW+j3cGd9W6FNzCecTjho+oK+
XBhQJTuEuqGrOHO7EkwKHow4z4VrsnZT6wC+q71c34HSuRh35EMmx61+zaYlb33yoW5VFa6zvI14
ll+tLA+Ckq1EwkiWyVuTIhrZol4e/VwFDQiH4h+zLacRcndbv9oMhfGTIpAfgpRZkkDlh4M8vQOa
/YSz48do5h/BTZocuPGTkRjPQEHbZ2aAH1DafIRS/JiemzEvwb3UG/coQmPLpuMMMZ48XoAxsvxH
xdkaIMUS2I8EwjVuxH/0afOtir3utR2Rtzc8bj5gwxOAe1KY+H+ssj1eWgNYcFpU8/vZ2sPLFb8H
t8TfIpXjab407N44WC32VGXWoJJIj1DjSSCzRtDiKZwGu4ShaA90GJ8BvLyHWGf7GEx1eEKxYLsk
u9GDfLFqeXPNInu6C12F/YuewMEVgIxR5R4d1Bd/CirI6UqzfIqrqV0oMPKdqBmlUZxM3dxs1O1l
L5ZuzjbVBEC4LMVZeHH1FAIF+yCCaGmylgPXsmq9Mn9yVVc9IfIKeGPdP5BjXOUXoKSCK/XatP1H
lc04LwK9OtCq5hy/Q71mpQ+0eBDJPXXzyZ1WwAI5W+p2QY30IALcG+qOSSRwGmuDla1vCq7QZI/s
hr2kUWTijUNTgd6CRgNvSM5dhx0qjZqKtVeEDO5pEFvXZFG7o7krDMOewLactSjIaA8dNgcIJRVZ
dMZ3KzrTlSHrV/Blyx2zKndasCYaEIAfwQRvFTgYFlBm1lfUxFAFOEQJmlv3b363aTSDXGjarft/
X+p2yz+W+uMT3O7xhx8N+EL2+8F6jDhElg2ohFQLurw1IP5wV5VdqwWEEvLjbcBPQEnfVMWvKdS/
DQd6xVuXrv68Qd4hI2n5YDn878vw5v2D0V3ok8zG213J6LWNUy08x7qf+gRnN/0hblOoO7vQJU2p
6/QFypvN3rCT6q6DNKSLVNCp1Iyd1NSjCxSIEdXLkdlvNklXabYxIGp0HvUvANjoXmzaPkOtxPtc
mlGlQMspn51v9slE7faU40lEd70NjKDXkZ7MLmXAsTPv+eCtszoJl/Md3xdGlAqF2+DwlnTvvC9x
Sm6sdDUvRZN5/zn3Jb/OS+W9Va95YjSzS2iEFxskRFswTPQHrzf7w3zl58Pb1V9s5KICx/8fwr6s
uW1f+fKr3LrPwxqQBEBwav7zoH23ZTlOnBeWEyfc952ffg5a/kXOcnOrXCyi0YAoWaSA7tPnJLix
MY4O2Y+zm03qaW6zUsfNVoIldB5x3PGgd3Mfis4BN1UAJnVqeiJ2H1oLEtp9bN0F2qOEvNomaEQ3
p86SK/chR7wlLXt2vA7qWygFoogHkS9ARLO2zu6UbZ9Ak1K+FpM4GZIVr7x1ToGDkwwW5UX1wQkT
cDO5zNs61fCBAOkEQ/c1Fh2RgKv9ZiIPsqfldIcq8xkbsSFIRHQPAj1+jsLIOeGBtKQWHYwJbM6J
3bx2ox8j09cAkVe4ZT1X0gOLgZP6+yrhej9fyufmx1kcmW82OusSLp+DYExmLE+d52uvv2ame4nb
Nj4LIeIzeK/loW6mPZkgDhGfGwDx7zw8y6CaN/hzcuu6cwAypnvyokNT1ZvYzvsjtYYwis9Vln/M
nQxMGnpmMg01OCukYfnbm63L7WquIhavyYU6kjZF0UWOIh6y0ZxBCTlRv+Hx4vaqvtPa63gAA/Vt
Pt9OrK1jDsBrmQoXHOWT2nPZnGkYvSXgIkoolRbvZjdL0PBG10u4vYUYO8oe7F+nmynzqvvBdYLD
7cpaxwtnJmgSUZOKD4x8a1l5M8OQzrt3VVoeYKQW6KrIhQ7uBA6Q2qzN67uiSZ3Ohehemrbz28uy
JlMbowRu/fZOu6ozdkz1n24fHAKk4P1vk+3t6oZMuHe5/0xzXf+H7lDoqOt4d21OBd+BYaPXxTT9
1rEgkmDk6fAS1c2jlaTxYwTJxp3DGBC62g49O9vIm9OEdTjAn6peNaAy2qq04B9aEN2RE5OWOW8k
q46hLYyFIfJ01kKA79IN5lPfjNmx1y1ZuNMKWBEwJ5eueankUN0rkF41KjYvZOpMUHv5qR/uyTZ0
frFJw5zNrwOE5V8Gc+W1rQkmTkD0sK7uoi1NDk7ceIeoiDmjJg1w8WUxpDmcydRNCCUmQ1etaXJU
m6SHyM6+USddrhGae6Rw/bvrqzd2D7RZKJc0mXLi/sR4cSJ/OrhR9JLHjnmg1oDl4dpzrA50InhD
kzH4ZyBVFtRJphwSmTNeecOOmvFU2BsnRLCOXOgSelTGselCBsOBxotbTmxDFwBaD7bz2wFbSeyp
+vAjC+3uPHGnvS+m/tXrXfcTpN3HJRQBx40/oBm0xgKkW8BoRq57KKoUCnyooP4EnkIOSty02Rdd
COiadb6aOyjwtWUJvhDEaOZvO25QqG2uOL0bNj9G6mPfZcXsHVDPjmqIiZv2g4HLLnzvI+WvfZZ9
aes2fyyQZNu0NSR+EKV1H7UDpbaxBvzC688GgpxfIgEAZNzz77Gd3DXJaD23UTNCD9TKztIOu7Uq
rWHnlTJGnCJmYA3kw2M8Qhk3g0DnVz0cGqX8e4jhTopgML6i3sqzE3w1EoaSBF1HHioDzBZmjOKz
JBieoFEBLmfYb269rj5PXAdpRATUrm4StffkhuqIt9lG7XabLYy+ekR0AMnjETTfKO8wZun4mjoB
0KWu9RGywyVAiWa6qYcmfio7fnAKM/iCep5kXgAefWodix1zc0RqzR7DLz9G9gnEKGhkLn3Atm2b
LYwoQoLIz5InOst8GV/P+j/Y/uTnM5PhuVkk7/JshrTHPZjBNu+yetccmxgvhpjkltJr114HWbKl
MEqUmfzI0ZEzzZKU9YbsQ5TMsgmJ3VPRFcVagn7go5UWVz4rmShzGduq2gKFBHHeJL/yWWEtDXvU
gEDbco0n7a8QJ0OVGmAKggTEraK3lho7Pw+kCx7sMoj/Q7ufR+3MC1tv78aQHQFUJs5P6SSQcDH7
BXUgT5ifQmgI2otoGhbAUHn7m5s3imA1+okzHziqOXsANfZt2nWPQW9lS7CUDatrcwIRG5cVLsly
use2NycQuCYH6qRD74AwDEVdZ2rRbENsvs3Gzf5tNt82/FXXZg0iXsqKZ8SZBfmhQ6/M6kStmiX1
JnLTak5NOiDIC2JOvz7x0gVgU3vUIBCbcy0lQrY/zHH10AN+nuNPr2KX0H4tOnBPBiMvLkZs7omb
wYM66SZGrdVy0DcFNPpCHYvu70qIdl94P+0ZxF+XeDg6+6D2g3mjJn6o49x+YqBLv9LWtVm+Awtl
sfCBmvtEbl5S8oPJ/LWy8g5F9fIL3TF1DeGKEjGLc8NYs2/8Ti2YH4df2vSYl7b7uYtBuzo1U7hj
aZJd9EDqr+IcGjoW4EJ2GMttnGAeWVvy1UfAJwia/guypf28425wHyvThJjrBJZRO58gohy/+Qoo
srSQY8wWJpKnHRh6wf3B2WKgMxtb1T5rFcIFOLv26jM7eBHNABV3hTIhfQApZuuvawB616LhSMq2
eBI1WEaA39+Z1i6eM+fSQWpd86Vd/xlBMy5qiaAr/S+ToIvOUJbTGlz3wmXicwKuXYgp9p+taWDz
No56aOn5/aaRnbFhyHTe9SgJnyMvNz2Xw3AgDm03A3tnmPefWZlADhL1F0YfpY8ZSu9Ruo0zvyog
G4pH8qMRtW+2Wy+dZYzVyz6rwAzE8aBEiUa6o0v2ZJIcZFm9XK9YvxVZgOyLPNKg3UCxIPrgpsUh
zw33MQLh0w5PFH0X9uNnbU8Yfi2sIOA76YAq5Wf7hETGLDfrcoPH33DEgn84TkL20Ifm+Tq2inBW
siEaZ9TjBOE0a0oRrPN+hK6ZAR0E5eqglm7ebE6cjBtg26pzpw81iPWRvYCNmtRxs+W1U69Kz+rm
hHIjvBv2wGeHS29L+Lab3XCiac2AHZ4lRNN6U7Zy7eqM3Fq9zFo8PXzDtO6yWBjLUJ/5cnw7I9uf
egEsBX0OsJLrCN+enULqYFVPTvGhqrJXG1HG17CsVwjE9Z/N1IsXwE+Np1YpRPbMvF5liSPnVjYZ
M0+l5kERIwIFiqktEJHDOsffkYkOjo4i0xnSFNByLSYI0QK8uoqcFtXKuuCOQFxkAwEA9G9seUQg
Jz+5+vGbtdazBWW5TcQFHsmFMcRbzgz8SpQxNNC72ucQ0zGjVw93hbKkeCncIFqYQqQnN2ZqH0x5
vRzarEWtN+rFoeb5yuv0+5h3zaMKwmbteXm69VMBpTQ9GXlMNhTXw1q8ILQfLTxnyhYOU+MGFIKE
UaeDm2Xl0nOEtaRmj+K9B/nmwG2xlmkKuPjYXKbMQ2l/HKZb5DRQYAiFhzOUQd5spXM0vGibBXL5
J80Kz8ZPre6cdCreyQK2AGSxNy6IruFT6EO/WFDtf4zU1Qa5Xgs/YRBzApFidQ4QjLnaqEkdQLc3
G3tuOCBA6HhnfUAZeLfjVqG5qRXChxWkIW5NCQJFfK72MbJ9IKSVdOexZhiHVOuTrCv/4ogmOXRj
7M2J0Vv+Y29zOznkttZcQgR+CS7fBKKExQy3rfkFfBstMP9Wcu+0cgTXC/4RiQi7C1MVCIf0o3YM
3ny7AIzGttUGD4EJ8urWQyILe8PpM2dQ5hna8SPkYt7sBMQAR+bVTv5TFnlL35hQY9A08Yb3YbBC
kgN5PTXhuYhcOdhtUBQSJ8nGjNPmE3kETcjXEcT5ZlhspfMr9XxjsGH9xzYRzyNfhioZodyNJUEN
F8ga6mf0kbbV+yb1IuLfb+nzL8P+t95fxt6cOz1VqYx2PfnTrh+RdIUUerkfEAFYZZVpXzJAwiBz
nE2vuXdXDL33zZ7K77ZQ6kObmNhZ+oN3AAq8uo5p08JYZiMqleh+YyOv1pER5Ig96TVQqxc8vT4k
7mTPGXu51Uzf6qoLkEls0xLiPhyV171MawgUj+1bJfbND5oMWJt36QfOaobvaV+Bmya1V4kAuDiM
y+KIIvhsCdhT+VQ55lcqbTTkVzy24tfbGBZOwcLwxHMr8c+kqjUgjMvVrenWQ7mCPHKwShzfP4gR
pVdi+Ejo9zzvIE0XeONJcdUfrBYbmbD0zJc6vjrYw4UN5gzZghIIEdwSOVaYCAvz4kAyNKluCt2k
XrtDbSf1Yq9ofaDeP42NZYDMRZqBQNXITlgmYF0JAVqrHNS+bBmWmtreVxKEAWPzXLYqt7+3saMe
oEe7AMOtn54DXxcwtOEBTN2Cf81QQ7wArQa/Mwqo/o2GE3/wk7xaQklqOqLkK9nJIpbrqcjtezsq
xLwTMnjurOwhTXL+HYX9wDe67WtQ/jPcCVrAN7rYApE/fivAj+AiFOOmB9F0HtADwxPd/mS3eCbX
TlFd1Yfc0UrvUdu9zzIII90EidIiaNaiDUCGO0GQ6NZhFhyCH8Y9GGzARFUAtY/gyqwUYb+nZjPm
b00qPcSvw/ve8ecm9UYM5WH/cWw+AaNTZukC1LYHUTvZ1tULLKARocimyjQ4UpsO2sXLp2wbxU54
MLH4JD6DqO2/eSIP7mU/8Ac2xSciQ7Cz3l4DNhqtyGtMp2+o0vPvsba9epHZGm14DQm89Mr1x1zg
r7h6ZXUhV62q7SUilAAIDxX7GNrghsN97Z2zoAYfNx7+R9TIIAfldQGCLr19nAAVhzhibT80ed3M
czMbPkWu/dK5TvzNKhsM13kokZTYKrH4VboQWh18wSDI5uOe9mtwo/Qj0iSdGR4903hJDI9fF5Rd
bKaHPApeaJlGGwSFKteZsrt4R4s1l+M7iGL4YklsXsTr1Q5ecjQq/FRo5i+yN0OL0g5t572a31zJ
DpnOBD8MbjkDYe+0RtFM+tGBvHhmquBL6qEM2gEX2ylKgv6kUEANqEETfIkgDSAYuDcsJ/TWP4+M
zXC6z1L7Y4aVzREUTNkRq97siB1ItBGD8aTsMNzbUbjyrbS8JEnU3cvYAaClhzLogJjLvPIY21Cv
0Ynm4Pvq87WXjfK1RvHHHosj7FokNyB5iQgZ+dIBxHUr0WfGHbXC0pWLf//rf/+///t1+D/+t/we
MFI/z/6Vtel9HmZN/T//NoX697+Kq337+j//5o5pSiwNbSZdxW0uJEf/15cHZMG1+/9ChKNuxlrm
X+qxVwtQqlbbBhT6EbFBErcksUDSGQRQ6y3u2FNus1rsyFk3097Dmte1HxKWOEc3D9NN4brBrjH6
9Ig1qFw6WTpcUHyJRGwYpi9OOiAMjG8NdEmA1MFT4tUZRyhHA+ltVaqAfhkwIxGWSkvuRNECQSmI
jxG2JMPazsV+pQVYYBZ0Vhx+s7KwWUBiNgWr9T/sDnRGASQszt4YHsimo0jMHHxUZrkmdAI9H5XZ
ndwi+LqhSkobZEgQe+diS2WXjVQHz4IKapuM/UPUePsaNMRPhXPnQBztgEuJD3RGBzVVqGSJOhQs
14m5IVvldvXSsnwI0BIKwmXlI8hlvLUBOZiDpxe2hl4F35pkU7Ti/cf36qYHSKNYelh3bOsf6qB0
NnXFuE+TdJOmjbX5VUD02nbAUW1KD3KeESj4Jtkv2gzqFbZukampVLlnuuhMm5hm76OzLmchSE8Z
YL8/bNTR19Fnsx3rNTgDmupLhCLuZQ9OCC2GY8ySYvSfUzvDwwHCwPt8TLOPZhVd7TlWzNsxiECY
E/vBs53X4SyVpnvH00yeTd58kNoulBOtYmjcrDMDuPncGgMsTDwg16EENvTyktl5CJ73FRFW89qk
BoGcOAg7dA81IP4bfkAp5M3ND1dl5AbLv99SNhO/3VKuLR1LggvZYUJKfcu9u6UGuweHTDbZX8C5
VW8djro5OhhYKK6Q7W9mNxvHHrsD/1z15pMlCZL240z8GEW+vzTJX7ARKiUp3pJTNpfAAK1GpCUl
6DAKNufcHU43kwSIajYCR7gpLbAcUUdgSyhcsFrNyWb3sbkQeH6iaBYFAAVAYltzKN1HaNqBwNYG
hwM1i4lXm7hRwYKagIfYezMvgIrSzq0S5l3H+JFaMXZOj764DiRLKjvNquDc+26IGsI026dy8jct
H7wZ8Z0QB8ovtuvK+Ge/m80QDZS+Sdfpl3Gtrca96BHUQu3tcxun8RN4TY2laSH5b42guZMT6xaJ
iAGjmvwtM1v5+rMrJJXaPdeuAjSsi3AY+rWqAmfu5V1wUvpQMpEfUNmJmjKUzUtRpliW6g5q47f9
1KCieGtUFvgpyeZ2IjhVRtzMAQTJkP38Ma4EHhBSwEZ9KAOwa9lT83mCQvpTJGW05ym2W9SsCsha
OjGEj6hZW0m4tFXvra/OiQe2QMA1ICyMsb5RAncWtHfSr8ynAGXUyhbfWk+zsgowQI/QOMUCxvwE
rgR+IZMo3H3YpeGdk7vOwY/5A6c4KBUzg4+JzYBvGlaOrn6+lUDfei3wOK1+6TBQ/LAdIOm0cycP
T5+mHaNdGQKAPrB0FlmQrCnGem/rg58W9Z6aUx7neNq5i5uJzsiNPKhJB9Y49d7zzHoNFtkQpIyt
WlseQE95HoafZA4t2HAap2Pc+96TO94FThd+Yh7oBCYvy+bUtFwoTTuSYZ+te/MmQ+7B9B5QG/zs
1fIlNkf8wEvkVdwgTz+gzBpJUpDgkT3UdouzP9qdgEHITEM9hrH0UE0HdRpqokIIdFeFC5vuoOYv
tnZqNsXEtkbN7KPHAkCTrJjNqHk7uLr3zUWkM7BGhmtq+qBYGq/eVWlFR0D4vKLEdtyNyqU/cOhn
TbY6DiIDwKzvy2eQRU7zEBDpfRf13oei9XCzh+Uzj0EiF1lJg4APK55Lix9RwdpeFA/c6/BJu/0y
PEVqiOw24MFLEUaHELtPwINE/UAHJPyjWQR42o6aWAmYd/Vk4v8AjzFzGjDzOd5KtX6M3PeHkNCm
o14mBDXI+oYQJXhdpNJ7sglpRncWyBfaHKDUm1smPsV9DRxGUBguqrAfrmoLJvDii9iyw5XQ/AHM
LUEmiHoKLb3gdfLu778Qkv38A+EqWwk8sU1LuKB8++0HImikrSABaV14ndeXxlpA9Sl9jTLPByGA
XyJf7vKN7WoqKysBEjgewX3Sts4r8IrALGZfO2NxTR74fRDvUSa8jims1QvRbYDvF8lJTkG6VkTm
C416PgvGMlxfpZ3jsPmpDfKWUwD08S22E8UiWgACk0KVDXSQdPBj772NnMs0WTBsLHZlplCypA8C
K72jrQ9D1FSrHDtN0GD+05tU7ScoGKUb0TEsGUUqK4DAVXd1obHkTBNAworN/v7Rc+v3j15KLrGc
FwLAv1+Xu+Akzo2+duSl6cNxA+SdD6i6OS1TbpTPVQykio7h9BPIZ0rFq3vykCg0Bz8OAzb/z15V
5hm7NFDv5umZ5jazh3bu9MZOiDp4TsLKWkR23B8d6JDvywLkZCMAQU8TlDbw8cpX7QrRDxTWaVfm
Qd7NT8YD7W3Marxrg8jecW5ho4s6Uue/bAZc+9cPhzOk2vHp4AGPo9QLm3cLl17FpUK9Yna5RkZl
IUCGlPMnwELys8/H7gx+pA+0Bw3rzFjRPpOa2gsY+ew8Fn65sQL3BYn3dilFmoGqFrtBrISgkCVE
88lqq6OjA3OIRDxkEcs/CqOATmPRw3XM+b527gMjr+5R3bgCSlJcci1hVEJQABxTsbcnW2358bop
QLpNvTSgCvGDo8WQkKrki6YKOcgS7HSOjGC0nZwMUkleBp6JwQNRGZY61bz2QN0QNBc/ZuLyiy83
72tpbRXk0n6Jp5Ksr9UKd6c7SfN36nyUhPfINCHmyA4mD79VvZs+NvqA9GxRiQisq2ikoexmHfge
dqlbZI9Wa1Yrw5zyJfXS6L5PrqNzKCbcXZO8vLDY0uJN/E7Rp8NvHbbCZrOijtJiwX/5RnD3p2+E
YEyZ+BO2kg64Xxxb307vvhF4slgj+Pv8i0BcAJq9bDj1JjQtiNwhLJ9Mt7ZeKPLFjW44+MIbTkbg
Ii5mVNDfjuJjpxV0C7cosO1Crcbej9Q/pxVZG+0QovICgodlBEU/ONEg6qDmf7RdJ/NZ7K3rWuFX
frRVsnH6ydwzrsw9nfEhtstZFo6AuAOdwzZcRdtb928+VwOv2vV/efb8/NjXHyZYNyVnUrkW2H9d
+fOHGQcVM5OUeQ/OUI/PSFa7MxNFo/dWaLiotEvNZZe42XPOxJICjORRVQGoEXreQ1YAbP/AbhUK
hC9dsakB7tDP2Uo/Xd8dUNl97Foo5sKBzBBWQ6bPDJDD9KdsXsUmOPUtlp5NN8YSSWe+qIOlxlsH
IDEhUjPe+NngbTaPigIEgp6bnCXAxX//VFznt6+YzbFNckwLOgeM2798KghjcT9rEvnA8jI+2lql
DHxyMeoGHJCFEhG9LxEDGIpzKKdk8U7vIoeK1C06AdJisJEo6PeQnoXnjCg+GGSzqKvIgABKWs+p
/iIX4ETrC0DbhC7TiPy10xbOx5tXLVES4DDoZfc6H1d4EZjIQsPfULPVtl6hLDwY7d9s5Ffo/N7V
WfuRbawV4pvceK60psrM8ae3dbZn+RHoUWW5pZ6whLCpV0H7FA9p8NvevF1e1zO34O4haC39FRg/
4+tUrCKrnjaZ6Avgbywg8AaJZwQyuUuUeygJlSSFCkihZl3tDhdLV+0WYH8BXg7had3Sff0I2cqk
QS4UuqyBn0FToze9bV9FxaltQmj7TIh8qNT5lGRt80CmHD9diwTAkRU1qcNMULfOzJe/f0cs8dut
49rATZpQdHIFR+pD9797Do0uw8/daJcPQWDqVH/2Maqr8EvWo9LDGyS7B9wmRE0Eqq5Aahx8KUBD
BlCl91wAy7OCWH23xcIzfPx5pFt1DFHj8eCmRghiEdN4kn1UIREIjQBqqnBaBkU7XbrAAZWbn61C
rWZc5EZ+BDc/6nt0E2HdZqMcTS2om2kFxvdSiWFDTVR3v01JzckflyHw/Utl41tOZdihZ9XLcJLN
O74bUPRgZVRV12ptZAenbcLBL3DluxEp2Lsgv2pe+W5SiIrfebZ4x3dT+EO9bPu0vb4Evc6IamgU
21mx82xZTnuWluvfxR1IRwZUTj/brTXNJWPpAbBQ59H0y60XFOYzqNyaFZ6p3prcogiiMwUARn2j
ADLvELYlu+TNy21a25+QdtfDadqizX3gH4pD3fIJxTrQyx7LLniE0A0HKBop0sqpt2MNGAZqOZ05
KMfCVyyfslk6ld6HuJushWcMyV2GgpxNm3fWlmYS2EK+m6lnqf/gFgMYYSBO2nnD3IJSLxABIIRR
+kB2UTXjssZSf27K6c1GHeQ3YJTNmH2dQ4VrKIfWd8pH2irjbfoZqjs7kuNuomYvhsl9RuWInEfO
GKBoFZr1TlOZmyEESsK0bBtXoNLPKqx3tZd9QAVpfMfwODyPiEZDaMzHxibvHgEu8qEh7OePeTrV
0GYqujU1ZZm027pDtR41zZzb93XNVlFr52dEUcxFjqDrg1XmyR0rnbU5Ds4DmYbQaxae5U0rW9ss
XmIjBX1T7e71SXayimxLGXIoNYJSOpFbytIFBEvStmZwUJDWMbDwYLGkwJf7bGTmOawEMql5vbW9
qvyOXeiLHU0KRCO1N0duhN+Xpl2veVIbAGFP4MgCdcaqCNv84U/zJPF2SItyjSxRtyw76BBnYfFQ
6BJg1J5ge6erfzMjh1J2nWS4pWCjg+jNq6+c8JRSYQkg5DB+Unm+mMZ8/BDFqIpVpTQBcEGaBKtb
jqrYHD+kmlFaJMUC1dzDrq+aCrCnvuvjYx3l5bw2mXsGKXywtlURQuYvHw+xBUgE6kCci7SAzpB5
oL6gkH2J8Bv/7rfuvmsAg6HhwGBiZ+kH4Roo8mn19ychLbhu4XqBhyD2DRwrMVu6nKH984OwH7GJ
riYRb0YPBclibkM6rJuCdeHglxlpDuehn3rIvuuyyL6N7wHNrp5uHp7BJ6AYrGGG+Ae0hS0U3CGe
BcHBADIICW5ScBXkwUWwtNz1upeadPABVxrl4B8CzqCo+GN81osYbBam+YX1+7+/XUtnH35+u5zZ
CrFUxS3HQWjg57eLGH86Am/hb66VxnYxv25hkYF2j5afAV4Dpq9KH+LJr6FWAXuHuGgmIKMwiyWC
on7bgT6WOUiu+pa9HqE4EGCBBYKJd+1bP1Uuq2r+93fyy94K146dPnO462DdqWzGf3knrcoUFPT8
7BtAHmDx8EHaKXXozE8hmIcssHmwjA58qhRju3X3uX2w6yzbXf2Cuh32Y+H5u0BnyJGVlzPUKoOW
ltLkZOyIu5xOUa0PGvMAn+/VqxDyW1ey6lT6kIQYh9RedlAYf2nwf8bN9YLi9WAFkt5226ZcPQrP
vKf+tA6QzKqs4lQjbneqQM46rzs1vXh1/IhvT/aITNQvEyZj5T6gDJdrbagEHFUTJJ47B/B2pMaO
1PK1/vObvbtvWzXsna7Aiqmzq2DZO9xeeFod+ja04dl1qGXwagGK4WCTR7kEPV4Zntw2HB6YVz6O
g2k+O0KLM6tGvxff+OQ4S1SVI8ab4OHschPq6bopx/CUgQHzYoMTGGWhIkUlI0b/aVbtX9koZPn7
VwP3r/1zykAIZuFL7rq2hWgJV+rXlAFjZZY7YVCvkzbmu3ZIrTmgzoDg98L/FKYuOHxROaecClQP
fAhnZAeE2VmBTBoIujALPrksT6DWKOTJBGjiQwpgF7llucj2foAQBjVzAV2NOuoZWKlDrDyHptgB
8vMFaPHoe1qcsADD0z3zbUBqPPWstRLmSG22D9xDzC9lZXloks7ZAQXXr5uKT/cgl/EXeCxaH/U8
XeOF36fpbR78n+7BeAIJkuJk+gEexqDA7k6oFDwqP84RKUWURodaWlBo+u1xMj5UfdueyIvM1Bzb
ctqAvuWF7GSiTjqMXYnYJJbQ8+srkLHWU9bm0M3aLPPXZHv3Yspp1gg+1/t3trTL0kPDyoXoSwhm
0xB6KYHq9bWVVOl7G/kYosq1iGuHzf/vV131HfZXirlrrFrKrc9A45yg9B0y1CYIJlSCdFbMLHGI
IDS2L2PTA89va3R7aucq9+eNb4ZYKY7LBJFnyMJO8TiHAkS4cWSTXpw2cI4T9+4kD9DSpjbxzFnd
MAGxM5ECgOLzvcHT7zePXrDvUPFwQDDNY6y9MBJIImfbOBVwh3oOVx+g/HLfylYcyYMnZbxBch8Z
dN1JNjvmS4SBgvvrK6XuuErHcULIVs8RYvUYTdGdU63DOgbVrbZatcqWpms6y+sMuVeebQh03yZ1
zClcgKmiWNOsfCq8U5j4OyWQYpmDzwCSWoU3bhJ2fZ3G9/gB2nMfyZ3mGYBLnDVgAkcoGa/pBYrr
smMUpugmHUofhGCJtA40yle+sakK/E/oqshmW6inBFjvRP4hD8Eu5pnBgj6bcfA+63zlQYHcFj8/
OqvIkSDRB3sClycEsdxlI0WQzQcjnkFyLj2TC0CSNmrwdWjdsvKlFfFm7XaQQ6iTl6RPktUw8XDL
Dat4SiZvY0I86QUlHPVCNrm1h2z68GB03Rez9OIXALv9eZI15kn5bnyHlZ6cUUcmh+9d6Rjn0Mvj
w1Q3yYJeAFHmvdL1GHk3nsA1DB2eAf8KepHEe8wL1wZ9/JCsk6J31zU3ik9FZc5HVnkrK6nBjeEC
h2I0+z4qAZ5oEVib4+kSbc3YYSCJwUeGKB4SQ0PIyrmHh5hn+tmZek0ZdguJXfSamoHhApAN5fjr
VBW+wyXiHSfltuwCRa9w5VkIilGzzCp2B06GzdW3GUAwA62jfOXV9leazSkcY+3yXsyxozUvljHw
hxQpSX1ZVwtgA/MUkP3rpSqjyXZY/0MrTrvYCfYqYEFD3XON9RRim2/XrOOLEdBGa7qONmf8YPPs
7Zp7qe5QD5Vdr1l/HVYgZ8qX9KqJQAne5DiAAuoX0Ae6bsRu++t1/e2aadBQG79dsx9XUBwCcOiu
yYZVb8Ri3VbutgC4CEX0bQFkqtHlqLfXp2PSVqi7QX6hCB2xcalHGTnoFrIEurRXzwbZkEgoH7Kz
GtiqB/YoCVt5ofoY20HxNhkDP3pwoO6rtegsNkNa1cuMeBGE+AGw40tUlyhIrUBTi9VpcgFxRHIp
U0hq9+6ZHIB6tJcMteBLahYsth4wmBxpCCRM1aIP+mxFtloB7daGc9HY4zbvkvnbMMxbBw2AxW0J
4RCrSy7MF83daMr1zSMtxxZvs803NBcyaO4Rn0jWzcuiQPIXF0xDK3+Aniwb6i3ZsoH1h5FHz1M5
tVtll8kCUdJozZtB7FicpUd/qOo5kjFeVmxVnEOfk2XpLAmK8VswrZLMqb+PyfQVu1HrSeUI1EeV
l6GoDcy9U82xSbMa/zx4IMLLOiv9bJkKYDcMQsUPdg2N9RIJG0pCzZQ+0CsPYy52UQRYBbiN14WS
4Ee0JmffRME3u7dK4LwMsHNLJY4hfjVWvPBN0AF4YjHGpTtnHkCbRr0sOZjFEsBEX5TPTtAA0fgt
REDUgA85AtIxCK381Wj9ryWk6T/JgcVz3o/epQbB9gI6Ugx1q9Pba4OGqNj98rph66szCjpR9x8E
/RPKnMDQYgIS+dPr9WUIQoK8LlbuWECCBfItqwokZgsvgQZg1pkOSm468+X/U3ZeO3IjWZh+IgL0
ZNwyfVaa8lXSDdFSS/Te8+n3Y2TNpNDbGOzeEAxHpmVEnPMblAU8v9ebb6JBKyhE9navEhd4F6Z9
rLLlqrXQVu6MU6Mx9to1jxLyInIkcT0/rKYXX2jl0TETdpbLgCzfzXrsfocbm261dmgO8Azd11nY
j7J9tmPio1o1XMKSUDfyDNnqNlAET+xsnVf+du1hVMNkW+m1/92vt7eBhttv9G4ujppKtGgI68/b
C4H24yk5H1yCtetZJxeyKpZXAvL6WERd/j674bTX0bLZZm3XfUvKyZMdFAOBAcyHsyUZXD0LF/dM
eavGQn2mYdXwGADiPNlIeK9lg2I1W8FT86NzDXPnorW+C5NR+ShMvvnlnmj0Vus5dFMwaECWbaWv
bh9XYRiRB2A3eLYVt3vwyczcLlnHQJYJynxrZzvYjXNZ77FRm97nAqO45YNOMoShsiHLQFEoAg5B
rHszU9IbiZ+3asKCLAIQuS+CBN/TG3IP+J6F+BOxIZs04KJkJxu0wHlRRlc/LLNprcTWc7kc3JS1
XWXEykZOnxGwiefS/RnaY3ObUMssmnfkjo2VHCR79dCPJpaTZ1myx05gGzYwDReFvmOZqx2hgHsO
sN631FSUpyQoHzS/Dz5Gp+DDQa3iFteraw2ctpqNG9lqZ0G6VkiDHWQgDyrM77R01YssLVfUgYG+
5csV0dfFGYZYoFVx3/+o3aQhhtmwWk+QZ9xTZ/WsTvtq1PeD0131pQGyPiz4P5qVsdzz0LcPcxkD
FAJYDhzN0v9zOoU2NoHz+HegfR/MALeSrs8IKAkjAcsQtiuXOXJXsR9NVvhJ7/TeNS4NhNnnuVbD
s5Gp16/OuULybOyy9a2sE3tDYqJqsepbLtbkGKmr8VMaifSZNDPB81D86uyUNr1zs43eNvzM5I3I
r//sylbbQKVTNxC2jFVf2PFHGij2JlNEgTMfxWrAU8YPk/Iki6Oh7wHRs4oqfOsln8tNMeXJRxDW
ZAUWV1IW0skHdk/urlb9r9Y4HZM1kpPTQbb2qvOXWYT1VQ5Vgs1sqFAu06p8BInyJu+T5WZ1lC8q
W66P5s2/vyjZmrFZlC9KQaKcxUJS7XyJ2lsAezfCylLMSSZ7PjuZm9qR7HLTQfqD2hIoPsHqpZMj
cYD3C906SepLtHSysmxeV22wIdqzAlcdvwBknd/AlW2SFnkTWVKHgiUadjKy5GrGwZjV5FYCd3cy
gmJ4lG1+K64IjrpXWQKI+FKhjX0rQQv56EZHu8i2PMh+aKEV3WxPVD8IyDOYw/l2C7VOPf4b/kma
m6AQX3u5mEC0Li/O7wpEl7TUfZCtOfO8p2UmOQ/Zals+/6nUOQLgUN9sR6SrTD23dp0cSDMVr7Pt
xLtEUbW1LAap2p7d2v90AA7yK8ZoPZiQS5WNasutCqMRx7xRitcx6YttHhPulq2Db2SnZuKJdhvb
IvTmpq+ya5bjtULQm4X7ctOwG/oNllUpmWwuJJCQOkJfTOuhuaQG3khpkmlrctXNxaoK4n7dchqH
4BUmLKe2t8oqFDRVjfYYZ715ICo14Wm7XEMFVJEZ2Wc9hIdxBrSKunP+ookhu1RReFEVTSlgu8xs
2DTDOchWK2raB38CMu9nVfEi63Dq/G4RlTnJqkgM/l5uhCZ5gUmDdqkXDU9frj5qYL/9EHdqWZQj
9HIbJr36LGu0kLXeZKXJVraFUzI8EiG7dZc9htHhZ1cSZJRFN2x7nIf659kZv6P1155kdavAy+AH
2h9lMWgqE6o0fEdZlIeh1l+NNk3P8k5ihh8aMXvBueaFyoNqrTEPW/NDSR8Hc1Q3htr1G5401TZv
C2ctB/aFpjwPv27vtqnEvJ6AUMEr4CpzbOjXJI13Oii6F9ndykly6uqsf718NzDZA1kfIsEwc4Xg
BYJCwQprSqxJHMN4TADInYTiHu9V8iwZnS1UhPEsS7cqHMNIwY3jDkWQr+HEwgygUFO/QqrpEJaj
s0lNiJoSdCQRSfLgN+7iGOUfb5CkrEGvdxzzr36GICjYOTgTi7CM1kMSaGdyw+0ZKkO2TsY0/Okf
2qHKft7bVWJ7/6tdjmdqztj8pcWWjJGzrki3PHQt4kISBnsvShXAe1EiZoulMzoLdGb5/XZvlWMb
eCXrWqjjwR1LcW0M7bdMr9puiMZsXds7mV5l1XaecFJ6blmFyl5+7LxNA4YLQTaI7c0EUtfe+i5q
n4QpqqfUSN8lqqSMA3frlKXYdkydpDe9yUYXApWUYncXCk2VOjuFbFuSJApLEDX/6SJFQpMxrNZo
+Y2baSgA1joif0S4OT5IsNGtTkKO7LFt1jd32nKsAVuUIxYuturyoeEEEc4mnKMc5i/CxcabbMUj
VaxKjKlS4ITbkRDtqlQG5MA1vVDPYSI2GpmmR2M5TMh3PQJR/DHpdXKUJVnvdvrXUFknD6qtjEDQ
I+dqGZg1RLhrPExO079aSdds2ipstsNSNBXNOdhxEK1ka2HG4lrV5lE2yqoSvKowVO1JljD8w19g
yoqHuAn+vJqqbaOgtp+qsW6fleTc6fnwpBlK8zxkpKOF36qebJN1dqDgwxkNBISW/rJOJOe27vRT
H2eX+0B7GlVPFv8x0MgtUswMgtA+EKaYv+4kB8RZ7u8L3XXTS846AdUojRBW4OwVJdcfcn+w/68z
VvhbzfFBUrVEj4ikEaVYaJSk2oeqt06y1I2K9YCz11+yJA9wFqdVrObGzsgGnEZ6N3juiacug+Vl
/KhVln93tO6bBNuQ5YptaFmnYVDCZzsEcJTmmFjP77p8SzG+HGsztF003Pn45CGu64fUMJSzLEGz
QOps0N5lqXaG/lQX7rxLyUKdoiDEEns5AH3/OrMi0e3apPome6Ra9VUvi1OariyzjPFVNls09MFy
zCD0PYHdx2WoUnFVl4ZsaShM2Dgo2qMzVAziilrK1wjkOn7PpQ7f2EoP/ZLuN7TZfDKR75715jlb
Uv4Oj/Z9UxJGkR1k3bCoGSqQeW6DmkIxnxyxzZ2zbY0rO9GjEzp/5kUeBjHiIzvHCA3gCMmGnobQ
XZha09JiIsAwGoTUZD/ZClDvtcdWdi+lQXNh4+lmuw9SGVRo5A482SDLS6viBz/BTyIgFGKGmItB
f7mfBcoUrsulTgloNRPxZ+u931hYJ9z6foQLBpbgLJkyvv4LOUz9uSKzJ+trpQBBzg52ry5Y15Bt
UjaW9nvfseBBQ5wt91J/H55js/dQwy17bHUk92aMKD/YSODgspzVS508k3WyVfYb+jr8Z6srhq+x
Re3XKzGE+k6ZDVj+bYjKI1ZCR8AcG1l1r5dnhd0G5841m52wkvnVTP2zgsvY38sJ8MNBnoTVV41T
G+jvSokRn2+ii7vwqNTaY+qzh4jkNydPGzHjNuhOAwESvlN7OcgGY9bDo/jPCJd3erlxmR2c58BL
GPNaL8Z2N7iV9spXqeyGNMjXspg2UKUswjaeLDZjwjaNlUJQR3q3MhR9OwxxDA6HoQK0oFfxz3tQ
WkN7lReu44rA6lIMbS4scmLtPhFejA4m9xGF1E0Z6uNFLOzmZMTjXLWCdQ9tm7Sw35rGB5KnaDIn
WbnSRGp+KHZOtFbJK4j6lfFRl823yTLSx4D45+u/DFK0SV3nhW6f826tKEqcsFZaBwEIRv4x60ie
DPOaGcve24ZtbTNFz3cTJDXi4wGonKVoNCY7q2XylcUWQ/jVnIXV0zSl5lFPhbKCCjJ9qqg+rvrO
yk6EXPoP8F25iemT7BWWpgJfXoyfwsV1AMXK7GT0iuwlB/9bL0OBzJprdkg0JOk/TOUsr1C23ddt
ZfEft6VXkw7FtlIGbU1qObvcD7GBoG2pnu81mcY87oFvWtW1VZ5kA7yL/IJ6T3dScSb4zDP+y8wz
b9ic2vtsqqxtQlL8s6+bdbrgf2IHF6agbN1T7CD7Pvam492AQYz06zh5S6v2a6TmZ7eRskP635GV
nhm3kRI5hEf201S0+wizrb+afDeiuPm7xkrbq8refrOQGdsU/RCd60pJHmpl1LfCsosXIi3ktpze
/NnNnSdHJcX0rQvn6KMlGL8GoQUdxCTrrlnE71DxSJ7jBpZGkKXVjwjyHbH76HfiM6MqZfM5R6JC
dK4Jr+hd9we3Lr6x6M/W1WgSi8I5EsHKyf3OghN8ahf9XpzaEmj73/JMW6gpVvSotb6+d93E3heG
RpIIAuHK0ofxm2kX+PAxt2qK/61jQug0S1z8SiteeziQq3JKILGLonhVSVWhVyHmVWmG5eswDeq1
xe6Z/13xKntYo7sP5il9lFV2LZpV7LrhQfafg97aVZmWrmUrQfz2gr7rk7yVrHLDcY1XYPckS21o
CAjTGLHJa0dRrWztIkbCa3kxdmAUAErL77LvWGT1JYssJGvgUOAGGGWvhK4ufZoX340IvLGJJuGx
dl1wqjOs1EYrvk/+hBx5Z/KjwIzss1R/yO6KBs5ndFnYyyLCUk7RDt8Ko6v2WAM3W1mNEfu6NeMM
MmimHwo9rDbyor1iHQv+jK923qIpYJgH8FjJc1KYGA+aAKUbp8dgs+h9psKKuZpo8nPZgtgJpx6W
ej4kK4g53R4ZUoUE6VL+fxx8u9Ryt3+9gBaQ/4/bAvm4RXKqRZpI78VbrKGm2mml5cn6XBvndRkM
xq1bnY9/dGvd9M9uNoulg8o6+TxFBusNjyTi31HSCq9xNAyf2tn8UEdw4xhavKuqCK+2XYXevDxE
WR/0OwHPYSOLdmUB0SBQcJJF33jrA7t9D43avIxZkJDG5GK9baGG0qHRHPeeDRzkJ3I8a1XPCU4A
EnqINSG+mwZ2uHg/q8+ozfXbMWmVB19A20Kdxt0aUak8xROKtSEiNd+tvrvocvycoGM5RPXfZY7H
1ui0AxLzdbQpfZFfnHLqDvhwTPvYb9prNinYIuCl9k6C6FcW9+HvQN1busHrqDT9zU3dETs9/nvK
wpKP40rbgbLvjm04Yzff59YmQrz8VV0eFKQxxx+K3WDGQUwMw+t+nxiqv5+UOli3jW68wWl192VF
EEIWJ+BZ+0RJ4lsRl3Zjr4smuRWHgH9phnfrWi1i8y1VR7LlRp4zv1JsrXikaBe3zg7p6n2FE/St
1a6Ddu8QEbqNDQuHdV4a4pW8jC1tsifNpOFfvbwq+MkZvrdKf2vNLJQwOldFRntpFaKM9oGmTLfW
VPjKLug19dY6p7G/I8UOsWG5cu2QCIkqw7i1WppA3lTHMUVeKoxUY6e2CMHLInObtpu7Bt2lZWw+
DvNOt3xc35b7ar0+7vCfhWs+NYfGLdu9P+VvmCeOo4dMRHOWB77er7PYuDrNPJ7+2UN2C9Hs8Ejk
pTtZbMpGxUfOwvVx8b/OTN0FgtKugGD7VyZfw0HdzYZKGqDeLitlP3kIiviHE4HSlCXZaCsIaHfZ
sI2X8feucUosKo3Jhd3r5Fmrq696jif7/doN1vIPbmgdm8hnxpPd/BjRkAqxv7W8sJbx8PEi5G8y
ZGIe7jfzC/zTKqV4TNiQ/3F/6BANKo15vJF97zdz9ORguU15utd3gZIdMd94l3e+XzvKdXdFYEy7
XcN58R0NrYvFL04elAiruFCEyWlaaPH/qU7T0Go9Wdbx+vrvqUUqDQE6NJMMJVurACxOt1PZtS1T
xQtbDIVly/+4XJtGcAADUgvLLaflOnbQsSuSZXNSXDTShL7RYpe1GUL+YtDEoQr4lcuibSUO+6aw
OKuWCN5r2JOyXhtd41DVKstYcHmfWgOtym6ADoMYNt8yogGyPsnEeJjDEXUDeXF8BcmRIBVBDIQF
LZT9kzyUbSxO9XKQxba1oOH6KN3IuqGqSFKT44dHoasmkanYOcdO65yTtFl3wpgfmIRNYmNLg+07
/YbAF/NKkrPOlh1liwZXXvYOl7H3enkmfO1rmCzextaBdTQLRON/VGmzmyZdOQFpSF0zO8vDZEYo
bi4HeSbrIhJGazDF9eofDXiloKCwjJWdY6XfTWpZHP9RL3vIoaTJ/W3Ncvl2x3+7mRyr1eIHAcQl
MkfoNx38aasuagDTcgDy93UooSq2XgpF42AH6qaWxXufwQjUlSqUYac3TuxZmhW9KHodHJwyS3dD
GKTvkZ88SXrG3PgxP4v2zx4CYPf/7uErVbue5hZ9e4EEuuhagldtkJ901dmYRmwe7lVOGqPudC/f
R9R60u2NojpDNclOsv7W2ZlUZ91nWPJaXdc+YpYDS8TEcmwkdiJI99XOHl/Nwqsmq328VZY59H0d
TqisK5aGpoZNzB5bXcvL3Bo0BwM8yNCbWV18KBdzylGZ1FWa+t3qXhe7oePcyoU0n7w3aRp68J4c
KSv/aJflpkHM6x+X+9eO4/IKZIs8yCvamvtVdy/yr2Nil33cvMLSbptA5loLMi6jh34CShPYSZPZ
KSr1oYLnoRohRdnS+Y3erYO2hqfIt7yVlXZtL65mkxGvkxrxdmNonqtI5VmiR87BFQnhkqFOnnT3
U7bJmgrHHLQg8J+619kWRmRRDjNNS6z6OQQr8Fw8y+7ykBqCZbvqOrd7yDozVGNUz8JmrxfusNcy
FQxMlqWQeYf03BD72IfIWFV+oQ38dl2OskX2Aebbgm3uMaJYessGeIjatugNNE+zVD8WVtI3r34W
ZxurwstXuMFLZkXjNy0D/11bWUseusJVNw0ASOTNdJwqVIFYOAaPKIHjMK3AZkzYOntDZk5/oxS0
gtAxBF7aDWCNDAFmyUQRKY26V8UniQfQE+0xB+8QNU3ig7Ksu+ABFRtjnMbXsgGYHdlYA2lucrhd
Cad2gis+itUdf780yy/+nKEC35YPhqWTx3WmtCQ79J+yPJOHJmqKvdkYqFUGwdn+74HQGuI9I4+1
LHL1neo232Tjvf4ffeexChds279e4z40TNz+iKnwRl77Xi/P7nVz6UanyH2519y73uvki0lmvCNc
bJSXFyt7uTn87srOUQoNrOaMsn3hKU5gbEc3azZ1PIOFz56EAylSKVr3tcz1xxL/yKtKIvW16bTZ
m502feiHTLzOftesibs4fAa0ms1gbw2W/xt9KYppEodZAYIjrxT3tYbxXfiXbLTQOnz2+buw5j7V
iVXiIxvwV0/k0V/0+MlAgWWQZXmKz8twBNG6cChG8Zb5znf+lMNFlqBFvmS5OlxvpdAksOWOj7eS
7eyzuVCfZEkkREhshI9yw/lQ9QIK7tDOV3nQAcJuct9QgShQl1fmV0MNohLPONfdtKrV2R6yn7Sg
CucFPKH29ytUCB1d4yDc5WnUn+71QJjFJjdAXwpcxNfgD80N4qn2Ywvo5tEsnHg/mQ4srb4EWrIc
DKIi5ywjUeWzG2FVSl1nBDujnkeWp5Rk3zgyda+2I6jf+BM+drg+xsp4UqNpWGdEtn4gI1hp9o+6
a7u1mmT6yVBK5zL1pNVkQwVzG+Nx9Vs/WPAh5/YX5CZ3NzVtccxwm0LF+H4ag9w/ktZt5lUc6MWx
1WzMR0fFPywaFG0COdG26vI17GEIMMOjDZSb5WvGAmdXN1DrZGsGUe9cD9k7wei0XXXD7Lld1DyX
S1IVmbzZsxxsqPtA4GoE2whftC5Xj43mz7dDkg9/Fn8os53hVKAED0SF4HgsZ/5chH8UZcM/6tKl
X+nmceHJIdrcAiJXrX0NHGgMQzIeUxZuEGGoYZhG8ZNm1bBKqqb60fT2qxhV4zXpRnOfOKa/Tcve
/1AytOOB0vyoZjTT835qLwiWGOeRbOeqqsf8Okah2uyCAFZXDsoLQa/BP2hNgtl1o/uP+nJg11Rd
hoUUFhPu34CBZZHeDNje0Si7MUX/InwdH+U15CG0I0DgwRaKJ7g04Pzv9YwWs2lM342yRCqcRDq2
ll28i3oQ4f6iJxIjRHUpqhDR+sa3iURQvDeESzEzW6BPBi6S9wYFwZKzAnDTqXKUQfLG+TQCH7OI
sHYebKi7H0P3w16qfUwsD90SHCRLUHkgmIO9Bm8UCc9Bwd7dVk4Qcc3NECCAIhtknWy1NLa5uM3Q
BzhstUJE2VOy2bmKFoS465jRD3VKn5uqUl5LoF37Zjb1bVrlymduKSvZAfmaZN1ViXmSI/0cqE7Q
MUHgk/acaSr53S8vq9ZKme0S4xrbln4lIjlsg0zBAu2/dfKsjsNqtYQztpOYevh47Iz6aXT5YTJW
Hqw61S+ieJUFo+AB4WWA/g5j4fzt1FOXbFh3pxsTNtz6PqpaxgdG2XvN5Ds72SBfig/2AQ/CIEJI
TTE+UGUBrdmE71PZJte+1AKPhD4B53qedk7VOBvZzfVJEdimYN5dWv+/R1l9VL11uEcqht4/wh3p
H2EjoFVmlAdBJul0r++inETxPLtsB+kmG5JUVZG50g9ykKzn/SKg0A5LiMsxrihxEGEfXPtDtdRP
qQoYi11QTM4vJWjwH9Lc8t1pFHvdC/B1RhCiYIXl5R5klnG1yuZrNJ/oJ+jh30bQ/eJywfkmVCwl
jJ1FWy+0sKGMfBzJZd29oe3Ha54m6lpPNcDAjXuWOkJSJCju9V2gRu5ZlmT9UiV7iTn0d7fEr54X
AP4W1Y9y0v0nJXsGJAwbajnMi0ZIXI1fGiHARYkI+NW0q+IZZW63OzVaO12tOetfO7LuKxck4EE2
Rs44becQqR7Zqjrp+JDlGAnK1jpDknQCxyUbZRVMC6C25nSVJcsnxuA3J5/tTa6vgdsd08UPrAdQ
uk4BpK9kMZkWl6+loXMX+z5ZHpc+TaW0q9k3c0913BGesTa9uC6647qCEztL3vlFgfDFZmJ8m5aS
rFJ1/R2d+/Qs+zf8ZHeo/jDrLD1cYERPfWgSwOdiAjIFghUgxXR8APXogr8nS8CRp0+ZPk2qzerR
jM7kpdQ1L2h4QpdXZ2Hr8dx8Guu+BFypJ6spmzAMVnpsjrrPoLXEY3K0edg8OTCh02ki25pmzs4k
ur51HWFvzSL9LONSAaRvK6uQ9OSedOwBJ4PoSfg83DX4ft9dAt1mi8WEpsMoKtjKXuSZYgE3qkoU
qHWbrzVGrW5VG+Xi2iBWxJ+YpQnFEjljSh5Uv1gNjW+u3UInipssSPK9Mz5NYlkRCVTlAu6PnMRU
HA29nldvegRjGimKI///0QPG9nNRPHsuVSM4BG72TfTBX2EciJ0faWKf+AqxLbbDzJIRv6L5zYqm
dGcvaAa3GQ9xXfJeEQB0owvwdsub0MN8LCtDbEMkBBIf9HmlvXaG9l1ouuupIMLWZucT7VQcrzZI
EKkTwJ8h6Fb9wL+HKEGOaWaL7yj6G+qjECr+LeQJPX0OIQCRiNgAenYgcaIDtibTsRmGjnlZTeOH
EdiiFxbtuSMcHxCx/zuxcg3AoNFugkKrtmWrZN5gAjBFhGqFMDZAp+ibZneQzapuhwHzoZmtq1HW
6oNowLYyOfUbEdW5p0XTb7/7q86xj2Dv+wsvDz6L5hsyybtY5B99BphELztorcWzDlrNG+qy8HTl
I8iTlVVXTCtVi39qaP6V5p8Il24NPplc4Po7Os0vlWXC2jLfYQNURyDH7E5wq/PMuCdkoCjDSp/z
FICV9V2P9BnAN2tKERXhig7f4ORvypwJdspwy6zK5BLZIKvngLydlWCyNBbdDrToX8qQ56+d/7sS
CYHEunlTiI6yTpgv5UgAKYsWxcwxZfKYnTVSQRfwmLyTuUJWkvACEMnhVxoH9UWbDNxc09eu77U3
wzn2IChXih++avBC1gUqAeuRZwART/NQ1PnFnMdjEapYiSbZZWgxrdSgyGzmhC+DRG+/i8CTHqPg
IKp24+i4P/tFjcefOTx1WlSz+GyrXWSjmtz33SPQj7VZTwMoZPOoFa7iqQg4grTrXpy5IGE5FfO6
8/P6GMbDoe7A5iJbRGoW+LrSqfthgGNWmDnAV3Bd+O6Q7Y8cPOBK0kRth91tj61UBKnQdYA5Y/sX
dpW9a7voKPJIXdkgIENkDPbzDI/B5BHnaX6uHdmWu6uhQ2Kw8ms0KVluYa8KikM9IukH17qqIn1T
TVVz7BKcX67ytIL3lnp/tM26SkVe2P2uUbtDURLoAh3JKHkVTTbfLhBgchijOZmN87CD7JHDHDZr
r23NEU2KuTmGItK3VqdeVb2sjgDJZ/5hkYvfG/vjdYNGHtqi0y8mMRuazCyemnCxw2Fl4DH7BUdb
R6ggD1Z+6WCimbp/P2NI+S122cBNThV5uf4DzcGX0O88nZzeITA6LA7i/mfZ8PWEYn4sTRsHghLz
CTLwRb64fPTiWqewNVsX53g7fM2judqkHUDkuvuVOeh/ANR1ECEry82sRO61r/1DNrvKi49DgT9F
D5rRveUWKoqogHxr81TZOH7Dl4cyNUo6/Vm1w54UPolqrSlemqj/HtRmixRzZO8Sm4RKOXRbv6/z
Fa83eciycSciPpCsRP9Ez6z+XBV8WFoavmYDeX29Yuvih7skzrYzAeW9HTanLCuQyUmKt6FUV+Fi
bofRNj6XmL6S0Uy2beGf6hKFhoQ/o6r1j6WvfUa6Q6imqR9U9hurbu77DcxF66joSkjMPjEPaYhg
RN1Wv0OtKDwTLT61/o3iTeyNZjyuqibF8T14anND22MxUAedtcbCoXCaFzUN3ytTjZA9Hdn6utkl
cuxgWxsDBgkB2NRaZAddY5GQuMlnW4vZ6xJ3WjnNqWxTz7UnWKsi1z0nK91tQbrn0gFZrIOmveRW
RzQXaQ/UYOFhtaGKqHbTvRHTj9E8tT6NIoCRRcjpGqpiP6Toh7jNsVCmX8JBS8oS36whe04sYzjk
ZJ68KCRdzOQ8rtCFnL1CF+6KMPS4Z+eVkl1DGSbNqod4aHkGu6O5xf1L97rFqtxItfc0LUewq/XJ
nFyxjsse868Ecmo4xA/y0IdW/EB29CHNanhH0AmB8fYvbgLBgsgSsp6K17X179iw3q1h+lnrLTmw
yDwBxn4oYSGi/opepe1WazQFPhrc0pGMTV/xRbEuI9O919ZpvS+DJnvMJnB4StQ9hd3smV2WbjIW
dWsdYhYCUzEWpdoAljazV53WZJtKDw3EddxkX2ducMJXz0c5x4geZpFZB5+V2jGMEu0YDwYMzSif
H4o4GfY5Lg4noOHGTgvD6dxHWcBiFlor8Jhq2w84O5Nr0jZlnDiPWRtEm6A+Vx20HjO0SaZCLkaH
giVxXmHUHKHlulpQkKs2Ucmbm0DirTC0Xm1D4Hc8h9Vb0+x7xcYwKY/dt5ak/ap2rA67oAiThA4Y
kDHhKYnHj/oxV+yctKovPpWKnKhI2vFQWqa1hvLaeC2Py8/RgukTwWv5hFbcAk4G+wBOFYHOLjQ+
mcCwhoaq9TnaXedFSahiDm5hAEZc5DNAXMTjsT58Ek9nw5ZU/acm/N7LQEl9CgtZIWt268+g4BGB
EHP1CYVsxBUEubRAMY44JusXBLQFAQnHX8tiHM76JVdgEY3R59wm5QpekgmmO2i3lTkyyZrmMbLZ
E/uB2V9aVOgvDe/1YXTrLYAz9spMQOtSZFAtU8c6s9YmoiQelblWXtuEj2wwV73Nq0SuJ8GLZBy8
UkFgpQuMJQqKMg7QKGC/ARbA9mhqKxvI+FZVlQbnt+Yvt09JMaOzsanU4oWczrTt0eZYgxSyV9h5
Gl6vGem1sgbHm8LE2CSEgD3D6nd6kYinkdlvO5eXPqmmfdfE/mXmvSixfQKz+JZGfvhIILXz0Hdi
yqoV9YqXC+p4+fxomxMTdlFPKwIJoOuwHiExxU5W7eNuBZmh3RqLi3uXxyvEEpKrPXTFQcxYxaNN
jYlcOX8vumKLjfK8q7AV3kyleAccvO7qIYb4wv/fn0H8TpUb8lZssCHuAGkEtLZjb/wkCjw/JdDa
1GjKhJxu4xjKUOijl6UN6aOtJBd9eXQHKYErO+vqdYf4uYKmGRN3CPGBgABi8r616kTmeGpWkIhk
emhj334eSkFQ3cq2TWeU3lAQ1ChE4K4THGy9hszypolKez25dX80LNs+x6EW86ObwS00hMs0kwdq
zhIaHdL4lBsVIF3jNCHztumtKX6A21HtWPhbvLIrGmTVXpuSS6g0/kPLXxWhpfKn6cwdTrKhte+R
dYmimBDy5GibtvWLXRGE6cqM3xpbqx6DadQ9ImrfeXqTYR7C6YgeZj/1pRc1gXK1y6a7jPaoeDnp
+nMTDqisRhFvXBXHCO+wvCDMk7T1I9FuwA0dwJ+iRs0xt0p/52ga1jpIJXio6ruqllygN275SYyX
tiHbiA+0OAa+i+V75p5xovk/bJ3XcuM6toafiFXM4VYUFShZtizbvXvfsDpt5gzGpz8f4Znx1NS5
QREgJcsUBSys9YfjGCvFbnTVZ5OETmDYy7LThBIKr35PEtu5VkL50818UbOlGU9m01ZBv+S/ewP8
Tocryj4fXuqhy67FOM07JVuc3YxNkmDdRzCEZUW1y7BUzShYUFrYJyNM6SGKcI1tyn3iKH/M2Zwu
ZgR8a25SPx1my+8TnpOh0ctQSUYooAaJ0WWuz+4yYm3m1u0V/a6b2rGlMoCKGHg663iGAZYlIktK
+9LNHpZ0M8GT1o39EZJtkM6Iirptsp5Kq+iBVjZvoq/vCkqcPg4h/dHp++9aUui+0Wkmv7CCH5+H
hPUww5JDtteNsV3ccqLDmOYBfhZE8LG27FV2H42XJiEcJZXq1fp33xtg5QgL9vwoEJ1bmJXXecY+
cfC+F1Fl7oQzkutA8mguMLfobURixXybARmi/9MfCjf+cBB+CWZPx449KYJ1jm02wyM3aByTgx1H
apA4xQeOhvMeqQ07QDNeDYoUNGGtxLe11JtrNaMt1UcsUaVtGjsHebWDko2OL8pM+EmUHsnBFWGO
d4Ct6vaFGP+KW7fAhyV7MTRNOTb8kHbR8lIA4JjKLLn37Gdji0Kz4VI3SeCViLZnx6p2OpE+O7vG
iOdj2djaPgNgs0tc9PCz5ziZLcKbfvRLEJJ7y8nvqZdcbMvtAoHGP3XrUj2M0PFOq6N6MH5b5BXz
BirNmJeHAeeadbBrpLEyzKQwhDlEixr0jtvtoCsXh8izmEmiJA5QTPqu4V8RtEM/PbSStFAJ+6bV
dbxKPQ/TdQMRrTbK5j3u1Q++Kpcci/uD9GdxSBSsuhZj7xRgZGKScqD1nQ5Ltg5xOD0qgfnMyUdK
fgaeq6+ADQTULjp/JKQ44AYBaRwlCNDhtXhtiysoVgqBHjX/bgZBX8zmslOJpM0Bb1Pmn5/ILEyX
JCvuStSu/qhq0VPSG99tkzr8OjZhNuTJGdl5c2cqwLlqqhmNc3HYZUI9vYx45mnY6Pptq6EuVEdQ
5yJwSnkfCr0C5DUX6CPG7S5CrPSoKuxZxtbqPhtrBQVh1iXejrZ1j7x8PcDRxM0rh5A6rAo79bnM
AAJ47RnP7iGcp2QM5dFXE9vmEJYZ0Ck4NazUDul28O3HpSrcI19uExqF2oQ2+a6DWOvbgltBmLQs
DFnJps2Dl+TLd3MFxYChmI8tBUYUii5kL9wdqf5bonldmLfVR+eWJFAqc+pOa1qyRfZgNbvFgq/C
sISTMWDG4qDvXttaiSqxhXCPXpnnUdkcfZvjvKxVyCpSsQmao8Aa6g87BRUgxrjm/Um19BaC0Gbt
K2mdspdyo1A2hK/EoWl+s0i7HyJF7cJ16NCemqxjx3QYdmoOdjElLN21Xf2W5eJXL6rh817JI3mb
0tXCvGWJVhdRoCE5RpudttxnyCN3627ewnzf+66pZj40jT1HU2jH75CaGia6QMOriN0FVVnPyT6M
Kq40v1fb/CzESsF93WtTftcULwuqmX+M4puFpCNKEETwfR9FPpPU9gHa57Hub7nCdIEcrZ/mS1Tu
UjVC27toT1PfIqxQYeucpedJwEtUCNaAwc5GKD8BYh7UhZ31nbJdg+GW4a6+PEQbv2H7Gxm7VACi
RCoE+vdbXXlsrSaTfA2OmiFABz1M4Jj7jQOPrf3prsVP8i4udzZCj23ULZfdMX1MPPFxT5Oz/K4a
fa7DbmtkVzYmYh485ttX+f+djhr7v6+eHK8/LFNCcrE6as3kt6P9nc3J4PcmCmuBrZgIjFT5aWxL
j6IOF8SNCNfazXB7WXad14HPTJwWyB3NCOLvsPxOMMWiAjhrirhGxZCeC6XEj+Z5aJC5H9LxXkXN
NWceCLH5wOK1KX8gzRaTKO/dXTkMSrjqzz3mNqTDFTdw8k7ZAYymnBBn62vUlhVz91oetCm+O1TF
ovKROuN7p7rGcdzSBKplleEcI7nYdfpl0fDmO0JEcB5Dx2/YG13wkmX95kkaJP5JVQyRcpzOSm3n
/HTc5ZYsiJtZjtITNZFn9BBvaMciRAQcYxGhEFZBxrpwa85owSjWbqXqvFNmQFquoe9yLzYfiGFV
TZOHXr3+5svGYA/Q6tmcKszB9UzsU0pk+iS825SsxpGkcgNrzM/YQuytrq+f1RJS48g2yk8KhLqH
Iq6frYyKc11XuA5VR4j2654qjMdViCcbMyqxmPTp7pr/Beq/u0RVZvoR2hr7Xlnba45whqHVykfD
NHtw5s49Fxgr3j2FnfJqreLXnCdHZxXHEbDMA92o+shPoDpF5NE/6ipCMSFTfgyR2fhIbo0gRpPi
pqjse3pvDJoiTX7ETfpOJsmvndn8PsbJHXFR50+ZkE9jXdArxX4uIsKXKs7aXafiO2v29k8y8y65
AOYoRxXDiWTJK6VBOC5DC9GKbMm+jvv8rCvUNJ3SXE8ogq7HldLBHpSmsV8V0QeEj/u6mbKj2m75
Do+MVEWmVSSDfQPZj99yMr5iE3E3sjr9HimNDROcYoL+yBu13sgraaAa9vraT+p30Wt/VZNoUfqG
MEm1nzoMZnOZm3noAE3VHv3i/J5keQm5NV+YpAKxlMWlLZvpYm3ZuwWo72R07ckbO+VdXbIg8QxS
qjD29tFQBHOcxe8gBX8mOGU+mZ2uvBmqpeD/pU6BO5QgG606PRTd7CKBFZ87zwVb30fLhcRnvC9M
5JRGKsgnLIX2LlY0P3pvMnwnd7RndgDGuWvS/tjDPXukpoD1TiX8T4cUr+Vlv7uFB4YUi3H36qLZ
zNPMk2eMyd1oI1IbSlL9Kpo/yAqk1EjTZrd2tvcAbRwd4tSBMNyumISu+fpMiuH3oovzuiTiMfXC
vQ8IW6QVeOZlZFlAVZvpSNa/Cz5sKGveObW0YvfV/zwtr5SDsi8befnXq7/G/t+3kKftNZLzPDp2
yhm7C8xrlJTs1edhPWkE0VtfHsn1ZkxVLpL9/zr8Ov91uRyTzf+MyfeRY4smqr2hNvOOvV2BLGBV
NSyq26GK0lpIOvXfo8ZoEhBs5wsFyG6Aoey/+p8v/WyThTKgYimHOE/aUDbNtsxOZo34mOyb/fLv
PkrQRJFjdq0XPX61NJWfg1saPiCi+FWONaXN7J6Z01GOyUaFm66mU3T9HCrt/CVmGvt6kcB6+myi
jP85Jk9U/dpR39l0g7c3/xzLlH6naaN6/hpjx+kjDG8812ahBanbxEerQba7VlrrpjameotKL2Xp
m8WPztU+SoDID11V5hBpvDKwcVC818vK9iledkgZ1t9TEBfHDAfrE4URWMuwE3EJ3mu6N+7HriCX
ElVPdj32VzMrji5r7AUrckKkNS/OMMeOOVv+S4X86RFxl/eqK5zNLEQNFLZdTCux/TSJOSPCV5/y
WYSIoZQXbyL2bNncnEBRrYHhaTaubSX6cfX6I3GM2OdGew8S+k+V6NTv6K1V+2Syq0BdtRfKzQNb
zKHx0XOe/T5tq6PZ1VR6VASZNB2iHKH3Ph9H9b11JgCjIt/YFGSSCgwu8dCMjb+y5rfRDz07ZQCN
Q2x9rJPZ7Eu4c69FikhBM9c/yeXjSbQNdbE+3LyiPMuebCAKx4ce6vdeXi/HxKC/e9bYXWVvTOuV
CtP8JMTigVMTyb4u8+m1SqIKGmw6BQpWFa9yLK0JdgFH3WTPw1b8krblH2Ro/nXBOiP7TFYSDMr2
HrIp9X/SyUru8m28Bk8MFe/l3dcF44B1gql0xVmOtfxur0KJbl5PDX/BdgL27ou2liou5PlycNx4
S08wbcux2ErvZUUFVQ5Z9bhekqL+Jed1OZRO6+KrjaYfZTdb+vp1ISv++Q5VflB0gEoS8ypBrsBB
X7Imc05Zz/yKZMu/Qbefl/S46Jha9O1r/H+vI8VfAYc09IN8v68LRy19zFTj2NmUk4+CU/2EZKB5
NuZNP6dN550ck81Yq/WT2Jo4U4Bz6su6aT5BzfnPia+LtXx1To2uvnwNyaOliOqnrzE3K/+oXkf0
06Xezu367KnWKRknc/qvo68xWxGACDovlFcoVJg+L6vitjgpOmAYoaPgnTUmbm5qKd5jEkFBRMxw
kF0N1xacBQZ4147VvydRtIF8tlzhdnE6JeUpSxJA1Vt3SobmPKfgTJBqYu+V2O+GV4Bvq00yzFvX
pKh+0nuQ+2Ia7Pe56qZTohCxybPF3Ocn0TXLPjbhyo/CdsKoIyixc7JzqqIliKQV9pszVmzBvORD
9qxSyx9bnUD2Ujey3wzTQiVJlHc5VA8x0UTZrFfZBTFl+phQf2/RedjrMy5MVorLkTKkSmB5nvum
ERqd1IqgTnZrpF7QXyPIkRcbTBcvMBgu8mQEouPtm85jPfrTYvC7apoXdXvTXBDuCs+rrvLC1tOI
6ZYBa0ecl3dybGLlCZIeFSqP/b2XNiMkGpa4WS5scm1ydSci3bmVccQIXcQ3bH09OUV/wHCnAPsZ
p8cKtZC3eLo3TVcePKXND8W06V5OWHdsdEkDTkpQg8p6V/KR7FShfsMahtV9qcp3S5sX4nxmOQxY
CmJxw7msKXRnVFqL91GZKbZ40QfSythZzAgpe4N5lL22mbo3xzgzO6aBjRm3AyoodHTdg76VI+tc
Rcl7P5PJKlpKUtBo9JNWxY6fUBPYsnyOP4J0CdLCHA6ksbbcmEs4Xz6Wwah8Uy/jk6fv0aV1X+zN
W0U2enEyTOXZqLpvg67gJei2yzMfGhmOeiZfXbB3UQxokRnFYz+2G6iGOhqCqGbVP0Q1vkRRq75h
xSwRN7vO9KJHSV4rb4nVVaXl/iwa6KKtkUfJFmPYtfkUV3HxOaTNURoqxvia9cWvxnaNU48lxC2x
0IdbCHEvZVv+Rezd/3LN5DbOpfYHywqc2XqLzdJzv6w7AvKKGrYQwCUsbPp01KfiDX+dVN0uxmfi
3cz6cwqQ95dWIgynvBRYgrzqdn3pNLU61Bp52krJqgAAS0PRO/1G0NceRxciQyK8BK33XLyYY92R
CLDTX13yQ41X++j12obOr9z9opIjrLDwOyC7TdJWBRlrr/p9zabqbRqyjV1YJKHsFi16o4AmrjDv
7ZdoWKhDDVMLV8OYX9LO3PhlWX8AFZyd+haNEEupTvhVYohQ2N2JpF8XmButnJ258Uroz59fqUFS
oNgDggoyhUI/Ra0CZyuRkryxd6Z+xzb5NV6ZgQym2kMc6fXTlFWgvhStedcdgZxxWd0tdmvv4+pq
d9HrB3kO6VPvMniAq2f798Dk/G4mjvfAJmtnYzfxPlrG8liVaCfPzQjBkWvGln27UkVv8bUdydxv
vZFi8WulI4+79ZCKbl57Lz8kUWNhl9cqd/L7R3lu8Cz17mCN+NlrzPYupvVsqrmKrIV+yttivZVb
I9TpsmZCJ11Drxn68TC6io2WkW7fZl1z2PMu5Y6MDpoBctDYzmQWa8yylJdS7+ybOmmcjRaxBmaa
jgjWbn15SjYUMLFMGm+y8/lWZdtbFFVr0qjllJymsSQt2Sc4vrpWl0AYQjlMduvtD1AEsHn1Bnum
agGciO4sdK5eXXU9D8ny9tmVZ7SuGcPUym9lMf5lIgl8Lsl43cax/VeDAqYTYIzb+v9zYlK9+Unn
o3xdKwxHM3bYtbQ7AORIi2zvkgqSQbOeIRiAE+WzkbvzIRkhU2qFGj/zS4IkYI/rct38gOSYvM7F
ZudZdt3WfIFxR5Zhe/3X+Nr2yBd1toIuY9wRykXaPlmiBMYpTZWJCoAxFMupaCgib2OpyeyJEFAM
nMMWb6VVvTdRm9xkz/OWaINWVmx2OTmJTDkqk52xka6GN9Wu9CcbDw0QIwLQC1e0wFLZHD9kJ+mo
MaH9vl5lVxNAOSDjFUfZbZYqO0eTB3J4eyUynuXzOqWff1gO2dbip10Rv8qeVU6kWCc0UWQ3nbI5
sM0tEb29PLGtJoSLYe9kt9Ad66WDgit78vOJWD8Vdtm9yM9ebjiv2coUDMG3z70BixZdawLZbRJ1
5dGscI6Rn80ukUHKEILaevLd0mh8KRpSvBSWKa1ZWqX6Stt3oU2xgETy0jJXm3V/Um0qQzHu5e/O
jAtdFsfODwDEl44jTHX5PfXW+g95i4+FTOj3ZoAuQlE+eVTouu3waK13mIw3NxAcxamp7SgUxprg
daekJ+qQ1alGxPNZL7OPAnm232JxXs0lmT8ct/ldlWhk12Y+h1qT2s9uBvqG3E/6+0whvieDz8ZA
i93sVsxVBhInji+USI/ZvL7Za2XskOMEvtEU9pNYh3rdla3G480vdSzKZ9kotl08kw1FPT364aDw
6I85DHR3aqmnxe0I4AroORw6FY3NARaLJ+YLYPn13PXtT3y/lbOllcubNbQ8dvOLFnX6Bx5mv6rV
xVQxR9S9iQ6JnfxphzJ/TrMU3drCUQ7Q9NWPxso0glZx0Fzdfk/sIyWx4puxrtPBUNIscJXiEive
L8J1NTS79I+Z1j+HOTEp77TOSQMxSpXNxYQKobG5ywoUmCA/eImR/z1RJCoWywWK1FKsdPhh5+3s
7fWE8lILEOC1ro9k5DNKfslhEVWGkQrqxFQJtG/tGnsny6PyCfC9CNoEeUzTAayEFdSx78foav3t
wvq+TZX2aqh9CBG93VGFig9qTUbMQu6SxMtMvlclNu8c43me/9ZxDzHutbDd01IOyB/OAJQ7nzyj
ctIU6mpwmtoD3HkdeZDICH8B9VBvBRmwPfpK9r6yq52BWuWZ5RGJTTv+3pZu91h1Fm2G9GeHwj3g
brTao61RzDm5zl72a6lwjZ4ntHPxiv5nhQbTCN3DzjjufWtMxJ3irXa0WisJY6siK5827j6uVOMD
5OfPycqaf0xUMKkF/UmHoYX8nZCsrxvEISYx7FRE6jDijadXtdbSlxaUiuzJprWEdoA4T3Jsu0I2
UaODdJm9SwRZ5RUZFQ3YX3YCGxFkNkYbo2aqj4XSauDp1Lpl10JI8VZm2ARsJ0fQhY/JgIw92+NV
DhmwD45Oarf73s21hzcaApQnAKKtJ4c0w0LwTRR5KF+wrT5ng5WZ2CU91Vq0qX02w2OJgLSaaXOX
Pfyd4qBwI+xotpMzOxvq1SKUPU/XhkeqFCAEHNwK5JiO38Z59CobJC8vkA1ByYGfBv7o2wtiV1mC
vM1V0AhcQVSdvQw61YftpLI180TiT4E0cJZXkOqewqhGBerrLWO3CBFfzT8/c5lOtZ96y2PJSHcs
lqY/+gibsapLwqJMWOlqkf1jCxtdaWKnVyexX4vpd+Otxhs5TX8xrBmbj8p4a+bmV5IjNCHPkaJV
fcQpvROIUfPN1vAGVEZvCuS1laHHYYvliy/PTiqVHrVPrWNkvrDeN4BhuqXEbpMIAipa+iobxFHq
oM2jOsj/M6YvabmLWw/xbltPX5d4BuUVeWh/m8ciSY2HWw/GI18VJn0wLWfZzRRvOGsr8BB5iTbZ
xoMFbHHK9PP6qqeMPKPSerK3l7dxdwDuHiGIDretVQbnVTZ51jPb9dN8duLMeRVoo9/mTIFmrgNA
q80YdjTuLkd5MRnB5I6WHHuaSFQ+qN8+4AbNAcDmf71fN/xTl0oUwOwHGIUFyStcOh27uH747Mox
gRNCp7GeyR4u7PVxbQHYfXb1iFet5TECuPEsh2ZjpZw3ZKpv6G38kGPLGoVaxQ9D9jqhjCdhdTVX
8EdlM9rLcwM45OlzCBYk7lCTtzOcKn1xXH7mAu0se9HNHbVdKsXGFL/KxlOTo1ob60325sjtbxiG
Hmu9SHN/7bcscNc6O3m2TlnlC0snddbn2eFrzPDyP56qsuiNTX/XUrhlfxzM0edefZUNzxEKHiPV
6q+xyJzeu1Sdryj6qK9jHGXXTrP/+rogZ5+C8kbfH7/GXKy/xPz5pv04IViBjJBvzfZy1dPsRcxe
eWMNLLFIL8MREkQoe5hO2upOHnpF8qoJU5z/a0y+zOrrn52I4r3WtCUgn8q5y8btyBI6EAJgqDPW
qAogXWox3bTP4ag+uixqHlHekF7zsvQox8q0IleZATFPqrrxlzbC3Dkto7O82DQwma9RKTZM4D+N
irVUwTQbxEPaPbq1eRUkCp/Qe+0edY7IrZkoka9CB8XrYbo4gzlyAziZAJ/aU0gFKaXZ3UNduuy5
z9yzPCmHMDvRSN733llbpua2mPPF7pKR73My3ntzakJv7gZQQUtcPnVxE1RNoKhTs+97p9trVrwC
PIr6g6kYztOYQ9HIxijfrLwCPNG+9UZUw4cfr1EzPlljjGJ7Qk0KXsLPaMgOVoLgQW6x06mJALxG
a09zin+zW4Fg687qGMOcUBIw3eqo7wUxiN8TfVQeXj16uVtBCftYx0IkjVjNZbUPfAzsehMMuqpM
IYiJd61z0mPMgkCCWwWSDkh5HPWLuqI1JzTFoLgAO8lVjsWsf7DvYrIBvbBvDPVWDsV5URzl2g4N
9Nhxcs/lCAHOMN6zfsrY/rnsk0F7lmPiPtbS0lBtV0LyHYJkolHvymoRcKZ26mwMaNKQrYdO1O+9
Zsx3YmWNZDP8pI53Lem9l02Eb4HEYC+tCe8xNq5mn6kHBc+cXZ1+rOv6RkVonwqtOdS2cC9jiVEQ
iQAOv5plQgHeNtoLomXfQFjMOLqJ8dA4CZ6ouh7dxuo3b5OEyK0YO3SfJ98xDSq3taJdS2LV0prV
u4H/y25qy/ViITgbJ4BESgX7wlyHk7fkp16burAboi7AinHa944TXwu3W/eq0L/FM/4BIKaGIF6h
aKhrc7eAf9xb3XxXsrQ9lag1XpFJBFfCmhIUvSOuTV2TJdEn+Ftr5MftMl4BEpyGDkFG0eV+1TVH
r5y9c2UsLYbfAKLs0Ux2Bs5UfjcOJ6vdEIHxoAXmhC06AOGfSDX92Iw5TyZVcp+7NfrA4QYfdTYy
eDw3dq8A18uFuGi06CQA10JLgh37YLDaGzZsG/Vnm+sLvDqzu0wADc7KlvAw+ruMqLUtrCZE4TEa
qIMUCcIsFX7353QS6rte/hht5VYU8HwRR/GL7A56+Z/VNdqQ+pvKSph3aK6p4VK32qsJw8Pksafc
a3dTDv7GaX2jStLrULVxGM9EGKXG73dJsGwqhga5vWl7epuSlJUzoknhpO+Y3hJg5uRQ7bbrjom9
/HQ3P/rZxa6cVKBISIV+gh3wKaO2ZDvneExwhIgh02gVBmB1t2VKvkEEqPwpS3/3ZROSRjZPrOVj
DmIFeavuwA39pyuwiJlJw1N9wJRDtNYLiRF9l4Eu20dZ//DcHo6Z2+Okphr1OemYBzPF9Ndp7P1m
ICfQVS9omqrXMU21q9gax8T80YGEWVS7RI+jwBxA6iWazg5FcQbmXqsP4jx3fUBZh7SOfytUHlBi
SFEUIpXxa7Sm5kMga86ifRoqLOEcF06THlMDUWfoqR7h8VPcA+RZ7+xIhE/ds23MWzcX5Q43gPci
UxP+vGNtEOr9Arn4efZIsHf6sFAVjl8RVmH5FC0IpUgdwOGb2XUGeYk3NdgskrEAxlU4PKYgeb0W
8cH2NvXZdvwdu1GJQJkBvNHVC0AMZgXwMDomK7aHOoT53aBBZRJ/JkiDKbDfoPeA83W2Q9bZwTVU
qD5C03Wg1gMI5UHBgEVTFeQj0YuJ44jCQuM+lnZ5nRO7v5JqLP11WBBFK8Uz7OVXMs39zkJP/uwt
OihQPbLOju2GSjR6oZJHbmhtOJ02G370rndtUqZZs1eYxoq2Pa0oLGFH+vcEEPXYDsPfeB8YcILt
OFCafHma8Cq6OiSP641AHBf6o3DcC/iHhSh7jriD098zu3ayGzHwpSwLdGOIdn0NiaLMWhIVIjap
ujXWqXXbemfltjgCXa8BxXkWoBsWgwNk5tCpKErpNZpbSMc+GmtwyfLU2j7PsmOzCPM4dq33V+G9
wWUaVBH9Wu1uD+edtdTbIDLKr9QY/coq41CfY7wGW7Xfs1P3TiPAs6MFDhTcCSUpJWLzNkC4d6ya
pIdq7okZn7zZml6KCY0ihx5iMnkgzPitKhX78tW0U+18dm0i/7PdQRHDAe5mRcSO3mSBY3RLgJ6t
5x2iOPL8xEN9TWPq89ky73Q15qcYmcZl7TLKpkQfv4tKD6o4X0J1Rb4Joai7lsV/rM0hCqrOFU91
+TCyO2Mh3ppNPMesZu2qmp24T6NYbiLbZm56XhOLe5cS6rZdcWxiR038wuFrBBN2VgT7j2EsiDys
9CMvdHQOzfrFMmb7MFcp+++tidyn1RvgoQktC/rhXjh9HiZsD8IictK9UUMAgI2dXizbvOuxAXvD
m3misE7EHy0kv5cFk9LdV8weSeyxORs2gTOtPEkMmL1VpKEKA0s0rc3rCgTmfxploF40om1ae9hl
GAmSWlEDUmMuPUGaBb8GB9nzrRCgrHqgR1ikYrgFRwJjTQ+OdTyCxlriaWHHGfFaUiNXBKXPPKj1
pTeXFzVZZ6gdkb2fUaXxl62LTMHijyZfllm4AM2cpIBXMiA9uWqgizyzvoDIOE0LjBTgSrfBHO6K
wP+pMrN8r2NIufoSM5dsBH4L/FngTEsFp2B1b3OhaYSCQ/nsUZoLs779WIEbveO1Adqw/pFMafGu
VrjEeOK3W0c83DJL4Gypgm7V2ekUPFCO52pPsllYwgBYeco+klejAY7zXiNbBbBnBFJg6SozlG+D
A+Rb2sXVucwapux5cPaYXwMPoaQACK5e/RrFtNSpbX4Xtm8y5T1NGpTeDqAA1nzTIe/5e0iORE8Z
CdZTviYfCVJwiI8eFlwH944zQ3Df8EYAtPe5xreL/m+h+MXY/cO+RlzEVB67uWOZBBWYO9hDqzkk
IQGPs+vOTvK9rhrjGxLyKHLOr3oeW6diUl5XkgAbvVU9tuZmPJD9rQ7GKfPmhGr93stW75yk1i2j
lOYXOrJKQq0Q/jNAjNsX19SXq1Zkb7PKLjVpY2QUEyjDm0lTG6Frk/f8PaBAH58KEHHZDQebgjdY
rsb+FI4oln+GydEewHZdpLGVhY2AyTytbbj6qhj7fV3Y3gssAOdZXd5WEHwvBmAEu4r7Q5vl3xoC
A+QrU6CVDcVU2V0LvSTma0oAmopyzAc3IX4yCuAv1r6KB8Nvm3o8wY6o3waz608zbBFfdvXc6cEb
dxbem0r/RLjM/yMGe6838e/FVpZjnRXrBeGPl3EF7G26dv4cI+XyHPdaR2UYKUxndIrA6uz22EAD
N2LYGUqOxFzJx9uYGu6EVLCTUGSs452zzmXALvrZIM/BLL4vS0zvAYv9qOw3TMvEudwwM82Gq0tA
WJxN5zndcKOdsahngBHJhiSVzaKnH4piREH2nyE5Li8vt59dFzYx99UT0Ol2ZV3QSqBnr4Oc1ro2
3keHRTUIDJO3rAcpED3mPi4OMXReWxhwi6b5gVA56oZ43n3qakiMkMQNlSYbBjdzUPLeBDfkiSEq
IEnOPxe3j0NwWdYaEKzySeSh/EVbLVyykzzMVzJIsLD496auBu3rCh0FoUY5LhukkFgW4NAI3Dru
8XqIdrmibXkERmOwWAFVle+OUu1zNcZt9rc5TqCYtxvXb+8oj77wibaWq2sgoYpycF7LpTzJK1NH
cGeQRYz/9XqxvYm8SkvUZWc7ZbGXnzJHa5oCLMJnm6vfMe7Vo1QYcTwfkvt0BsP5a9i+v9lMnVOF
GrWsAcsml/dfHmZskSlpYXwnu2XZHpNG0fGf2T5TBe4zxjvjJP+k/Bi4GCdpOyFOMrYBpvK/5euK
OYZjvn2Nn9+wHJR4qSqi6mJtpNGvsbnRhyNSK3gyAfr4xP7KpwHaLRXqeSnmQNW7HxIPLJsJGPXQ
wa8jn4rkSNlONmZErVMwx7t9IIvenzivRI3/HmEuBl6f8I3aSIgeRN4/5Hdv5+7zRN7nsHYG07o1
pejtEbpT3qrDwmH7JxI0276+NLDDOhDqPt7Lr0t+G/Kowf4138lD+RRYiR5RVx52Xj1WIb6OHugz
ebg1EBF4NpRji286c8uUrwARgDlj24tH7H8dylc7OFKARHaNKvw8XIsRNJSdnuTfm/ueHHW/z0T+
bZ31UN65z7sEtXRXW8Wyl/da3pVc1Oz/hYb4yoYBkN+JfIU8kmOfj4Psy8YocAzphwSIJqKP0/Aq
v/jPR1Pemq+nQZ7pyHzuWjDse3kr5IfUx477I+Ja98mgE+Va7U+x2YYgd/l5f83KGVeAV8ahJBrg
qXtobSVg2ib/x9h5LcmpbN36iYjAm9vyvqvVRi3dELJ473n6/yPR2vTuo3Vi32SkA6ogSTLnnGOM
XToCdK7V4ZM6TR3is52EprUfvZFIYOT4VjJwTphwK/iEjCjN/p8Lv/sNIovsFWB31VfnnvPTg00G
8dpWUzdiChDf9wa68YNJQFb/KQbLO9/cOZzi3VvzLqji4x3UcONlAajJsdppfqqM29D2v0pNIm+X
O8wkeFItG0j3MrnI7T1BxHInfkvrFg+xOco7OBrbcV0l/qXuVIkwj2keml5rcaTI/Wud0+QjxAF+
tBEjoQ3jHUsYti7TQFB7qJ10MNbL8Jk6mMVIB11dd1CwHcQI7hujOwypwbak2KZWh/CRPQVX/ut1
zSw+uj6xwk6qEa4wBaQsY28Mr7Y6BTBqmVlO9DZMb9O0LEaSKC51GdafaUYy1NHaulbREbMS3y1P
Yo4U/UWyvK3vhuicFe1j4XQHp9LXYiTMhyArsJde6woHgZgL2bBXexi6j8sbvoxlUSeK3jQK5bbd
VQTp7X0r2Ik2XQx20WM5/uMQFGXx1ERuPkaU5+yHdlH8UDcP27wwzT9TD7JyOPhj/eiBlVvFhMdk
MUFurUmE8/ThUB2App7KRnVQd+hQ4KdnXSCeeGeqCINaD+lYP1qsDdgfXlQsFqOcrWqgEylBKV3Z
nI0pVnXs88e0s5udro8sJSpV3shehu2mhWAGhsdkJ3AHQzrJRepjV268IH+w0LVeHry4qijOr9NS
FpXLMPlwSNbF9aFFflAMRpGU03QtcmoEfEkPwTyJuy9OkhHPOBCzwrBrXWD1a/GWgGqnVmTf1Xa2
9pYakCiJfcuAavAWUN0XU2ApfG5YE0rxETs40JBwim/oI/UlaAl3h8ZkK+6xSMRjD6flCUS57JGH
+Hs6qCcn1JKdPPbnSM8hKHOag5hkFGbtGsxuDnvuxs+8+Qug1T8B5SdHcULx5EWOmb6e0DBm0P0c
O+eOvJw9xyy7kfnkonm2S8WIWCYDWZGtI8ctv0+te2XTDgDvl7uYJxYzaTR9ZhI7MTauAVxIgErA
BbwRl6yxEnegHxVd8K0BOdHgRekVYzvzmInFFvG6xX6wreNAYA7+3D3wSDiKA3OdoBg2r67mXVSg
eBk+N1WZJ2Gw1LdSi7SdOL/4Xa4Z9MdafRi1tN7JuvYonuryaEUubZofoTYEqz7LYPoHQv5ng7ZM
HJL49ovyvLBje5qjSMP2gRj/rZKYKej8Ou2uELLrB0LTipNA7XRBU5wYC79zP0nm5yuexDLHLA+G
D/SvGHimPjjlxgAgDS2GpaFwkvES2MzgGxgCtzm3TDwZMaw9GdujQXiwm6Eb8p/JXHRYZvTlSc4D
eprvl5uwtIqc6PL/PxVrtR700nWZ6sWPEcV5Lb6URW6uHANkP1jQQswgFrpSYx5kNBZFF3HZeckl
sihs8qrNWfzaf8Lq5w+l+J3vVhnzsXlqrwkLuOAQRB6DD71Yv+IcwXQtXpMxgw5m7Q36V7hWsCf7
bXTIKt+Xt6L7nHWnL2hAMEjjxfM6ToxUsaJbkqVuGBNcDgpMkQphYtMiTPydJZmjJEX53Vp2/vX5
2IPEufYZvG4t+Yrw9J2Jl2pcw9eb4YT6bosfopcn1Vblo1iWiUWdyIlkPvW0LBRFHEFwXnsAQJbO
ostSFLklWR7jUrdc48OxQfrSQNTBHMacKSZOKNyILRJl8eZxxyO28VP7/OPHXMlWgdTJ75aR4hHO
I2/85gG0P4rhGqiyRdD09Az8poFyQ4yUv2fF0fNURVBOdbDzePMRCuKBFFm2cB8wIQLgIVqXhmUP
KBpEsvQTxc790Sllepx//TSSZ7DH8s7M65l5MItaR00b/Cf/ee9Ebu4lsh/L4qD5rO96fbzAx6Mk
BcdGbT4rI1SzYl5ZVg/i2L/VLV1E67zOFtklEc9jKYqcOO5fz/puOyN6i44fLvW3ug9n/XAlb5rw
EZorGx9E3/SKo+GMr6IY572qeOFFgikFcCYwIjbvk5ltSZa6MUETFPgdfYpaIzt3EtOtOPnS9V2L
yLq6R4QQLvh5RIuXRbwny8uyvFT/WrccJt470e9vdf/rqdwxncD9WUi0X7+xUWhjWTuthcWHa0nm
nexSfmer+Fv3D3XzfmI67XwFcZ4PfeYrdJFzUaTut9w4/lpMDWIPKnLLN1rMIUtR5JYF2dL5Q92H
oujnthAGtD+UEkqEKDMB8vFy4ntneSuG8JwVtaI8YspmW50UyU51sqdleieYCtj4UpbGCUYuymLm
Zy3kYVEyEsOeTUeuZ9TjWkwPWP+hZK1gBv4DV5snDVPGhiBmlywfAWFC/rb523S7DAVLbPqXPssw
WOo+DBdRFK29V8WYLGyQXp086pvGUuNxLfa/EQEGmIui/tmru2A3v/HipizJPK0uZXG7/rUoGpZX
VxQ9DCl/pm9R/nAGUTcmEbETSsRrtEz288J6bhfPZzmyQquEzVtyNDCMaJOF5N3OcekmjhWJWBgs
RZH70E9Mokvduz8uWj4c0jmFtB21K1GB9xIoBaoBogeWck0hkmP6cOUo4tVPYupykyhJDuLO5FGb
JodRtlZVYhkH8bIvT3R+998ZM98tFZauIiceb5C1WPTmTrORK7UgPdHCAJoUFa7sbnRy3DGwuSjD
Tbyis51SjIB+VMPqTbzIf6xapextkc7GdVLhHEzT5BhBEQxKHNCaSMoKb+VqKbuGJ8F/5hurfOId
tkYDATIm5MXyYaiKt9dV9yww2wYOgECGu0bcVfFcygQok1pkz3kIzkTgydXpAY81pDv1bM/8cPvF
TX33iOat63zXxZ5FZOfXPMA5OTr6sBV3WVx2ScQPWIrixn6om3d1ouUjmHPpKZqXv6T6vro2kdZb
IWOIVJyXuq9NFvZ7DSLArQpiliLQMwhIsyM6k7QaKr4zzYKmZ2p1HMI81ShCu6n0ngIl2SvTOeSo
TK65V9Yr0Wtskv4gjbm+kduEIL2uy1ZVwKsuEiex9bXpEOCpEFN0iSN7Jwe+kW6hDEJwmZ39Fqsk
UcODdaxUr3oAk4WvGdJYgOeJhXpRKF9it3+eIto/edDAfgJ/U25gjeth5aAo6hIIj5II90TZwwIR
mkX8KXQsmAX15jqEcCFYhC3sVHz7e8dwx3tcVD/AOx5aXclf+1RHVSt2v6Y5S/ISHfiT68lEiifV
c+uMxjcHaz2eXdfD4aDUsON03cqryvJzORLTy5Y8f1Hl2FzDqEN4VQBtl5xNsgA6puQxNQr4m2R5
U0ARDDNUThw3QozFrZ9aMCUhJtChKOBHyr7KzPw2DlFxEzmRJFlmwXuWphALY4Q3stDb5AX0Q+7Q
fdFxnu1reaLyS+RCQ44EJo7NZABe2S47tzALYb2WAXxqLkKiMgyGmzrJiAly6o79cJXZJyI1cK85
GNtrWL+Gdgju3ZQAdAnurhx9hVZTOoqqPEGkG95FWLkyiM80A2+N5d0r2LDvMp7Qeywpynroe48d
BA2h6RBaFZvcyxRJUTRkV0PXNTclapyHcUrKhLA9k7EFupoeS4OvJvFayS1U0Tq8M/qA2Fzfq/DC
uL+GKBhvc4loDph/LcbccnwRGM4DLDPBuvDrFbyn2tZSDH0zDFUKxxvB9Jmm6CfTItSZsFZlo5pq
VK+QgocGAwXw3PHzSwHU7lJNyVJkfO6jDBtqB7WRCTYtV0/pqMfaWtE15SSSbPD+qczaQloPDih3
x48xNkNq8Ny6BIzaZt9+ibr0TcOVTlw4cH/eLR08M5GJRCtkBSwx7fgLd+dnP43UL0MVEa0AIc6z
1yeEXcOD9TAq+JKNITLOhZ22J7UN60Mch9mNR6AA+a/lT1UvMbiSWL/KWvtcwhp0tYPooTOLCuir
VH4KWxxHFmSPW1EUDbhCX6BfT7dlv2oR7lgNU/dQiRHlC4nlmo7Dg02VJQG7Zc7YvDvYSL9a8aif
xanKSlduluMfAIeh1JlAi7bjg1Nsll9Qe9Fv3x+j+bylNtYPVVNvUxlam7WLxHLrJU8IFY4Y7bOK
vbKpnwFaVJ/Anrc3TMdHUUJot/6EaB1gqKSHrGnqIeosLf94UGQ/yzZ8XKgGEqgN7AeLxZSVQNBd
4E9rL2WHWTmPYTsRDRZMFkdoMCOi2bgVqi7Ve8g2lbUoituTxPL0qbKICZvuj9n3BLoU00Iv3Jv9
7/nvxFHq7s2sBHM23T8Ip4nISwYHfXrGTN/pMKeIrEgKbwThvpTFaOtrKCTfVYpm0dIA7th0DwTO
EIHndSviupBUyAsmJbV8K0vPP7Rm58Hx7hdf83wn2sPOL3exCmtTMUoWBmvJRi0ce+Cx8gLv0kxJ
F8F7Ymvu/l1D28bIybx6rhlugTCE57xP0DCcEpETdTq77AxQAIxqoRJU6A3+S0dxyNx7ObrpEQf8
Xw6J7Y74ClnZfzxN3WSQ3D72t1zGGrj+8OtEb3GRIcvV6hLXE44Ct6Nu1CBgYaS8BlOSQjBxFcXB
dWEsDNwO8LocYlyfmnMZ5vLV0knkUNA78+Fr8CNzcGhjVfHzwkETY5Ckk/VqEIoPs5Ro/XCoKIoL
17COHiyIwOdDxdXeHZGo+rbJCdD42DD9qiEPATs+jpn5FiNPSuTSaMfneijis90HBJwoMG82CX5G
GW/FNsp85UnO/e5iq+X31Ffkp87M5CfVL28NE+wN3zRIF0gH+fq1GvxfVlmrZ5PQklc74VQ4c/Jr
DJvBa1BIn8Ejew+iUc+9q5uF5l20ESm8jQHUfUqnnn35GnWK/qy4QfaiREfRhW9O8iRXFfDLm1/G
w6X1lPjaTwnkfmq30qOSrFmNK+ZsovGmougD0BRHjmv/kqMO9VIb2yXIpfg1cUp4tBWtXoui1lbd
QUM1dZPrBoz4K9No2k+IXkFdZPTqNgBQ+Vq1yCLI4PX2E77ylVCwfGMmrn7okcy852b/TAhN88XI
v412ZX82JLs+JXkAdZKpNl+qkUAK2TLSOyQ6cOn67W/PMusvhGypmzFERdys3GeF4DM4bOuOeE9y
oV9vR6RhwQv/UwUs8k/jhzrVsIiKTcZL3jnlFr22HIY5K3tOJMM8VXEzwLndZs8qiOlPSL+vRKNE
GNszERifQfLKV1FluhX+BbvL96LYwyZxVJwhWotiGdr6fcRLJ0rijE0nX2W43lQQ0WdvGIlLyAxf
O5dwxQCLLl1Y2Mz0itE9bDbE4kHrCbXstnA76yRa2tp1trrSGYw71E5Gl5kHwpjgtZWLdg3GJziJ
ohXIJmEKQXsWRRMhInQgVfciiqM0fLP55t9EaWiTO/N1etdC4nvc3jv4QSc9xkktXwMXGLHvIlfV
pcWdQJ8ttBPtY+7UL1FYy2eCFbpHVa15VUJY5YvIvogOoh5exF0ulclNVIlEh+UoMAEwlI2K4GqG
emxieo+iewgc7Z7qj1WV7ezGLhAsLLfQmOdnc7Cyc9AAlpvIgvOzJJNUTWFDMysPm9BBRUs1g+rB
VyykwAfjGYaw+ItsFM4W3sz8IIpgdAipV7PXXO+hpNRaYgmmbko7uCs4/YiqSXvUleWaQPEi/kIU
dbIHjm/tVHwfX0xDO6e2ZDzpfmJd88ggwGLqVg/yr4FoySOfNuXKsk5BjYicPSWjErtrLHgV8bv/
1C1dRM6Q6l9Fqyr7vx2v1gTANGb4UPZjdeulgnDpzIb6jqgunS/Rr1R2X/S+M18rq4cfKFWzS+Jr
JszGRUxEXDd+bgv7UXTttfhSBprzVlapvLHL0LjGuYMAS1nClgIv7AtwpB8S5FfbMFvbhA1d5JyX
yu7Db41CgJih2dWDozfeSTKtaB/EvvwEq0q5Eqe3xjc5d6ofDX4jwoj0EB7GQTtgs81h3c2NR8eE
c5zX3YLYUklXUVJmMOPCUXXJmVMvZu5vWlcNTyXk5H8a5j6iOV9qwZEQ/AyN/0YePTnciHafuMeL
OFto2VSaBXDCwtKPc1E0q44S9Tte7WDu6Snqo6FHxl42O7DbyykMSz+bhJefLN+QtrGSqchSddbB
IN73iNZNdVE03dqZUTLcB3RcNm0tVy+8jTKhP7b1lbXzI9w80u/Keba7iCVpnxm7xyezzvQfYBIh
i9SZ5xl9vLRJZAFS8cZtWRTlLVTr8qBrRXcK7NpA3dfNkSVoLPixCFZl4gOZqebQYrmt+yX0+pco
0KVfEpGW84WSVIEqLjN+DnH3zZck600xqwS2Y2V88k24wVmieA9AqO19MpGKy5Ibn9s4NPaYA+IH
GygQMc6Vgf2Micx0R/8LE/BXwIfST9VDB5noJFbYLMIjz9Z/JTAjq0377CHNUdWf2oaYZXiKq2en
Zk/YtIXyQNxGQ3gOCkvgrqwNxjXXPaiqhgZVb02UBnKMWpzSJGeRs6wSFyAUCNcmgtYF/ZpPitU5
z2nsvClDKF311nG4B9D3ln5cnkSx0WCeS62wOaphCzGVwrrs2OSEumWV7bx4ANJXRefL17bI3Zeg
HL+ohqfeRGmcIsAt1XgQXR3FOgeK4d5FyW+9fR3n8Sc9U90Xd8SXmBnVU65Z1ou7793E+hLyqdzX
vVzvrbrzvmbqvuxK82tORBaSOUV56Lwue0Pmbt0agf2JfeQFkYfsVroS5Pke4I2m9ZXVXDc1BBke
Z5R1JyRLv4fsaOAlgnhNC7RfQu7QgEzNt7zmZelQaaW2KczG2HVICt6aKWFgDJsKbeSNKIoGHLbZ
rRpR20Ky+kywE1f2moLoBgRHV9jusps2JSZUvGdb0q6pVYyfsAK8NXkwfB2CKdCjBs8BDxSUe7H6
Fo7d8LUvA2PdT/XBVP/f/W0ol5b+ru1yHsLT1pVnQ/j2z/mX+n87/3/3F9dViw7ktqNv9dQI1x0b
9se8G8pH1dLVvTnVQZdRPoqGlM3vXCe6QBRZPeZT3Ydj+XJCZyU5+1DlmygSY0JbOkUl7xgZyZ86
GfloJ9V3SzfR2IeOsypL8AZe/iAltQFgEsxXr5Sdt7V41zctPDabpFeyB5H0Os8ra1/VlVIVW9WP
5ItXAMRjkhIFGNrlSz0lomhqEqD7uZwUm5btGlyP/7SK+qUojhB1cNud04CAtqVqPtNSjpn0xt5+
yLld31rkP2Akc75E4JkYVHl6dFywpGpvfRrM1vmmQUCHtdDpHgzbRnA0gm8li+UA7ytoYoDHxyqX
dprqjJ9hZOj2DWcVhKevwLKO4hp+QjhfW9TGFSVs5+Y2Co6u6dyIVzyo3LUX4kYMVAc0badWdX9S
Sx/O7klXRyjqzOI6hp8BzmXzJRpE0sLVvbUJsgKJ3lpHPdZzyHVq9zGxIukRguhmox4cZMSicYTT
RYM7BhJyS1+xBAEXE/blXiqSds/mD1p87Xeh11+hGOk+ByFK8FFTtw9B1SoHOayTo9vH+s33VDQx
pHx8jf34N0GHyW8O9pGDP0m6DjsW0r+P6Mnstb7xbkVWVY/ZlGgyy0M/gy5x6qCpExSpImTDqPOb
EoOLhzJZ3nZO1txEf9ENgactopEDAmiQ00STJjsh82jJttGjB1nHFl3K+A7pEAIRBsJoWiP3O3TQ
ypvhNdG+AFpzjRJAFVqvjxfLJrIYdLx5tpIuOGZQGZ8dPTCOmD2ykzOM3Skp+v4oyUF+TrQMYR+3
DS5R5ULx1Fn2JcoHtF5LjCRBE7m7sK5lFBjkcmc7WQ/QFdJlCKDaO/6JfBuHVvPowvYEbzCxg8w4
RAMVbfs0Nkj9IO7cPwcG9MiNvmobH6OUl8kvFT7otd/L2mtv23B5w3v6Ge2ZdlUEQ3910aGCgjqN
N8XgBzBhwR/HtwnAhxuP36PK3rrokb3hva7gtQkmrP0YPBFL+jsw5fG7FGnfMfwCLzc8DOWere6S
mo+z2+n7djqDHaLfQRxYjsRDz4bKHCDpJMTke0Zcotro3xxiDdgCJt0ZbtT+XkaWOrHxj5CulVfH
GBqokHkD2Bnlh6RSIJKBvK+/hbC1sCjvD6kuBc+u5Fg3SwFNK4Tgfb0Fcme43aGNu+FNN9k7KYr3
bGe8KcqQZtAGyP1bQADg1su79iCOUsPoWGqdckotpdtgS8xOIIJCtqpTZLDhIMjh1qu5Sh8gRBRd
RO5dpTm1iMqPLUv3PhH8hFxgOY+oKwobHBoOvHWCYuDNyGukHGupeW0QsDz1rpxAX8EtSeDbxm7Z
gfSYijDaOduhztC5nIqqPgBa0o3sKIpuXCor0InhCpEHQHKmxaZgStTUR+8p14f83DtRgYIFOZEs
fURO1KE0Tu9KJUSpS4nG+h+OGyGMygGo/9e5RfHdpS10BI6shFbv6pZDxPX7IB9PSfxWDb7/zJzr
rrLQMo6qC7aiTbUn2bHcvdb50npMecyWk4V3s8gOoiQO0jXnqW4S52oY0gHqovHmNBWQwjqtP7e9
Vay0zvK+1Z70DKDI+akryi61mQ7gAV97SqoGdICUt0nC3xgzHmAHCb8XQRny2anqt0nufh0ZTX7F
zn2WIXG/AhQorqlS+DvoTMdVpMvFdWkQrSyw/vTTkeTJamstN6+EyKDcPJ1BHCI6LsXW7K2V1ZX4
LP9zkQ+nlvoIvJDqvsbEqEKYOV1kOYEoxp18wPkVnjZ2J1mXpvcQIEI6FMUXqfWBkKjWXYfJ8R6b
0+yrZEQY6L4914H0RVIptg8WpoKrJSNcEspQ/c/FqQ6l7u4aTImoIwRT2aKLhhdkal0aRD9RV5Ry
stM7VAFEsTa1dBtAC7NpwgHzflF+DwAuOJlcflG8Afhbmw+vVs6mvRwq9ykd03ZDqFj7qDYhbJhW
nzzYGqQqISRu18Fou0NGVC0MjgEx+8hWHY3YgRNkmsU7Sw5uaSwXu4S97l2GaxeLAdbr2CglDOtZ
8sKv89fYvO3PkQkDijHq+lc0Rd/cKjZ/5IZ7kjFkejDhgGuKyoil9EuW1yb0fRgZcGg0v/vBubhp
mv3QqvCbpGOlZrYkgJ6oIcNoUcPSoVowoPRMxqR7ccuugtOcDYRo7S0/P/sJUEDRmiLheXHbsVqJ
1jD2EzQv4ZQTrUNtxrdS0r9G05nweKQPcVk8ibZQt7E5QbTEmjx4yGtZuoUoCZH3jDF4EDmRyIn3
ZVTl4rhUiRxqqP4mRMdnPmppla3E2oc4olaizqp86CbtCtwp5KDrpd9yHblLrpWemSd3VOk7hqhS
gUR66iMnx0Xk4jxRYuXs2I1ylsFRgVkPlH08QhUjGkTS27AGraWpTylJQ7FbjlFc6Uc+5jDb/ec0
77oYVgiGTJx8OVuLTMe6tYZ8M59XNLtxyCXe9RxNSVojh6VvNNMBCDadXupKIIIgWN8dKBrmS4of
6Ceyu3N0/XWu08QvWC4+OBFD0LUa+Vj59eav/2np/ee8ys/Eg7dh/g3TXRC5dz92+nHzbxIt80Wb
PHkIIXYFKr43als+Z1M30cHVS8w8IitaRDKI2y+yut1A3dB9d/AIXaWm27HaQE6tr65VFBTrEgEL
LwBq5lXpNyOrBjj0iGls5aPpu+PecppfhOUOmxhiRTn40aoR0pG6iR6FAz+Y0zVHP65/lonr7Fgz
nW0oTINCDTaKOUxUts4PU0IiO2xWUslEDtGsDh2+7WBjrFC3ssvolX3mARDei161zqrltYPXY3gu
3YLg4uZF8XpOBswPRuzo1srVxQrBXxZEPWHQ2cZYtzJd/eZn3UXC6zlkSCIOUDDkk8Mvk3A6ROB9
D+CI2aY60TmQlMeyjqS7HLLlzdEzuhfuWWctgrzcVNX1LTCpOLrOdQoiLqsx65LjcpSHJW+TlFAu
oZsq3UUDGLRv9QjiqqhboJzjU1U8VbHe3TsWQrVVwoWesiXvRkJGIC8L+SHei5QjsoJCDrIHRWPB
7FD3qx6oqe4Qb2jEt1bpUQCbkiF2H8sOHH+SnS2vM4j6J8mwFq/BmPU7NYNrTNSlMDDsR1TWMJj+
U9eMLCSgNFX3BSp6mW24D8mUQEfh5FZxr03omuIaXpyeNcx9nJIg1vKDPVjDShSZQbR7CBsFgKFq
rlrqK1P/HBi1dhJVtlSo8JL1I3KhVbYVdSLRVFfFTQRno+jyrgHGPG2o5guLakPN8O8OWXoUFxZ1
rt+tTKfWNvVQ4rGefqRoDCI5PRsmBIRTlYFZ/WZZ0qbz/PAxy7cZgOB7rSjBIz7z331QuMdO0a4Q
kceXHrGqu0jsEa5/aK2M3VIXD22KiBvM/JEshRKQRldD87o5RUZk3DH2G/OxTWBux8xF/civK1S0
bDZtbozG0Gjk9n4uo5BU7Mos1tfE+dLu54Z6nhbPYWU/jA6rg3Ys8BUVjX53nEh6MIKzNxW0IPyT
9Eb5pcFqeRr0eNoWgvdB/Y/AjKVfH8FyFI9MveJElpyZaFcEdwTvmlueDZt5RI154BFrXK9gRa4e
sjLxHnWMZI9qmD3lrtefRTeRsCRTV8gC5QdRFH0VWNY3RkHkuDhK1IGoiIEkRFf2cP3akT3nHqea
c4eXezxpWvPVc0tYQqZ61UpalKTClRvaIP9FNxgwj3ju/avowcrvLgeKdg5Gxl82BPVB8hzzDljU
uqMgVmwV30bLoB+tu2hQasg95RznjCiKBghT9FsRs2BEeUOCOdavcSVr2roNmH+j1rgsfX1sp4iZ
VdY+VotwZw9ETEBn6T/moCE2yLNEW82CGW1t1YW70xwN5nD4Wx6heg4e9boCG6pF2A967KG2FiMq
NGmZiIS1y4haFmqe6tiz2sg95PAkxELcianPhXj4T24qwq/3Oa3R8kNbwyH+bpJWcRGHPokccs0J
/utTPaGEmimEUeRE0olAySlhU0vgpKiEurbZOyoe7z6E8CUbnv058GqK85ZZdpdvsjpiZqnZxU7A
hyVhjQzUQZQTgXpo9eSzPgGPmglJU04/AW0ikEemwB8ZBcRusEFiFIB39yQStaj7EYGjcuLf+E9W
jZ0fQaTCgVGl0D6K5rYdQYiKbAjtDJT/UYibA+J8nHaw7M13zB6QIIngGQltExeiuItzM2Qv58kq
s4f7BLkDEGbAF/StNGgSELvm19DoP13YIuKs2PfIf20M5clD1/GUNe2bxW09B8iB7WpF/+oPurPt
p6jaiNNkzpkZJ9mK/7vcbZETTwAflr/VPe6VhEraWW7UTRl5+qFGqO1kall+NNkkREVYriS52Xe6
+RLzrw2jB6EPqEPmCTMElJI1uQ0h/SgZm7AExDyB0tIp4tqaHpbIJZA2bAtoQfjutsqpgtnCK0wc
XVoOE18U95d3NwaIMvfNdCooFC1lLUmJi70fg1vhGz/0xJe2mnHJurI/Vb7ZzYmmB/3JVac7lwxf
E0UtTkB+i5OTFpCOi2xqO62yFVkhvSpyIokstyDayYENY4qdzyY5llwrAOiw6PjrwModKz0GCUQA
E0Z0+psiEX94KTaJBrOMgm6mO2GYxilGUdyOTGBORbYeMXiliTVslicjxulSFDlH6ZC3AsDL5J3B
E0iiTWF/S2I0ur9vdOMcTbH3YhyIJJiKHS6O3RhUF1GVuwbiDp7NakTIGrRC0cCUWp5vm2WfYqUq
UR/VUjBgE2pszlqN2h0jSL4AyXNPJ36IQkfGQCSiGAawECuB9LtkSdmdEYasV2NltaiiSGF/tuxs
oyHTVWf9sPISpHV99Kk3sl2wi1Fld4/t56cT989KPhHrsh5BNzZDcA4o/YDrfKsmLbjR6Jpkhb+C
owxH6Zj7F5NYmKvnNmv87dWqG5JbovCJSJ3C2DiwrJ7lol4zZeS40LEs5kVzhG5g2tqO8iPoe/Uw
digImTaatNbnuqzTnY4Thij2pkWLpfJ2QY0QJUrgUpvgHyFMcMMHl0kjfNBVxVwPyiBtXalGFqZV
d3D/Q083vmh6fEzzHPsdkkRBpX8pugLNwiHeQb8UbA2AflndXHyvlFd8HEEm+1m2qQBk+M0F4lfi
SUJcupKM69ULMaqApVpDyhbsumLSiK41onAxUeCcXo+52qFvbFebHIqKysbW2Pa/K4sbY7cOUikc
P7bOxRuicB0gsOWmoQyvKRKlgYK5upUhvtXQPx8QzSza36ELIlsmkmrdj4a9d+G6kfL6UKs+NwEe
ukA3udO6D1a86nTiYrpXx55MlwhBsh6rflp8uqe5RVHgjrHMYxrtNWkACCwR79900p4VxbjG//iV
xbO/tQfw+7lkRnATEaZjj6w9dbA5NvRohG/yx73UGQ6R/dhDgXTA4ylfCKZFPcNGgUFOedA5KF0w
840HYbDt2TJaW40O5xSoJ1/6Xbtoy5T9dRpBamjW19gffxk0rtOKD2XBJluy3FumNj+KBHYklVd0
rXQtYk1Dh7/Rt1DMkUN9g0H0kkUVCrgmODEQ3JsYc4KmAwofIzlem/VEKQLX8qpX688u34sNLK8r
dJnRB01w4dhcyyycAE6IsV0TlTPA6GVcm0LaJV7lPg4wro+F/T2PUdXzZO/b0Eq72mYj2CntZloA
tqbmn4mV2xmO/1OCh3WV9WgTK/345hQYLDBAKtIvC4lEeI204KgpWPKcUH6EccFea0O8cf32eVDs
HUK4hI/4hGJJuoy3lR2SFP2ICqXZjUXfbAY/zneS/epLaboywsTdlnGKfaZNd4YpZZfR54RdjWUw
UJQHrw9rqCmHYyN/Y+fvr53BardN+VRFSLWW6HVhz9+aTv5FqVvoWSBIsjVEj+v2lYhcDbKj0F+j
4pmsWA0q6xH+1ZWDYOqqHvpkFVr+wdAledVC2WWG+itEYoVOkCQ0XzHro0LepCHqKzaMobLSHBTN
M2gbPntO+831ihJSp+xnOL6NagT5Wuz/IDg32VTqCxKKLy3xknhdYEvtzg6UqZNvo+4be4OtrR8a
C5MZQcCmq/7GfAOFifkl7Ixb1uO0j52LrtItUbqrJrP6Z04Pty2qw3VeXdyxQUA2HfbI85qoy6b+
YfiOcjb26ucobb4qDYLycj3c9ZCVfzNOdL0ZhkCk0XH06czQKSSTDTHDEBt6jIl1mTUQgoXfWm7S
qswRBZY06Zj3LLJ8XSnW9Z57L29iC4M/kgJnLd+VieE+om1Yb3HthOu+sF7MPtloacNEIEFDG8dv
aNzHG8XB4V2VdbCqquTz/9F1XrutK1sW/SICjEXyVZREyVZwTi+EI3MOVeTX95DOvX2ABvplY0um
ZVsii6vmmmtM/KIMOQ7soVWekpeEe1N0BAlfcmJxRqtNrxUvwPzvQad5q/51EhDo2jRn7l7uvdT8
qbX8p0zN7761CAvsIPPr7KFQuMNKjvPWK2kWpAZedq/AR5TM8ZuBCqpKYH9yrh/1rD21F6Gqmi+N
2F+rd4lekPzCCVbZfrJXcO+6jdLEZdy5OU9JtkprgVpyMeq2sdrXBjeFEo+QAN4H64VVU8RBZuy7
Mj27GDFWTVGfyrz+Ky1337bis0/ZeCn7LvGKcm3rxQ6jCnpQNJDXIiPm6j15M5BmFoOqXrc40Dej
lUHkkVO+Fhpp9KY2zCvNqdQ6srRvD7JREk0Y0VNrYxMqZQ6uCGfVPRHzRhu6tENUgNBZUDKT6rlS
+tYm1XvrJQL/MJ6V1OE00+o3X6+zmymIE+/CEHuYrATaePEyL0Oxhj/zlHTLd63Eq1nP95MIzFK0
WxGr4wKaMxeQ53ryJw0hjjUYa6/u4QzWJh01u9/nUYRNW4Qy1dZeStb9+5w2H35cPIlmPCiBp1GX
L8lQ7Ho8OLninMiGfguSDTTNdEgAB2JoA4zWFc46b9iBa93a6rg+oco7xa7ta4mIO8OMgw8NNIDs
itj5mAf1QTZ1uXIL7bn3ANkMqfnel/m3BKdnteqd+bJfbLv4Yq1wmdL9aJdPM2PkQaHXD80IvDyF
wzTlOKp5Px5tQsTCmjYAnj8L7ahfQhqQwNT6fTyO92QakSHooY/Lwf3t7R40BXdYMraJeq9skL8A
lFeaLYm81CuwTcXBHKr7HDTPyliks7F9P1TC37+XPYA+aEP7WjkDvP0cs/yMPSIhR5M09ltCMeoT
c8NY+Fyw6SZXZBOh7KAKD863Xg6HXJdvI78UW7/XFBMGpM/ixe+0W1a+R8xlzWocXd76+GSQTF87
ZjhkcqfqaNvvellte94WFgl2/vQO1YreXkr9L0EBu80pRaXaDeSp6T3BYso/5DWsz9HK6adUW5ly
9Uov+i0KIpRz/GmV6l7FOBxMf7gbvSIgz+G+GeIPp2TfyAgZ0Q2yeHeZqYdPWk8BrRlSHmyiPxfO
DToCYOMryobOkFQ0auNZOgbjMbTZZ+x9dst1eSJ6tKMOSHW0Ki6X8VUMiMpL4akVHJ5zkal+1boQ
AXUbw5FVxk+1KH6bQXWrcijkuvVHEiMZOuwSfT/p/oNrUUTOCeTsKp5urZ4quxmjj3HgultGcyuA
ebv9dLRQ7yCn5GsQd0Ir6Ia2EShRvFMgd19hEGJ0ipHQLLTDbrJ4k13eRiJPFhZ0o1yPpusz8O95
qymT5bp87EsYUVOu6VvTgtnQd+kDAfBDBNueGxyV5L3/o6txPBiAyNiNOTsvGp40ewa76Y8f9gBp
fNZSfC/jR9f723gCKdqnZBT7ub8ukAg6GhwFxvh1pWtcPBRhrZ0FbYwiMOp6iWKd78pl8vaETL66
KfAe7uDj1PwYA7XxLLk8a/g6WXqwtZqEOQlDMeN0adMHg+VnzXQSribye5a0PcRp/UfIaLKyjZG2
kvUc9R5BJdWXAbnOWzqmJAwSwaLUI5+zOo5xeysoFuOhOk0+TUPyRUBdHRkgeqHWfvFoWgROfMmK
MNX37LADyL1JnTyfW42Y17k3XhIGuZsLAqSyHo5q+5qbLVeHDES36GdnKhXFeJGvbI8aTBT4NuL0
b0LPHm6d+kLIchS8NyWfnVpuDNNRFFaEZqQubAcx3mlSNftUy++smIKcTNrKdKrQQplq20VS0CZT
yJC21YtyjSD0LJL4C74V7NQcz15itFwBnDTaH6LfZ1rn+0hYimTggW7lqWzAmIG4t1cFbtvd4sTd
uoeI6cssyBbn2I0+3tTx19FuiFo+pASzVojQAB/x3uXNhlHGu2yy7a1ete9AFm7GaoH4XF8QzR+t
TXC18g2G9evkubFdKiE8UB4iwarVY+rOOgUziQW98kJMSw7RkK4MMsFwj5iZCnE+sxEE5CRnMtuF
ubWt+cnUxaHNuAIT3uHcJlSCruSv40bTuhggDpebxBBhKtTHom5wzjwXOFJX5IK0m9LgfSJK/MQk
BraRhf26YFZpmC8SvPOqQea7eNsC6CFvZn+rGVtB4NHKd7RHu7a3E4DbyyJVr+CgMgo1Y6AOL3Q5
0j9yFjbNugUd+D4l1pcptHkbmROwZEZIIRqyPS0K8HZUhI7P2V9rzA5QmBCbmDC/Qo0/pAmMpNz6
s8RQrYRC7negJrFuIiE64AVN/T71dBOqnLvOSTldaT5nieuYnwguv2QoN7dTTtfapHE/E1WUm8YD
wL5yjVWGAUrLWOt57Vy+YZOiEa9Nk8a+l4e2A5fWUGrnGpNHHZA1Aai5HnrK8JYZLTjq4VZLOdvq
zl71RfOcFRXjSOIGMOZ6qamf5eCT6otIsRJFEkoSx6F2LieBhb2xf2bD/27KJVtjZGs4Tcd7t5Lv
bi+/IYnulnkOhGl81Cp1oCVLEL0MX0Sqc+CTyCqgD6I39uOUu/dj7zGWkZXHyRtpoLQ6jWz/PXMG
Eu1L6ykaHkZbB9UNQ5QEMRJ3dDdaq6Q6Fo59sA3BpRsP5DnRx+h099yw65jqSq6TVL8jcOTZnEjF
9MdqGyfzQxI5E15A956GCgEuWQSzeXnz/AdPaJhEzAuLrxxUMAwZBTYFJvi6eJ2Z9XqGYkvM+Wrq
RvoNSag11bEqnsHm+TQ7ox3nZNA1ibVRmcFObDI41EyrjWYKK/Bu+hhgJ6If3gWywf0Rz0nlbmSr
v2lFQatlNMNIwdxTEWF4BRi01h2DeBq+kxbrvWPtqS/6qqDAkO7Koapk9yXPer6nknagDhekVKV+
YNST4MeQh1D4WhDhza1aywg8L/uZ3eQtoU85z2MZaBNswMw35707v9Z2WmwiMyxsGtIVc6jMoMYb
QQ5MbY9veRVfFGp2/lHGp+aLLuCGQK+kM1BayavTwowh0lnkz0px93ZI9d42kpJjEgNtwp72cEJI
tO/6MJR/moiMjDxpTkOcbC2CRLb+rG6b3PwqNAZ2kwzy+4U31A7fOJKeaYjXWw2Pyqrlit/4msve
0OdSkrI/VfPWhwI8z8jt+LnadZTH0NlqxgJbJhEKulpZz+xfEaGFpOlPHRUH3dWAmmcNyUKRQ+sp
7XcJgI0VpiV31dXmj7TAThXPhnCrMK6ND9fQdu6i0E983DxW81PXoE7hdf/Am/mkopbb1kxOC8hh
yL55HpAGC4VgOXcJEa53irsplyIDh9Unlhis39Mf+ZanyCdiOWWNMgg6Lyf3xTfU7dwBI4EzR5a8
1Z2nzv6s+LBAotynuW+G2iVyOWnmQ+HoUN/TatymKfs0ndq/aeQL1yg2EEz1l+VQbLp4Dvk+uuBj
DPg22RMr9JwbprYmASt8YZA0Wsk2wj3046vX1rNe0baf3HKk2sSY6iw4zoiuZnTitsh9tqksUZFF
wcu1ickWrbftsNe868L8aA28VCWeCQTbh5o3b1VJ614rciRD23qb6FsasZzWpP9ceCp+fEgc+yle
xM4oKNDtmFA+VicqAEh77GE9E3ZrO1oYjSEJI1jd+Ul83/yy8EZ0fiSTlSqZ7gubnZromKfJJLEo
tv6WdAQ1zGZNHpR8AkBabPFw3WXudKCtwKCfVpzsIh7WbAIP8kJuna1H4zOuvE937F96nRMzd17I
vng0RbW2Y3IKiQCGAk6Q7HzTd1wtjHXhEN/1lv42Ds6X5k7oyjjdeovsukxHjMm4/7tLajExMe3b
8ZS3cMBZALDBXeDNxnt02bx6WnxYIBWC1D7kplgQ7vrvplXb1tVeCiKJV25iyUDWFN66g5sh4myh
ihmr2mdU3NZXjl3c1NHwVdmMUCTjApQS+1M3PrqFfWuVog9MbaSmqrDf6wCqVaZpa/uSzzv6xoZR
cKLos/o7KZMd4IqbLk22eu78JF6HTtXRBSRJlSjFNDTn5pQLAkW7ttg3E5Gpo95scIV/5kaPXdQk
odtJN1lO4zkb8L9FFeBgZ8OvcDsmZzetMAnLQ6UZ8J2EkawYeoyk9RANjFBE0d9SaU8mUUJK1MmT
ln/ATKycxQy0WMeNJc3TDHtsbQ3GtzsOe9NPH2tJZ50JwJ8hurzZSfExG9NrXjFXTdoC9KuavzmV
pzmXxzrDnhfFn5QQnwSrJiu3nrZOM3+MzWUuT+dGrpU+jsClhj1u4rajNr8olSqki5esrRlpVk9N
AuBN1ITkw3dIpMj76lAWxCnVzkPpSZsOuva+xPKgtyCk/eposoTbrhcOde0FpQRyVw2bVKZvadHZ
wV/rNN+OVXxFTYPX0qzvS2iNg1uyuIiOtCVnAI93u1RyE5Efj8uJWW2juWXO6NHUJszpTP4yZbGb
JVjChGzQLNMR9cZq4mzEc77Y1lqnpwqDK2YWpJKBHgyLykhKTPPtEru3TFB+Crv9KJblPMH5oq0m
jlwhryKH1qaNa7+q8WB6cWh2WeDKEcOxRlpUtpwYXrqBWruErWNtHPAG3H8M8iiLwDO5uqZFn3Zk
OkDRxwauvBHIOn9UY/kPykW8cdFTVhYVHWdxdbSKl9HO1wSo3nXJ8JZMtMAvp+AyEzGFsUTfxoIT
hfmJ01JEIYr4W+QOJ5TbcwQon10Cc2hFa2xIIbot7PJxSMz3UgmbjV5CWcs8ledDebIHboxV+ni1
CsQ6ogzicbNjN/ZIqPZbM2Tf7H6fmAId9mDzyVReojVzL29Oc+ia6J3yAD9GQokSIdQfNBo5nUHY
yjg7+cYrzR0uI2S9bLYoGdqYfEjtULuNdmKv+apKtN1ldLfkZVfr2hGSPb3yt+UCimaxi3xXdceq
1mgQ8AIbL9e+2feuZmYh7DTydmrRmJssQVYSkhUrL76ZUsmmEXICvX0taDKH2OLZCee+NG60gg5W
yyQCnQiXjZqX6IxnGOE8++2e8bh01c1kMCnDKh+0uQca7+Z9eH34z3Ng6DOuy76I1i4jHID4G5N7
1UDYuFvWZBlc0p/Um2enwLgJsBCumoPWn/e1y0g6Q04fAh3ZsPGfutao7fh7totBoTraEUofEHu2
Ni9L0fXhRIXeSe5hU4cAmQ6P5At/jkNxmezi7rNocm8bkx+60Z9LZmcwF8YnPjLuNT12t0y3Y3KO
i3dtBKhaW5T2Qhq/UeVx0VBhl1H0ZWX2GCAReWuwAbZvAXHWK/4mwbLktTepvJRsiXabuHj4Ivc7
8c3vqce+PbMIR2O0h8QMIB3FavDNVz8H+u1sm1k7tpcfl146MJbAPiUh3/veC/w8sIcVyRJLFUxz
dlh08VA25yazp1VWyMcqpvtceN6+a2wkTfecm0yTu95Ppxwg/nF7NzvFfXZpHfhaiWyoultbj2XQ
dxZXhE8KPFNlN+RjVOs2bhU9/GFNcS25rK19NdkE6jjs3nZWnNjAJnB26AIigeE2MFFzy4XQGHeb
zGnOXTa9qfIStKiyKYys8k+mS38cIG3EyNu6w07Zin1usLNFf8CyNn6iv6Wze/TjP7O36Ml25KF5
bDib1KtYHrPHUr5EVgpdyGOPlsRWvGLEeqUGWA6qVoHnZ+ydXUeu6KmGWaobr7nPag07lt0tEosq
yYcy0lt7RH0Rk31ij/0k9PK1L71io3V2itEifoMxwgi7Z4ZMM+kBRg+WwYvp0CV2COUQkWoMLrLn
ZjIZVjf5jM1Lt3XRCIZ08jwkyJTvMm8temFb3ROfC5P8pUSqjCaaKyBUGHGn4y4HxR5OI3fJqwov
yIUwmGianowCIKBugXyZ6gZbFYKV0/zkWQv7pZK7YkZnNgrH35v2fiiHcTXHNKb6BfHJdfPPEZGP
u02trSpMD31RJ/s4my4FtPnuMOKyQq2MwZ2o7k4vSxorpvNVX1pP0UeLwhIYuUbtOhx6NEtsst1N
zGjgSDFyHwnOyqpG7Bx15k6m08R8XYBHpdn4lQMlfabtIS6JNWOL4pcuo6RfxgkDGSEPuwRKBeXd
SnX5eN+Smb7uiTe6APlv0eWPsdMGxYhuoyBqGBJZk1qq2WdTC/GDO0LS2lHQjql+HKS+LakpV7PL
5HS6kFhu62e/sa3Q1sd2CyFyv7SZuxJ5tUlMAluWmJtDHNv9rURvzz0M7lmuXkSFyVQfnuma8flX
C9YfFNko7bObokZWZ98KpzYTRK9MW1gMUCTaKj0MLv3TtkO0byylMRQLD7Lwy80yWNyMZf8GomdT
OZf6s2Y0bpn2Ts5KWqT1SyUWa+eaNW5mu55v7P7SE+qw0xC/gYfPzTvq2oI8cWY3NnbCaaFJmwHs
HiGQC41tlnBeyqIrA9eoogDkSoWXk6nXJguIbKsAQF0uyXOh+BH5zCVsFZ0T2LZ9yVNoD46dvQ6C
9zYyBrHL0hwDE5c9Yz4vneAvbh1+JPNEKDGxYFmjJSO86dXxHYzFeXkA9alu4/peR0LhjKpWEZ/K
Jsl7cN99x3aPn20085agkYmuM1WWS69nI7ymDrJ42tls3IkXLolYHe0qpFlswYjZ+tOxTghvYVb2
Uxf28FCa0WbK5ldLMnU5udNzHzHriQ2oCyuCaFiih7NKFw7S/mxSgpB14q/GEuPa9cabmB4qwqFv
AkaJZ2Rz0fzAb+YtmrO7SR81wqc9JmAmj9iNisGEtsFPa6LQmYSNjCRsVpzJTgRujQuJqf/maM8D
y42qzD2gknqhrHA45+zG+FGx86mbf5NafkDPEG4BKNxp75Ze6JBxInTo6BP4Ft9tm2KrF0xQ0DKE
XtMzZILuocnpJOkxC1J8smTa9In27ne2txmNjsC1NK+PdP7cTbF4pOPZ9HRoewW6QaXDPofhXipW
9rUhYB87gImRr7lt7zMrmm9EpNPbYOtjV1hy3LhWWw0WPD7kx0Er9G3n3cG4oDDU55dJGbul11GF
Vfc8THREhBwCM676QEnfoFAsFn77+Jj0w3shaJFZf+aU3nns9tkEc1ecJoXViO3AqGhAJ75Gzb7r
mBs/x+SRaDVh1oQ7rWWv/XT19G7F5HoV0TEf8Vba44/0EPSbDAked+XTgChA3psP97cSiB/W8xSx
PcygN2wY0PnULtNriTvfKpfogjLL7jW7gZ7vzJxyS1Ovaqwoa2Niz+demPh9U/3qlvwaJp2KRcid
wdoTXqDbsi6+8G6QXgn9lH4vO2PT7R74izLOqiRDfnGKMAGBi9lwnWvZrtQJdO4i667t/eym7jm3
rXYd8yav5sbHHkgT3Gh9Z5MMUp4ab2Phnl17yiZtY/yc5/rMHTajCrZWdsP4XFdX+ECa7ZxdBnYH
9h2EtmGQX5qfjCErtgrZo6n7UZC0SK9J7aT8D+GkiOvxXAkmc7VvtHb5ocU7uq86aCf7NPW02RZV
fbvuhc1iszXqeox1E5+KoS9h7C/9Ob3846C+lThpb65PiaIlygjlockFf21/iaCJ1K7E/ogn12Qt
JVjd03wo/t00r5uWdThqjKdsTDPOA/21By+xNkzTDWJr5wnhrO3Ff43TxGbKDU277ku56SI2MqVk
DiJbdapu963qnya3WUIzs9LN1BUnhWWM3jHdOasr2pCLh2Bjb8zhCCt6tXTiKOFYY5nSB1OBOryx
un48TY33UFS8odVSrMrG6E6DPzRkeG89bvpeA5NloL0BdezcRTMiPzLjkKgvORpQxF3a8tlovFgC
Z2HTfzQtJBcmuiiFyo3fueeSjti6Wew+oGjdRIwOTrRYYeZcgjbkb9bN60hMA/GFN3k3qi3gb5yL
0clf4mMs2KuwLdvmZpMEUsvRYwx5Y5A/QJGjfllygUe53p1hdfftmCPDiPilmOl/2tyXYgjSnTb/
KfKDs8gyTqljTeuhKuOtVpCM0Bren+vg0SyHFzVM0coGgxy4sx64/cz6bC0/tvJ2nUVMdvbnCk7Q
pSy+W8Vsre4O1H4aIUbVHN9Kq3nucswUAyeX2T8xx3Hrdzh84ijZRGkHxWM0V65vf18mTijEoZP0
vmkFkekeTJzXBf2XzRSLvY/l54ZBxWfjEjMeNxrd9po3wLV/+oJhS+aIasTXrYo8oDZZ8eQL+tSm
S0YRLJAbUc/nyaJ74NjRe3KHA4VVJYjkshlNrPtTd5zHvAixZeznKToTF8LoC1pEbiisOi6vGc/z
a1k5v92ijrY9nqlSwRYnt3nEEZydGoagfpvbI2f3pTqjj3IWWWJTzvYlyom1a51hbyhy0Ev1qM2L
cRzxApn4gLd1uis7StzBt37N3BpXlehftXpY0Llybga8byaTmS2mp85Lbgd6aWhun6Y9DAeDsNgs
8eatNgz+ul/qwLcTzpb0voDMEMSs9XUXglXa45nkVp7rJvP9zUchiBOLlEXitPYbO+NnbudfQ5cs
nP1mKFs+FzslvJC89a1Y+o/YQoTMsss4fUYHzSLjyay9OLBBlKEw0LF1eJunbtpifGKFvcmG7JnP
/8H96prOX8foBci0iP69r680ybbKiX9Vrx560/1tiuHVm/tHuhBRYGYanHyX4CwfolQbsR2wjYt7
hz6qRmqwsLFkE3ngrcZyadny63Sd3ci6BZT2ZUTSC9oKn9ilm1UNjOezUyvWxO7sJyWAP9zM1hy6
XEFVXIclC3cktDdrTP+Am1Uoz60Kax1bG+PvSfdbuf0rOVOo0VV9bu2tEXHnZE2HruzvSnuCflx9
mbmHN11tRi/FUqfbDbkMzJ02l/gZbcZgFxk/rvlLQ9PbJIt/VFjS1pUBGgHrddrqeHr95EY5i7HK
0uTY1BqplVZ5EEyr5VVbhsPs6Btscw7VhQzGSoSGVDG0saYlgqV9MHlhCGtc/rl907EpjZnoJN0x
YfDabwdW+HBust+kbi/QqWFvVRp/N6mctkDFobxlE3bJQJvli7Ek/i3KRqB6ssc9JzU2yq2ekqa7
s0aCIMBU82uka1nidfVQy5n3do4iZyvU0i4P0lknuMrKDzD17rF/A/1TDR0rRRNDEe6EcypsB63Z
yOY8LLpxW5XTVlZavG5zirKm39WVQd2KJpxWKZ+eqjZeshzTkgUoStpqozfDTewR3B7rxC7gODJ8
rd/4hca48vRWqG7TTT0lwBDfaQZFv6zqn5iGXpsRRunHWrrWZvNTDO3Z1odd6RfzZjCod4shF+hB
FsNCBUSWSN4NsfXV2LexxapJTqBLO+zPx+NQ2w5j7pP/S0bKJ+KX3XovdFBCRQwcMy23FpvSJKaM
ULF5ZmDlnEj9nMoRt4exb+Ki3BrIA6IUd8r0L1YeytGmJUhxxuvadOZrr9InHJaUo3ConGFiUKMS
p2qxHiMre7BZU7aeO4Z5t4R+Y9xE3MkZFg3GmgYZ0ZSbLEONJLEzS7uV2SprjY2SR15MsdPgi+lL
VHNmudM6CefJ2LrDQFWC2OiTWbBqtOJgq+4nyqafvKdXkS0ro30o2nHkomHkL6rfzET8pMr5Haca
Xr+5tvSiCYHf0y+bASu07NpF8oUkS8O+qTrEM+1s1ctT4rgvmat2umnt24RSVRvMA/gdxj1sPDoj
N0Sn98bV4c+wtU2rN9wwQENMvr11Wu6wuvzqKrCB+Zdt2eSw5XtE3XvhosQVQ/26RP66mxc7TAbj
2SeHtW3992S8OOLT5KBJjBQY7UiBKNXBKck9rU0E7tJ71qG4jVF9Bng04byaHtsJLWaIGYatXXFk
cIxAu6h5KBlkWPnLfKhGf50uDilKHELH5GDBSaHN6m0dr3uwnPKz68kq03QX1j6GNH168m3kZctn
rMDxHuVgULA5a5ZcOtAwErDh2s85AZ2Mm4AXc6zus9LHtYZLtSU1VKXmWRgumaFwAzM097GJdpdb
Hn2B16XKnZWdVMymM+oTtc59a/Unp1NeQK+RbTehdSutte6KUfSbCk+P9HA+quHWHOkGx7RTOu0b
kgNRj2irK9lBkMSXarp8tJJ+eVEY7EvdPRI8a2NqNNzXlnA0xpdSRwKDinSZSA81Brt7X1CUUChK
plUubUB4UinYCT2eEQeofqP+o/WM7djZh9F14aE0JEPmrNkALdwaQXMcjrKxh6NRp+MRAWKhrSe1
HfYRueq1Ru3L3m4eMlvLH9hWX/5/faLumX+EU8RtU0SwIKMkNoLO0fvwP1/mQE1NG2IN2/P1KewA
9CEc+/3fF8lknLGOe2rjLH3zgA7TPmAXe2x04B3XpyziXU+tr+/+OeByVEGA6ZbfNln/+0II6Uzp
S1PbX4/DbK3uVUt8/eVVr/8wW7JLGKikbc1vdn2uF/0Q4LBzwLj897ki9QIDqM/5egTsrhm3S4ag
7eTybKvpP/+wt7v37Ere/J/nbWoDUDqShtZ/jzdaAcXCPtAnNU//Pl0QrXaKcRhdX/T6fFHPRE8l
zh17kW1jttFdRqbnUxthnKobOdxcHwq/zi8ZcMsmVdn45HdxcWu2aIlVLEfuHIN3TwZCUDB+MwSV
q45SZ/G9fuvc+X0QY9bbXx9mhZ+FDDbY639eOI7kgaxCRLPLj+0KqHO58c+h1x/l+c0rXRf7eP1J
MiWycYm8GEGCw+XYlju201pwfZgyeXqUvvlcthq/h66frdboH6+vY/CdSBlde7i+kFNh6msrP9pe
vzpkTjDj6WWqpqjvr/84Rdtt845LC1RWkgSjqGFdyLIPrl/G0Vzf8wPTXUcGM6v45ZgyXRJcVzS1
/n2dvJ8V+4EqRKQwt8NgpWck9mRbS1Xc0YK/OAea5h5Enbuu43R6yEFqrnuoCo9z14ogYvrmidqr
C2IpipcB9Y3rzpGvyQLPzi0c961STrUqtLH+sLvml1BZxiW76tWbsvJbNRVjg5n1Uy0Y2Quv/hsU
FUVJT4UORx1MesPCseh3kaKiWXUH1CosuSUUGltk2A+IJqbcmTh6qcOEXsgvjYhba1jan6Jz710c
/l+pzN69Kuk+dfYEVG+9/27Su13lWTFv0yYmGsU32nvC5OFqFi5L0CVw+fpcnDeMVC4axc/UtvfX
Lxix4bJIRM3m+vD6hS5FHMriQqPc4aX+Oa6J1UZgMVtfHw6XF6hd09tMyoOo978/g6znGvs0fTRH
tnUSLJ2rbzXLgEJ8Oeb6+j49wVC1zvTPr3r9QtVHY1j19LSuh1xfX2k6Pv8pod9ft/jZmEjfLVNO
XCQt0DNpQeVubJ2MSNAmOXKZaZtBU9kjEIM06Axn+CgL7WQ6jYzpEd8vXpT8taXzicHbf5XC9IhA
HhiblW6BquK3t1pVW7euKb0tm9eJ67806Ytb05uMpjenBuWSOBumB/iAlny5r9xGvCth1kEcy+XB
N9J664sS3E7ZTze4+72Q1OboTKxpv7baXH/BUZgBTEruWj1/qBbTPFlNCWjBEpLWBL3AMU/aEycO
jaK4zk85W6fQgrVwzHO7CMcWSkpR0eAqczkfc8caQqvCVVDZNP9H2yiPxjibIWSb+Gj4pgi5UNxD
njMIULPgcpXdVJhOwobR/p3lZMk91QglneGK77i4gSshfgb24at+iOeH66Gps2ioMv89VE39/znU
Ysz5QSfjO5wGh9V3zB9xT2UHss9CGcE2hbaMnHF9DsEznNpGJhtJXOi66XS6fpG8L82eZOUsWjZm
usj76z/Ey7qBBU5ie31oXI4zJiZxY6txwoaljeDuDC0bqk+8N9NW/fN9SYao7JlRd0MT/GchzQ9Q
FUo/Xv+7ofHB3jCnxG7Q29WkqOCxlAwDM5dwb0EVXmPaUZvrc7L2onuqezz6EDfpCXHc9TlXWms5
g2e6PpJJVJ5AlO2uj64vxHyav8tIz8POzGtc/3FsJyK4mWvo3+fwc3a0coW5H//3OPofaxO03fn6
VON7FUi3bld3RKirohjWuilxVyCgDFsts/nsiINMNkwjMo+pLTlaltmfXW4LGAEuT6JN5sE/j/u2
A8CHjvvPkdeHgPORmi7//PsS1y/UTjycBS11mNMeGBjZn41o1ndX4b7SCn4JTsz/58nYEfpOM5D4
r994PfD6z/ULzKHSDr5887I02MdzX+zjywa0TTrrNKH/nOOyxdYCNfAD1bCnyePUd2YDqMJZmMep
RxqOllv9Vmbt36cxgzd+i55+fb50/UdwH/qj/z+MnVdv3Ey6rf/K4Ls+nM1i5sH+5qJzVivbviFk
WWbOmb/+PCx5LNt7sHEAgWAxdLc6kFX1rvWsubtblthilKDl+Cw/5gVUKHMkbdobs3Itt7cBI6K+
LZ6p4tjAiQbiVSNKl6lJ5KwIeuVY23ybFnK1GUkuzYYOlLmpHOWmKorZK9vvq3Lrx/7OxbiWpMr3
P7bL5h/bTM0R+7SM173DHCq5V+Mx0MYfC1Wtb8OW/3Uy0IungW1+EhHmA7WIiy8U7b6ZRmG9KHb2
1AjR7A1LN7aOiIK1m+pQP2DAPxm5oHyGwyPTHK6nvoDLVCXhM4mXhBpzwUSVoaxrfTw6ULa8MdJX
qMK5/mXDZSzL9G0sgHq2tfbJN2sVBWnuMGLvlUP/vNNEB1ZUpXS/UHvd33lpxtC6wdrlaOlL4YrP
5JMrdwCz82OmgRkM7QlBwtBuyrRInjuVItqoJGKjYOH6YnlLHiBdt89d5RcHUVbJRsUgts9bP31y
xnHPZGT2Ino9x/Xkecc06KI7z/C/y6ebNIdPsBzyGztPu4vnU2UY5hPm14GCkppWhDYws3xjC07y
awSS9CwXeja059JokdeaDogDhVF6iUDyrGuhMSzkMXg551Vk2njgjOOP5s+HkIenRfGcpkm++3jo
REcWbChds25LrAHDMO3htrgX2cpiDGh2B/ZeNqMKFQvy1H3v1BebgmCzr5kBQR2mhsu8VKrnsaOu
GmVG+dmeqFuHQ1K/5En6jMyjfyWi+dzSH32rOwtLVuaTYJ9Pi9zBJrBQGMjP09Guj78lHVDIOL4x
2+1TfOINPuUZLpfbJYQ5TRSLkGjprWx+7IgTJSUHGZ1lx3T3TfikdMSI6wCpT44VlO6mLpD49oNV
7wO9PciWXMhDzPk42Sxnd5HR+8yXNfZtOKjKPnPwdaW41Bmld0AUNMxXq3DeLY+pFE9dJglzopVp
cgy31VeG9Mrh/RRNJMtK882b94P5nC6CZAmzMu1bDEM8yM/neD+/99KKbxbPUSMpOA5F02+WDTrs
Oz9OsztvHnKEaoVW5+c2p26bVcwUGNIdkHA4V7RrpTrOqdSi6oSX5ZkxsfmgYquCN2Zdi9oGKRuh
J7f5Ip7kThOq/QodSLFTC3SCTacX28xG75o0uv8Yerm9LjrgCFo04KPC3kl4TofVbUithylBZePm
vvK2ob7mvWUdXVK9asyHlMdaI5CNT4OpB6siSjAQoRS4ZzZzPfBYV93Uzfup8pg4tTVGmJjsGJsD
ddeNJlrIvbZOpXNsbO9EeR7AaBgml6K2qouNYo0SehV+Le30UGWR+VTphY2nwgcHMqXhc6EwgTAf
YP9+JrXUmkl1J/iKXuT9TIsr1rIYa+1KbYkZd7tMHvoEhxIAz/A28jy4UaLJKZEk9rYfLe0YcY9A
DpO2VLSj/MT1rdmOqWpfDN6ftR3H+m2eEH8Xqor9MMzIIni8i7I0nG3detO4SOcMhtYexZlSZ8LE
JdSteVOGgv9czIv345rKyMm2UH6cIfc040hCcm94RBBibqfGvUaR2N5ZehvcFxbMihDQ21o25YID
DNtq7+jZzy4gwEMfB8htHCAMpgOZAen3ntsaJNN2/tHKkurcB326jtOkedLC6FV+1EL/Hpp98C3i
u8pk+kjQxXyOA6roaMznJDZzClVk1E+TPpcPeu/NyN7PydxELDQn/XFOaaFLiZPsiKXKPYpmdI+U
PKlv9RoFiTLK/E3MvaEiDZtdmdz15yqdYH2ltOEmGcq0JaTAwMdHqu6i5r+H8kyO+ugDYViYqsMy
mzd8LJokJAAY1evDhJF23Q4krtfhoJ/yTIvXoRkpz5jkb3q+hd/MsLsada8/41vIKIvX/+NQL21v
ZNfVCIZr4YY/Dv3jUY1JJWM9L2OmEV+0KtMfVa8qHvzul0bYvYjO0t73CPeXPX+eU7hFv60rDxHK
VHYki9fqwD0Wxz8FUdVYy9VYAAQI50XhRhAmnRsVbtexiufxmlzNYNAqZKr+vlW2IcNXh0lnytod
lUNm+kcsI8Y2oVR8oCqvHOR2jO9MnsqNIh0cuMjz0RT93Gwhj2ot0Zo7eUAtt8pVuSgdk1qZ3UaL
AnLGj+PlnlH4X1q3Co4j1/mrz09jlwxMzIm0zK5eJrKrXKMX+tRQTD18bB88X+wcncK9PPX3Y1Gb
/ji2gd27gHHQgh12/LNcmIA++R6lxtouU9glTYv3W65+HFOPlDv+PEbutlQTWEtHsEyIzNB/UIC/
H7OsUZmfnlc1BcWXXJOL2ufehTwpWHxs6zRnLM8f7dia4k2UwjGTJ2NxhNT0x+MwXUmRpq4tLlcO
NbJfHoOOk73MxkFFX1Pg1QLX17nhFZBBdvXVILuWyWjjEff0lTtq6a87dk0HwO9ja6Hr9opKq76S
J8oFaOXsWu+q+Ui5oe7Rh1l0Obb4NFKSZp4nyo1nwhDKhWxiZcq3tQ5pSTY1A8uoglfzJJuhFa64
QWoPhatp1zg1HuTmPoTd2hhkyEVjNj7XglIvQwh7L/cqpnpDkuZ0S1C2cV9n0/tDu4nRHvuoLeAp
cRIVj3ENV4jx6PyyRAJNMDcV/dKTq/SseSST/M9Xa8yvlm5YsKGSNDx/vFr5kDGvNq0BNJe49LeS
hJ5yu9g0uY8ueoalv9PRZ576R7OsA5xoLhIauVfumIaEK7tsJ2r2ORFJtpOtMS2PXCqx+CRi7Ub0
dbEFhuEVttuwqpnPXg+1PSJlCtKlB6jgktMVIjrJMyk/VOCz5NHvJ9p6gHa6dOZcj/BqKnV4RW/m
M7Tob2PyL04A5I+tMjjPqsbTj+6A68h1r2UXP9bz5szFZ1PFlNObNnaeh0aPlkzEhye5t7EiMjHG
+MkXqKcbg4idoVec5wrT2CaromEjz9K0nunINoourpK4T1N0kk/pKJ16gvRKBXB+Ki+KKORWmbKV
zTEeP0/kzsKwqouH2vfW8indhtqYmEi+brtEezJwjcWhc24SnYqHqmIuJsjqTFK2fe5Lk9pLJCwP
XahxP46JAW7o5+5BQcPwcco0TSMXURD7JrdW3cR1EnT3ftB29wQtMXWYIA71fJogbwiQ6ceXjyNE
6z32kZ6c5fGkntRbvcNoKZvV/IBzFXd+LHlOX6XmEqaIu3V1c9u0Y3UzZPjt6QAgta8Ufq0qkMxW
t/xvwW0bdPk3MpxSdIL+nDVg4LadGgejfx89mlb91dWV7FvsachfrPKTrpnluoFMeGI20joXkyjJ
QHLtL5FSruShpUOdT+tV525KyIYb1ZA7iVn1d1Phdgv5fBYmxaSzyhevQKqolAOdMSU2jzWmynUe
Ws4zwoGzPLSJtM+do+JB1CzBi2JGR/4PudeXS5tx1L//h5gx1Pv/kKf0qeT/UOEaegyz8ivy3W7j
lbGxSdR42iEOSFcaYI9H2eyqOFtpgao9Gk39Y+/k+vovTTXWyh1Fo3SD25k6ia5ETyo56St1VKsL
Yvh+X4q43oFNhiOqhMnKhpv3aRy7ZyTQxnenPtaJMr01JZcJIOQRhnLOnlyvutTMZ+YtwIVez176
tAy28LJS8HdJX5yYmSMyal77o9kCeSZm2GiWjAM4uiz7EXcEMdBek1qXROhrb1DCE2UjZ5kw77qW
20tHQwuE0Tk76Wa+zpueyAi/5QzdDQl+cQfn/QH6vW4bpGqJOV7PttWTYaAFnVtl5KPiyavxfWdX
BWJdVR1EgnmHPETudTstP1JAgKIfUaCCBLZJKt88G8xvnq15IZtB0lvHiXBJ2ZLb5REipX5E0ceG
TJ1FWN/nc/ucjKPATDcBqTdLCWDH6fpYAPq/D30Ek7VAZyFB6PZUP1quE99TTg/etxeJvWyFVn+B
toHbvPsGbZx7GPKXW78wvJ0POmjrBEl2H/cUORpF7b7pvboEAN2+qFCbVmAcxQV0KglobRJuhlKp
nypVPPpV3IPUIShrzNxnMyJDJRJ2fGqLsicDRB+h9o/+lTEGZuzMv8VW3p90rbFuzXlhaOgWzfx2
jEJrJoq1ZySYR/x/aC0rI6722kS34uP4tq7DjdowZJPb5GldgAp/DNt0K5tyhxpWb2DrzcPHYTZK
KrvO0xvMm9ZtUnr1jdMpy48DIMvQNYvG14+HqXW73DYTpj55ktzRtuGwipPAw3LBA8ltoskGwq7D
dC+bXe5ZmywsUEOoZOO4vvnsMKQ79i4iANmsxzFYQ6pRd7Jpx/ljQ7nripnKu8ehvqmb1nwuRh8D
m3snhsg4U7oAwe+r35FhqduoKhjSyG1yEYZZfcJzhW2ZY9Up1zfeVBX7pss+owXGeu562kqoTnTX
j5l5NbSvLXMLGGeIq9iDMcPyOu/Mqzy+U41QXalUh9Zy2/sOr/isj5o4yhYoRfPqZl/l4XJLaAp1
T6f118eJklxFFdEo68ruOoykTf3Zx0P1/hgMLpBrl9NnzC/OsnKpTEeU/sV8AQrhvd5/tDzvvSWv
VQOUi4993W+tn+fJi9zPI+V51Jz6e62nVj1fAH8e+f58874ZuPMfznMHH/Wj3+/9fozPOBvjsxl7
d206djtwLPH5Y7tce99WDhTMepQNHP6xOau40i9ku56618RHmE8+w9lLzfws1+SiLkeYKlrSEiD2
7x2eUMPhl7Zhh7tc9dND1JND+f4wH4/Q1cq4FtHM7psfXy7kY9Ep6BZ//eO//vXfr8P/9d/ya56M
fp79A7fiNYenVf/9lyX++kfxvnn/7e+/bNSNruUajqarKiZSU1jsf325CzOfo8X/ydQm8KKhcF/V
SDOtL4M34FeYh17dqiob9dFE1/04YkBjXQ7WmBdzhxvNinGKI7347M1d5mDuRqdzhxqb2YPL1N8h
ln3tTOs6bjDIa+UhcuGkpbPMKvS+5UIJe5eOCiEBycaPYuNSTab+vkgncTG4tB6oDfNeQ0syLqjy
i60i/HbxcZzcQc2NAM08BJlchEyKmtmuzJz+bGbpcJZr+s+1+QjIKRndOHSnAUOTs6eJfRO2+W0R
IqX1jPGXlpupezNwx83//s6b7p/vvG3olmU4rqk7tqY7zu/vfGiO6Pj80P5WEeN6trQ0v/StmlxI
t5jXcW/X1DfmLeXaHEkmQ7YxgA6ZFz82R5ULNrCsvbNCcXOVGqoJ8Gaob93QrkAosG3wLBM5qdoF
uPr+3S7a6rVMqpb0meCpRK5/E1INf1K1pyRu2kcd09RdjJZbbnXaJjoLD4uhbCaCosqgK8Dz53NM
vAdrP6krzPut+YTWIllOdpYc5d4sj395/KH45fEVXd33bYXR0hOknnpeA6yj7s7MPss3+r9++47X
8jv/mhdjFfpB80fzX9u3/PKSvtX/PZ/186jfz/nXQ57y978ecg5fq7ymXPznUb89Ls/+49WtXpqX
3xrrrAmb8bZ9q8a7t7pNmn//Vucj/393/uNNPsrDWLz9/dcLkCTm0kjgDF+bv37smn/bhM7Ov/af
V4P5GX7snt+Lv/+64T6aZ//hlLeXuvn7L+IxrX8aluWqgBuwbOmG8dc/+rf3XZrxT9MyTctWwQKp
wuSykQG5Cv7+y7D+qVnsc3UdEbOpu7yGGj/GvEv803Vdw7Z1xzJsw1Ldv/797/+4VL1/bv/50iWo
iP32EzIxU+m8BFMzkVWZ4BrU339CzHtPcc/g65p5Xxy1rA8gyeuDlUzDsu7H3Zj4Gy9vnwK99A6T
6zRLo4ofCan6xjgd0FFoZEtk8L9SGiW00YuwOXOtBG2lz0Bc0hfmRaWD6CnzZEsVLAB2ORGvMDQF
EplBOSd+qx3kIp8ncqY00lZNXq1dwA57SwjGi7iKEehbOAeGyVmkfmCT5tH16wKs0a7Vu6OnG68R
fvxryRdn0+juU+YQ+oCQCh6mfbXQgHH7uUo8a+wQWdIYF0GUxkmr0zM9wgoPmv41tII57Vo5+kZv
LUoFIhDSZzvmcWBMSuSnXJMkSUsbnoq+Q6WYWzd6lxVbMyF2o1MpuASAjLq6/uYN3qtKGNlhSJxx
nRfYrwix6w+GM4hFjxUCsX+7yURvHot54XaDDnuSYQHxjyVyxlWFBmLp898o0cEMC/CU80ICNWVT
rolsVgQ3MR8ZWLPMt5RdA4OrK33/iAyzwcWJeSHrxErCMeX/4FqWNQ9xFk3sEL0t/zmVZ8NXVSTr
rm9CKrLMZ1MGjwI1OY6jBrgup9ysVbF9cNrAXLWqdhMa1UooxkZOFAp0lAvVh/yb1kECPkrt6vme
WK96IAatz3Rg2FAphai4zcwMeAgTHsXKbC2N0b5dHb1J1wBrMcMJFX2jpb69Ve1O7JGSvYM+5Vv/
xyfx8enk3Omw27XfdSxAajF6O+HO+Q7OUKzhT7YHuRgGg3Cc3HxTbbCRixZSP7iRCm2CWR2s+ccg
1z4WgxLUBy2hhmSMOOZ5+oNcyH/oj2aoA0mtJg+gnCbcBYIRPAFxm5SH91Vq6tce4usyFNpnScXF
K/mDj/vRRBZeHCa7MnYOujX5SUt+qlz7WMgvg2xO41CucJ6gZ51/lvLHSHESmWMwc3zlRvnt6CPz
k55CTWNM8eM9le+fXHxsA/qo7uPoIDHC/vwbTpA5IFac6ajogrL3PQmSgpVTwG6WPFTJSP0Apcrf
eRpWQCDqOAgXph1AG+1An1Z6lPLh211B6vDPdoKyfGxuwT+iw3dmuGtgtMMEHfEFeHN7YErRWIUK
cCsAU1CkHTEdzHkhm3KhuVGNH7VQKH5/jkS6EwKtSJfFzAJACneGPF+4GoQnAJRxgza3YrXMxmyb
oX1EvvXs5Mi2c01d2WGrHBxdfxidKd1QGYBtLF+UsW4oKB3U+ccmN4j5LZcL/eeabLo11WoXth/5
2NkBFn120Lxa26ZERXKDIKYuE3sKFfkR73GONFRBco0olv+bhUoeAuigPtxMxvApTCv3QMRfcDCm
R95ZSKo+xJCDp7PoArc9jPzgN15gfirQvhwr23hwotlcNL+RzCnDZ06xm6D2SVfDfEGTO7qQFJ5P
torLeuxLi+FuHz2MYzPxiya0kXnR2oWTlPdGsW67+oIoBFeAYixJ4cKkS96Zj1V2vtMtNc37Froo
96ayEJTEYft41X3iqOHOj9sn1ShRbPYEhWfuC/4ZE7ZGeutumKVPyPZUT30aJpus5IgSwDe5qWSH
9BGYsDE5Fw50E2cYPg/QEsUQf/aN3N3r2LfQvjkTQCeoKdr8VRiGG50ZnqVoVXrYwlvnAg3U0LaX
UMuZeomc+KBlEAjCLqy3Pv8dvcMCY/xo+Ss63TcAA09JAcCJHxGsL+gyE9pX00/PbY48QCumY2gq
K1xE4X5s8JiXw70T1IBtTUwAKuKNBfPG2hq85UaYcDdKsz9OUd8eCgfvJDEBeF7ikfRaEHDE+VUr
J2DKTTf0BdyBVwUJ6mEqhL3WHRzlQ13jKepuPUcJ1prbMYQr420RjTdK5OCtH/sOTSIC+SIBUQYq
8UbXIyRgtZlCh2VgGun4eyYqiWlqrU3wZLVZkCKEVwR1eX4khoEJogxTpTnUJWVG5gb12mvWZoic
H8hZ7kfa2oTXvYTGigIhxBw6kFlPll+2aplqQ4fgCK7huc7kBUFlwN0BCKXx20jsJ26w8aFNRhJM
rP4hMXRtjZ6eOW6d6mPe6Bt1nBajxYSBK7R2p0VesSkLHnQkwKuZqArzwQ+kHMXKZWD2YNKZAhwT
6+IkCnFXXoHizksfqXkP69iOBKJb40seFRDTJ+Y19AkasoXuf0wAURCUsYFfAvu6Ui6tFauMSZ16
2aaIVzsqxfd9VNUbE8DeyifLHsMnM++FiWVCIP0W9JO+JlaBck7wukK9TTZaACXDAUSDxyRoj7mL
L3Wi+0+O6EpVw28xE7WLPsWEGdjKue0ARo4lkW/cz3fNwA8IRjRsxq4gyBNBZ4dhZU8QzMh11l1r
sUXWYzt+s5lBpCwDrgJwaG1M30SmX+3Uu80K+xwnvKeWmn9p3PqzU+KZG1wmztKDQeEJahOCuSDy
L70eOAQG2Ts6lzg9Y36dAcq6hem1pxoi2eNke8pmBAtLLqSyt7LiMR6jfWtSiqsGEGSG0sLkjcD8
ojeluotUyQiecst9TXDWrWvVFytHNZULONQ2zaOtPc4kI4FnHLMDvpdgWKrt2F7dScOA7iK0E13/
6mdGgq3ei3ZTgr292QeWeO5rVVsVioE0kRuN7Wp4aR6bMJlWg2J8jyvbvM2qh2oMTkwkYU5HLrCv
Yly29Es19IEdLxfEVa3riHjNOF0XuNMUbbhqMcoqX1zD0IfYr/TlOdIDHCr+vk6tN4gBn6bC15ZW
qZ50Fb6IoXYIafVihcnw0gr6lgzw3UUzg4OqVFXOqQfGmMjQI7b670XOLaIC+rzJE4shvlAQNTBG
J4eiZM7U/jqQsREpbrkZ1JJk4Sla511gLYdYnJp2uIDFADWZxaQ3xneVmoBm6poHo13pdXCTNGF1
nPGlFUE9Cwqaw76PQdXCs0FzGBM/WTnYf7n0QyGEj8pwvqIHNiDliKd2VdzA3INxZmWgkIxRYGlI
oPe1ytkx9RfT/KKPoXckZQUicYC7nkmNNcwKID5xfO1tujKUJOF90/PO6q8d5riNPSkvU1ZvgGV9
Cnz4tO0E6CAJdI5ynwMHQl0b1owfDG+FdbPdtYV6VAYCIF3DtdexUqIydps9b0SyVKKbAkOYS1zy
dXJS9MnLwI6YNLbQSEIc2cRKaC+UGON5D+gcM4vvHjq0yJqOU0fjjn0cBfbP0GvhlOc+zoJrNRt/
IZwrTClrvLEQvXtrNsGqYb6zw4hhjgrVdMg3Hpnah4AZeQYnc39EtuUahqXyvdnXERg4hS7ZPHyR
C/qmxfuabHJLBARaZ0+DUdD9TjN4xVgEEZNF2QpeUX6Qix5L7fvaRzNvB3PvD4dMo78Hvk8gch7v
caUDZo6KbEGcVHi0W9tZFWXI5M/clUBlnTBKwqtVM020DQz/cQAEpucq5j9EBusypudVChKUWrjM
vtBrSvkspjkUQS6iYaAH7NANIoPPW6VlWh9sw4xWWh1qs+Gj4RrqNYdkXiCYIPM4wFZswKfPxu4l
RmGy1jVsQ33XbeXmShBCYGvdLoVfilYBr7hPNYwxxnggq4+cEB1frzLHXDiORkbvBOAjm8t9gqhL
1PCHVvTVL4tm7pVrfmrPw7ozeZj5QS6KOU8gBdm4ZJpuxnCSxEVRozg0hjmqOO9pu4k3buLUvnFM
p6CXyIgGAxureqIWh2julcsmGLL04G2oJpeHPm5CdanNq1y7AoLc6Bi2/RbwwXQBPHP0QkPcm3r+
5CUxzqAYJ3w3qJhwu/JMych4MHxvGenOVUlzvty5UG4iO/zWBjoOwB7D+ggpdOMUKoyDJoLhOS+8
oHmbEivZINAfD0qfqmtRMT6aqJCSYwiqaBt46pcwo/skrNfQH8Huj12Bh8A2IZPyFQlCAGdjn1o3
5HnvAFAH6yywXlq8aaey8w5JEPqXzC0YmqY68UMKJDrL6utNXWkvA0Mum3SeuxO3huIeuuQyRaFH
jor/YDk4FpoCMCKjcciVZmbimbfig0V1Sxjdd8KI8nMjGiBWSeGv43m8qOoaobQmpnDXFtVN0PrV
TW+hHhzUvN0SvX3km+dwXZ0TQ0KR8avMJ2sVWqa/MpRgOGvueDsk9bmw8gsfhLtDGRVdDQGuuoov
RrmPcL8BsCmsFWHxKH+4xS/KyZprdna+qV3IsMxXjjdkuvcbKrfLLhYtccDDcJu2uooLsTx3fcr4
ny8MoAv8v0WpUSq1BzBLU3pk1q/aD5Wz8jKjurhjWBNTO9SbIuy4nw9hdEYzAYGzr94Q5B591wf1
tGzKqTk3tT7thtG41kgPIWD1gNYVRjJpzUs3dVyyLpdgKDUHi/79sqjV6chVYV9T/HwY7QlAQKJp
eyuvv5WwYOaI3XwHGHRDtp+xxjoUrsaw41cuxmvv2p9sx7gG7SD2ZD/hpTXN22gIsPXFwwsTnV+U
bNSvzVh2l8wolpmdKWdT1T0Ylca3kEoP3EQV3gNjLPJYsSqP5rBK6bVs6T4QOsWcZGZ29OeYfFab
HGg62S693usLiqCCK5tTUGAWeKiWvkUiFBN5J3NsDXTfylFt4xE6R/ra6Lq1Hl08x4FD/V5zEn9J
WW24jUs/23XcpHsWjJrHkz1oB5UeBfArakdTJcS+Sj6NTjRX4/hcExPpfdBihAMerq2COqpXDf8R
ODkie6qo6LZB4LjIZ3k1IT34jMvMtp5GfanGGNoxGeXrWMsPGpMOGDCi59xiIDvFzcnC7Bh7t4av
3pXM0ux42Gxd+i3O1wS8nlLZW6ZmQTaVQHLjIb7RwnodUGU5OZin12ShE9BS38bq0J+qzO5hUrPG
EEVbQnjAemLh7UkYUcO7gasfpv6SeFN3x6jvrAR+shqTuy4ibkh4anSEBaySohT5S25G4pCP3caY
PXBuRFQH0EKCVMa1F/XdWi1djLWWezDS0rqP4za4Iypt8VxiHXOb/BXLs7qN5zEOfOCb1r0Zml49
q6J7DIgkvUM2AhowuuZ5gF87VS+dlQOUzRzqV9VXsA71kpC3ZpO5qh0stXTa93VK4ahr6ZP1Irmp
E5/AxiKIL0n9tVf9hDRsvdoHje0/wCiB74V0pKx4iCTKv/XilHSOtfSzwF6mVdNtEr/KL6phbqMO
bWJA1eSYN82LTWX75LYgiF3sgatImHyqCVYf5joQGuTKt7awx01rEDmBOucpBgBCnkF03zZudYGB
n+9bQwBl5RpbT/WdbzKvofhmfxFRyvB+jLeD7U2HhuxCNU/HA2x6vghtAMXcEVcc7/65xZGPRYRa
ja5euBt9rjGGHTJnuLUdV5zDnG/gzNBpC7ICzAYIBTBhoh2JWkZCNqCxtd1HLjTJXozaniHwK+aV
5Dz67rBqwJBtqBDYW8qR6Pkju3BWea8dNCdoN8kMI01hk/HJUq7P8k+xwWC36ppzWGviBlim2EYx
OkZmjTGupLCCSftIV27QV6tCQwsykTE8z6YOOxBI9mtjkT4HbpXfVL0LLfJ3MXPO3+F862dfjV5V
+Tl0O5+iyWEQX+li9Ls4G/OdaqJGj4JsP1kOVnWCVzdZjCdcCYdtRkyrm9hvEd32R4PefVsyigwU
xToL8xAUKWKKbHyJcJ9Bq+anZHXjsDSw9XFbIVUevLZr7imGk3CHsv2W7nW37EnhBD6I/V9Rycly
NPd7PUUgda2moasbQBO3TNTkxLNgP6aD3YrsoQTdNU4jGJ6AKq85aM4GeQRaxjCslzWgv+UESXsF
WK04lH2lb/pKu8hemNrY04LU6WbR5vUThADqW1UuDtSgHkuu00bTZkiuWpupBmzRZevHK25lp84P
/ZPZD8c4JJbLo7PeNMxbmx6pPNZknicNDILmQY6g9rolDOJ1AGS3oox6ZzdUjSytOeqKcXSjtjkE
pI1BP4WoYyfF3jEj76FV22EV9HBbp+DYJyXXJ7iRXMbC9KabipXwXePsgngaDWC4XQoLSxUkjNnI
XtW8Oov6QinUpuPrgZB0uvHe121QkHDvmYoyFppLmEheE9YZhElwSUz63raBatBl+FqCQ6sEKI22
SL9XagQe0XH7F7Mq7sK4SNcmsWkz8w786eA9TGOsM605BxQAgTi7ts2Eg6ue2hmnBMY22MO5t1Fj
u4xatXtGUt/BLg4nu4YtyogRfXWOnb7RmDbBDN5POPtBupOQkQKncXJiphomOloNgmNhhMOxbZWN
WwEk1WfgeIVk66bVvRvLeGmiqH1GJsadDWLfonHqVwf1glhwlbwoTcBMVGaax6wGKAUm77ascC2Q
LuFwhTG8rRlXYEeLiknOWtwBhqV7mbonvwuex8Slj1hCN8VkCfDUy8tjqgaLuiPDer7PqGcGR9wP
hyRfBxp4t7xNlJNvglmN8NHsUtHvCgHmNZu/sHqlrWJjWGdWAUbErRXIQcUntXRQ4fdRcCRYeTEo
dr5srVRbkcSMjHXyXlK/KB5Hfohh53CRNd3hTin77VQo/n3kZbu+NvmOZdQ/RATOaSIHYms6kP+Q
pAJq6I1VwtB2nao+kBFuNOvAqwDI1YBx4h40CTrM7hhUMYEheq+svEbXzuH8LPD8SJUSEzfSnM68
o4+LOI06ZtdN8aBTYFxZQw1rmWINw4eyPYSoKzCFrjOedOl0tbYLQnqocZlfHP8ywBBDTFxBdSiT
ZE8i762gsL1xez4A221MUhvnbJrW5QbAEHvpjEpLcdWAphAkZyYmSFBzlV1XAkrXwZVuSA0lbSsY
IkpBNqVpK3/VTDpFQMWbraeY3sVymZIAvunv6BVtdAJaVv1Uh+twguNjaF2xN3OH8RoIQLjiU7ey
ewW0S6ZkW/lGCwx8cGkgJJfewkJ9f7Qh70P/szvuRFMWboyodHaNRcTvXEwWKuw2oFw7or6Z6vqi
GG65zJz8QUWyvjN9XTlEYBiApTdnItQ/d8kkuMribPEGgxnFtJ20DX1lJkjr+JNRDtPWTCed6OPU
3ZZj+pXggmqB1tLeuZ2aMB+ZUTnRs1P4/6g7j+W4sS2LfhEq4M2wYdIbkqKTJghRIuG9x9f3AqhX
ZKmruuNFT7onCCATmQkmkcC95+y9ts7gwqe86qog8Y/FUGwkpNeUvulY7hOjpDsv0nQq4iv35OBo
tn561hEvW0JSXFqx3Sj8ZVsMv0wMteAOh4lxzkW+qeEZEsdwAoBYEt4Df1o1W/2QGhaTtEK40+LY
OK4Ls+5j3g4Yq6io2VUrywSvTMblPGAICWah3kLRMMg50PMzfzbpxALEBf2rpnXW3l+2WiP+OnI+
HJnU9xTwuRYMiv6UAXa9gBUsLrEi3+HsrY9x1MLaZM6Kk2L0Snka7vJlMVoA0fLuDoUaNdExrsG2
PBJF2x2JVycOIq7lk2C0dN8rwPRJGgOxjSR8WlYyuHkq3cihgJh1DjnXJ4TJ0TgrW0mF6pTyj3PC
pjT2Qheb6J7UTanRsOznOtpGJmNXi2sXbEE/PpAgfh0bfr9FMb6ofRXtZP6plzwgJA/jD3RKlHtq
CPAojbsfw6iptzGnocUtGRZwSaibeBGCQrow593PosGkDh+h2s8MztO9WmjN1ZKgP9SlIdp5010p
EFbHISACow3UBFcGw0aNwm06Wd3ZrF1M79wMmJraKfJSeBH1vsy4COM4bs/WEg1FxenGbDmJFDST
DDNPSGqrs0HpEB+H7Kalcj9o8rGsK3MrkCaxD0xCQGQEL65RWck1mfrrbAQ9zENM/IlFcItVRHsC
ranT4EYf1ALwGv3VRppUGGCgvycuns6Y0eJpZUhPUpFD64UtyfXD4nfd629RXL+KMbJpKzdfwsk4
DE2fXYo2hWYaQ3mp/KrztHq+1Mri3bYAUocUp22cRMJ2GkcoQim3+php02bICFDq8qrcRALI3cqQ
3FAOQFhoNbpiHcusQb95nowSm44EISUdwqOWtneiiTC8L1qOdWSYXprdfelb5okC7j1ezslJ/Zxe
byQBYeyMPUEoBd63PfoxZc+cm5OjY/Y2ad0206jtSnMF3E6GmdlW5m07Up4atARhvyCoQPdAhucd
FSXoBK8KIpZjXhleIGrFbkkGVERuMk3XPOV68VWcCjBW0/C96xjZmiPoiuXv6MxK2yqz8TSE+QJT
C9LdIHUPodl3Xlg4Am236+w/6qMabHqhmrkE6hSILTq3Bo0nzMbqfZkcJVUcn1WN+85QI44VtA58
xdLLXypav/X9Ph4jQ/AeTA9mBcKduJ4ttaRy6cZ2pAF3PkWYAoTbbCK0ofmUu4LVpVwJ4sVoSHSi
lJOzlhqLBmHdjhuYQnEW7CkeQsixBoqsUKJcaQgZvqvqCGnKSr1IJRrOFIPboAMXAekuctfm8Zr7
yBgKUF9NRFgXIU0Qs++ZYnaUZYGK1NeYFL1tQOv4MCyVMjG1DNsPSstpdKhqcAMzt1LAx8VxOxzW
RZjGF79to+2KMW4mFcbmyMmd0cU6+knNTFmTb/mx1DZC6EdyqWTmLBFRG8xlimMMtdyh6Z+5ooWV
zNalsjySOg8mPJn2qQKNOlCAycS48w7GEhZrzdx55dmaif21HqRYKDFyLjx6hdufj2vpEIWB6jAF
AY62/CXrwlpemi5Fvo/HBEWON8lUPPzWh/YVRknQY1xt9IfD+peva0WZj5821yeMcordGl69zfSQ
UTDy2MO6Zv65tm6GyxdWyPL93FaXsMoUJytHcvaCPvUmLfQPw7KwcjhTqULwaa/W3WFdkEkDerUu
aAfR7pwBFqe2vqzioqextizWzVlmMBrHBSGCAH16M5mOTTCLjAP4MpZjm5eaJvX8RYaRrCKFhKsz
VXWaxnQrGPDGSs28zwy32DufpYnE2HApmgoii2StlzIGaQ6WoT12Voy3g87yIZPH9rCuJctamKca
alZIgMuTNBLHfWg8ArToDkUU/1q0ZR+6Q58qdr/8flalDGzUQ1aAecwECL2zXr30JkUzXL49vsoJ
ocyfi14pTp0s1VuIAqhGtB76xloRpjmI24OU453Q65QRqWRGo3oDJEp6V+L9WwKx/4326y+Ssn9S
mv0fFIhJoqj8d/qw/0i/v3zPvn8WiL2/5Jc+zFT/MC1TFRGky+qSean9qQ8zzT9UGEqKIZlYHFgi
bvylD1O0P0Tu64ZlMljSdUZTf+rDFPEPWSYFm64Z3EtxkY79O/qwv0pbNZW3MZXlMFCHyeJ/EVjG
UimrjaLSo8xaayNzG3GU2SJ+Zyh2tFYlhiA7ggDpny5BcyNBJ87c+4n76Tv7G4Wt9HeHYViKgZtJ
EU1Z/k3nOUtNPfVzT1pXWSxuPNk8Umd5MRrybEkcD6pYtqOmpN6QgP9syWTn9j0q7yrIv4ggPwt9
Jf4Zn4S+67dhSZKiqLJiGTrl2b9q5UxVihurV/wd+qjS9cnFXOKH5b3gMzAy9sNAWUb3b/TIek4n
DGkht+AS0QGdYBxIjdKD4cWW4v0P346qLgrjDwXycmCGYumSJkqqKSkICv96YGPSaJVk1P4OlT+G
c7Ertkw9rlIRmqfMoFKG0ml0Vw9lPct4bqdRckda/xTKafQvw6mC0ZWqb/0OOn9ZWCeJGdnJoEAA
N/PUyDkTFCu7IdNQPU1/LtLSgN+mDYlbTuja8gFdRGeF4xUXP10eYXryASIcR+aU0MmE4hxMsJL0
QnwVKlM/qLdMJphQdI41DttpyZkS5kHYB1L+ZvkmlSEFvj9YF69pm51RpWdfSht63LRqGYi2ZzFr
fvajhY5woAEidvlZjOcvJoQRxlQ/fKo8ShMXm5GJAJgMtGxb7hqFy3D0GCR7ycR01PcOEzRlUwnV
xYh/WlNCUiiDO5RZOKkIa7cVvI1QHoZ7H7jWxuw63Wusowg0IJax06Siqm8kqjaomoDRmsMJ8Vm8
R9Ph6j3h2MlkqhugUUT47M2QWXvMYSXZ21SJ2R5RWAWf2nptl39ITrdjiJ4yTZ+2Y9tl7hwgm9Op
ASczqWlDox4sgD9u1JrboUfPVE3RK07kwMaj5YFzfDPy+aawMJyQZh+rPmK6vrqNv+Rp9TIYWU0b
mfImN0W3Rm56BTFlz2U0sBeA0ECbHE0B/GwAvCM+ekteCCjCDre5QKAaBYqb2a93Rp4ggbC0LxLS
7K3M9Kjvwhjkfj3YJZkVWjY8mAhwbGFi/C2MOLfKsXrRJXGDAFOajW8B/WKmR7SehNB/gj+XuqVE
ZQ85M0Pe9mIk6aukMhFoM2oMdTYbDk5PNEYDt8nc+CqVON8IsbPyKbrG4kvQl4qTaHC5wcGFGZJB
cRRpaQ+vI9R5Da8ZKGnqo8SAA4QoUxrWZke6Qj6eu0mClxh0yo1KkcRNa6KGzAmgU00IIXbZH1Mg
YdPDve8U0/BGkU51EvA9dtoJJnV33XebDgqnRDDPhqqH4cZqqZ1zvwY4QCMhqoC3lhLUGytVyJRX
NDfU1e4goC05gNzWSE1bVsVFFfSxyFpElVUcgY5fnhC06mVC9OCtg4tyDK960Gifxht9gFvCXocY
64IS5QPMJOaAfzMk+RihrGvrMOW3/WqN2kIsaLt1oIwWKqJhPqpPwHl1b31sjbhf11R5Bg8wpU9k
V0sz1KoKpUakFsTnLFKzdUdG8wzuakN316fXBfTscIaJxu6cMugT+Uprh5wdUCvLC98ffF+ue0VW
whRsgO24bjKayQ/r2rqY9c5EHLy+9NORTKIY7lB/eS1dJFutpPj9CD+OzQwEOo/vn7M+Oq0Hv769
sR7Yulqth8slhLROKKqqnhJiFFuvHfxMGxcprexAehkSSNEyvd9toLVYPkhzbEMErOS13TS+uB0G
kfy9oHbrsYbHN/b3kdr8xPPfA6h51HX5lGc6IfZ5f2tU86OqdG+ogxjWFiRMa1Rs/DIkP2vqsp0y
N7CtlJEuBhd2MqoCE0NivfPF4E4VdKRaEXG9vRHfAWq3Y125+olo7aaqvZUDk2wF0DlkCngG/Whb
b+iphEskmRaUIGRN9RLmk3/K82/Ym85jaQLFjuHVcv1GWGSVr23PwDvXkQsowIB9maohrAPC3ETp
i0VtaFv05UUY/ZCBNlWJfprvZaWg8Nb8wGnszRHetzofRgeHT8LlubrNsZ/ao0/id4naE1kV414o
5ZorGpNgR1MZuNOMwRKfid9GMZcDsQFlb4keqBhi6UZi7KLJ9Jinylx+5yvc4deK3+/XqrvqYVeg
GFXmTfszMQL9BOaidIlRQeEQjp3XtctNiyyPTlfRmZrw/ZsOnA9AfspfGUnbKFIi8jWL8WHSJW5n
uVwzQzZVCODHZgSEaMzBDuqE7+Iq0DZR97Mesld1nl96sX7QhDq/E3qj2smCtbMSbnUBdvQradek
9QSNgSQqLo7qG+M9CzkAaHpEN9QvpxQsTP+9GbFFG3UnOYoRFR5UaQI8avkYJniNmP0CY+MCgG6q
R0Rq9+CChZkUmwzkv131BLb5dLzTG1MkUEGWQGuWZfgWFf0hq6SjVlc/JcS7mykwvbK6wut+joBt
u7JB9ppB8Zb4II/cVuVJ777nfSQfJVODy5pW4w7syhepA1Pbq3AOpQi0sqS/yFn1qo+jDHW8qjzk
5fCTLZBfRXmU9PGcmursIG29zMIii9JgD8topAbUzg6ZhMweOQPkStk0hrKXYm03afIpSSdyrelA
kSDmcmJfdTmcNmLAeFPVg3InU9aU5WPV9aMXTCFBrG0i3CC2t/b9+DobnF6JH8wb2GyboB2+RYU4
u2qQTnYQ3qZR9oOf+L7H1BglRuYZpUbGWeYSQvTgtznN6qK+1wHR9nemqnnmSISET21CQDRR9+VO
CUE8CSX+b6aMzwiyHV2kaQokHoxjifiAzJGqRwMgc4MafSexsHD1gpyeojq4EUPoV9p81+vK3ZRB
qfIVE93hOB7xltHsDwxH1m8Y+e0TLaATPqICiHBQEEF9V0uUYPSFCSzMyhvWV84tbNsF6PbcyCyv
LylpZeK3sYI3HlrlDzUn4pPYopaSMjjHKuIulkRfBgvirdXTRERLaZzpj13HmM4Qt5+QxAXLwzQm
2OOeKKeDnJk3plHdMOsnUFxQbQZOX6kPnEXVeKwTLk1WxnkoHCqTLMN5mG5GpCp2MJm3ft14mtTf
Q/FDnLVA+6GCkq0jWHeGb3J1CRGOhQGMOEPjJlxPDe02eVca/RMRdRoVY1SrClrjPkxBqlebNicb
ulKik06WigGzVu8johGnk96OpLEK4ilPwVPPfXes5zuZib9nynAUA7/8Viq08GkMP8YAfalDKvfG
fDQjWiWRH55FsjSmWH81R/E7jUpqKA9CqB8SVCAaQ9owLr4EVlbb5EueVMv8mQ/ZU1EqiH+jnXWc
OmKCoSoRw0Zq0sVIabXYQDSyC907xYvyidnU8sz62PvTUqozltJBTBTlfcVNBg6I/Lzu5ZdZ7ZXd
2Do075sL7PluK4ucNgjSW/4YQOgxmKcLYv/pJI8qkqFsuoCR91pZyLy0ojCaLD0Pd9ZTO6pLfo0y
GQ9UaIn7wxBMgG7t+Kb4Zux69FonhShPFA35Xa2SNgr56ay0MggEiZFeMUvjxsCTGJUpMsmZW5oP
EfQsCfeRYfAXLkeiiu3s6Y2fcVU1+PqwxFCOSOyB3CW37Ggki9Fb0M75dVQKFjQnbLXvvw9h3RMR
Y6X846fSTegpLqwj5QzeK0G7cS4gUrRym2HslF9la8CYJ4zfhFJB+k3KhqT4p7gdzX0G6qGJCBrJ
c0CwGiHV8txdkCRHHvFpb/SlrwlB14e5Da6DrCjc9FrlIlFiMfw0Pb+IgEx5SbEXC30vF31HXao+
q4RuEdkr3iLNEfdYu7NTOWVuaAoNrzUI5Fr+iWWWxZsAo7QtyiT60T+cPBP5lVNq/X6qqdtmEUp/
wPPIV6x9i9j5kjRDfoHjMuR+cmmQIu5QCb9ERXBQVFJvrXhIDtY43/ndMF1IWoBaYVSHIEveQp1j
tJKt0vR8TMaZlcwaJkctOSMCW4bg2lOVc90H7rOT5MotWuOrqfFfSWs8Mcw4+otcE/2diDvuS9Mh
NPMrqX0+fZK6dpB6IYaYK417P+xtaZow9tDwtKZwn7fmcEmXhSUPr+io1U0mcqLr82NqTZmt7SAn
MxlqGbmoBtJTEaPixVSiFyS7w46EuORk1IWbIcXb+/L8E+PFjWa9QEXhtBgO64Ia13AQCoBXMC5Y
bTpplpz1KYV+CTcpZnQINMtFkbiuxaGOyO9je32QVm6Z2utquD6/ShXX7b99sFEtN6HgStm9GJw2
5NvWm6k6rGvRUoT9x811F/Jjfu388dr1ZR+bv72VqZLBN6ZIZtd3Xt+A67cmtObeX6q2q2JyXftY
/ONj74LKv3tdxYU/0ovE9dW5tD/eygDaAE1/+aR1sSpB17X39/r4qEi2/rWnGh4zv1f3FbHRogHE
dnn5p+cDdUntXB9NTNImPn3e+n5dR1a7OckEe9Yt3IWlMJ1UoDxRuLGa9s0+DeQHeuqMCvz4Ggp5
ysBTSZ90jQiEIpCug9Agx04mgkOZ4u3jAFx2nvRL2qTpu4sbEJgcyp04AM1HkG89c1Z3WMxRUoNd
VAsSuDsDpEybNZuKFIczfMF6g+EL7tqy2QdSesZ2Q2RHqI2boRzUk9QojzEWy+2sMJVONV8mIZYo
NZegq12U1/Qx8QSclt79LNZfDDpdoRrvOniPmOmi9FSGdUhHlHuYhPx7poO1N2sRmaiF/mTWpvo0
cXh2AGl7gzbMaOfihLrkgYn4fOpzYT6ta2ZN6Z6sYe60yxPSssgV89AweIC1GP3aLZil+aToE3xq
SaKVpGyRhqenWftKFTw/xwjD6XExJ2gSkVxeBUdXO0ue2JLkoOjyoU/94NQuC4naRRMHaHWqCpEW
mb0u6bSCcMYclx0CopuPMih+bmx8R7wh03luL3MxnriawtcPsvtK1lDQLXvUgYA6bnERTbSOQBTR
ERaMMmOanlJhGKNHQ67L82zS1ASmR7KDmv8ILcRYflfajdVUOzNUj9lMDxsi5c6vmBmioU3swooz
rKLRd79C293G0XNt6dE2MAvxJC6N9HVtXSjDBHlVE2dHTnPmS8Q7U/uhM1qf+hmFoLvuVU5WDn9o
saxhSj9WWa4fNUUiANM03EkyflhM50+GViMLI9tbWLa65UxhfkGdUtV77lT/eiw0KK2A9Wv64a4E
dWLHc6ae1hNrXTP7IdjEGhHBwEsmBo7tqRs6fbc2/a2hVbZJHD/NliqXboB3QJNOxqIHWJ/Xh1I5
mXCWFvtlKPOnRMNAr7CgpVcyo6Q9eERPhcJII/lr5EdyksVMOK1raQDjK1IIAbeyknyNk9GSNh3h
AalcRRNyL02rJ5JmD3h58BwsCBot6ZOTLqfJSTHar7WytVTMIuujaMNrV1do9guFGZ+MP/dcd18X
hnmM9e6eQmey6Sb8eEqfWa46cSdGNyuewgzgjbl8h+1y0q8LqYsKZ5akkntryURQi48IfH8thCjo
yXBbtt9XCaeZllk7CdHC/Lg+gXMVMUTc0RP+tOO6ur7b+vy6CagUym+iSO8f8/HEx6euj31sWm2l
uMAkgQj+9cDW/UqlyQ5T96Tg3CqAPtN6XD9nXYA9Zwqg4of7OL6PT/w4vGo98rSncubTC3DWZwZO
LkuNxe3Hfuvab4f32+a6y2+H8fEV9G30g1Dnc404fovVUOS+GzArKJMvSWeczCGEm1C3ratis78p
KDjvlFJ5LlJVuCCpwLZM5Qd4lBo5CRCfs0UI2mAQCeYX1hGZ8Q+xFkpnhvZnj7XWubmWonBF9nyi
+Aixj6htRvUhVsRrED81hrhNqVl42I9/yIxzPVO3LC5SzHRV2NO2wq+TpOvOLkXE3cwtw29mvo2K
1ABF35jeMIzzQY1kQtpaDKi6LG3VDghHPongidLnkHnNlurGomweUcNBnthzEKS8NQwHNSs2N4IE
8mwKzrOff8vEyXzqw+9lG25KdEhERttZ3dc7oe5vsVrTcgaL4YAhJGvb7GsvyZOvoYDPYR4IllYr
CklDp/wg3+QH9mB1v1Q6SCZECteOMQC0HpmpeZNpor7BbRmEJGXF0hPzNO2YTqmHRFXzuJ4TL16g
RBFMwi4rkwzoLrS++BqaowJpsCBkyElDvME+6VuM++kG6+QU+w1TJ0t90SD+OpU47HN+gndykWhU
0IHBtRCOthYSL7eEmo1TMXNy4FFUg0dHUuETztjnHLkRX4aq+daKmrQhx9AlvlDZROXzHGvBF7Tu
WzL89A0nyXmgz0lKTnyDUivaGPV4hQV76ScKOvyU1UO6m0dEKmZEYGWr17ei1Xp1Ei2eUyHfgY8f
jto8kxtyJWSt2YIQPRSWqp9Gc5pdZIOw+kkLvbTfYl83T0M/lfetFR1aypf7oo9Vu8v9Bt9dp21C
0MGOVOLaVzumS0Wm5rbazJu+L7U7KQ6gzbW63Rf6eRAG6eyL/jYuM+VA9tvopn5oHqtoeJXJvdmy
UDzG2dMONTVKihz4qGHN89bPZMEmDqDBV4ibjgEJoTih4CVMiT0xE1snNtDqhuiAEH7Nwm05hZfO
HDqMdxlVjk5fgrFLeVdM8ZuKR+IqqvS0Tc4oKm1IYiIMKVPQbSyhHzYAODWvS4cXZn12POqzl5ia
vEdetU8kdBxr4+nfavr+P+rV0iqVaZz9M8zjof0efu7U/nrBr1atJFp/iBBeTVOk0/ZXlIek/iHq
omwBeWKaT4njz1atKv8hSrIO/QM0kGQhBvto1Rp0cekf85ugl2tKsvbvtGplzVzaj5+6gKKpAgyh
IyxCQ5ctXVm6hJ84REVFzExBH+6sSwKM7NXkZCwC50+rutFhbesjmEDvq7/vQDQDGC2j26AxnDOn
MOabKNTARVoFdBmDvok+WI99QWIzhqJTQM40eanCTWggpKk781TXAlwLn3RRQZrfxgLwIH67Gr/r
FG2bMYk3RS3ojqDOBCuO1LVoLE3wQIJLhkT9MIQxV8f5OYQHjyZmiHalSq0zGcatnJG8i6taJchO
arYUURI36zDvNggqZ2f9S8yM5PfruipIhTl/WVeBzKf9kSCSwQVpywSdvtuvF0SL9+v9q/j0Nuur
Pn1L617rg6JubqNmlrYdSaqiZyyqJ0Ssev+8rjIzTzeqGt6vcqj1oXWxaqLEPC8Pf/eYOrSUb9dn
UrDMv1bfVU7rK9en1pd/bK6PfXwMtj1euG7/l9X//tPXN/p432Cx301RPe7bAfiEaC5WumWtXxbr
2scTzBR+PfaxX6DRYyNM6y8v+Xh6fcm6GaYps5+IAcXf7SxpOuFT6zOf3vH90fXlWkDNzF5XcYT2
cxW+H+xvx/Txeet7/fZR62a4nBSCrBIP/OffU3IbWnAV/H0h6YROXpJ3WU4L+yJfl9E00+lSY87O
dTVdYBh6VoGwqYvt+tD7jvnyxMcu7++x7v2+0/L0x+anp5El8Wmdil/0fXXd67e3Wzf/+en1Iz4d
ZdD6AUXgqCDRLUVeBb8zBzTGn7LuWa3dMDK1aI60Um+/bxdLQ27dad193ZyB2xyGu/XR9YGPd5r1
lpbaup0ub7+ufbwSBTjtvo/XmEKn210m0+sNiYIrkSm1+AA5mT9WOz+vD4QTAFxZHhzzDM0BngLE
9wGeKInMzb4zVPAyQo+O/jbTNG0v5RQPfBONVh41J2PqBeLshGk3R6NTrkyUlXzxvrpyOjS+TRor
i6n2fXV9FO/SUQXZvl231sX6wnW/j81Pb7k++HdckPUxX056RmU5DqtghpPfZ8VLP1VA9P36OMNP
OIh5ShStxlASS9C31Zr6blclPYrh03pp15dLu5TRMYGujSayo1E4LNRu1fD1HbFN6Byqy6xW94WW
kjvd40OiKj9mB1071Vkz7cPF7WoupJJ17WOxPpYvBhlGiv27yXiulXwmajTmwl4rT+hLmFgakr7D
oqVsg3AYD37AItWlahPN0n2UjbgdzaARkV74xK5qt4RVk77IVOGAolixo6GK3HUzg+ustvwV+Mhi
ZxrxrcTy0NJiMiVS7/q4cz68vkZdWeAkuk0bVcNe6h41pf+OalPC8EnDNUIie8RgkTgWYF83w9+4
GaX5i0/uuF524q5aCFfWgvdh6vtrrTFB7Bhy5yjLNdqM6pCaaBPZ0yLIo/YEaqk0MVGvqx8PRr14
VYZw3ozLL2hdkI6GDvbPzXWNqC9po2RLZDI/pHWRhHWzNaC+WEZKkTTURfEgBNdKbIWtXtObFMqB
n8BEnpdDub/B/EQ7p+5uQH8M7yfiB2NmPRvXc259DC4ditFeTd3UwGhfIGI1l19BOaFc1GprWJze
/9pe1yoZm4o9WfW0M8FSCkY/HpLSWP7DSskFLw+xYK3bKIWBw1c+/5VB7p1cNVrVY4ALDphWl83Q
VZAcEU7N4X21xWHTNfI+nOeNP9TqIcCMbwdEathLbhjEE+uQEKfwvqi6vTpQX9VR0R9aoH4H/LOg
fkxswUBCAiwLlNpcyLlC4oakG/FDHiGpMKKhVH7bxJvpC3ZqJdw3X8ZvSDcJPTMLO8oditE74Y1Q
y4AMlMwRZTqiTvKTaUdyE/XbMngmlRsYdi3upu7Z+6GUl4rQ8GbHjEIMvZ5Wpmf0UItoXgWhMxk7
DOfRfAnEGwr7lfqz87/3yIFRBdWOYjkA+VJcfY9D6NaCJ4boivE/4Qs6mPiVzB1cNRRCseXqxXM4
7bP5VZa9WFs0NAd8L1qw73VHFJgx2xjYepMkVPVBV3eqtleUYx88Ga96uZ+0B83yis6rpV0dnwsd
UNu2Sk+EKAPoyqajmpzy8ExhvxR3SP2bFtAE5oItU6i5a91S2TZ8ncschQuOymFF2EbQcO0FE6Wf
I7yNRBYZMnPh7rkeXQQevKNfXimDZjnRlUwzT5N5l6fboXvKhAa2103Z/tSBABzMo0HHpbTNfqtF
h3hyjBEXxT4U6OGZO1QvLaXC5A4dQac6vnjBH6CbuwYCublTvg/Az/NiC+2pTPZkhmTNHtZwIV5C
5Ne9TdJRqtxHyuOMkPxmIsUW07lFKLbdvslYQJ/rR1M4jOJOeYsBjDBeu0rnrHGFdOdrnh56BMgW
1jadnf4xPtLcHK5B5EoPGCpdxSQA3kn8TaFgRthP+n5UtmW4z3Bj16+t4WC1CIoz3V0JCKlPCvLJ
lF/imXHkYQYJ2cwn0botBLfQtxhbwvlQGzdJhy/l0M/8LuD7YH6Ok7cieFSbc8B5dERUzvdNnKoY
wIH1Ut0W3vKA6pzLNUzgNB1B0gWovz1qiGqPw+uovfGbVbWfJDOHZOGRuQua4a2ob/NkDxMYOCRf
GN+TUBH82R44O2Vjh/k2FrwMtk/lkJ3Bm7Xfiu6oId8YN0W+mVpHqKhyOHlMOpJHih92Lcpz5OFK
oyueyjsN+ox6b6WHWdypodvsobmTwYIf3iiOiJQwnNbtyRhQp2A91e2Uyu9pTibbG7+ND2Ftx8DY
vBR3p7wfUJj1pGe2JNNvxi1/ZqDTsk13XYvtD6uKLb3G30A76z24j4Z+pzvIdwMFSX0j3st484Sv
Yg6a/Ro9o45W5q3eHySdEbiTfbWUQ8NPIdhm0k1Ja1GM7mbcLDPdYn61dbwXadJjVJPUDWoDA69G
5g4DhWsXDBCq/ho+FPbrycEt3nV2K5zi+qXNtklAprx035lXKOZ1vMP+PANU+VlmtvWAO0HzlIse
0se2De7NqDkA72ChVjfDV8QzurGlEkliwxJ9XDvFs4CSjQtniXnBFSuXd8H8F4cO7U++8wsns3G2
Lsox2+a7ovGEdsN9nBxc3Dw2CUgEUI9oXlPULWA2vL59YOJEfa48ds+a8lx1O7Km2113J//0FS+p
dxwatpcS9zuuI1iwi6CnQSBwktEBIdx3gofyCdmaGm0V0lTw7XsE1xXyl9xHWkvcMPlhA6z6ky5u
wpcuusyW23V74ftSt8fyg0Zo20QXAHQ1Ce5kZj3kT9kZqspVvSfVcL4L4ZhhZK6+Kco19N2u6EiL
ZAznibHbV1uI99J4EtRz7R8DXLD4Gws6Mp4hHK30lhbwmDjZbQTrWd1hCUSoN6W79sZ6QoFs/Sge
jWOq7sYdIK8vIG5KdR/czseEdjhx1U9kiprTVszdIfF6CJL8lgU3fhaVA8WSKJft3to1eEZKByMs
sUagyAVGwfz6TqVwr2GAne/VGWDW7cCktPmOq7WtuTE4aK0UjX8yMeHowjZB7cCzUosv9114P80g
TgjobrGrHLrUM2hIdziu3obpa68yfUAuEYVPGa0mDN1yQMAgiCQ2xI2Cw5f0efNOxOCBDcM/6eOu
58oSHUoReeH3AVY8sW4QRUwANnZN8hzuTowCpFZjRq1saABYlwjN6X+a3znKK9oe9ci7J0cmNGi/
lB5ZgB3e6061He4KOI2yC7oJxQvdsZx5touvD9pO+yIZNlGe9Tbp3HsaRLqjH2QHvNEGgWbt/tBi
p3wqJ1e/Sbx6r94qyQaxjUs2z41OoNY3f0fGFQphw+NMA/szOOLPksvBY3BP/qH4xbgMsceRS7iM
7fBptFzf31mNHTyoN+bPcgdZ5fxaP6FB0S4xoG2aeL6DQ0LgjGVD8HBN2dpd446Ov8scvlMbI5Ed
brS7H/YrFcQfzUZ398QUyzfKJd/JNxMXBQYADyoZxfTDnuIn0BESHpAn7Y5OPfHy1OBoj/v3eond
28Npyq7YJ+nTUU6j3U5W+o1veD3NyWhjxljqHW1JfkUMbAejE4Lqt5fk4n4TDN4ejFsW7kLEpN+a
LSAmD1K0CBqtuWO6tITBz9TKN5MXHSj9OTSZZGBO6qZH1HFQ4CNI7otlV868g8nU4Y5+2mMzH775
GPNOkxfs6O8jDPkhPsIQxAXSfA/4GRCEfKvtslvxITgkACO4JaALc/z4ApOleCi2MUe1jW7NrwiJ
eU56yhIP7Mv8YnDUXsKhwZQp9ks0KNVwhm0Oj0U29rHbBuUkhXG+9ie4IZxnPCA+SPdy4PRf5Mfm
krv5pr/RTv9J3nksN45ta/pVOnqOG/Bm0IMmaEVKImVTmiCkNPDe4+n7w+bpolKZJ/OeYUdHVaHg
AYHA3muv9RtADd0R7qGLTN+0QOrP1XlornHQDvVNd6x23uZVog5zmA7ljba2S9ffSiw6weqazxuT
wBgF/cPQLaqHxqPPWKwnAoQxu2cPYBQLRjoHUrovzc7o+MMBQVx5V6/123BIbwZwJAt7Q/RxQBTs
EADIX1PVdWNXWiVLUIaLdhFdY92yYJdlfp2s4Tq40bHZmfiqPsQ3xYP0Jbwblu1b9OAsogdrIf8o
n5Cd3WFfuaTQ2Lz4z1iNGkvnAciyiZpatGSKPwOiqGt6jWdaMl4dnjAmuWT8CRBBbVMb8Bf9cbqr
DnbgFrv4RtqCYz4YD8XSWnputnGOmUua/EXiWHh412blTi+ti47hQnJpoWQXTqD5ImlbqLR0Li9Y
2bkbf0NQskv2vA5P0UNz6H/EN/amO5RvCVEPma8v8o8v6U14h2bIj+Al+5ZuZZ4EbYyxN/bQQyUX
Wzbaz/v2GsGsdfsqP4Yn/MdBq/Na8VGFiwf5O6RUDJ8Gd3xUFvWweHDe29dG5ZeN9+Up3dpv+mP1
Mt7QENJA6m/VS/QVJ+8b8OzDfbyP9+qj6XbH8qQ/xivZ5aFu1Gum7rQE77l4L5A92yTr2s2W5AqN
g7U13fwq+DK/dFvpeUDuCuwWY1pcMF5nCZjrcFGxclikJ0qyt3SJV+V33tX8kWLObtpH6/px2uN1
s2iw51jl1/RO8Xfx3jfPoAqCBf8OfEXLYZ/ye0VIOCzgM2ueS6mxkBceYseMSb83iII8s42PKWwR
Q9rbjFF4NIBB6bB4TNA86TPep/foHnIItrRev1C6tSIv9HFjyOgQ8JlI7/I17bLpGusBDgmfbnY0
r/ztsBv4Qcab4Vv1UjICXWiUJBbZA9KC2lffXIxu/iTdTmtl7W9zeqRI2WJLJj/12pd4I+/8XbjD
3hjwaLmeVtqVdK1dI+u+su7wvCS0qwH6fgOGU/qLVKXLHI7xM8IiprMOTrjfbqzb6dCOp/i62hNS
GEPMtyK/5C5Awq13/B6eeh41uN0YtuqyJ1S+im7D0/Q8iAZQtBIe0S0dkb6oH/Pv/oKnz19uvCP4
wb9AX8EZhHSD7/21SUPw1Oyy5bBTGKq9NbfllfOeJhSs3P7OwZDwjbnqJfhiHLpbc5jvejr4CLDd
dY3bguGgbnJvPcuP1S1iCzjPp6c5PnhV3stXbjGC4QeU/ns3HqZnOsTufeJnjBZSNjfGNGyECP11
TbNEjQxF48V4Na7euy0RHmPNO+0Gl5QFEEk3cP1VdUtbSjf5OqXX/bipH5Nbmrzkdrb6WMRbqCor
ad/CjrhVrwK+UEIgV3mVd8A/zIOzsnd8+FBu8ApcwTbfIoG1NDfOrbyRb/It9VPjwX+u1sVyJF+1
CGjGnvztO9aHK2MzBPRpw8k8dAvK6G50y30P5UqhkaQcu2Y09lzS47xb36aXBl+ob8qLcWvTd0dr
5yZ7Lvbmrtkj2O3cqdGqt1ZttKJLU4+Eg+RheGkfh61G81zterdaYgd7b2/KDREqZ94c4X7eEVP0
31HqKV9hCO0x5tq23zEQmbbptnaxiNlG6+g+PMUn1DTW/R3+Da6C09XcIwzo7j12fJknvlnvidwi
P6D+XUM+BiDe0/g2vhXH6iG+S2+aQ0YrCI7iNniw7pXbCjL+zrvCbevGPsmraBm9vEdL6W7Yd3zO
2nb+xwSJ2QNodM0n9S05UgKLikWfbMt6gQ6A9EVOtsg/4uvBeDZcfLGDa3oa+an2wEesiYuvQHSu
wo1DenfHeOEUrZUbwkzeWvXRgYW/pp3O+93w4F/pO2daZmhf2qvJ+i6PIWjUE3qT/IpTs7QemgfH
WfpXeKuNGAU+5HfOMzfx7m8I8KOoW7ci29oRWJmqpTE2Ynwk0m7SrM2b98q/Jud1NcVsyIHkCsg/
CWFBMYfKNzWded05G2Ur7TrvoxOjEJJQ+pxOFhORibosijlkYhFJnEkUIgsl7seWkyuKxcUSdUcc
cCYoqrOwjdcXO63oXaWprZ3SEwt24b6WXjuSOcrUrSmprICWh1g9AVC0+arn2w8l+NQWImWy7N+q
5OQ3VeIzAJ4nDF1MWUL2e5bkq2bZPjFX1xpe6Fq/VGex6xp1ICIfwIBzAmhG2syz8Wx+B0yB5jKp
8x16dgs1tMlg2o++XaWrydfIkGTZXQ5IEWLCTC0XUrujVh4rndxgaJJxUGY6zdAH3VUQKEiFjfG7
gg55OpPiooCIuhh8ClTDMAflKZga1JkKkzBovmOyWlQE5Ei2XCMOQZt5iGIMU34DcpQGt5RmdcFt
5Vc4N0jck+ZreEbmz0Nn4T8Uj6lrCFlCay6PiNl2MElphEixfZAkFHldke21RLGuLxGW8fx0g74F
Th7zBLuf8kooE17WFThYgvbx1z6CjKRUZvHEZpZM7OaJWBQTeVZK7HpGYCIPKiaFJJXqSsziP3wC
4NSBZSBNe87VqhPsIrUMmfaBKW3B/MJMmpWshzlTPv4zZyCEfl4nNnxaFPuJw2KpoLCRZuOrYuck
uuvvsVx/lwfbpbZKAxC3fKoy/Uyj5HulUdUrNLwSaNKzWjccdpwTq6tS0YZNBIcg9XZ960PkaDVa
Ip2seDFXbYaayp6Yi21nP2VBvESz+pjLZgYWsSTLmKIM0+0Vrb1ty0qBzWGWV5MKgLQkq06O1AR4
ZreUz+clscGRwXmFPjn7DyvFcedlMQv9wMksZIYncqwGDb5akUQGSUH+uDZm34PzvFgtJrCe+Jjn
yWXxshVzEjKuXbIRu13Wn8+itUiXz7ypfx1s9tnJbq1mnZeW5nYyJnHdKBvXoTNbbav1GJNlgA8y
6CaPl2/Qy3m3Jb1TV44yvCCuWG1AVOwu28QctKC5DZr4G8QBmlnW8kpsEpNSlfjR9DrJF3nRqUux
kziI7DUuX4ooI87XG6yEPc+nuqw9L4sDxKHipEiC0A2L2cv5znuKlZfDL8ecT/9598Hws3VVdfef
DhEX7C0gzn1FTvtymst+n+/sw/Jv7+xy6dKIkw1C9FSe5+cmTvnh7j/8dedZcaR3ecYfrnSeFTuc
/0CnZZxpQik4/xziTv7tMxFXtkDC/+vH+3Dly9/56Y8R1/rlDi6XmF6nRn+kTPcizAIuhhIXA4HL
uv/GLtQAyGtdDhGnUUTR6nJGMXfZR5w2L01GYJd9Lpt/t+7zZcQpPp32vI+lTXcN9ba1YAXaohbr
w4HblHV0Jh4KbqPYKiiIl8UPvEGx5cwxFNvPs2JtTq4Jb/d287tTiD3E5BPR8cPd/NvjLnfy59OI
/S67iPNd1g1zFew/hwz9f6kT4eiICfx76NH/rsIpz94+oo8UcchH8JEOvd+wLR0tho8+QoCPbAWx
dgOZBtsB/PMP+EibEUbAlWygQVRif9KJUP5LU4EyORgJKYaj2P8J9kgxtU/SCKjRIEGgOCg1y4qi
48r1M/YIfdUabI+JFJiWtFgD4sohJkRS05USqtOVCmcNEIXfuUJ8RkjTYNUMzWAWqTkr1UzJc9aY
SPajAEU5co7TPAe8u5hDUxOqTfDh07u8ucKdRLy5509PbJHKuN04arCTh4iMbD4+BHmHxY0zV7zl
TPGrL7I6HVQ0O9fRbI5ymSh1DaxDLKM4zCzkxmfBdBbfiPgkAwiFiBmc6cMl420fLYilPod4YoL8
1TDB1COm1S+zauJ8DWOqiDi+Ek2KzV0HFPS8Z0RQhChdHI3LqINeZQo6hnhi9jgngHXcygSFQqw7
b+7LdF8TjMnoWDE0MEYwSY2JIvllEaQNQSdS0NEVI+g4J7bLptiQXTHr93OEJ2bFBDnhhjplqcME
yVoSMqjTuwKwcZmAJ+TP90WrLUAgxkSUhCKItWznbh495vzKQrNcXtmi5zF8U8m2YrXY4bIX2ptP
Ro++zoQqwXosyzusZasr7OZqMu3MCSCHmAthmsrup804A3poQmIls5YGNF7n2jaKdESLYkexrHaC
13LZdDn7h3Nmmjkf1ZBDpyqvzBa3H69enDf/s1Kc43wlMXu5T3FgWmwghoGckeKZPGEr5zlJb1Rk
ehJUj8Ss2Cwm5ZS8ohbjIYnPEZdJ+s+iUYJfQTD4vMdl/WVfo54HkcUGCVhirWwGLdQi9DzPi9WX
iTW/K+ftYuVvlz+cSswCu0ApytAeLoeIufN5Pp/iw3V/mY2cb6jA57vPV/hwpsQcZ4MI1XI/HP1h
+x9u/sMBH2YvN/3h0N9uF3t+vrXPe4YmmXs90dYWwA9XncPcy+st5v7tuvN38XlzmGjUJn4+jzTH
6OLTGUX0/OkKRZ1X8koSkaNeDZBmaNIux1z2/nRascGcTsEM+bskGMTcJcsgFj+tywXa0JzRj7/M
il3FpsuRl8SFWCcWDaHiJpZTcToxawgs5J+vfjmvuIwB3lKagZdivSrQmGK2ExjNaIZryr1FZZFh
oRhej5NDZkHo/ouVYmInKqz08yaxl1jbnMGlE9mkuoz6pd5IUYeSO6ea5Mic7sWsDKUpv/1wGtX0
ZUpGCgAkgdY6n0vSSCzuK8wp1nEIqH5MFJLtVbgozOE9rPQXbypgZWNNkQWzWVHVvseJjhlwMwyr
Lvk24kqcIvewAmqRumNBcr63wz36EAVwE7KGqAS0KbUi/6s2dd06owsCP6KAqagg8364y/OfMeo2
LiBznCcyQSDQ/wVPEov/dl09p7E+7CJQTfOx5yN+s+iI8PmScxI7/jdOo83xsQ4wRRzgiM5W3OV5
9nIaW4AKxQXE9t/dCXYfIN2I4D/ezRzhIxF6V4ieDHXr9EqA5MRcM/8pl3Wf97lsvuxzWVeIgcll
+XenPaPyxNGXU/xnlxGnvVzlchqxzonilzQmJShyJiJ7gmxhDUKNnk2sE4v04Eclwi/ksr4LaoBi
YpfzrNgUiX5VHPPpjGIxFT2k2HzeUxw0zRcTc+ftl+XzOQNdWo6SkSwnpYE4kUs3BgyGvSK/BoOU
7oMpRQQZ3WQlHamatWDBaxktZo2IFCpjvcztWAY8qWEvr5uFSybvPe4wHbJHB85RUzQAfvBB9I3Y
2eCxfqgdJ992DZZshdxRzbRfNR0Z7yIEZwvaxN4piFrveruEPOOpgatbd2OGzqIvA6yX6vJrNHVU
aIkwViElAoxNjn7poRM4gGOrqOkkYfkgW5K+CfL6SxJKX5FkDDej0gLWmowbv5dt1KOo9hrPtZMh
NBVCYTL6ObEYwEZChiSR8YRKMhA6zbiqy+Br7GHJNPbmVqsxqDC8fhXo8RrZxBpwWtKvM0vfFnF5
xIX+R5zh88yIg6SmaR4YIoBG6R2TXHz8htYsRSBEIvYhEfnSBrOUqPJzqsXDTRoWB3mskcUqm+Vo
Wvcd5so7o1w7QYUZW146qExJw0oncUoOMbwzFeATpp/Ei7cuy+HAt3nALynDAkLe8BD2EzSw8A3e
qrZS+he5vm/94ljqhuuX2zyV8Xqw5nbOAJFWaVC2xg5YRSjHS2NWkEWQ0QCsMrjWSTdJ6ONuc6Wq
VBa0JkcmyM5f837oF3bjSzSLnrYYA+2kat+SDuxP6gXdY2LB+oqD8S5tzEMWlugJe9RxoYlR4vJT
aldqsY+K4UeRKtmVVCJAbRToVhl90azJfKP0FFC/9LIg3DUjW+Oxuobdc9U3NKqlrGUITSOV2yIt
bKfgR1FT+BohvEamTbUPo4YEv1n6S2PWuw0s9aULEMCogBqGUHhKHVORomg2eDxsdCwJVho5nYzY
3wiLdRvyZ5kTlYfefskCNbrt2mI6tV/se3lou40VYqZt1NJ3CYmjMivWSSA/5c6UbyqvWiQ+rnL1
pB21BLxBtgZDby0GB5xZYwy6q3St2xUBGJUMY1HY++Uig7OFXmW9KyMqZWEUBkvkx61lUHYg0EIK
0p6/6g1E/DWHgnfc/iig74IOaVrMoW47uUlXIyK1t4ayD3JcVhzvptAac2/jg4PfR+gOxTfJ9L11
7+Bvkxaoz+Vy6zYt6vp18SMr9aPResoabZoNmLbKr1f6FBYbJz6WUYcxHSpXrllH1H9htbpaWqBt
7oXhss7hf5gJIxsd/0Qwxx0fz6TcFTCqF7pich4vpMbfvzQTRTR4Zas6xFulVVHhmo8YiyBYBvJ4
neU1Trh+gTZCsg2Vad9Y1jrl+6jjFIkLwDp1FJ1aov1FUSf23lSCfunZ+KvJOIg7qn5V5qOyxxuN
6n3JYE33la8DLg8rr9cx8MSu5zhk5m4cnHFbJQ4VBxsA15C0p4Kvym3DtKO3R7DYUEJwjUjxL5B7
BM422o9T39GHV/LsaeUBA9N8ZVMa+gPg3fJQRs19peHtNuF9OIUw3caqGF0lNxiQEUKXsV9fy/ZV
GgSUE7XkOPQM/7pYx482Nx5hJJIgncZt18f5btAntNaBHpNjrlcFdbIp6t70CnTQ0ANLRPZlcnOp
ytfAHdJGrVaG5G1awx/WapxRem6LR7RRwUE0mn7wyi5ynfFVIxgxtTqjPS0w+rJzWreKE4RdZax8
uL61Xq4Vex/zNu5Qbl60RrccMZsCdlnAxGyTZyytXK2fVZy5s6UGerLsHSoIXVOi/YbE15Qp2UJW
hi9N01Fwwd2g4MfFnyT4jjLl9ywPrnHt2ZrRcO9l6Nd4hbGxG3BuUmmtCwWCcyNpqNzkzUOuSrwU
Xk5tXUqCDbY1952m6MspdHYZkGT0zIfxiNY0Ck6htOkQfANAgHdpk0KYKnI9cE2rWDeeSn0unTY+
GgRlicWTZn5B2EpxIXbAFQVRkOfTy3LM1LvSKp74+kB7VmCgegegWsJS44BF7XXGozFQZn/y95Fa
IlJXY7I7Zh062f5jyGe6abU3JUeZpW8GSrIleCAST/eD58RLqwtsd2xQOIoaa6FI5iH2lQelpRDT
ON1BNl4xyco2hRpsnUaf9fEokCtVeq951A2ggWKXOBt9BODRTKcx7hOErztb3SOuVZbSvucD40sD
fhyhNG47lluOBVjY1NmrY6cCiLLBCpinbkLqMCz4JnsPwFtWSupuMI5YpN+UQ4waOaYThKwtQKM6
3sXNc0V616VrlFGzBkMXvzJAQE8FZUSncZx17gEBMUyUy/UYFaqmQi2cSHpXgSZs1bE+xna4GiM9
OsW+saS1w1l6HPV9mIM95MNbtr4lu/1MmdXD6BoIaT41jtt2YBxglGzGznuazDF39cF5GlUZBHSC
R1bSJm4zem9Va+w7NZsBhQA/stj8nlYJlgUDtWG+FCirjATAuwOfHHBuib2wWiXWXjWBoemlRxVx
cJR1E5TxKlIoxKPc9lLCZXCdKgX+a7OqKmR7O1ooOw9Z/kJGLd1NHRFRa4Yob5uPQzeuTSV9RGkK
zUQ7o17ML2zVSQ/RBzyVrTeM1uuHrMXVudUwIHK04Ca28x7KKv5DpYKVZ22DGJx6f4WH1m11Jzfq
bEiWr60IFWNKSYBOPSh/iHQCZnvrWlyhPTRF8fw4alYCxsMHq6bH8lWJthmMXfWqxwgFzQAdo9Eo
fPLSCMRwJN1Yrf6ud8OaGrIPXwswFkK3C12Vq/U0mjeQA5ONHk6L3BwPSILHi0LpbvIMIPRY0PL1
WA8WTb/KbKCOmh1+K5QQxohOoFCjR4b+iI6cRw6uEEEpCT5JAVMve7BJELW0x5jQgXOplf46i5AF
9wy1XemI7rSBbK7wd1Rdqtn3NZFDWZoV+B+ApRqa7H6nuUmjFreGqT4hlLPHA3owW/woNQBGVlTU
mGCD/onvWzwc2YmfTTsNhgJ+IfUPodq9FxCDdRn2eCaDvoESelV1XnlQ1OBOH6ilj1GzxunjWzw8
mej8jOrwI+klcDqWpC4yX9nVs1yepsfWItLTdpUi2ucOP7SRBkQuqbuplv5oO/goIQR/43U2xom2
hNMJorCLLMM/t82k0A3jzNuVhNBylR8KOEvoqUJzgBaAtHq+sCRE4gMACi2qPFzRnVpMG0J0V5d6
CaS8xKZoynVtSxu3ShXHuzazCEW07muL+K8eK1TOIRo0AXjICEVHIp92XwamSYrX3JfFNkvGcOdo
8tKv0TLrlX3jTBnxfIl97LAo1FhyHTS0NgwfXFV/7fNSu60x3FyVSRYj5oEhWdt9zWTELMwAPlKM
MJFvP0BrKhjWbfIaiX6ENhi4pHeDjpGLlBXXvibfqX2Kgaac3Rtt+82vO7TZgHQVVvAliVBOsYdA
BXVcruQQ/9kgHVZTCVo8DzBfQYwZQ/ercZikBSrAX6owcBY0huYqiosD/SDhFlDBwC4it80dByQY
760eFLOCrb4pS3BABg5ONbZ/S19+7ZrxVTKAFWgtOFYtv0sdO9wkTeohfuBvWyy2l7I6a+F51Onb
MJpWcqfeRmZ1RJqjWQeatGtxub0uou7GCL9VtnpT9ar5rGWWmwANRghuNcTkuqfo+zhpudt0uOMg
rwEvxJh4RxHHkCy8Z2wKiIRo0qK3vcANcozxSkAWuRkuOimcXQ1OitojOO+pN1LBOfIGiJ1PcRB+
H9AhhC0pAidkGnpANy2e92HT+hurggfgj9deFcjrzE+eg3byN1k1QWdk/INKTPHYIHeo4iTM50V0
oLTGMulJdwyA6zAJf2vH8EH2c3OZef0PtUHbxOkUjLO6H6b/SDoeDYl6/NGng/ZkBNh7zpgCAkus
13oFfHuU1+21uYwU1dn6ureXav9QNN20cloYFjaGrU7/7ox1fE3maB0amn6lDPU1OnilW03+zicr
vCVH/2bkSPv0OBADx96ZAV54GIZ8L2yAzom3CuTwa6diu1LqgH4yBwigA3k/SJpvVeo56xIFP3s0
gFipsEtMOgX8Rr6aUrpEeATtQOfasOqNXpn0mEmDUoB/Qir/KVc9fBnsR0xsMIRhkLzQrPEBU1Z+
1RawM04sitcVC0uObzoZbmOEUkUJysCuolWi5k+5rr4FeX9AMmsx5l3ijgB0CqynbnIJQkaM3tC2
U3V1Uzn8ZJJyqmatRDkyvGOB1vCx9Pa65GBXIVb1Q7erhiS+Pq9TLB+lobxPd5ejfNULUAEZEMGY
zyQ2dJP21kywfsqmW2rBdF+X9/CM+mOv9JvGgh7AQBX83RR3i96MIm7Ef5SKzpcWVMGvIuAZq65r
wMmFe0PnqyJFcNMpg3+iDO2fcJs8VVgMZWm+t/weBc55QjoSHg32h2s1t/61LjPHEqWKgE/+n3Xt
ZEcLFR0QkPPANW0cedN5Av/QKVA25KNQafKbaj2kKtLH84TUbLG1R3ScxGLdBNoxqrAW7BF4EKsu
62tTfw4Jf6/EKhuAzTEphmmZYq65uuyrqZ66Q3vZp79ilw8bMDHEB/jDGpSAAJ+OebYTFxa7eiDf
iMY0oExVsRSrxMYwlrM9qm73YpWRFuGNZUmYKAXRiVxhjg7bsVGUGcw5/BjCEgiNol3LY5QchsHQ
j2JiT3xXeWOCT/1nXTJ22cartcSNkVmXFgVpl4MmtVexERvHcJ6IndsQb7nci1djACY+y+yAHzUB
vToZhY3u07xcAdZaY7Ghu2CSWA4KQyUyGo5Rbd9ODm0IpG6QfWWrHx0nlm6NEEYICxrDm/OEodUL
THwYGXrCGUCZAf/PNDqHf/YbYursSIeBz53XWWj57dHeO6ZF2t4U+bg8v1EIYSOiFADqTdL6Nif6
OumS7Z9URB4LzwdwOL9zYmKWOfRBOyu2YlHsi/EYAM6yl1fiKLFOHVW4lHl8nbTDAFbbd5DE0pwj
UnPg+bX21fcq5yjWq1YKvLWHqBXZMn/HvJvXjrvCUjFQm49kFHgEzKORtuH9y8ew2Uq+Yx6RxLeO
RRYABg3sackYyzqKDVi21ju5mCWm5/3EBj+W9RuEIF0tihuJwD9o1nWKWHiHXjs6s8bhsm9Qgih1
4traYEaH8PkIbnuSvOBUZIa9HPQxXmmWl/mu1ZTeGs8PjLTLMjy180Rv6mZHTgnmAMY4i/8cRfD/
kPCIouBx+6fq/zrJq/Dbz9X/8zH/Kv/b8n/JmmKbsmagb4BQyP/ov9fN//qfkm39l6mppuE4iopA
iTb7R/xfkwiF4r+Gu4Spok1i6Kbzj/KIqv8XAiZ4ToANsEy8QP8z5RH9Z90RHakRQ9d0xTAwIdCQ
O/m59g/pW57sIseFM0bhFyAc2jxRHu1rpISboVOWZhIEm5Bi5SH0ZNg9KuySvASOVxz1AjdDtW3x
4oPgYRe056inZTACVbckhbVw2qwGi9ZdY3EAuFLOyo0TdPZfHCZ4Fh+lUwxZ1W0VXVAV/B4P+LPB
RAkP32Fg2mxkfiq3bkNcxvFtkDxkmjIVnvNUqovWsb6Rm07+cm1F/t3FAVDg6UElA7jGz8+PDEgH
d9toNlWJU28HwCjR8PYcA3pyBUlzz78tzEJC6jZzPY204Yd37XgWiPnJ1uJ31+dnczTT4h37BbuB
kmtcjLrebFK7Pmo6bg4KHbRbZzj3WaQgq3iH0NFSDlNynAZFpr9c/9P7Ix6+xl+v83qrmjEbnXzU
rRm6BhN5g4dvGE0Afbq78yvg7dpoKAsZzSPy/A0ytXb4tepsbBAYvcPL2tgyXmAa7Iiikv7ySH5/
RxpWqXxceBl8QrM0Q+B5OCE0GylnJKFgobzKFL08/OUP/wSa4Q83gMuoJD6QJtJs69Nlat9GrrX0
WkDESr4cbcr6FG+jp8Lr3dhsGB77mXcz1bPpaadsW2SojlaF8lZileqh0OBxJ4NpwivW7c2f721+
5h+0hMStKbQPqgaoSDZnvNHH38QA2K0FStNu6vKb5fkwQ6XgK10QiAoPzXpZdk2PgP/PF/31sRuq
qjqqgYuJrtBq/XxRL4ij3tZwBY8oYrmZ5ySQbjBo/vNVfvfUiWwdx7ZkMFYCyvRBJkm2azVSgBhv
an+wl0SBBYGIWWM0BfP9z5f63VP8eKlPP7Cpy37pG0m7sUfw4m3SLf02+lYwaCSe1+vFqAUYn4/X
f76qhtzULz+ebdmmoSF9xwv8qUEegxgbkp4PWrUQTA2kJts6qbxvQitdTwWcjA56RTS210XRPzSW
Hq1wBMe7hBC7kODsdwnGqn0kbaTeVLdxYnnct7ruTNpduyW3jkDHoTTo17vW6dB1DX9U2JJtJE+9
9sYBVYjK/1Er5rTFTaWy89H1YwN9t1END/Bl/OaktBKMLSPc/uUvnx/op9dWAyIuK9TnLfWX19au
fVMF29QQsjTxWhnCE06x2iLw+aukoDs1MiO1vpNg7DoPDEXAAOikcLPOIhVodLCm7pN6TiWDgFq0
lrIoyJIttRFbcT/UYEDwsqhdh+RUNZGwQGHZtqYtjhyA6WXUEVTUN1U9uh7qr2GaQUy1e3nrfRkp
WizUqD1IavT85z9ZUX7tuwxMkRRtbqwM/vv0qUYOSqcTXoQbsnTpqm2nfV9G34cct4a6f5wiPFCm
lmQQZvADTqc8Dsn4MTr1jdyE64KU3MHPv2Ux/5flFxVN4GVVKC8MdBWKmzkcQzT9zNbIKbqZZCwS
68Fp4eXK75FkB4/p0DB4s+gnpbJVXZXWjMT76OoeGtBUhPapU2OlLLFNj+BmdfaJ9M5j0x6UGLXv
DOaUreH72SBtn5FBHPbRhJemFlhYOvXlVd92J7/oH+1uHw8OfPm0DZe5fi/LxiM1mvsqMoytYyIg
aWbtqulsj2IXimdZAHNWsmCaowqeq4jLtnr4FLqVrZDraUhi2f6jFoVHKAC36K1Qsu0wNR77r2Oh
Fq5EaWulYPbLs1skFkoA9hGFVzPFYrZoH3TZaNxeam4xcdjHNfr7Q/FYhuQdGIdoCwbcV7qMvn40
Uc8eqVstkk66U3IynbnzNaiMr7lVHSndmHmNnXZpvKqKCbFc/2KlAVRmZ9iluMssvJkk1NicpOra
R9O3O0qDWIrmaUH5W8E3G43CW0qUf3mrfm24bMMgaqUpJryzrE8tyMCAtAWI02xacsdFOmzsjryc
Eg4P3kDJ0kf4w0MG8S/t/2+vatDrGoBZ547g5/bfqXg7nCmm24WdpfWnNk9+tJV5Q9rtsdLj59gx
v/zl6/k19gG4Sk+ANJ/jmGSZf75k7TuoKCctsZcOGzqLU9q26L6SmnpVvRnWnC+S92jyoCRuTMc/
X/zXDxcWjzqH5w6WxZr56cP1qW5FPd6hG2ydvxSVuo5GVdphuY07EghBFDcs6ZvUW+lfHrMCIvhT
K8mFddMmztU0jUf98x+dyp6UNj3PWW+tG9JV3UpLKTsm/jjs4ix8SxkzuEYHwTUJppuaxhO7k+TN
RCnFaJW/3c2vvT53YyvY3IFgtgiJfr6bOJQmxSR3uxkGoiB5bjb8AqMAH/ml1B75MvtauUH2tVv4
en4bex41MTtapUH/kJtqtjESefnnX0b93U9DPKwYgKOxcNY/vRZlmVN47sjMYYtnu0kirQpThyEU
dk+FP/7o6h4wRQkgQzFVn34vAT+R342WJx/qRHmJB8VfbGsd/0dbwiy4VfSFZRYRVUt12cj+gxKp
100oWzeEIt0GCIPXeGhkTMGPQPeGFUhC7y+P+TNCm4jONnBan0eEmsNY7VMs4qPOzeBdQ3RKn5xN
tmz89kaxvHSVddTaEgXwYheR/OzwZ4b8OsTbiXLsIjHmD580+7KWzTd1InQxu6x243qJl3WzNJ3a
IZ2lYY6NsZZsZMiO+R41BN1+wPgAmwMzmES2YFE5B2ewmq2R8wf76HJodKtDkmwRiF6gXZn+Jfqa
tTV/ec8ZGePYZ2k6zdm8/UOk5ymVQ9kc2Zgurt0mQHkBrSErmBXgSuVAyRj8TaDvgl5KMP/NBpL9
P6JQWhoBAX/XYntIeI77mTeYSwaAYAo0apMTBt1uH+Vf0qEEUzAPZpvAXDfJO9q7j+ht2yjEKvWq
7ef4x9SWaVFhCiXK2CpOZWYXX9k+lbbCQwohCMe3qU4N9Dr1CrfgGtcdYDJ9bn778zstor6fYyNe
gA9P49N31jdJrwOCrzd+q8QuWrWVq04gDXMg88sittMV7ULh9hSETWUu2INgcS3LeKRgfPvnezF+
19ITgNNJ0wopeCn+/MvYY4fMl9HWGye1uk2v2yhVqfFz62GTjLvEITQ6C4gM6l2VD45STpTbFDO3
/0PZeS23raxb94lQhdQItyQIkmKQZMuS7RuUbMtAN1Ijh6f/B7nqP/ts71V71blhkbSsQILAF+Yc
89EP9TF0YQTzi5+T2mTzewMXd9Vy8sPSgepvrGCvqHFU1WwhOP5gwYcUqqnfe2sYj2GKHY9FVMCu
wSV33Xppg0FFK3Ef22wkG8lCGLUrA/m7qFBjJL4N40cksShZ2WvBUjEkmslZk3mf4+NbHPOY2Zyi
AicoI+CxYTyHA0Na843Ajndylr5AMuParsnZ6pu3gVGo02TyLBtn67bpr8BiK/oPr+1/HvSw4vBg
UAN7IID/eJuFjY0qUZxOAzd/T5O+jowV/ReyM+cfGqm/OUkCvWXwTqPMdzVvb/L/+nh1Re5VbQ2J
VafVb6Wbbelr4Hr1E0RwiHaoLkAYI56r3Jf//if+TcnLLAyzix26rkda7x/nsiZJB+0ngtNzBe94
VGDHAvjOed/9tB2EfiuRD8D8erhCoG1ESlR9udDJJ9T125wESO0Hv1wxgK/Ws0dUPFuTWsYJap5/
OO3+zYHO+tT2/FtqKFO4P16jPmXxkyiz21dZGm6m5lR36n00Ud9AQSul/N359T8Ns+5Fyx+fdCZ+
dghTmNGc9+cVNRyNbkZe1u0ReV0BEEPJQpHgY6D2fCIPEjCLXqdjI8Q736ef7CQ42l01RmA5cZzX
TP+dFthIBrWmTSg0V7m8SGs69cY/lUD/2a/xRgounT7vi2v+WX7JoR9FNnJOmoK6j0ztY4nPfcDA
Zi63IlO///uB87dHLC1SgOFJsLT947jxEMOm5TB3e6e6TL19cV1+ql15V07Ozqbg+N2GK5IQ458O
2P/syAPPYkrK4cob4gZ/nO9UZ6W15epuX67927S4z5ZPd5hkfr7N5pagnQoeDP1nPmdI/mC0btSN
0zEa9OFYv7dkkYDOMceYSLGHdUXj+t9fmD+jbW/VASHDNI8mH+aA7M1//yxPyyDWrMv5RBnuO2eV
kUamx+Shuwt940cmqY5HN4hvwobAXz5rN70nx+zY4q1MyAp0CLyE//23cv/u/aJC5p2iuw3cPw/k
Ph0T26nMdr/g747NkrQhoxLHoltVNBPXcu1QAG2VTM04Hc00onA8apsh4qACxHMQ02whPzvz/MGO
aPo8WOlzhujomlankCxAOPnZdeVMc27CBo5LIsgJoNC8VlwXEGhd+gAxmQyz8LJqLhPVSAknzcXb
ZV44vnXNBSgw2DDUe3t2cv17MYuv61DUR8NR/qvdpL8Iwt3lo5Xtp4pw18Lisua0K5oBHSEGSP/v
Z+Qg9KCNc06klrb+OL4zI5CLqDziC1IBTlCq3eCu426qBuxbg3iR2fDsGe1vNf3jEPtvaq2Qq44f
mj6JkOTc/vsBJJXFuL/1GxQahX9Q5uAepJEkeztxgLjUnnWcCEUZx3J6KBLmm47TiIdscf7vPRW9
lICBfttG/MeVQVd67XXgNnvER4+tW8Juy01zJ6eq3vqZ9T4HlXVlhXpWrt39w+H6N4N8/JeEZLs0
MT6z/D8+5YQqpKomzYvdNiv/AWCwHdQ/lE7Tc5kCWJBGeFPvrUc1prHOmuwfPsV/c5YBQOARd2B5
livCP95+KqWKjZ5o9hjsURiHR8BFKkBkJ1VpQzb9x7+YVuhveklqSjMMcZcGDufxf3/fg9ytB3KF
+JkktvyoSYzcIp32nmaGNrHs289o2IvImpvwxRAB2U5D8svxs+zkz0mzT5EmPinjvVIwVoebun+S
MgMt66RPg92fOwuIUFoPkN38TIKzdYwvAfkNemnFhjo5Pxv57L92jJg6M9Gf7ax465YReVXXqnek
dTEr9OK5K0oIbw6GGz7ttL1I8b5UvZ7g/JXpgRhc5y133R+jR5TGZM9Ay+iJLql1+0aulbznPkTG
cUtMuvmJaY7x4iaUkf4kXgmlVUfGX8klkajg6to1noQ5ts+rnQDhmJxnFhvNl/63Uwdkms6j9xY4
r8NqqY+RuT6inU07yBefDuK5noRxAUMwbnVZ3RiPWRJ+IgoK30G6nLJBPq3rYr12lUUazeKEX5NO
VXvHR4vT2677WIXFK5XMcGxVul5n2zwJjbS678PvNEH5RVuzOgcrECKukNXrvKgXs03JbpnWMMbx
uXzLqNvKpZ/fXZDRnDtsUl9XmDm5WUyYLof6s5L+TzvT608zt56roPjWl9KIK3QUl8Uf5GWY+196
6SbEulOxboISNi3iAwSkbjE+SHR88ByKtY1kDqNYEePs7eSIwL8ATbwi2zuzcnvDYjXsrduj+1N+
tgbbNXFL5Fu+vHJll9e+rvuH5WakvD0ivVQ89IG9Lyo5ndXtpjbd8a979+eSfI66sU32cg7ISXTE
mdGjd77f+9fNVKbjjqQTsQkEAVSLBG032rW8JNMiL6kLfw5ZU4P2Ma9P2WwCEgoNhEyN336fvZru
ZQU8I1MoM/d7awnKqsBfsclxHj8adbs+Ile166R5vD/D5m95lIVyD8GaH+rWI9soEU//ummqYSup
Va7kDJJt0uUzcQs0591CCIlva/fLnDvZoffL/dQTAdpPiYtLgZbqIRyb14V3IM58P90Vlkg+uwEZ
qUtlvRlZXZ+6jF7GoEw2tTY+9aifP8118zwWfn8BT248WUC011D2+2Q2nEikInkhfwaUZ9cBXb89
LCnxL7dY3qGbj+1olEin/Xx6uukfp6VAYqDk8NQhPzbVycYE9twUIVJNYy6Oo24SRMpeHSvTU88u
8SzPDJjGHdpZQiqJ2cUWN2ZEBMnxhDFObXvHD18LRCp7XWufSCE7efVUZ4ChhstarsG+8+b1dXFh
OKp0XC+Vkayvdl7CN7HC59Js29fye3F70u2IJZ6Hig+D9tEs6+ZLitf88y2EvvWt5kuztA1CNLAh
enWgZdUECC+0xI9eJ53H+z1K1+kGPfQxcsbW1FMjqcVpz0Q3o5dt8u9OEYgHPwAhV5IJyfENY7lP
6uuIYHvLeq3dCwvVFH/Ll9uMcmPngNgykY6xqhzrs1lWOfjRp6HW3S5c+bPDMQm/jFkFKXYOMDTm
/GBiKopotiZ9MRZ7PQFsjjsCetuJnHYm9c/9OKI0md2v4zCdrLWq0JnYzrXuOE5qO5gjWEX9pZtw
sXo6+5V55YIuKhXMIMwmrlNR7sYOjbuq+hI50fC8BDOcQYUAvhs15LrZ6L6K+VUIv3x1pLuD0M/g
uFIj6TdN8G3IHhp78b6z/53juV37Q2ek+VcByrC7Pe85VLmFhhEzzpxWnaDuvnguwleMPsthyDBH
tqt6Jez9OyeS4jtsJ748/6zsun0KrBzmNSSwVJavOMOGZzTBl2x51WR9vwRtWD8G5fwlHdrki5Br
DjjU+Hl/VLhSXqoOyleZ1HY0VQbvBrPXZy4yGxKik8/h7WbpkXLW2eqeClagkVZ2e3Aq0Nkrw6WD
tq3lS5h44P8kmlXbr5cvhStyJN7mj3masQjVCtPTnOHzdOWnthu7z/3txpqZH8w1wRJg0DHojIKx
cxVODxPB0gQF81ANPUS1CsDkZH4nZnZEqTb7h8kLv84O2YbR5PFZtNEfG65/sNJc/ug+eKMnALET
At4pcJ8Sz6cfF1FbdOLKWq7cVHMe7IOmZ00xtc2OE553FkYAZK7H8HNL6X1Mg2Z5vN8jf1pA68O4
shqw1WeHfd7c5U9zqbNHr3gNmzSNy1EgUnTIHDbxR5y0zcTGb/w18hCzP6BMJ2qiCdcDYaD+CadE
lOvs6i/QolN8didXl+au61S4n4gtHXJRkb1td8/2zQbmzK5/auxAn0rP5Sj11+zxfrGrXf41UxON
fmKu1/sNUb+vVh7C0+va9OyGzS5ILfvoJsn7KvuTl2FQUs1HbYw/vcTimsOcjT/gFJIvORRZG9NR
h1Htzzvp9in2wxTjVmUpOOTlg72sh5Y2YiNcuTPGcO84+pfM8095jvFsKJY4XeUHUXf7FiS9MCZ3
V3UuvwV134hJr/ax5tgry9dEnbuse+tvWG67/aXGs8t1nAZmO/fut1F6n0xjKXAjDs+U81E1I0nx
c5tr/ijSqKGGNEr3jGHizV76J0xBbGf1Y4H6kasum6XERUmC9cbP3wJ0pO4qfto2tkIciLNNFkPI
aQ24+Civix38WvsZ5i4SYSNNKFp9fBA4GLfEnustq1C5sdN63PkDrGoDZhbNkHqw6vUVK8BT441r
ZBWAS9v16CzQmUnQGmiZCo1rTZGnpQgBJDcCILSxwwUCO9uLRMHK0V8+6DifNWGu0eK3GJy0ywSy
XBxeNkpWwZ+lK2plJMVjP0Kb1l/yvBm3nhKflAvLb+hcEzBAQlUgmNcmpRl1MvgZWLgApCyJFS/6
5ypMPnnL2kRYdSyMCFQmBq5Dhow+VgJwYXXwWKgBnN+Ks6AKy2MPSePmUmU3aTzKeX6XqxcL8o4j
s134gxzre6XNK6OSEYz9vjLtyF/pPcNu/ZVNEDPr0T72I8cX16Rx2xgA6tu2DeLFaC52jisFRUi9
bbTzRO6dAxGsUNuRJLLC/moPwXXpEP6MgkM1Lwu9s3PV7ZqsuU6+UcXmbLUxqyqcC5jno7S2r8Kg
j6jwR8XdaBM6DcPMdv0Pox9J7wic30blmNtA3FD2a4iKfX02u5AOmYyrDbmBO9c2yHKo+hS4NJlz
DP5NoOhY6UZpDLvFZ2nhrRc/I/x4zjK5XZ10j4z9bFvyS7+uoH8r8cAk8PctoiHFF9cN5Ueg1G+n
A/M5rWTMDFQWIGCJHS15j92xe/VG53tjaQQGSOfFJ/dRGiyj05C8bOL5ohkuzEbaBi8wEv3MgLut
FfnHQVznnY7MaSguY5LGq+29o+IAowtqK249VLTNMHLZtbwI1B8I0qU/O4ogDGXOX4VlGHt/mh5b
Tca5ZPO5sZrpNNRcl/ToH0tbtvuEeCwnNddj1wy4DJpY6UU+o659HG+uyEGSK181ej7l0zKf7vc6
aUYteSRH3OcXxjnuflpTfdKkE5+kT5vLnFFYWp9IvTeQgmSnsCLftzH9dofxF+Iw3sFNoKpoLNP2
FAxpi8qgg5RTC0bw9ycH5TQnPG9nBzPont1Nc7JQj28mDTLeDPPmBISw1pty0vZ+MIeLf/uBjbvo
k48J7VRas+BTGmzquWUwXrsB9kT+CnwOVez4gHnTWp4UwvKTR+++ITBniMYW3xavsxkVJqmDolEu
8r6b7KOd0ebK4Frn+cFOCbgg5PvHmOpq56c5NNFxqE8o/vUpVywXwsoVbFGM4ZQJfznUi9hnLNvL
2Z6OJXHuLIFuX0ATiH4dkI7jdUYUhMNh0chGpikxQXHb3el+w14w9jtU/S2gz7krJSJ04SJRK4tq
W2Ts/5s2wNwsjLfWwLLU3R7dn6IFP8vKV7u1LbF/NdVpLbPqFMzr90BQLDkDwjIGUZDCPUDHdbIS
zqlur3LTdXVk4ZU58etVxzXhM9+XzlHduL8Y4k6YEYtTfrtnTXhXRdYf8gqj7pjUMY+Sh/tNvYLl
cyvrtSrSktMJjPD786og0favu5NQO8Z05DRU5DQueZ6d7vfCbD0YkojgZHLjziVrTWocwG1DmMHY
Nm+Z7shjvz80shDyszkMmE+wxToZXd4tYYoQCVyO3OC0l6e5fivqtPzr6aB3AwK7VRtNQHxIuMW2
Qq+RIAAcBuOhbcBk0pju7rEszgCKME/Hq5OH80PmY8GUewJaAnZo5sTGk+ua5XP4FL1jHCze8Y0u
ZX6w6OB29uTe4jMMIl3M4IJkm5uZhBkVmjpuDG3zISfLqe78Nk6xbAZWcmLIh2cuh9HXVkflNWYs
ElTNAwHHixGu2yknrRZL6cFo6FWL3Pw5DcaNW8qJdTHDX4vdx3NAWgzmO46mvtq2oZWt2zt+4i9u
xP3uKt26O90REt6dJvG/cBP3Z+9MCdFYaueQorkxFmu3mmb2F5vCySrSUe5fZ3pkfCA4+R9Kxv3b
3x+CLXC3KiTV5f7wr5/z1+39v9aGVeEmN4DZ3n+F+1fp+6/7r2+nyVON7Ak04h11cf+P8/2Xv3/N
X7+JWIo3Ya84KP4Hx3G/lyWZt5tn9622R0nNffvX3BCHTsxcplMNGMrG8ne/V9zu/evh/d79uT++
DilHEQ9D9eX+/P1mSjFro539/9/KTzuBGyZ7vD8FDnHdtcRedX1Fqxwk9aYMie+6P/zXzZ3g+hfR
9X73jm91w1lEQeE81Ba1eNYQVRFOTYLprzmP5i03Ak1kpFfRxXmvyv1cWkmkZx/k9m0XOKsFCLnb
/56V1W/n1BJb0q9/ciGCacrJeZ+32dEpq5WUocF56herizHGzhcvoBMH3RqXJcOZtgvJjdU9SFQE
VnY+fRTmfIvdBTrtBfiPRGQMbHul+SOgdXnMGHXQZ38u/W9UbIQCcSIHIroSnVBigTZdzj1eXnx0
c39thf2MYAXZ5yyLKMmSt5qJPdbQ1YjN1f8e+k8kUYKpbX4kc1o8JAvEAt+26P6T/gs2On50O23U
SNZ1eeMOtKu3N0PxueoRF1Vrc6C1eloXIlpDvIFdmiT4v+y9Y/XnogUXEAzYrEPUfo6XkA7hkqwy
sQSWdRi1Y9VuR79st2XR/JCfp7F5lm5ibzQugipMn5x6fsIz8bt3BTEzAO+5fn6Mo5Xss57GI3D6
aOzcB4XLCHs2W4QZhQWNHcMiZixMxFoqpJ6m1Bh3Vl0H59LR32YQrWb1Kcmbad+mQRAxjAyf/JHc
tEplpJw2v3Q6vBh9s+wGc9JbWc2nVJG6RC562QKVD26yxMGN7DZrd4Bf935dhae0RZsgqY2sajIO
g/3hVYl1wP2ZId/6lMLz2miZnA30KSdrOS6EwV5nh6DwsNe7PCS2Qg61jEyCwKNBSovL81XpX7Wb
zruOFji2RApuTdTYQKVFmKw5+vswbTuACSaIsbTeWkDsbdLKGGtZ8P+NNj10yfqBxhEOtqvrB7cN
TuU4k0UmxunZQXgmS/1mFLo7+YS+sesYqHbchtwCqQ9idM0jNvEDo6dXPP0K55SFrjMZWQMmAa5G
t3Dj2lfJobP1O93tGLHDqfepb4+P0tuYAyVfRQLYXg8Ev1ez30Yj600E6Q0bRdKdmXLSuzMCK3ct
0wH+Qb7Q0Cx7yZpoo9jLnpLxGR1TSGVCbYDU4OS13pfRDnCeLeTDFEhczEgNpXFcEdQTPVS5RyLo
NYgOzZWo1NTB5NI4CfrulUkiqqjsm6+IiSlWsOGOattzz3yoC1BmuWXQbrWAFhFMwdfZ0mRs/cjr
oX2EyaIS3IWrsK9DyoShmw15yM36alqoP0aBW7XLCFtRy1jGnujCPdrXMMpyjKcFaJjOxWOaSer9
gQUubQWB4/LNmRGXEjMnIlXTOGU1RWqbVsW2aIrYwF/H9EOS4FBPE2OsatnXengSdtHuMr5JyJzr
OGAYc81u4qgpgt1SkfFeYOIsbNbCeHQo7T0ivZOaE3Nhvt80YNogKsXg1aGvY6JfrL8rVslGLb8Z
tf4NE8eFO4Y/lUoeWrqHXKtcNdSPsORjxP8P597eGVb2MwM+NVcCVn0v6yiToX/JJoIPCgeveVMh
5xQtO2nmfmd0TvBJEGxz6XST2G1noBXACjDnyjxK7OmXlPXyzBkQIcxIRlLbzMODzFUTLxMG23Yt
vaNBN2eh+D6V9O4p3qkTVNeSqZ796hplEpf4Wo4YTwUlkBEe8NufmgHQVhqq7HM/O78Scan1tVPs
cYxROLdJsHpaayu8ZLWzLVdBbdYS1HL/FE0OmYDNLYY7bWniwrHUO9/fe86CLJNC+dLcbiYYQS6j
uar3H3oSZfeQX6AC6fzy143NubF3wt9Jk1FgsYTYmSFGNPpNZql7v8nOdYVMRWA991kH+qwAGQ42
FW0rOV8dwvkTDeUc2QH7ixKbV42CTjJc50x1qybtvWjTY9gyWbFliR7BwH3fExFT+aRcLJURt7I5
9gkEyLl6dy1gEdqBNj7hl49eu7Hy4gIRFqOtZDtkQQbdsk2RuXK2NhbFYCicDq45vC/Vmh39ZOR7
lVsjAVLDdcXe8ewu0IRq64GklqALid/xe7DlTk4KDflMnky7n1M5/rSJ95A5xU5FTuumnSuLOnH5
qG2HWDRnv+SLxyw0gFdh6DMq5/1IBftk2elG0ctsBqSbG7jcqGva9au0UzdWsnpbe3XJEpYa6VSq
Pbscg8MNo0c51IeUqVeM8qpdXrqEs2yR9bdcpfQbw0axpbhFu0MenTGvxBR5YXvCFU7S1L7qbc5R
A5/MkO/pcHp8bHj5luyRMnWKCX4kKMX3FKh1y4879YWRN+ajMB4q5zFcgxBlrV8wUpcEbunpOqXA
TkxEFrupvPVYQbE8hIWx9Y1hfsq6U7+E29rug8ecCjAtjPa5dTRoz5CDzh3zy5x3X3NYGATT2Vlc
D2MsmJrtqJPTSNYI49pFB3GTW5fMpQupU3gR9ZSffJbppKMB+0hTd42ndnwgDsreLUzqCRYa5GMX
cnFxxk8AFNDPqYaQq5slZtTS2i3fsHSUn0YWSJHKK6LbqqoiINQY45r8mRHz+HlGI34c0/zXZKV6
61ieu+EzwYKncH4URWjv3anlHMus62C1K/5uf4JE0bVH5jLLUQxtfupafzv2Ojka5bqiipp/GCJ0
Tk2vwvMchmlcoKlEjWWzbJtDqALo/q6MAsxzjvkQ6IgCAkUPmyz2oxXWc7Axhlo9PUPyJOmH9eoh
FQrm6GrdMmm82T7g3GqfnOTT2DrlZ12kUaFS+wmNQvUZbXweY7/sI2v41g6JfhFKDZc5k9/4uDUv
PdDPEzqTahMmv+GAll/lMDYnUxukbN0eoowro96z8wdnrEk/KJgxNGRMwpayfhuyOAUQxNpwJp1M
+F/LpQMzw2owzXx61aWeHwM8edgbCPMxGCWJRKmDbTdT5FvTSj4oYlABsuFYVJSQC99oHxoFnNPs
u8BYXahgfNZell7ZmV77WZcvshgOjKAs5GjF716QYgHlPY3d0vyd948KEf+5mX4wkOguucKm1RdI
K29Jmqoc3K0YHKIk5Xw0rW7g02Vi3zAG8jJYZk0oYPYloh52W5SdS2MWnCMnliQ0L1WayIOjidVO
KFMEB+6Daf+UwbATy+igwkutnSsTGtyk/2479dWzy/oK48LaJmU/H0W3HidVxYBODuQdrLGhM+9p
VGLvLo53ZGl7GPvpk3BFf11Ua3IFIRQHC669AcW1kYnwj2j3sr1jmuG5aKhhp+pra2czFRJ8hMoK
D6W2f/i96RxD5VxmhzGCg+Xfm4Z2by7D+FCwb9o4XUYTH7jnck4/sNYxEPX9aZer1dsV1bQv8AAf
+0xCxSr6AYm/B7grhUqWJEvBPGF2Dw7ok5EIP/YocLc461rSEs9SCrExk5JoJ63c2K6YiBiswBCa
LDtPus7WnLrhsLZFckTKc1yzwo6KgNQlhzPF1Hqxw6iKOCpTH9tcLBsvWV6zxhInrLLwjW2kzNlc
hjF4k2I7d1J/topy13mMlGvULXvtEULJokpuUvSOjyHj8Y3ddEvks3izzO7IGQlIyEpmRdeOGWCO
bGMiq+5E+GG5yXgcHSbDnUMa3SIp+qA2RDZd9la7EMfSgMuoWbrGznaHi5UbS0zmOmlVtMunlXYW
uSs2/1nI7zYj1qMbhN/TKRkv8JssQBlPKcSTuBgC6iTPBAcnfSYqmu6OjrY9mIi1nbmpztPygHCa
xk+RDuNnot07Uu4RYaI49+ZjkoN4azp/IdEDctGUPynV+Ne28baIT+YvZkd6WWu8WTNbGb99VgsG
ZMOZfy7UiueqpvFkuHYOVLLucuQ4e96Y5NC6b0ktkh1RK8Z3b/qV+JX3ZqmfIHqTXSjm5ewGY3Bs
SbG1kTBzUc+zS1bhgLHc6ktZQYdI+tz6NE4vOrcxQCBLuBBAkl/LnjMJo/x9juDkucwGxkOF9C5j
cRUBvVwaoJoOyhTaUdn1zwkVzO+laP2rASnJGgXiVc9BNRoYHL+a8cIoknbjlytuottN56Z93Por
KJChC6+h+cza61wu5oGk8fzQruuLznp1ZkWxfGphmBqrQa8xKNZPwv3adGvwfL9hbHdQuf2ha4fl
nVn4iFChtlC7YwZKl5c1UfOF68H4yR3Nh8zOvk+MiZlaj2xowGRDhwm7yzokJX0BbBfUQLysTvVc
O7m1NfxhYjQ8sGNfC2dbF2ifAz0FRyoGzVQuaZ/sNRpEHKJd3LkAFXe+Z1bxkJXq7GTdrs+D9VQx
KN5J2yQk1WTmaRoj6xzBurkBEmgtyfScoxuZWFI2ag7OeEfnhzBFvC319CGbqblZ4N1do6v5QdCw
1lJ20Zg12GrL1IqGzE5hjDFWtE55kerPlYCcgVoK09J5IfB4ccjlboVOCJgR1O8JebO9kcDwCaqn
PHPkIWPBwASUyE9Hf2X5zlnErWQMZLyMPNkvj05Niir7EXKCioQM1YFI4GxhGWSJH2hRjaPIYCDM
lnxAb9Ce7jdGO5ELNfPC6FqWz+VS7zyENy8jn/gHNXYDLgITBI0EBZikHwbmzafCcZBKVsT0OMyT
l8SZKBkrvVvzsoyWyRmiuoU0HjZeSkgrcYRt2cBmWYfmIPREtrjH5G5ZZmav2W3HT+iUEHGviAPt
J6rDRgZf124FX1Aje3em9jT7ktjCufqKMbbnkAjlLjOsH4trUv8uxfTQ0xPvlRU0kfLKZ3sd2ms5
yvkxSerTspAsuZSOiCvOQvtqAto5AqxFPZS9LR2oIqcvup1jIOBLAkUppCZ/o5lIPIr0PbR/QzJy
3sJ6QtfnFd9qA3/o7M7qG3N18jo5xCaXLJ/chJEJ4CKaMjJuoba1cVZOL6Wl2gtcvVWUcj/AAAQT
mIQEKEKINPd5f0uQtq2XKst0lIS2A3JsovboAy+WeT8cVd4gXSE2/DqczNL/CAYb8WaTiMgWywsU
Qfc4AEIMzA6xgo0IuawIz9V9T98RoBMYELwhtelhwcBAZF27/vJcVLg1y3G6Rw2/qYNSUgP3ZD+B
8B0zSJ/WOk5UQTxS4yNZpyvK+xxRDiI85lor+KkqaTZOO1RRLq33Jtl1lk2lb7D263W4L7Q9bxJg
p9pdaoQGGfHr6Ez3RbIexkprwi0RvedEPwUp20+999za/T2ZR/wjm5xJv0ik82RYFiD+xjjUZrHL
CwZX9sz8x0uGS1sa3+Zy/pnazELKIR221bqAcVpd61gby+M6+uFFG3l7tuo+iFBTlSw0WaI2lhVX
ji13XO9vH91qm89lGzvzVwVcY1L+Q9OTUum7TdTCl+NS798ARkofHMopyJe7eqrmQ+/gkPcSG8kl
IxlqCfR1ZFYBUGzjslbBJlfZ12YwmNQy46dJRc+j4cihAroW4A4ftJnv82TxT6mILYvswNXoqsiv
GH7ZIoSxEUp7A23U2SctRNKRa9RDLfpfzMPNfeBAhcYoPe0mlmxFXr+zJvPgTzmMtQysNVRBu9Qm
ZFV65qkU4DBmZ0g+NQyXlpl97YB74WSMPWFuVf+pyaGhDTkZz8VguJ/76t233YLkIPZ9fblYUQMh
5TDc+nqDwdrYS+ewYO8l1gzXgmAUjudWMUZvqBxL/y0zwoDxoq72jXlLiNbgl8pk9mPOhiferBlf
Q0tvYoLYGivrAfsdsHgX8iznWQ5DHEUbjFDuNss65+yiyjmWE5RLv6/PAMWY/HRtC1eGmtPr5zMn
4XUzJ3n4WEjmIJLZmlSN2Mxd/0IFRZhB5SCWybojqWYqcvHys/xMydpuw/1qlsgp5k3Q1H5klE17
Hfz1xWJTdptI+Q+WTTozZNyFnpoXbtIL7b9HamKfWC9NvvYPnOEe3MXLMd1M78NkW1uliEfsHMZ7
GQBQgkLthvItra0f8JkKthzVr46mfT9roo2N+qPKu+yMxC6A5a5+TeI26rLT4qCw3IsAdJeNizB2
g+SHbVePibrPbRlkLzZ7si7D/DtwVBPM4B2tKhPbOWT/UtZFt017TUivUBSyWAu3a1q5nGfLD/a8
NFkl5UuyKq7bI8Oi/8fdeSzJrbNp+lY6es/T9KZjphdpmazKcqpSSdowZOm959XPA6ROpbrm/ItZ
Tm8QAGjS0AD4vte4SkpgoZ7PRv+FGMY2ZSLy6kynpW+dINN6DS2xlKvjNmRF46LZQ+APPKSWWidV
D4kaZ8Fc2z1Afm2vJyP+VSVSUzOaeAfmkY9l+Etz2upRNa0FNITb7ss6TY92xJPpePOGmCN6xKw2
ag/aSGSIgbXwTlmOeGreIsDTLyjAONuoberbHGbBNrUrMoRoOhNJAIY1WQb/MfOBJCcYtGTm91Aj
RGNmPVd5svzKmdD9tGYMJ4RMr+Uq33KIxCqc1gMhR8aDcXFvZoOfZ84YDpolYsRFaLa7iJTjvbfE
vuEA6SJCG+2QUDSODsmWLMY6s0DAblq06uQqdn5MCfsdRvOzuijuTTMj6qglU3JyzLuKIIuh8MZR
lMdIs9CU0D3uAL3jQc7bV2RtpgBiX3WsVxXPUdJPs2mT0DcajBRjfEljE8lQWeST9aMmtkbsL2kO
BC+SE0LoD6Fbm7dxa3xjTql+z1vz0QpR5YuXxj1ocXJ2RryOm2TU9oSEUE8LWf/AOOMCd2HOWtP2
ibckr6lX3a3TMG9ygmBpLdJjffTcA2dlwpSngV4Wpybr8iBSo/ZUztYjCnDzUXi1bdasIb23ZciI
kVbNwXl875muDa37GuYtk/PJyI5zhgKb0HRmHmDgHF76xdB91asue64JCR1Jl4HwGI3mrhjaZyZV
y2lWUbtdy/xjyRxpiXvjNHotovVzvw+djGVajc+kkmAbP2YETBcXgn0TLpu41+OgRamQqFDI2rDB
8TvpMpYCKywMLcKZBEGDWyBzBwFk35dz5D52McKEylyrBxw1vjgA17aqHUEcn9d6D3ULxe+q9xu9
Mm7mJbI2HmuxPiX8liGLQKBhwn3XYE2DFvbZWzXGQQdrjIhczJIp6YbQmIMHKRKVlcdSB3451zh8
usvD3D6k3qDvzYanvKt1IjRxGZ4LdfbV2fSCnLn0acxhmdt1B95Jz+/iMVf8OTrwPViXK+nTUjkl
eJslvvOgDMYp/Ak90vJjQZ6SFNTcndbaZKmsnNOqM7aWiuOsoa31qS/76eBC8dq5ariBDjIS0rQ/
5TwrD4WGtaTexacSBNV9USt3xdKOp8HOujsvipA+qLGpnnguY2PWAquoAJvMIUIIYOHi7C7uEXft
ciu5zfAvREe1RwSuzHlblWq6lS9+d2Q16SjYuVS9rp8YO+6Shami2tQPVZTeGzpB39Ucd7mwQuBi
Yk3NfbmP6lpFg3w4E5VHRa9p7Q+hTXIibvUPVckcJZwAHyE5bAEe0L6VaV0+JA765VVjfnYJtGyh
AvGV4Hfsy6YwPqqj348/+7o3n9Ge7B/ctH8uO/BTrIf1bWZE+Ucrj39Wtj3+rCriexZKeQiJx76l
sBRO1uV2RKXw1OlzdnZ187h6c/2ZYbAEg4gRamZXcTAYLdHxYXHu4gxMSRhVGD+Owy7SmvykkEoP
E/25S7ynuFi5iVRW50tl1FsI0guQxcK4QxIxZEXaW/djvWIFjxBBRSjvvhHFohZopXXt/GDOk058
QDVfVlDjeJZ+hCfniTUushpT/rDUxux3c/2rQMd966ZOY7PoB1BkLvPD5GnRXauqBemGpxL3vhtC
N86NRZxz50JmIHwfp1tdLeO9Eg3OjqW1dWq6NoEEALdtrZn3t2BpUya14OAqNBR6FnX6hChcHWVf
NEu7h52sHKFtxge9BeTG6/6Lo60WM/KqPyXVFO36pM32q57ZMKjizjfhOn3IivVXzf2duGP5bHrI
JjasozcZz/Kqjur9NPP6wXEOzCpy3Fsjyapz0Qpgi+kOpFbX8AaDRbIsa3ILoTG707XbqCW5XfVG
AYDEe+zzqLqf7KoNspG7DsZQd+PaoXoezbK707v8pDbVB8NSCD/DzDm5bcuEpre2usOMS/Mi4wUJ
xSeC/X0wuvHOhCKAKmIUfgAj/NGc3GmjZk1209hh/qh3PPCV4SU7B5k5km5himl6RfBPh6CLSCj2
AbzqIEKPfuFpy2FIe/2xmiUpGKvhIbdvZzwP7wZVPWu8M3bdUOn7XIwiSk7o1o4SkHdgmyYSWFa+
VsQFh/4pUir10YuDzj5Ctsq/Z4Sntvasdg/d+FD1eX6bQy5g4ZlpnwAmQuDWWjxOSTO8sl4cp3NY
m+5nI+0rsj8MihrhH2aHDtklHNuJWQ5fyxltZHKZZlBo3RdWBOqN3jImeImxV6GDO9NS3fTgybkq
vJyyfIwfptl4rlzmeqYWEyERhUuCCsmN4TFl/H6ABvGo4a9roxESmGkHiggh45txQQG6b+AbddaE
s300cddSRD3rbWWdJj8fhuM4Ztqp8az0KQQYZ6vN3uG9uC2Mcb2xCWD4ix1NhGSKYFKgBdaeEX1s
E8KuUYF9L1e9hMGIPC9c1/JLHjIRQawjeSzKQT92ZEc/ktsGpvdIZM82s3u9AHBXYGvqorNdDGL1
jLpAO/oKtKGzGakvIQnNX5XRMAQ61oM9EOkbO5Wzhq5xR1boMZuYDLl9uOwXVKJ21VDcVeuYMH9i
iV5ltXpWifVvUMf/0ANQ5n8tk9e4IbzTuPDFpqU9mNpisKLVthaT0LEY63Od5e2uAJVJHgpPcU3I
cLaF/dWN7OoY2+MHXYnu2xjA7ZCV8zG0OxZtIR/Tmvmjtbjo0IcjphHplBInyUNEdhH+Gc1lfJxg
l0zwDj7ZLYHPLEseNdiGJEp0e8MzCcsD6cdlONidbv9AwjizcZ+qiE3JIrU0586MTPWMGtMu2ink
gz7lZtPe2Dk3vJaV6qe+FVYCRezeGBPwvqGLUQxUxuJcYyGwqS1reIm5uQn2Zh8BU6VHwocsqdbI
OdVdpKGX6tXfFlJES6Kpt3GK9EHtelagGyveAJUNvrMjVW8UxncXqNBLRwiH2YDVbB3HRZu9nmb8
wuzqRunDnzPhoKckTNdDXQJU8GS8qgRjWtaxQe6G8JXddsWtu/xyHAUxYcMA2YmojLZF4W44Nr1g
HSSp8WKtU7xFt9kIunA0XhpN/d20a8Y71OKWQ5uPg69WwMLzci5Oy7RAFiiiL8tgJC95/YTZQvVx
1MPoaTImMBdp+uhNsXKP8MGxjsNnojrLbWd4MfA8z3lEmDn+qMlcxDDXwSjd5jv7Oc7X296zHMIp
2fKcVUTaIJndtDkgDJY5xs3kQImKvLb5tIaksCAXYDm3gg9rW2IOHmg2hAUGrFLwJjctQNilgJev
Vjsfu2Jy4Zfk5Z21wIMsDTK5C1Dz/Yiw4IHsLohKq8PiuCp+EWrAFFxXQTDgIH1iRs4jwWRjMxck
+MNF4TXDTHer9vN6GDzWssytl7PNhH9bV9PI/E7RfE8z+/txZclbZ5H+cSH30A/u8MQX+7W0rbdb
gYfshyyefAwpug1KsuEtsO9+T1aTBGvY2vcZiGI3Q9R4CG/GiAlv0Q2/uJwECCPcOLBHNg5lkYmh
WDMeWOmaDywrByg/1k2hWPO+n6tsb74uVpE9N5HSPjN/izZS5t+qmR9NJWvsae3XO2smUNYvzutg
qMMLEFuWuE6xPJLa0e6wv9pJHWYoHBYZyOVLa/faWRbKqJHsgQNJ/II+0mR+23jj0U3WG65VHoDW
055CK0iGIXusu9C4CYuZd5rGssZ2jOdV+9B7iv6qfc+74c6dvehjrOjRPYoir7ONXXduORX8tni6
H9puQr12vYUBG3oBkjfYP6zEDQ7lwhR1hfhKmrhUD13TdlLR4EbNVkZlo8NKpk70h8HMv6Ye2Ms5
rY1XcFIxILsP/ciKJLW16FAZY3uOu/LeMUflngUDIKAYPeZqTdsbLVKCrubKI5ryaq/a4Jujg4Si
M35mZaGdII4ZN4TsIn+eteLgzXBm2hzlcQ8cKIGTzLRnlqqxs9ejsNlVcOdgm7UfY6LiW5LdX3NT
j1/W4cHu42IP8X/ar93wc6z7pwWvpN1sVtMZpYpgrAwL8bjoJfIa9WYoenNjLcq6Y5xwj5NujhfC
5X98n/8z+lk9XDj13X/9L9rfK9JTSRT375r/9f+REClZBCih/9qFlJB81X79Uf1pQ3o55s2GVP9L
NZGQ8SzD1gwUM9+USDXV+wvFPuy7yWgI6i2f9FuJ1NT+gjFuo4NgqPBTCd2/KZEa9l9CupR3iQNf
l+SN9//iQ8rXgG16uUqnH//73xHYQEvR8SCjughJmt57uQW1iGtETFblJm+RkwHAh4BYhw249Va7
9NVzhfTbApwPBLWoy73+r21zyOq3XdAo+2O7OJ9sygIQIoB7QlKHaPIe+gzC9R7frMd4BOtb5gBv
CSohqULunHlNRGZMdibCLU0W5O7ZfNmpLdNs3cpuuRc6R7/3uvZd9ry2Ze1aEHbE9GOYPo9DDFn9
7WPefepkpriaXjfL2rt9Lt+sUxyMDTwUx6/7IG/zqjL7Y0LbI1EMM6kLyxZHUTznVdOGQTBBJiCW
KHpl4djdf2tnFab0cssag6pRrOgkj5Zd+YiFpQb8g6OvO8qmLK57XnYXH/vHB/zT5nd9UVm5hy6z
z8IyZrDJxl7PJGsGqChHbewD4C9sNI2sWQUODBNGUaRvNdnUoTLjfT5EvzczVKBz7XXO5VJer+K7
iyqbpbz+bkRqDMetetPb8C3QrnPrAOpyExA1QL2FxMs+jSPuVHmTEisj8qDV6mVH2ScPuRwnb2nd
UgwsrLQ7eZ8usk9uLjTtpjHi7Chb+YRzwZCQD/njWFkFq80M2JkgnPBlLg+H+EayeTmpaDKLnjXl
bjJbzJQS3eZhElVZJJNGaCL/WiYpoUAJCUbJoueZoJBIYNlEkqLfLgpYOgSuu8CpIGP5stovPayS
JjppMRBLzE3mTeZi1SuLoZuHDYvKFjH8IfEddwEJysbkbQ81Q4GgJFLf6sLpXljSAr5mbXltG21F
vN0uP5PTqANZIC75uyZdG7Ucr0e5gSDn6wpsZ4+iWY2IU7qt4Tb4syUeplBRKd0kHgmfOj4SpkUg
0dWRI5xy/6gaCc4gC4/HMje7rMrZGqdhERAqpupqWMYiyz6erOIBuxJg05Z6lj+slF7EsoovYpQj
WVJMxCfDdFvqjl7cKw5y3Glq+8haeur++vVBFTk7XaA9bHHvkhbCInjkhpVNWQAA+N3MiuaM37l7
sDzcTHvMmvKNvprYFaviPyoKRAHXpXuU/0I6cA/Imvw0dUBeC1TCNtXaOcB/bwbqi2NUDN16P08O
IDhzmKcAYRyqltVju5eVQv5KdwKXNBdYYLSOUdwErnn5Xhpocf4g7tBKZ1Epv5S8JiazkCHsdF92
ySt0vVYhUqcjtAeIw0Sa8+Jj3ZXgkmQT854mWER2oA3h5HaqvimSENMHcfeFjvXRmxvgPyZKDU01
HlcFQ2G5TdZMEHTkZXKfK94GivSwFjViS5gHKwRdgiZWgNoZww+3n1rShrHDc5IpxD5bUZXtck0/
IDdVH4Ds1oEyIrG3kdUwjRmxRKcLvUXE4m+v9qkZeVz+GGG8Ki1OI8zCNgjHc6wXfcKfEMtkUcja
temuXr0HRPtLdg1D9Nkdod7H1cAt4ShOF7g5WEwjWs+DlvWB7IojYoMIgvpQRl9rM+d9//Zj3dIU
mp9v7RnoFmlBpd5df+HlZ5LZ564jtxnUPWxMtbhF/74Jrr9SNuXvrc26CWC3QdcQTP1cW7aw+AFg
lNhay5/rSM9Y6+ocWzUofxIX9oGDVcEwkyUc9DTb/3G/yrsD4pgHnH1ByhDHzxx+v3iCReENyrGI
De147TLN4q6JefJ0nL6D1GCIvxbRipOdA5kYwUQ+snKb6dCo40OKah8TA0w4TDFsy2aqVqyPZNvS
TPQh1jHdY1PDiC+pGrJQ3aLmtmnGQ54Q/oQb5+1QsQFALO55eyYZAeMAD5ZihJspcA2yLyyXL04F
WFIfLLj1orDzDA5ApWrkvkHyGKuF9CqZymAGHxrImuNG3KRl1kLXdz5o00JGriTLUjVrF9RFQVqG
ca8LSHR3wTjDrfPUudhHAKZ5jPSUG17c4Je22fTY3HmAmmOgFXbd8qjJy9+KCymLdXHpbBbIeDqB
HtKzhBQJzI01/t5c1R46JqG+FDOvKmHE4++TN7esXZt9a2v7CuLf3tWSjbOsWiCLKNJeLWQZhUU5
Tq3i1SkLJ+F9eu2TzWoFTbSRVbmP3Hxtyj4jFaoti30jWyYjdIbTCae+VGXvH+e5VF3U0u2e9569
jCB3u+aWvMxvi1W9g3indo+Vbo+7YYDjYmoQnEaFoFxleSoItyLb6TX3WS6mkgA4mBhpJW8NU3Re
qnI7L5V7vNggi+StvSkFcWcSg0wrXXFlVXbKohabZU1h1swEU5CRrsfI5vhoDBYgFHESuUn2yuZi
izEr01kk1mQNmZqIdiJOcj1THKZwFxKrnMQEhay82FzJ+Yys4pzJYCw68WMpUfuhyCSt6dr+x82F
nDfLPeVBuXxirueUh1+bl83vPi29HmMRvz32Q335BvK4P77lZcfLORxhABqFsPLbjEG/QkGQYXpi
0JPtkCXkDk09rKBFnyyGt5psri5DptxZ1q7HyuawNnGQW4hGsJcZOQyssopG2go7QZxKMcVwK6uX
3ut5rh/FiAhLNxdr+7fPu368rF13/uOM13O9+4rvDrnuNye8KdzEx+KuDjTx2Mpifau9axpLgXke
3pJwANlZF8NYI2Yb14JIT7sPreWH7FLhzYBBFVOz6y7vmnLDv+yrqjjbJQOEGrkfGTRO+O5cl0/5
x+0DaLttYwPUv3zjtx8qv7vs6+RLSlav+8jNmDfw+rp0ip963cdC0O00Nr5XT4Y/Iawq/0FZyD8P
9WguOWGk4qBk9oe6LjsMf4eR8IfHPLIYx3McFSDVxSwNPEAVOHLKJ9vX4tLZllqIyAJ+xe93MsSR
l1PKk8i2PPzSKdvqAiNHA/g4uWT+0KwlYDepsHqn1gv6HCVxVbFwYGuTauOiLrQ3rdZYwdg5IAgN
BWssOezhGjohbNHtHKhCPkQkHBi1Vsh38iyZYi45yLnkKmfacczvJ1UDsUlTqz0BSjPwVtUMZC1u
CutSMxHiPbLU93HA5dUo5k+enFWBfEavz9Bbwo5Rom6VG7BPkPflFG9OWPvjZsuUKxHjdyQK2Wkr
CMaMemeifKo96bHXHnI1mtVtEruBOvfLEfEnK5hFMZhVfUoAPgLQ6oNUrFpkrUAxIkUK4IghiRr0
oiAIuwZda2j7qLK+mXCwg1Gsg66F7LOZIZDkxUx6QjVmo6wNSKbOUAK9W+NtrsD60Zr009rillnI
4dgVI7EsutUaT1X1qvIK5hUh/glLzKvkHyNrspAb8hr+ODIEpWA3TsGl0PPYBwx6COW7sZdv5lWE
Hybxak5lVfaqJSkqMyXTOcVj4Nmax1oj4fdG7eK/31kTb2t5mNwiaxbhXUiUQdX24KXeiuKt9q4v
aTQc6QSzsywbwGbeMoIONkthVTlhH0XfdYOszeKv8iAbAIxkNi+vr6xdC5Rxfl9z2SebvSaCPtf2
pbYOj/FKFiS7rBbECeUGecPI45LIuettNKBXMVoOYnRlblhC7P67qcghMpaLvU5sb6Sj/HVXEnom
EqTgZP7YKTeSY5L0+3hkqYp3c9j5KBuOgeugl+XhHcLkSAMXldnAWFlgxOASnWo3GvVwK4uhwTKH
CLrvqHPHoKBhtS6LoRD+7abp7kZ1qC8v8GZcGFyu77ACOPW+xs0Tb0h3CXKj2U0ocgSGWKJporg2
h9VEHuzaljW5j9xbNutQzX0ZgvyfGmM1NFND+/BfB1k/VEMf/9vua1b1X/8MtP4+8Hek1bP/4soI
GwvPsDBvEqY4vz2fNNUk0mq6SFp7JiYXQsX070ir9ZdnmsznPFfXHAfV67dIq6n/ZRKZheGE+jdp
dI6Sce33ce5r+795BhmOkED/M9TqcQ5dVTWNhx9lW02IEf6h/uupXdmHgEJvUgD1O9JZcJtc+C0k
FjuYC9mpi+JwA/nvE656rOOWMEjn7tNaKA/5EhIfaOAYp1O7MUfbOejjCtcC6B5sURPiczQ9oExH
LndFZrQOQmSaNytYGNDZ605h8X2o4mgfayk4ag8eBekmHJeLp84ePhkrGteEhQiDlnfxDPqxcR/g
CDGKoYJ8MlroKvYQbnPN+6yyCPK86iVdVyJY83e3JlaRm8MBMcIb3CkCN5x9L8OQKtNwOY+dc+Yt
YJD07Knqk28GZhXb1S9r8PaN2j1lFhYQoK8cmHWxidM6En+CzqXP1q0mptKYlaM4gEG2Uv6K8/yo
YniRVAd0REVK42FAPHOjY8E+sgLehdWvKWZnkGDEBU3zZZjM3TSQRnVw5MEiDhxt6CD21j2uVVTx
VoMh4UX691Uz90s/NVhG6U9Njt64bX3oJxUed903m3Twdm6rfOmt8bluyq8wsse+2HVLegIkjSy4
ISLS1bpX5vYFnx6UeSeEAFl4oc6WEpUBuBrZZ8WBUKTNH4kEn4HwYGc5FWdLCN5l/AsdFhrQqseH
OkdgptYZieok9jNMNNP6qQe7664wvzV8ZtfUmoFDhMQT9ORrs8SCxYhm4OpmP6r8Ad9m0uXDBwKs
B5tzkMesEZVJEuQqdHWnG6iyRvDZoMcqd2GWFdvEmr+1RXarxEq5aXKsaL31KU+eavu7OtvnqRZI
df6Epa7IHc+lD/8Xx4Fvbpbc4HKqCn/1Z/QQHhAoxdIEosyUEI5Tkdpy58Y5afjcbpUMuyZtcXZx
Hr8MxsQEpe3PWa0j/eKMgCbMbh9D5AJBkx3IBvDvdUizcTGZLiG0vKTaa5HPxs42oIDDEbm1K3z2
NLjM5gzwrcx9q4vvjBHDEhCJNgLl5afChXIQQ6Iu1Y8mAk91hpO6QMVsdEf7iPX692U8q1551jFI
dTNGj8YEJq7ZDnldZG766kM12U9r4Z6q2GTqVU/MaFBOsotha0Thg22BqCnvHCVKoDxZT6tTzagk
+RaYpY0F0nyv9ivY0gygyETSvDcygKp/Fx0cqF1V8hPRdfE2XQYuGVrA8skTMqSatg/d/ueQASrN
XKikK6DJ7dIULzXyRZ4+2vueZbG2mp8bAx5lH2PyXTpxuUOUBPMd4zEnI+lHcELg4ho/mhGtgHIZ
dx6SDaHVY2AvZmJGoq+X6ZisXfsELhoLTRmPlwXm1FUga52oiZcxSE/30++NIqrb5AVx1kGmSy51
Za0B8g+Axi7tP05HyplVu9oTvjGRS5p6zefGvLSylr9pj1n1sgM/1xMrCwmVNwX0g9ICm4ogIaP+
kHx3VLKh0FWb1u+i9aCTwfUL7GyIVHg+8AiN1VLFRBRwQR9EmNZdapNRPyxLpiFD9neX3CNt9btk
ThzwvH/vn4g95G4LY8kORkSxUSoWYLpYTNY4OaFLASow0Qkryj5VbJC7yAKioHWK1OO157pX4oj4
OrTwkpebFsgjL2fq5flkx5ikT6g9tQeXJAZRTyy3B2T2MR8xn6dCgSpyrKcs/Qrd3cn1jteNa3ye
qpdwHQCMwEs5ks9vHrQO9gNe9yYCCeNxgH56g6HKMw5x7XnQY923tfJOhpOGHkUrYmfJKcWNFLi2
Hkfr1zkenyCyewArQKoo9cEomo01N+ndCuD4dl7GZ+RNKywy0FgNnVWBK4e9Q+voSGhE1QvyA0y+
0INQ6hrzoRRNyhzR5T7uUT/6NINex1GoC4Nw/dSioDBYyufVcFU4Bu2K3UnaI6AEzkpXiciv3dem
0xwfva7Oh/7zzZxBVfVWg21FN7ovCQjlwnYyv4c/sq8VtzhhT/q5WYafZTx0T7YaVg+60Jd2kWtT
+uF5LYeEGFj5MEBGII7YV6/2nO1R0X4q0hjGXGe3exia6R7N60+QEFZkfRo3yDwG3A4n6PjHUM/t
nR4/ttxdB5BP2LKztAu0EpL5Ug7NLowI4DvJhse4hl4cFdHJnJv4aOsYCL+FQWNiYqUv2+64TY3R
OyFjpRa+TIrIYk3C+3Ek2cRsomChphKz6vtuWveuORibWizSza7jiXQccAdgn+3ZK9atTIasuM3u
rJlFiszrXJM775M9S63q6Fosx3iudMKQbymfnhcw4Qru0DaQseq5AxymKOVJxqRliFrGM2VN9l2b
zlp/VCDE7VUR8pBhzaVkdN8sJRLDzBV8DQ81wmNAkuVWZD3wVNcNMsJwOAjna90GaHVykokJWVia
4RJhfkuuuIb1CswVNJ9Y1FjMCohFlSfAIoAARSHTZdemFk/FNoyccVu4NhHfWeQwLtVYLBFkG5HC
UViYfzfxzSVIDyI6JXfGHcnfgOgNQaYct2N/Qn9XBvMrEcf10tHayvD2WoiXYywC38jl2sfGhh4h
rnqcoqtS6RjkioXl9SrLePdVDUluyJfsJ+Cjau8VmLhXE7lfWcgb4dqUNQyJl22P39rluisiMiuL
a8qvLhxmL6CEEKa0mxd5L5gyJCSrmgw3RUiWhmVn7R2H3K+KcKZY34dqaOJegxiH/EdlskcWvWNk
+wF4Fk8uf6Ms5P8dpZ12tOb+kgqS+aB3SaF3fav9uanSHgThW15I3m7y380K4rpZ6Lr45ZEhuRbX
e/B6Izq5CTK7xdxGBqeiHCWCsloPMk0iC5me+CNVAqUPOYWk+SmTFJdrd3lGr1mKpOx5tWWYIr9d
OCxACf3+0zU0BsT3J2fw5bUZ5TN7eXIvdSutvzspDMR3WVl5xd71OaWHWGJeIhrylqq95CbltZOp
W7lFV+IQQUQVpNzfadkeRB+rWtHuUhFTJWIE255ZSCIDQPKRkY9SLKJAsnbt0yLt6HSAw2WSBBwW
8+hyazkd6DiROzFFDkhuu+wg+qqohwtmgbOWeRKZVJNpE1l716e0ILpwmUf810V+m7ERrUMIwtFm
jtf2xktWhGPFi0MEEGWNlAqENa/9cs37Xa9oYcII3Mh2nZS236WE7MQjKB/JCj0bdU9ahDellbkA
6cbIb2Uk4vKexfCrSS+PpAHMDIXGNLxIodkdZHGty1FiF5GNP1TJagOx7xR6nrzQZWPbGUwLnlZZ
hC5jPtIvyMVlQ8YKRDyVHvAchGll9druXFvZmbnKxBMW4O9ktLzMMiOtys5i7BUImRg+vL2eZQpP
NmXtmu+VfdC6N2HZeECK/85FX/K8MqN3qXL+z8hTgZHHru/giUGmEK8aMoJV4bvyJ8zGLH6Y3Iaq
4bqXe8wa8yNfVuUmmTG6NiMAkWgV28q3sa7j+Bsc8eIYiagr5uAVeW5q1+Kf+krIfPnmug/sFP6a
fzrFzFplj4zOL3maXB6HPOMN2Krk+Mdh/3Tsuz4syDG16gxux7dvCKHgK6L2mKeLrgpSk91hVAHO
HLqjGI5KkaEyBZZKFqOAf1z7SEITltRVRMpa3TnOUw7YciiOhi1S8PKISEKu5CHy4H86jdzwxzHe
4uyt1AC8yY+HUvWqxbqLqp0I+snTXfYdJcDF5d/AvSQ7yu2ysMX3vWwdkd9VC26UP1IitaYiJtvH
yAaR6Frw/arK1h9FEtwWeXERFU4I2x+vKY9ZDu61DP33lZYF64dKJDwVkbhvRC2KbXLMUVh8alXY
LqF4AqBKhQf48LeNiOiHtQ5/EtRBebsosP1lMFGGTmUhm65888p26hUar4sUFJZ41C+FfG3Lat3D
hWGu2T+artofJpAHhVm3e5luUEVGwxGIAdk0ZfI8LV9cB1T6wgJvZ4o3DwYqJX9bGMjfIrvkD5JF
lGr2cSzyI0DkufZliFmGnRMxNLoeZk/wHn9HHhUGBpZ6AhugpnlGOqhctjHAV+YKAmGxiEFU1uAL
QsDhRhSQBXz8PlsT3P2hEeAwUciaZo07Ez1Sv5epbLGrrLW2CQYKJjPAqzaQUf5s0rkFNfHGlu3J
zAkqIdZg9pZa+Yl4Pzgi6V/olslbMvzUj+sE8VKkn2Ra4lJTrSiIlc1UgA7fp2I25Iqst6w1/LBD
ug7nFEUCkCDnUMAArnFXe4iHHSL+w6YWk4qiVPndcBWJg7OWV7ekcdG6Q0NhJ/MJAMIPMRHA45pP
kbqXSRqg1A+NVc0HeeN4IqttyeS1rIa9zoBshrjWROtJBqBV4lnL9hqLLnV1OaI74KNAT5ZYjOWy
xjViXLh2qmOs7IYWxU6w2FVwLQroR8e1cw7XLkvcQX1URtu+Q5G1Jgd0EARKeTaZAJK1axGJO7UH
KjiAe9zLE+Vy7JJVe8Z3Ak/YbGu0o+X3JosxdOOiwY+JQstEhiwakeaIrRjRtxzunUx9yA1KRQrK
7Zuvobg08m5zvQJQimxbEp8CO3Hg4hpfYejelEW0MCcXN58sEmKE6rYoo18E+6DREuYERaPDICub
5CQFJDzM7QMVPTYW+wJ4Idt4uUx+Vru7sM2mIE37CRDISGwcHQMwTbI3SRK+nFV+v2YtopCcxrtM
xu8+9CEUD24UtM5RL6v7ZiymuyFsgSbpe+Y1BIrGZONlaLCtxZRse1v5MLprGiRqCJtbB+DvelV5
dEqkTOq1QH5NXZN9q7rrg1Y8LWrp+KZAjNfNh5oE0E06V88ruuh+l6CZ3Bv2Z11b4tsJKem2WtWH
YdAqQEd+HbpnptvpeVhUGJZaswFHxgMRxfsJvaN9opnb3DUePKK5H90EGd5srEuMNpyndG5EFAb5
g1F1AvCgDtjyERmWcH2EcJ/4CLz0N/U0ksawQ39qxGxhsg6YOc0IeynnwWH5sXRp49tOHG0VKPaI
2HXGyezyO2QalT1sjhJpIe5ou7GHUz8MvocPwDaC5n0XOestWkAKoeDldTI8KeiwbEtnQu1RmauD
bmE53OvTPZEt2BRCYFnWhqz52RkFel1NV0OzlZPcwthmyhyjuN2gF1QDTEJcDEVJdAyCMnIQJgtD
lJcwFbjL84LAJ6vxQ4HyYI7KtGqYlY96dOSX8OWRRLjndTY9G0OCKji89q3meMILWZ2OEfSPe6ST
tvDlRRgEhS8rVSFTOvNhMaLhVndLdTvW5IkxnAN/WKHhp7ju2SjbEs8JjC9iYjMmcuKECh+tWnnO
PaM/uuBHtZ5AamEM362kujHgcOwJtR6HfEWKcKAIQdcjnoI0Szj+qBB6qxZt664TYlih8WyVxQzH
LElh/S0vs6rH+wZLiI3Mk9Y4tOzTYfhSmTOqb6WWb1si60uqfrM7grjliD5nCLNmVYnwe/46A58y
7AEDBrPfeMakQ9NViQTn6VNja+gBNXFPmtKoCY7N6iMOy/iJlPluVUt9hwJXc3AZKbZZM2/GPoL9
6MEpJQi+nRvUpS0F4q6iDzvHimo4lKj5ZUW13kZLNGxspv7QJorpVK/6skUiarNOyY8xh2sKa54p
7C1mBz9VLULum3neVtVKh2xrvemcojobBjTDoeGDa+v/kHdmvW0ja5//KoP3ng2ySBZJYN650C7L
lm3ZVpYbQnFi7vvOTz+/UhqnE3dPgp67wQDnCI7bNsliLc/yX0wNDU8jPAJ7Q8opctACwednhQ8L
mhZu9a3Fwg6aatiC7+ZGXI7aDiooVQp4T2OrY8Q3ZtvIbNtdkBtbH//OlVkgGeUj5Ya2hLdCtJH2
Z+Pe+3qGZ5lMbiu33elpme1Rw/9SQn1YFgaaqv++6fZcZPzvf6pG3X/IDz9TIf7XXfRaFw1arr/8
qf+HGBLKohF2wv+5e3d3aZrLK/W0bxSffmzf/fmbf7bvpPeHJ6SLCI9ys5YCnsKf3TvH/MPWpTQd
2zGFJfiJv7p34g8X+oLjStoxwoRn8Vf3zvhDKNqF7rgmsj8W7Ip/0b175xNGlmk4uueYtmHTY9T/
5rNtTlJLKHfu9Ho4YqTBQYY/cYgonObCvkOae/iNNdo/XZFmIQQQ+o9Q0t65hKU5JqAzyqy7AaV4
zAVnt3wR8pbyExJvPqo0P7yTP2k5P7YnldHZD73J6wOqRqep0yClj6poIj/0JgP0muaa1gh1N+pR
BYYZznSG9n2R1Xz+15fC3BXfRJsL6lzt50v1Dl1EXJ3K3dQkb0mavPla9Aaf1k2CL7++0jtui3oo
rmS7mGUyB/721lp8lJtQBd++NnhrD2VDNiVJ9weQwm/G772r2/Va9HUtOsm249Lj/fmpghIROExv
ENtRUmxwtM5uVa9KVx5GHf8qNNh7VI32ZIaY40wVUnnO0QwqqOH53a+f+p0F5Pc7UV7wvE2Drve7
8XX6zNVabyh3nkdemfh3sptOUzCeDW06j+V4ajC78KPgdyPwD1PIhS4lJVQi/NlVk/3HKaQhWQJf
qWAKack+1ts9hZlFXAynqh1PdYfQfB5gLzafY7fCR0mLLrVVb5AWYv1AjFygXPIcy+T516NxHfh3
M9uV6PbDP3EsKd8vXVkXHSCevCReVk3D1CY44mqtOSQL3W1h8N4RzvONGEdjOrcQaNPHKaGtQcjw
5NIpRyNvM8gAbMJ/dsF/WHH/+JpsR7A9OYACrmiBH1bcjBIHeoJZudM6+lYlnmmrmhhlmgYWuMWK
cNqlI9pPpSiq3+wtxjvrye9T5Idrq//+w7VdF71VrUtLeBjm/aDHMdaLeJEGND1EPZ4xE2Eo4nE3
SPklwvivRtvo10//j5Plhzt4t70NSYZMSc4dzKHA3c0Zz3KML7OStib/ffv1xYT+3v+YJ/ZcPpiX
aBML4bybnIWf2fi6lRmCXCVBn3OQRYJqF/JOk94bG6vKthVuImn00rWY+lw1olJ3OIHa27VeD/hc
nw4uv6OkuT2fuWNqHv1Kb1M2+rlEitZL+mOgw8o1u1MRb0a7+ACm482L4gvNClxr+vE8pxsvL27L
ADm1LAOBzd9RP98plH1P43wotsVkPgEIJk6l3dK4aETNyCwwQZOEH7JbGOdmd8znulo4NlJeg70s
fLq+akGN/XDCUHffC3rfRrhLDbKr0OzxJqLBjR8kQmcW2pbVdBma8SGqLDyMzBsfCdfC4x5ztHuQ
+nhoHRTL9BDD3QzO/0KGyR4dvB16ecgAwz6u9J3VfE26+IJr1wFVEXPZexuSmXZBekJeGL9ldvpW
iPhNzSfhMYWNnGeIcuTYm1dXbcVqZHTKDwTuzaYcyoUzildU1P0FOfabDCNqvM4dLECk9nkuY5S7
YeyfkR9d21j91ozndfNoJaYsNSANrS615ThlF3g0ZwsmN9JR03nwACjT3zwZkcvL7i6DxsO5c7cS
MVh/pSRGnxJAX4stemGMAEkdXktB6WzK4Ef4bGBq+H07fhsSaBKF9my3OAxrELzrrNnQSn9rneAO
v+ZwYU0Z8k6hTl5evnqEsfT2uLOBrcee9TO4+2PsfRvd0lzY7nAOB84JAfCm9dgXS++mChEVKbph
4Vvcie/Oj6OJuBaHsOf2Jw9PsCyzD2GCuKztNd76MVGeQbJE7c9mCCCcr/KINv94QGDwoi4Bj+8U
DmqiEcSr6yFM87mJYSlo6cWcKYWqkSL4OaKBdXQS/azhdatZ2ltSJBcjzi69g3eIOZ4rOAmLPly4
RfBoFmJYTLVxikHdWDqe6VWAzj4244/kDfxxs8mWk8f8tDC6Qcvjts91rB/d8GDJlC4o4cXMHS1z
spaqjFAdq+JLnGDmzOl4L4P+G868yOYp04daetO2So7Ft8xYGw+2A4eizeUN6+r2evf4JyZQ6vqT
OnfjqikW0UXQCZ+r6jJgpoZ/9K3XOogfGljeWMhep6F+VlN5UIcz5MOjBu52MfvZLjZ4NxGRxdaq
AqAs/dmsY4TACOv3STy9GFFe31oj99alIZ5xiiqVvEm/xo1F92FlFxhPoFdwf52OlR28xWrhUmLA
4FFLP5oieHTwYVz6Dpe+biVulL4Ncjx7KWulIOUFUd8MZ5PSLYk3e3GFjgCm9BimFX68kF54IfHi
jSYItSktpml6AgsLeT5E2q5XR33YieUwMoXKwFqOYyoXcTudDfWilkWgv/ozblXOo45396JzuhMu
cuGbU4ASSnX+RlsHawflCKdOLlpl7aqo/QzvoZ9YA5jnLLDOu7haiQ+mPm5lx5HlDYTAI0w8LNs1
tFTUD3jdlsIPi8zpz67aM1uN2xolt44VHH+Fq+BxlK5w9To2Sp3NnRClam9LuuYAomocgzdzPR70
Wnngef6djivhwqObuB10OGwYX4IsWOVmNG4GBL/AwwbRBpWGO8h+mE+O4ixTtbokUm5qx5Qt3VAb
CcHlqOjOtQFQGY6VtwaxvCoqH++QuxmbzltKF+midAEGoO7vIgQOAbDJl3oI0tOs9k6rFIJLdUwW
I5g9nctKXXu+ij7FUsO6THOXom3uqklr8KXNqbGU1lOIwQhC7KW3Tsv4BZkfCH05EiBeysClhr6O
NdZVGjJWcpjOeoqbwHVCXoMX2cVv6jiA//NmB3Kn6QwNW1zbovk3tfpXCq1PcZgve914HHyszbp4
k4LvWPkSuuj3VzS1HzpPebwEN9fJT8JerFzwqxqS4srYI4/zi2Egw2ikVOSbKUF3G7FJm2kdjn2x
LsBPdHjire1CPlW5N+0HHxicZ+abCL0n8vtSUuPwG7hx9UvVIYMVYLrpVhmaHJqzQsThi+wae+XP
EBAML2kxsREVNnWVADbHnDcDjcY4LiHT2PVLW2hr18lYlFQfEHyV4aI2gxsHWN/C1liHlg8cL8Cd
sYtnjAHovyjnwXg2sI/REXoGVdxSofT2UZ4jbNhW4ypzQqTtWIS1LLAkx7LC7Qnb3ekbxYKjgPcF
9kv3Fn7/DVVmOkj4tyHDRYEa0ahlh6rKBqcovsVmXlEHg8Tar+2kQo1ZvbsiVetwbt9y69zU3T0i
DsWqxVVlRRHpkoSTu0pQtV302OyJGlVHRK8HYBrGhV88CuU7SNVtZ1mBBpeKmMgS46sX2yRJXgwI
D+ykl5jtskzhNhU2bDI7JL9An25lIa2MrA2xrN9RSum+IT43LpEswX4BgxsLKaxWnvORJRD63dOc
D49C7eW2PM46QkN2wxINBvMjTg/UdtQWZHdZpIyH1yHydZ2DbhVnW9nY59Fxv6UjyxaEzoszOPpq
zmN7Yc6wrAuMcpbpwFe8lXSFxvZtRXqwsUroVyXv3LQCBMlQAaAIeRu4wl5RKX+Gyx2hV9HiLU/3
dI1o4NXXttjNwW3jCIMVTmDQsZZXeQVEFNuQcJE/oeHdP9FlZaCK5k7M7ivVqkfDcYcvceAuwwSp
wwDn1ACvGwgirTY8x4V12/cmMG+0mFbxEH10mx7JUS8ebjXXPiRR6m/NAp5g1W8rynh3QTXqK4/e
67LFloGmbDgtzbB4jTzkDuYqTrY5gJbIOHvI7VEz86hVpS8RR+lKp309ztV+qvC18HRQrNVcrZnQ
4JXGPEJUBh3GqtZ05JCrCWOMaV0kcl+H5p3eiKd8kAjmfb7m5BbTfsiTdds5W7fxQa9lSMumdPsi
yZZpiwd7rPMVRkD3iWzx0dPcXYlCL/wAmoEpciDR5J6NaCr2LTK2VQJrOMi6B91Ak8l2sKITTXCw
suqg/AY2nQQ9J9upXyO6hkdF1X7VBom5C0KCIzZhkRl5WxT4D0CvKxZFcvIge9rZ2R2wTi1VyFCP
nKiJDoek9DGfCQu5znzUYg3CPNt5BRVJsKl0B1usQFAnvIcScus7UBkircbuJ8ZKgnirH62PiGfO
C1jxhFRBQqAFs2xZgRJcdJL1P3nWrkcdcjEWIRKXXNCrMFoFfYgPVcIR0AuEIQdkqZEIZV5OKMDW
DYYznrt1aIwu9AgRO3heq64tBnI+mxpqrNu7cKw3AxSd29BooOsF6BnX46abGsRpvPo+Uc4tNnIo
q7y1VkabOODDJmTv+/4TMnjtEskx9CR7GIqmm65yN8KAQ+Q7xy31lePA3B8guTZ6sqwanJi8oI62
Q4fuJyXyZc0Js2pDf4ItqlsLTTMWWI14a0Pzv4CKZToxqEtYN/xA226Bv0VrW4ZvJtqnrMF0ez3p
sCslybRUI6QBzD0G1n6u5wRZ8HLHdubh4pifRGWJLQ5/yAEE5q7zzFXIqbAdtWAVjCK8Q8EMg6Hg
JfUrnL775ktaaT7ijRmOzCL5XKStB4H+YyVzDR+QfpMYqDVXbRRsLcR33VY+w6uMNmRvcuNH/Z2c
Glyc42I5ZX21CKOwwJp2XOmC2GCGn+GOSh05J0w3OqyyDCbBrEJK1xA9lCPvYJM+LFzPOOcCeLA7
EaZrhMl2hLzpVGLow4H5vboEAhfnqCQi/okLpg9rnca29aG3xc2EZC0hNO8JFHa/wBLoUGgV57sg
zpI6mZmbL/QBwGMchSiyqrAVWXPEG5FaoFmXtihF+2QzMQYfmzobHkYPRL/ueFvNGLlTkxc0aKDO
5bi8jgmQxuciLx7Ykz4UbnC8hrptTJrpinZcNFF8xmYaRHnQnoxFXYhvmKqxkPTq4pVbFSkXvsAT
UV9YogyWMtf7baTX4N61TzZ7B5sgtm1+kK9n096p/3uCh07q+G3G7oMgPs7XQerfa9g/Lrycb5UD
ZXhcvtDbTC51TqCB+PLKqCAyaisT0tlt6K4tEtNNGdXLmN7jsrc6/j7RhduR32W+tvbDjIWL1Jpm
VOtU4zXGKtkC6k0CrUYhdGsXAyfnxW/iL3Ohn+241paBmVyExfgPMx29jDxNkx7ipryxNk7jRUpG
gigFgwu23enH4+zYTyDzjh6VQ5BebEvtunerY+GrJWbPZ5tzGvA8ykhxibpVVz3hzZith1GJtObV
DjZYiqZ9g+NyQ2enz281x8o2YDnHtR/lnybraAvySwdSZuKT65GuAHfElEKNrIbkLFLwKqRq80cH
qb8SEJiyBsG4sfGX3syBqtJS2XqfBYrYwMabyDK+z9Cgw8Kh9uYDPEjU/v0RUAPvWt1250qaL0hP
9QbZQg8zSJg65uNmsZLQm5YymvQFjJWnKPXop3JSG1l/MjNvgGgBctocTuYwHaKa4BgZkmtkT4K2
yaLoTfNQUoy7/pRUxD1ZGiD+WyA11pGZIsA+C3G+voMuoiMKZ2QX0rJZ9GpfzZUK+qTyYz2cPlhy
unT4Di3KOprWru8ZC8dEYfWaJZvpvBsd7ajbhFpSV27vrEOjT5lc6iYEtqCeSm1zidwdwRTjRCCu
ktUyng+d/eLEONlqxYTYibiVFWuisafHSstvHWc6pLi5CMoQkzHfaBO/meT8hPrTqv6BD/yXoXix
MFsDsoqHLXMEtfQHj5KeKeSu6NzP4GJBLhvjLSK6HBlOdDFVio5UZ6L7H67lt+vNG+rMKS3mq8go
VMQcUkYk3lqZr4aC39SSjDovHrZUnlW+CwSyYcInkTz6GbUUYzy4mfGIZ4GkBIM2NQ47S82+R+dv
xci/qA2jy8uPtGwTZBlXzojbXWTWTFKGB3ctNrS0uSXQIAgm14NcuTCrp2s1uQrY6Wr7s+ZKimeC
9DKxpoM6lwWOOu2cf6sRersm9X1ByN4ZdCucwru1cGxp0QRbtn6BHQQgA0IMDxz2fGYG8xuBGWFw
voXktryuWvRIDfLa9Cuy/EoSkjnv0vYtvy+0jTve5F3zORlJQNRGW37Io/5rXfUntZWotxrO3U4W
9mVMw0tsvMbAFYNGJss0zdlmtPvJFLAvECmfIx5blSD6htUTjOPJdp6TLnytYBDmVFVq9KU51fdY
fGkItDEmvf84zuNHVbuQmqopsymWrcRChGKmo/HuVeGyawTZpFAHyYtgdVSSQsVgWcl6zDi5rr0B
s8X+229HnsLHAkEz5nOlNW9jmZ4qD0NajMm8kOUPzIzkPsz3Y4UUimpgxAZWX2iz3sQ6RS/4JpNE
ltxKyTtUwccOwrfJoqohB+46bLQ9rZ4tzjhnR03t60dUq+LUAlezDkpUhIcWgt0ylUe0JFBzq2gw
0bDAsWd8cBCRXF8LC+Fzak8ldugultwDEw8+ryojZc2yZIKjsoqpC+AMIgGgCViK29TZ8ds9Z2n9
veJhetklr7tjn6L5Te1E2iq3ZlaqDmujIaraUJwbr+WzeBt5Jpo7rn834HI+NezqHoMTCx6TRxzr
4QvFw3VVDyjxo/rfGQR+mYFTVG/cXddDS7e/ljWZfURChcD4Smbyqz3jcZBUE1dO2k0wrgLb/WBK
sXPbmSl+XX6N82z6PbmhSrV9LPdGM70xqDH2BTnbNKZYwjGhVXrPed9XwZsEX6CEYtfdQFok3WRf
D90pHdDsLoWJjZ+KD1AXWYY9TWkVUdtUYa+ZVqBKZXCMgFsCwWvbDKVhdT7ScFlca6SZxqkbUXTL
7dtBIz2K8dRbyIDoLfdQ8KZrDzaOF2KnTMlqFmykVO6yED1v3CZJT7WlbwwFlcFwi/c2OajXYpg8
RU+NrLxtvB+UQQpGd9rKIEHWzeIxlEST+AxqCx+uERISdsX22scv2F3AgW/YYlI7/ZrXvXG85p45
tk1RjHBv2jBErZO91O10ixsGp5Tfacu0zQyI74AXjYyI4RiY1tEas7drlUbTeOg6jVZVCd9G6ni2
25DF7ZCjLac0eT3sCBWTdYXZPZYvbOk2NixxTHg6OV+dENdK7NGUdYKlhJrcb25CyltnGicloqLX
SjYEJgowymog8bCHSYmRF7n3UMQw+NVWMqm8t/ToIYVG/sEa5Vs3WhQQ8UYrqCJEZvgWlw/ZxBES
z1SU5uJjM7f3pUbq7RfgsafUZkPleDODSVuQ5B2uOXMOdGJ5PdsSSRjdOvJb1WjocVCsnlVpStgs
TGQ9HSLGe6oMC5rV2UI23QrLciggBCTCxijI6rJLjdSOO21Cze3urmsZkWxy1HK+v0Zz1wcl9JpW
pW2xN5PkUZnNPPXSTfDQEnfzPhARkvrVqXHLLx4Nxm1a3RmT/sm3CbdLmgB+kH52cPlcmaHpU3KA
BabGRlpE10O1L/IAGXBm/Zjgh4FSrYbx3ooZsm3y6ZPmE6uUTnScvcfBAUQB77Q9mCl5KP5t+U13
13CWspXWYhehGhzzaDcWTmgupgZ+PX31TeeDZuXlhvR8C6mQzc2bumXlZR/LClJUmW3SmsdymVp2
jtdvjoho9QqHESk4+x6V3b2ml5/mwHWWk0OuixiI8mcq93niIFsl436FtNdhEJG4G/W+e0L/+0Xx
wrTMHnf4PQLJ8SCRj6fSC7W1Q/kOj2CtXHSYnS+7QqvPzbyZR/sGKriLGIRZ3RpmGt8jVIWDZrrq
RtFt9L469lgyLLS0LzeJ6N2N7FxzjQmuvayqFMtig7Ah7sb7JoKfBPBzEfbhvEGekaKS7/e7IB6e
6w5btixqlgPhNunRJceeeuW7Lxiqb+ysWThNCU208FSNNIh3M8K8axxTPmRVgst9Zye3hj9gGGjn
D/ngBsCFbP0kqw7pQwHH7C+tN3u2q32MW1sgRufm+uEbfNV9Ahtk3DAX5J8fduHctPFE+K+Dd7kJ
ctPZ9FP5CLZY3lw/ZNrJG5uVMwRBAc0YkKWd5piOyGCNAM+VbbAKsd5Di4h6sQzZaa7EmEFnt8Of
RKwQioaKmaavja6Jmy7TP+UlDQXM4zBkCHFiuwLdrx9R4n/y6slbC7NCFcINf/y4fi8uiTxCPNIj
vHSmtJj2jKZ102aDdXP96t0/gZSZ2wB0a6Q86C3k0LB6Kqmk5rF+89dHOQDpNbwSO7DKp4RTjRGi
E3lNYFCuoXVgEaglBasfz6ts4bALmGj6B+ZTNiDdNnjdZjTHca2H0W3WTuLm+tGFiXlTN2pdUfBf
//UfYp8LpQkVDUMzjZvrB+V+8f2rLknACs/qvziDqk3qwmK1RtUDiFKae6V+ahJDP0FgDWDxURoM
fbkP89y5TUT0Ysq6urXaFr1iLcp2GnobSsEPCnUA/kovn3SJn29bj0dpdOHSTNJ47yGuTCEyRxDL
9fKlm9fmo21o4jEK9XIt4zBae16uZNAx+raICNh0Jq+h+eu2TCj1Twrt1cPANa7/GgcMJ6jwI3jv
IQfbddxOMEzlaTaz8jRZOOm5BXWK6/cc0rAW5eQHS7sfE714nKsjRbFp48zRJ0sv0vtoNZIaSgD0
SH3CVbYSoJBqnJtOk5S/1Zd2Hn41xkCspdOYpACGeXP9qldv4Yfv6bLZ9IH1EUwbzKbB7yA2O580
HQnRUYETrdwJsA9ajEpOr1cf16/GPnyicAbXuuQEdxp9vAlk+hbTaF8ntA1vrt+6fuiYoH7/Z1lj
seKkZbpm00v3gj6DmCcWVPiZG3xMemY5/FRYmal1nB49zCfoNvHhTtMrxxE25WDJnyaxLYb6ydZa
AK/FtHMtcy3UKnbU6sQcVd9Cmr2tsiZg+vlrV8vbDRX3W3sy+I4As8d60tfteHSUo6htUg43axw4
IraaVVip+LSGxW4E3yVXmqiGxNiWmLdHADet6DFTopJ9Il1AvGq3SZU8S+Fj95d03ta0KlxzgwS/
wlKE+FqTU27TURxDN17TShQ7v92UToIaitkc+FlJQNejJqL+lNQxQosz9x5x/xCfOCTLIM0WVME1
MMIyf60qrj1t/5J5KdTNBAJFdUJCvtRdONkNEpFrShHjMvcjCww+6jbXr64fCGj/+c/ILsUm81xO
zm4/OeWE1yWKJ6GERXxVYLl+df2eHbwMgT/vqR57nHMj5XGcE3KmANo8Anr1GgtpcMMI/E8Gwxo5
HNETLPww+piGFf4LY70KS2RcjKB9EYnDmx8X4TTpuGGYKYWHIbj1I/dGdNATZeuXt6WHZ1mAh5xF
ypOnMWJLpf7Fd61t7ByaWN+FxfjZq8ozcnMfkpGI0ZiQPCIuJfMV8c0kCOED7GXseKA/F9VY/Gjh
vY7pzbqBsu9p1mdd1NQJ+uZrRVDe1mm3hfpUrt9MtCAx3mTNDq69Dych14YDjMxIVq50ylWRwJ3w
nOZjbGdfGul+ITFZ2IbTUOcPvoyVf5ksXBuc5pQHaNKg/0A/ZNwEGoRxHkAXmIEuS5clMYbmdk6I
9eKJ4LZzERUAefHchsOKIsuy7AOgyRBM45G9rcJLyHSOQHo3SS0/R6n5qZ75I8q0zR055pDdR0+I
UiPkoQ9BiTiDHbrPwgu+mE77xQTs2VSPUSJx9gmI4BCREcs5qz8OGuhT82auBM04Qb9XwroC+08y
O7XiNiuij+xCd3gO13vNUG4HVbkVXfcgqjJbumM37WZcNLNas9Zm7zfUhzngZkws6cXhF/CI8zdG
qAOGbLOkAk4r6i0W/fi9ymNpMBdwhVCPEapEII2fewemO4BEIur02q/zvVYs42KX+fWjoSPv6pA+
XSt6sRe8qVLQeE2odCosbpYvW+GjbokqQ2wP59rT0XDXSzQoKEO0PgkkxjckOkIjb7FiUOCNUz8k
qCKZMrlEnv6EQhVuIgE5s5u1S2X+4AL5BXCgSkhACToavhiOXUTlaoudVXk3v8bbWApi9hPmytPJ
CoA1oXotlEzLz/iiZp4Dq8MtE1dBe4f3LmxkzADWBsbHIz0Sp8y+EOn5pDEpxxkOCNdyF1o+qw6O
jxfG9roh6qZAERkL/JLp8amhBEoOIXCV4toYCNJZQh5VFm6OY4x7V2eTXCLD/kZYCGJkepMmk6CL
iQl1ZxcVdrlATPVSxNJA1f2TdMVFydACk1elg3Qzs10T8scoFWi3EhjLrwfFeCf/YrlqUMCQGo6F
K5O4DtoPoCsnEMHkUhLZ1Zlx7oAT1Qkpq7olrPXuDOcwD7vAq1cj+PDVr68t/uHaqI4ILootAqBY
cLI/Ar4aq7czSv3prlQd78ynYsSFjBAzIKAPwj4WYjpJ0CLTaJxdR+y9YbhRWRht0ZPvBfgt4k5N
HEFLub2rU9joFiWfX9+l/BsozNMN3bE919U906Rp+PNd5pilI2yfMG2wC6FRS4KICMawYBsmmZxU
eS03kmUpOw8zX3BVQMaqIXlTYI4o4i1mOd2RLnU3BRkxWIOLqXI5NwX96RT5Ja6zS0qpkDmxsQRB
WRCHn4smIrh9uEIQA13l7aoc2FbWsfoYT2hNjBD2v+M0SBPeaARLvGrDhehJ5EWSlph3UkudxwMG
DFzMDMWy6WnFjXV6N8bWbpiwS8vs/jRl4bcoH+4/eTI9qYSNOs9F1sMprZt+aY0fhCoyRrLa2znx
bXgpZlqPtTk9pWO4+/VYG+bfwLEMtm0I05YwtuXfAKvlGBUaQgHJLpIJsmC6tQajSvar8Ca12sms
RqGisnJPjaZfJPkE/SqV4mj01kaOesFxQEUZmgSRMZ5Kh7yNhl3Ta1hlcnJPA/WcOUud7CYMqJ/U
Xn+yfBrAJTyZufGyTa/Pb9mMMIkNKmUjq2lzLTYHeF+hqxIus/ASNBpAOIN6dcSrUw3FPKJIFg/s
/TU5ig5GZWFmRF2CgqgZi13pUH2jzFDUlNskR+g6bh+GkMZUYmBLgV70R2cmI6anfckEFqIRlinl
xM5T+87ntHWICtV/x9GcOj9V/7LTvqXxgH8kJotGW65hcLxm3rVcn2WCSAEt7CHahnp+6QTlxszE
5RJzWAuSOf7gvY56g6NaIxH6yLn+QqBHvYqKj0VpLhH1rUaRCwwDT4175ulaay+14ohWzT4stW+F
YPrkOWqxhW9/MnrCPR/D4jZOSLB0cGVN0ABkKQr0TYetlgl0leKq3NAuiRdaXO7LizDjCc1SAKVJ
ap9t/iMdgpugGL5YQ6hMJje+1d2ZpbMvFUgAWgZTAEM9E8WjIGOdq1ut9kERftOwjumSor+fZOou
jA4NwL4bzyamrkhzl/S4WnQQiublN9P1H04UxLMkzFIpbc9WHIAfN7CgA2NiaU2yM9Ujq9MAdfWB
GM77qrU4IKOxFMInA5GDSW+hmneqYVYoJJ2lMAxVm/4Gv/t3xLdnehwSKM6yithb391SO8lBlpER
7VI7+FRm8QPh816VvlHvAYs47X2FOMPF5aygV5mbXny9+mC69m/G5h82dxMDB0bHdCwgke+h513U
9b7EdXvXhmMJ8oZVhch73JRLkC0QZjzxWpOq9bP9ipNPsQqAnDeqviEVfgw8xbKB7ohhpPuM6Oez
sMJpTSXMX2Kp+Rskrmfynn6ODCydPQeEPFbMpvUeh0uAbdEGH8LdmMT+SqOLDrJipfdNvHTxpGWf
Ja2fUwmBmdd2yPVDKFBzdnQLai6/SIH6dkqiYQ0TLIO4FzlLoapREXIG6L9FK+qs5kLHWaorOu+M
nwKABx1W6g0jpCGK4jX7IRlfMrTMcVe7yj7VASUOa+Vptnf2yIWEfhL1k4bD1PpaEw8wiyXWmFF5
MGGOdd66HyispR9KtNh3aYV5XdlFiGxhvNiCrHyRmdjIzDtKBHbv8D3CNYK+hWYOq8Aq5U1cs2ww
xsyXwjDmTeRpH+qySVcR8F1msP5xSgHrauZO1RyvUNGcmprrac8hDVydMwKf8YdesiHPef7khWCj
AjObVpmp7T3dfsi74M0u9G4rzd3VC7loXAraxYjTrazDpZwrmLBleUon9BVlwm6VTe24q6PoGzbW
xffo41/pEf7/SI2CC+Gyj/2HFLC6tJf/8Y1jsJ2Ol+zbf//Xh6h5LZRM9I+0qD9/609alCv/cAnc
4B0JwnNCSGKmP3lRniI/GVJQEza/k6b+4kU5f+guZCkXyRu1JZjcRqNUFP/7v5SqoWdCZsJoUBCP
cof/ghf1bhMkpoXtYpvUrkz+nAH94+d9WRDWJ50dyoMHo3wHcGu8t9qTjRr3zq7GaeMWfXi085gE
YDb3eVCS2OvTGg68qnYMv6G+vIuxv98OAo+6ZxlY20hDHSM/xNhUyARqciCkTVu4iNWF5SYWrz0F
ApJnsBNYnsMDaBdaX94P3pD+JvH5mdPx5+Ut+Bzsx6aLb8/Pl/diSWQjHOtQj/4nGM7dkz36O9k2
+WHQcakdJKKBfdneNiiwb3+YOv/AJ3lHdLlenKnCXLFtqbMhvnv2OhwItBLDOiAYbgMQmZKtZC/M
JtKJGD2xZy0ODjNOtEBrEV6Iv8osxSwmzg4xlNKtSbmI1iaebdnQzL8LN3+ONr/f3FWbk9ieFOT9
GQVXuZ90rbYOqd/U65j8i/YY4KAKAFvWAIXsGlCMgYXsi52DdY6ybYpdxyrpxVOKLfo+bxbVMLqb
Xw/a1d7or/Poel+sBvQ4bWnAIlTr9ccJg69BkzljZB3o7lqglYEfNS2oLMz73hAvDF6QZN6agl5c
PFvDqkl7m5I6Qsuo8UbbBCkZS+zMpt8Aap9gH7fORtN97NAcXF9148bzUGIYu/rJxLUetAFZFG6W
xgEo0FcZ1vKxKz5JeN0oZlo73FerFXFi8RngyIsWC+sE6/CBRZbceUa+0tvYeJQ6mF4qPTedNz12
gf/W5Fb96BcasSzb/D6MqYNK8UEXuXf769F6xxtSoyXJYSUtP8ORBBvvQp7YADKaBr6FAGehbwK/
sVbSNlrlyILAO3H/YkYKbhkVkjpJXr8WflhRlPm/uxHDYOeBcWewoN4ttCA2ddCXk3WwXbQEOj28
y3TfPM3duC1F+zSBbLPLqTlYvrWnh7tvXW18/vVgqGf9eeZI3YBdZ9uObru6/Y7BFLVlrYGesQ79
/6buvLbcRrJt+yv3B9ADJuDuIwnQp5fNFwyVUoJ3EfBffyagup1d6h6nRj/eF4qk6JIEwuy91lyU
HDTzJNxq2VNNOgvffxRpduA3+rvh7a+rp1/fPyO+sf4OBlPCb0erPmTC7cxCXC1EieST24GGOrSO
vUcMThrxy/pC0Tuj04hoM1/cO11Qf2sN65OU9t+cOuY6tP/+BVgwMll3UtDYbLn/eup4kWVQ3CVM
sc67W52P1s3yuzuvWLCOFf6z7s3fbVdjRVa56b5Ix+GwDNUdhJ/lrJYqpZvZGHfMWR4ac9u+jN5c
hOvO2NIr+1zPJLC3Mo/gftU3wm9nllcM3sZQ7jnd+r8pPZj/PnJvYWt4khk8MYj9dmRHpmFGkZOL
6yhIdCXLMHqQEmSsPSVo5TNA+ZHv3ZoVhN5S5j8Xyu7DCEWxhWfimYLXDqkzqzfSRuGJudbeGmUe
1E1CtW+0rsgMtftCYXfQEx/hA2JqjCdIOebYPRSuRevEAVFqg7s9Zr6SfzP8/tVM/Ou4EcLyyXfj
cKUu99dRLi982CF5w3GT2+0J732513U+7lj19bUdvvTxVIf/++lhrMf/74cHrm2P0jHLEPP382Nq
PEkoamtdU9ufnkukjo8oBx+NhoKlb0v/4JdeckwKy7tuFyRICOcNcVr5N5Oy8de5h4kewDM+cDjP
IJ7//UxtEhydbdtoJIXk2oHI1BeCeYqj68TE0k/pdDTHTD9g9nB2ZaxZd6YCOBArnH+eqfqjXyB/
jWX8UrH5/ptJ2/7Niclnw5/u6iz6OKVxqf62fmryRbDrdTF++eXe0Qo3NOwOAsJA74okK6hyPVID
PtsdTmp1NRDGN2zUHtZ5JR4LYDotYXMxEtPraKcRzMr0ZA8xMWZ+e83BIxxlzWFcVbZ7AiAZ+qzK
fumHJ5MnZjOdD3OOAJX09m2iHEtyc2sgSHXa09x5PkmR0ZMee/iIaGTD/7t0solxAXr6cUqI+fXW
dV+ekLpU5tMBeTtxk7qfB/OSmkGW1eiUB/9Eu19/HAkoq+vr/36c8RP+9Uiz2US6zOGcuL5usRF3
fju6K48qG6HiAok/FA1lOx/1hcY9NUDt4FTlg7XmARVtrweZRhDJwmffE4Ce7VmhUTN4Z9K0Oqa/
1KProdftfCmtGSMzXoutM5l2Y3Zg2fVaivK8ZPnIsSPqXdJMFsFYjnXxXedpGvX0WJAZvBOA3AJj
ouSSE9NVeSo7js5438YZFe8YAYizorISEc+UWkgjW7a0MGPlt2VlBc5kS3/Ybk9ZYQXKp4yvS4SZ
+4ZIxwN2/T1Gi4S89WEIx8aqr2kC/tRLCaAYp1PUj/N9NS6HqOjLqznGa1vBoaGYuRxCIzDidrL2
ZA2dGDfSJ6ez8NxYmY9F83PR5MN5Sarn2rOfGdeS07osIrv3dU4n6MSJeknoniAj1s3Qb7WJkqwT
PYDyXpuG4rFjDH2gm4U/pl2SkLBAyCHGcmyzRN1K5VGnsWM3zK1iJphI+bculuhefTg9CtktyUGw
xltAMHt3go2jlxowJmTrGIS+uHqxHsB9sbeG6RsZqtpLUbxmVfYFlXMBcTs0+q4I3CGdUJmM9X4Z
9c/1EMfn3rC/9V1fhI3KTPppM0Iig96ncosqmFxd23Ul2cWHejWqiiYVZ3u4JxfXuVNEMNPLHK6V
VHSsffdljBfkYE50wC7UEUIQOZd5mT9mVTrepsw6QcpJyO1yflSTNxxU4iOHdrElWnWaHkhNzgI3
6eLHYQBjSs0F6JRKXimxPgivok2UDs+uyW8+Wizku/7ZyYf8FhWVs4vtqIIiA/M8r5MPIm/dp8SI
JPh3Fh5lKY/j5JA877WUE6rip3JU/KwN0c9IN6NwtPMyHJICw0bXsZhFIXdXxZ/yBuxYzViT9lVy
30XlTH/b876MDZWRrLprIVZeo0Q0RxaqSN/JL8cbNlhBDDX4Qz/0oS+bY0+p1vLU/OyVydGuk+le
s529VaZ2iB+oWf08wFf9XCJH04zQa+7NlkBbvbAXTOCVFdSyZz1j8NtYvodszERyUKDYwVnaN7+O
cFnR/kZofmx9rhlthL1aqmu91G+AvZYd/tj6cfTqe0YyE8L+4h9xYuLNUPpMapljBEr9oXFqfIys
r1k1Pvt5at6WkZUF7QhBxLSAh1wNd0g9EGvM7Yuy4mMsxugR1WyQzQo/VlYauICo5NM5tkspD0pL
jNX+XZ/LeLmqwqXmmGXJwVmy+GnO2m/CmtRJKh8KXEwVEMUFA4Z/PwjRPvIH1jSppHuOzOib8KP5
2pX1Tw3Ox13cG5BGasvbw2DHSiypzsU2R1iVXhQOnk8iepEmrY6479237mYvQ/Jcm0rfNR4Lb+Fa
8kFVOWyosrwUOs0yp/3pj4Z2V9jqmyq69kGgryv75Y9Yr0akvLPCxWbVxzyVX1IdIGjrfla1fE2N
KFAYzR6cmkJbHKFKnj0/B+Q27sfRtS624g2n2i33HRLW49JSAMj74r4Xcj7qGr+WXqKJ8vVEByil
Zbe61T5JtsNHe3SBNRWo9JVffy9ZUoD+QTpoGM0jedeA/eG808WN7tAk0J9YqhedHPmD41vnQVte
E3st8reziwzHLc7tgByrHV4lskDyPI5+RagoeyMZd/QN9nylzg13L/CR6C4DjvVk+YeK+KqD0xHK
DqEt47SrVSgVwlSa8cYHSGAx/u4PvQGGxS6QUopsumn4Aj61QvwAvjVjJ59zttF8kqHqga43NGAJ
kfE/9X5e31skuwZgVoegSnSifyytOqWuWDtEy86I2s8TK7QdelR5kn0/3crB/5DM+CZbDEbWZIgH
LXHCSSDLbOkU76zKnj/EN1qorK6Fjugs1u/T2s9fh7jdjwaKIkOwpy4JUlOq1c5DZzxuHuJW9LdI
Ke9OW+4kwoXDtjkjzc47mB1O+ExKqE2GB7+fKAh3P0LvZr34sihqs9Mk2rPP6ASNjMy8igCkEpXV
nC+PFUDZUJrVcCjLVIYUnz9QHHOvMb62sM3916h06ueSeus+67IRLTNVTARv1udBGMOhyaZwQlAf
WkvODGGqH4RlxgHauuFcRUCENXZDu9Fu+7AiWYA9Q5AkAo+ck08cJOYTdOJ57yAY2PkmQdyUGwAV
O50Im6r4QMx5cbPUbR6kdgJF0Af0DeIZ4HjDbrGZHpVHfwobCfrsyL41pvbRlyjmIw11MHh9+zj1
Ddv4XDLnS3o5Rc+Y4khvD8wP8rbuWg8m1rVd7qqD2Y7+l1bNX2BJyNNUiv5o+u3XNazwSzzTuImM
0gn1OC8xMOrRKV9wdDfr5sITo3qbIcUxQKZQFej+7fqJqlErqp84CpLA02zrBt3vqXPa8sFThkYG
YDMdyt7DytghLrDMhbfz49CP7EPRyORaKNEGsSHri2Yj3pmgPyfsX6w5tPXFOjh1goANj4Q6eJYe
jjglz+M8sbuEkCV8DV/RYuiHKW/22iQQeHTTdCNEAGR7llEfR9HIOggRMiTcGM2gJ8FtaQhkpuaa
Dkgy5DKMF8Zh8pGyg+/OLvvxYaTj2gVwgJwHWbftfqgzzFUi6c4zLaCrORT3fi9JO7PmV3Q0LMDM
o0xm7W4i6F7kWX+vIicNIoMemBz8+6wFtp4tTX2cKqvDaUbJy6SWyuRvZoduqmSQzwyL8ZB7p6gu
p3Ao6zH0lCkDDV4Ise5EeZZWmt0RpmKYu7bVbKwRvGPWJv2xcdJ0l9tfi9gYb1nkk9bMwRUsZmbf
kgXQIDOveRPFxSo7MkyqGeFNUnkkdDn53cQMfrQc5XO+Q7KXhXZgZjTCcfF/EH30ExAKIFVPvA6V
89Y0GdtdoYdVlHWB4et/5FqUsiXBqTBqw+NQdjbECRQ1iQl7ROIXieRy063hvnJ6Niqi+0oL99xN
V23m+C6N5oewjVd8x5xdpgP2d8qOxpQydwggZmMSiqH80td5chrylGEaeIMynOepnOjNeLYTtFXy
6jjXtRiG4gdjZT3hDbd/TtWCnNks//Dc/rNNfA1t5oOTTkRx1pjLRWXjmwDZLBf1MnHK4olEmjg2
rwid82M5GQuAjWGHq7Y7F34cHaSoiA7vgbAnxp3AALMfMnWn4YQ76dWh6o3u4H0YRgP/92R98vh3
NvjZxm5+tafcOaQJuXs2qQWF3aHkGOpveolVychO/Wx8h3ZntGh69eJlmHH7NF4m9qIRp1J+0voU
S1TuIyy2lbWX9ptZ2NVe5bIIM6NFVlLgTeHHqLFmYzg0213dmNWumez7eUjq/djSGZ4LGulWoyDw
ZTR8JQnX41yLfRJXT4PeIsSZ+xDyXBhZmoHzC9/PnPL1ZLtEpnkItfPWTt4U5JmTEWcYywAWN6tf
J6gVNINCFyqgO3NfZ6IDS3BA0ObxVXQvPaCuXdGawznwAS4HuvCNPXq2eCfG4jHuhuIwLNPJcGbW
vUPD3iO2w8Ru2Ox0CtgriQrEnlEUt/Ow0RIO5xh1zdIQ+GZkaD7bKSLZBHwkmz5I3Fg8EEDsMz/t
ds7yAJhDs/Kvfa6/lknpHYQzOfsOk4FlV8Qry2Mfge2j8RYH7NTwEirv4CuctnC7dtABfrDjPQk4
IKEUEQweKT4xMTyyFn0Ti1MzJjFzxyjXWHeOgdDcJ09LgcMApbak3R6qpX0uKqPCtFa1SJmTAyv0
3dTBrKmR4PYTo5yrnxqt/THbbDFIYjkybH6WEXxxn1KSbZUsK2OkI3VsvoC9kQHYG3zDbn0VGYaa
0spf2FVcllHViJeqbs8HPVaxNTOOOSe/p4WZKQspsyLCpejd8hjlb+ief4yTzZxhrZ7zOTvOk/sh
jVoyt9uEiSCLQgxIpNnE8U03LNzTnanvBm9o9+zxn8omv0+98blhEcz4gYxUaP73QWOoHCRleto+
8cGfdo6nfZ9aJ7AG+8UigXmnj9FHMApvVlPibewpnJcujI02HYLWPEx+HkaGY0AfIqJjA4qoDvmt
0SOye1yKBIc0rdAAE3OsOVgyK+q7Ng7EcrDXjvofhQYTtqtidcrNt3wYVQi+nDjqpdi7Whsac6Vu
mFoB6hhfB9OWSCKLW8xCEPXBcKpcZOjCblxG2in5vBy7Vt17kT3so9GP94VQT6bJa2oRgGQ+yNmO
+CuU7pAAhWKM/GpnwVkMqvm+dAp26+5TNSQqcCxMGrpRXGznqy3R+dminh7mgQYojgwLseM+GxIA
xS7fMYeux/ef35vkb4TSYDsuKFaFohQXj90EQ8Uf6Ws9+XA+pwnNUMJUT7xOiT0XELHl7+x91aFM
EjbEUl0KdNctnpQqfhZOL3dNbvW7aIZ1rGLnlklm19Kwj3nhfrZIK5paXB/SIGAOFbozfJP2l8LE
V+/nLE+6yzqFmUTaBbESV2WlxZ5djnWsF+OWSvwXid51AeK/C+qNk1vGnyq9+YkE+OPU0//PRp/t
sE38hFfco/EII7NEIu07j1o3g62ALo2DOTu5DkFcpu4/jymYW1UNN0qg40vs1zB20nkJzZUvZC2t
RPtb1cw+pDcZq6YPOEi7twjli3zxSsVTv8jIGg60C6IgGfriZKxej3yY9EOvVVpAeBnO9tZFCj6m
5nGq2x9owIw7x4EKxDB8MUiMMQPfxaQhHXDoAAI8MWX3vE52v10rpiq7T+Ly0ZqT5fx+v+oEjo5l
hisBL4QdlY4oxeS82G5uF2xKGuAJDjNuYyEzQGNNtocauuNQtMl9Y1mYrLp6mC9tNJ679T653Td3
yRvcluRUTzK+H03tFOtKv7htEt9vF/Y/rzkWeOcpxgQ7xd5Ha3S+iMIaTr0zUXQq1Oifk1i70fPh
pju2t7yxOYRQsvkGfYI2NcMmLZpXItqaHmiqVpQnfJR41DLCpit38Pa9lkd7s9Rf2RVPAYHQ48FH
QEB2ADC0OEzL5k2RN7Dz8qzbq2h48saTT6QyszXGFExRlFfwGGIANK6zYv7WHffCnzRU6oApZd5T
2r6T9nhIhi4LilUg2LN4DVxHe7NtpK8iUUhKqY/ZTDO53b9kWfyAIUI/gj088LIPFGViNN/s5vw1
/HJHlzY/pBm+OTnMH1RrfZtT5QRsT372i4kmXLScQGuNES/9pLVJgN+nzPeURCmkS1eeFfHrz54x
3JRpJY89yG0jTe5GUR2ndAX4Kme4rSPlOBM6BpaZZW2VWVcthonmxUo/2+R8YQgCRUXRw7tOTd/d
PNUSJ9RXD2pJl/smLuojk9QEU5aTJ8pS7dnujZMwRzNgE22e8QjY16Jc3marTl7oXtxhFkhuIMy0
E8Ax1gVz5D9g1apsJZ/03PVPkqUFwCfDfTFsJpMoNoZAS/LyquzyQdk2kzXU4lNWzuUJixi4YxKZ
QFGTTjc3nKJJG1/giGTnidAbQEKI0zv4uIMCfSLNoX7UKZXtJrfeu6WvblG2hK45fi5X9TTtDfum
kIU4bftgp1l+q/F7qtZdQ9wQqXgmH7mKTe/IvDkenfax0pUbJpFnPNnJc154bThCh/w8qPLea4zk
D7gZ0FsouqELC5rWRgNjdkPI2fIVG1pxKgvgChsGxp0Leardj5nbMbyP03LHexW5UR/kxDwQI2R/
wadSmKK+2oBTZCvVA7TR9LQMHvy3mdnVtFHGD+4n/OgTDSCjvPKnJ8emNIE9TTFBNxYOBgAa0hMO
OxQBYLNaOc7YSIUf343zo7lYLmfjGIe0JP01KBn8hzJQEs4M2cqW83PD8r4j5eBKCOBnsy6RsU2Q
IV03125ei6YG6pGv1TCTHeb/rivKW11SP4nhdHSTH3+WTfRN88z04tTe8zwKeUNw8dEobONqTOYC
7zMrSKjSPqLxrJ+RbJ/ZbmNOa8F/b5tPs27jczc4d1SK4see6EfUqxEDNVDQI6x9/a7RB/2uwEFw
h5K6xkMi/INS+jLvtju3x4yVPdx5LxV2Bk046ikRevKCg1UdUnrAFKxYAuzHhJVJVXZPgy+6M1Mh
houpqNugr4V9q6PJCkuHeF2/FNWAk49OgNWPVEcq/NbeB6PRiHTJKGMs9QxGqJ7Dlu3PaRydD35k
+adWoj1ya4SElEVJIWt9MBb0wPno9LXMUT83ePxEEeG8srFVchw/J4vxRZ++ZKtzxyrw0wkrvyld
H/gNkprTAJuGFuNEsUDZpAxYOvvQUMqdlXI28mkZ5EyM9FnEyg5GxQg5dF/WyVtqkVfnzoEpKoA9
kdi1qV0dSuEHvXzw2ZDtxmkugNPnyXfLWUNjNG2+ZKmDK8TxTx4Gzoswe+esx5+aoZ8v2wXn0fMi
su9CQzGPO4Vsap1Syxb63Y/U7Ldrv8LPm4z8noq6AVSKuL7qbPoD3wLzMLkOeHBFzPWu8ChpJvAf
L0Oh7VmNXRZDpddhWJty7PuBpgEw04LBM3b2OBj0giZ9BzEzY4NB/cSzbk7FuaEzNOuxNh38xDiX
VuJiwSqKs5JsQszZeZlH57taYeuZs42vxoexnezjYDRPo5zhQjJch5M9PaRZTE0Kr22k+Jot/Bh1
n1ZsJxm/lAWURuuzS2Ip1nhWR0pj/6NscYm6Ql21ZaRXxVI9cEobxjbVaMgdP22Zk3Rq+ieqcMQx
9mI+5d4xbdjyzY41HqteFhdMph+bxU2fUhfcgR3/6EXrQNjhE0+2ho8PtSx4ChR9hYzvDKfCEVv6
DdaMjFVWldUoeiOcMwk0EzLVWkbOXZNG8yVpMQsnKLApNOWh3pHXp1OK2OHq+mQNmnkdC+1lkvpa
AQEVEDuh71Lc9+Iupk/mPwCmRGtYyNeBveQ5SymsGwVD1MDBnc3RsOsJ3ZhsODVgew59UfJ9Z8D3
x7xF1EIZDITThW3nTszZ8mgZZ4Sz6kiV/xg74rmhpbW3l74NsY8QjIHXpUv9sM8A/GSIbY+lRh/D
bkSQsSbRZ9y+hrtQ2NSsr6lhEiNYyLtOSCKbJgM2Tx0dk6Y40lKAdVU2TggujNKcxm6Nkp7DMpT6
ohuz3/GW9k2nSIQwmxJuu5Z8ppIs5eabm5sJ2a9PSzKLE2S2RyNuuiPKGRwxlXeflsI612YSBb1G
bmk99vu6lrSxjSxssCKFFEMG5NllkCx6fR2cnr8NAzptK+abBpO1KPuD6+dPFvtsNj7w9rU1Xo9M
jBispGeIU2RHX0tfh7Jv+OOe4kC8K/PF3tWMS/sFxXo4ucE0s6/mxWim5CaxF039RBB0dDCaP/C6
pyfHH0914mMGcJ5jMYAeM6M36Wg/7Hg1a0VeQWh8+5qi59lpPotrUdBKa13KcGniXvS2EQcGiI+J
Ub7opheHsRN9HUtnCbLBqw6TpEowKnQNOcP+UVb0abrSPRW6FfqV9SmKY8yvFnHw1owAF8cQSN8U
8bafMiqwW01wnRV5RDMVMzdJNeAFq6kISfOjOWGZ9+6cfeoSi45HLp+Rin5fpo5D8eeYslpoaTuZ
6dhco6pxGSkOXkZRBDjEohOAnlLCTzEvFDm2qwZf+uIPaUjkZODGZX5lA+9M43e/WUscdKSDUeT7
TIK+1eqYZTq+0Uw/0hFmxisg3LXGfDMoURyQkX20J7IERlV8sh3ZrJE67IZsFs1+szIAyI0L8sJ5
WjCmzfrgMB545qVOAT04gpw605J76s5jMEeCwcJaD2/tp53NeiBlW4TOLOwjxWlKHgbcscg60nxl
jJ/bNyRinB6eetMjZQYTtDBQzfDMgPQBmKIINLIf910W4MtAIUP3Du24fNTK+slfvCNm2+6kulG/
tM3Qho2Yp0cob9m6kKT4BbWG2JFDRFWbRtwkkYAZ2cvEFv4K1QBNbR/MLL0vFlS4XQNqc4+yhiBH
0GB7zWnFxU4lR1C7fHXjrvsIH8p+wD390A9+/GSq6OTbY/6h2Hs0ViUJe7eR9AMKy012NDX6yaPO
Ir4U83AdN95tXB/68ozQsrmp9lj59kcSor85BVRtb3ZPwNrcFQ+786nTHxZ8gQe9YGNRmmyfyCF7
SJfhWmJDfClpGe6KqvuwxFp0TUTl3USfsL4iDtnyo+PSC//YuCyUmlJllJws9sGkY/RlY3IstmGt
HNr5c4WcvvU4/noD7Nc4hcS+BlVOtOkg4hd7SX/0mkUpp16qu7Ke7u3eG4+zabWh3pTfq2Vgi5Ep
hfHa+4ZkC3hKY+mfzHgBkpFaO7PK1alJU/CjXkvDfXqEC0RbvKLyIvzP9drsiMz41Zrqz+UoDdx7
IxkrRvLdrPlr6gE+pFeif86XRR27zK3CusNFWTvGox43OhjFEnQLMvhT2mgHYwiLBAIZoA48cTjd
ywqYgE+paU9ksU4rmC4RSTLygx1Xb7Xbfxd4Yo5dZNwBu/RuVjqcctQkZ+k1zb62in2BU+ZoGgXm
O5sZmh6SF6ikgS6XNISX8PRdRaYw3AwYyaPuAcWUPel5rfUH/ehuT3vwyWMsPlpeke1np232upLo
Dyu8kZkz35eF5sMtw/gpqV5ie6XDNQlsryXqbnaicAUI1JGBnTK69YLFzxyVrLZEa4ax38KInI1j
n/rPvbT1SxSDy4ghrYcIU/eqLe8wN8ZHUnCJaG3jcNBcvDNVT1uSfriRlObOj5l0o2R2D2QDf40G
frkEcQQB3Q06g/ysM3LuvZSmKAXd3O6K8wIVc4eFhmATqpCsoakIBipTJ7LPk4sVQhXVC/qZ2dQm
+GswW+ksRWo6N3sdXSqpJDn1AneYmWocCzNUbBxMXfZ4iZFH+YvTXLEIXnO3O1eD/CLdkhSutTco
dDiXdpT9nOGwQjSz/pjsXIdvt1xEMbNDb/FJd2o+wk8qbjIXqBQnnBFumsRnTcu1l6g9erkdyNSl
YyjQjmCekvvqh6tV+3hqxK3uJidAoiJ2lYb+07GxHBFGzq/0oGGtNyzJ5I16Zo/rBLK7m9I9Gym2
4kCb6ax1SrX7xIGHWCcdy0JIbztdIwxzMtCatWyvFck+Vu315wy+oauxLYpNWuIaOiU4ZmslB4w3
oFU2n7Er8ETk/sWjYPyIiOqDjioNM7V5X4xCO3gdK7jMbKOj0Rqh88WcwCdTnylvgv66NmVf2WV7
zK6+foik/bMlYDrMPCSDmFrKtIzpgKTrtKFQUvvjhQkUWBDOJralDzDD6I8CYDYl+eeFEyOh7Zvb
4Mg74AvdwapJgx/q4r5dDPafi4Gjw9ToG6Il38l5GgJnALfkxiph8pqNIBraj+7MqeJpxcdG75tD
Eo3Uy3V1JcXBDGp0GYE92Mt9zzeHnqa7CJe3btQAuNn3iL2HRAj9uj+jiznFcNcsvzXZ4WrGnoIE
JIWGvWsmgZS7Ai66HyO7WlXzEGrooMzYqYGc1uGcufPjaOssOuGJhF7f3lAtdCF5HI+aU6nQYhe2
N80GYQMg571P1M69JODoOMzg26TpwmvMOraglhddcuw/e0fp5oNba1kwRWA03AkFSTK4u75vrYMp
KLvPE52cZqBn4kF0i5EKvpS+ec0l31trZAQi6z7s2x779/A55evb67G9kA4kgyz2r+Pkf7SX7A9Y
ECfWhT1Tb/avF9t9w1//Y7sPsETLjEC8uEdQWEgS3+dJdcTlreFmmWsTq7hd3e7cLlrXy/ZKOSTa
y0oesZOft/iwzCTzTVuM7s84sfc7XU2Xl5a5q2ClzdXtkSriOEs6muyl67L/HtcYpCgHlbM9sQRz
HNVMk5Ak+AzbOyfbx9muwuQtz3gPmEBI6nu/aIcZ6NX7bXdmHZo62ff3oMEF3oocSeAQdm0fAdId
3zP7Wv5+VoCRw7a18fZbZt/2aY14Tfvdrm4XW5Cf25PE1aYZy3owChtQYQMsjJz+RZnPpy1BkLbq
S5tbJZ500uD8HO2e46xUDG5td42eVR9ULF5EmZWMoHG+i/O8PqdUWDuK8Et5rC3Sv4aINmtbxt+c
xX7bnr6lwjXCk0ej+qDASbgmEWIEoyF52FR2/5WF5/+nUCKLTvf2F36f/m/8o/435839j/H/3P2Y
0u/1v1pvsKqvT/vTemPo1j8I4HHsNRXHcdYEof9nvTF0/x+6jd0OJzWUE9Li/mm9sbDe6IIUHZ7l
4mRelcR/Wm8s4x+W6RuOh2rd1U3E4/+N9Qbx/V8UtjYmE+Lgbc9G02s4vv27CL7N2Lmg68tYKqYk
uDmsk62mJ5K8mG6QD4mwZvUrLzSKW33vrPkOiWtQTyyZm1PVhm1ifxcUDVm63CCTTBfCccZfFzjp
pgtsORFq5fxaGoSYwpVoL37Vch5sVyvPH4jcWu/to0r++v/tZu5GIPTAte/UmttZr+nEjdU+tmU/
Hta07Mt2Yag1m3y7CuarOqflG24hcnDX8MbtAjjZv97sSwtckaER2LAGzm7ZjdW4hl8bcGV329Vu
EbRfSwpAWwhov+Y49jiwLu83t2u+QV8uAhPOToYoyvXiPYZxu2b3IsGiBAh6HQrfx79tOBw1W2P9
rW7b/U1kMznHXrr/Nf4MW9qps6WGDnX9XBhKHqLBqsh0XXNDf111e3M852AOGwlpzmKv8ysJdRuE
tptZCqaV5shPietwvMZETVNvcAmJoTYyXV2PpjCF250dRcHSDG9dOT9qPTZDB1/gDo/1XZf0DzLT
48OGKmasZASGZISQrIPsMnyIEsQAEbhQwys/9Am7qSaR97BC7ONMZUhvsvgRv2DbyetS5fIq1muE
U9aUkIxvEXEY7rqXk6MYDlaea1AxlzKsx6UgTHSXFao+U6IrL9tvQw3qY7GAmUR1aIpP2++Hai89
kC/sye5R1CNrK6djcTJCMCcCYxb7Wnd+oDVSoROl/YXjub9s1/x/Xnu/z2pGJpX329tj3m++P2+7
T6d4WezaYggRHRDD888X/JuX+f2/t5eNzYSy6nb11//nIEGYEN/f094+3Pvt9/f77++TAGYgny7o
vddvZbsopf7ntd/uG4psOeJtPdTu4be3+vUV/PY1/XaTztuK51ZdsD05GY3mKMm8LdacVPqEf15U
/7yZq4Q4+ffb22NkleUL0E+es/3Prwdt/7XdFkR6Y55K9okJSfc/vexv972/fQOUOP+PT3l/zPun
AXOK/c+cuuD9zf/T497fTot7Hxyjf3u/6/2p7/e9/23v9+XKfJDrbP/rzzUd92Mtq/iQrOG51GUY
F1FX6mG/5l5LgC7L/verppey2Z7jh2yleJp4xdDoEMCOfjwm4nN9jfdX++3m9lq5m9Pw3P7H52Rj
0bW++Yyd/tSRErA95j89b7vv15O3x2wf5NcrvN9+f/Zv96GxMs+5hBIxstK9NNGrCEd225fOIbc9
9YuJyuN6Oy2cCZ3Mb1ftmdVRUSQs5n7/r6Y/IdQ6duugnqKfwppdjQh3UqzMak1h30Lb5TYl/MuD
4u2h2//hASov7w/dbvaOMA5zbt9na+Dxeyq6Z3vNBa0tI7Shyf/h7jyW3IayLfsvPUcF3IUZ9IQE
fZJM7yaIlDIF790Fvr4XoHqVeuqqiNfTjlBAIAEyaUDg3nP2Xrvboku8W+5b9lvWRIOLELEpj1tu
Lw/+vrnctywGYJS/d0EFSl8q1wUCNT4dEAs94hLWloUoiE6onInK0PeGlsCMKEGz3s0525yh/1z8
u/tauNVwwFZLMr1croPzp6PPP8HlvmSafzfLlkCT+9LsNXThwDjp9M0ULZIXt1oeXf7e+ffjlnuV
5afeTg4u2zSkocn4YVlAJODVlwGGeGRNR2u+uC2LaJ4lLGvLBm0JJy6LF7WW/UGdg6qXBd4UwFd5
TGy5cINXOX9UBhE3zPYM5RiowI6kgxTL1Ohb2QMnJ9Fx+qMP9+diuS8sxA81l9rGjPTpKG1/Ovbz
gs6Ztsv75rDgEJN5CL+sxaBnenD6B3yz4jjMC2wc484C0haqGfnHsGipWZvTfQ1hkh49JODlO1++
X6JSOX58qNcIgTgkuuXYEfNFMD1NaRDxeENHC5Nb5dpvB4DlyyexfDC+iR2D7NSdP8E9czvXPC5r
oYB7tqwxnyk2SVfMksPZJYJ3g/nP4h1hBFgcqWFyOyxUMuTU2HPGqtnrkkhcaU7DAx8Ukw5DEau6
tOlAiJpAaLeOZwGBks/qgJZOPO0IeuPuMQWEhMBGGdbSgdSp54RwU81AccmozlxGbxiu8+Nyu/2+
c7m9bFkW+eQyziv1FKzLTPD9fft7+x87LU+y3E5nfKiut+fff2diZOhhk8G9oxgPjjZkW6m0E1ZD
m9MJwq9/LmRUrX0KP3st21taIOYMQj6PZad55LWsNUsMvTHfXh75vU8Ls4Xp43/f/XufmoovAnTV
B8ReFsdlMXUR59RllaOMqWo5D3f/7fYRSDACKif2/tpn2ft/cN+yy++/sjzEj4bPgLSIzfefW9aW
t7a8ix6EIy2ojCiS+U0tn9b32/3r5vJGE2Unprt2viB9LxCEc+b+133BfAXx50sPNCkKmtLigJ0v
LSTfcjX73nFZk/ANiRj512O+N/9+2ig18v1fd9rN/Kn+9WeXff7jfRZj+LWR0tBTYcfpNUf6ssBb
xFP9vbrchhb1z53+3oxIg6/yP2//40n/3vWP279X/3huCcp1LRSa0MtT/1/bl10nzNWHRvv842/8
+9V//5e+X3Qyao8jNNTtH69gWf3e5Y+nWLb8fXu584+H/97+x8sx0p3ZMAWLlQQE+r8W6b/WsiLe
mJUy7peN3/d/74u7e45gx8T1rwf5ZqsfdbwWxnpZXbbA9dJ+/4liZF6I43BkqHpcFnLEwjTNiyQ2
iWRbVpc7l81pWzIb/t5zWSMLRwMSDd4o/t4MWozJ8rL9j6dDqNcc9aEkzWhZXbb//kvL7bieHifY
Q9um61yNuG5e1/LwZe2P5/x+Sd+b+brvFQ3Wp5ZJZUMM1fPyW/n+RSw3zcDSSIxZfhdWH5cq8SP8
AJe91Ky0CSBhFMLlND+S0MZ0OFxGQMM81vleODnsf/I+VJx1lcmlyNXaY0zL5PdC6Wdh1nI7mxIB
umre5H7VHeFvkhhMLmrzb8ach2dyHrN938zkNo6PkJvy3ah0zbFxwneGPVQQRgPlcNN9jZ356XMh
T4tqJ5MCrZL2QBIC3rOufyU7MTsh9CAFSDPf6UG7m2VujZ73vXBPbjs3qOZ3t0zfvxfLDJ9OGDr2
gMuMQjDRSe10r04CBrgLNRaL9sGiHptUiAYUsDiDaT0hql0JIU+gL7aqytCLY0ers3TjoBaa0L9S
KL5+z12XUsQyi8VUQ4PaonfgDnCY/7+usyE1UGEQ/GfCDTXDOogga/3G3hw+//f/+udj/otvo/4D
5iEUh98FMXNO8P4n38YR/5hBLrpq23Bl7D9zv2eY3X8V1dR/gJMyqX/Bx6Eapv+/1NR04nf/e1HN
BI+IFdsVIPHwiwtrNpP/QZBx9SJ3/MJJ901WfhUxnOgZpjXhmxPWUaJ8W2HpeoqyCs8FjbMQepaD
6PWI9fRMHsTKDikoBA7ae0Jd1HXqtxgGEAvtB1hs68y3MQa4+kpr3HDdDNqd0ykXZ6A2FxQGXGjH
+FWPuCVBZ31NFsVoS3FPsdFH2xQa+Rrp/0WhruQ1Zk9SkdTqLWkrpAWE1cVI4maTZinKAdFmm6kZ
w43ROZdMf0VzuW4FDcZmZvQTx3GLIrSg6SpihNN4LLLR2dbKxE8CD+xaxDHpkb5xSPtMWYXIvHMp
AoQqWFKTfahGw7pO9EtemO9aPcIRQ5rMVms7xuoHsWi3fopCpmk4SbvZYZwGXNBx52zKwrn2bUMW
F/IXG8W+Mw4DOnah7SIall4chg991t/R8SdlFKfWqo6cn26meqgCww3E0Iz2HQiVvhITr1Lcx0nF
yy2fOjxFN1NyKvJpOphD72VNw1hxgfOV5CsSJWqSq9XhH5jCO8Uav0z65nFgoWQwdkkWbBnd7iKp
bYeY1nCY4lg2unzFP31M7xILLSnxbVWmTR6f1a1aTM9OSEaRP09siKNba0FBIalFDDGoJGRUqUZ/
JJRr24KknBlkXOGcWknd+cz66II26pfez/qPY7EAZrDMgmejBbpP8/wlx3AfFNYu6MTPBN3OWmnL
68jbwvV9a3fti5+ZQIYJSGv9wLNQ7lBHbWajBl6RqEOGMYffZM790JpvCmd7sy7AO9/obfcJIXGV
tN1L58c3IzMH9MXO3moM+lquvska88ZUBnNTlRIFe71TRphgKSAnO0RQlST3ulF+kv64M80IzHoW
rgyqqEWRHdscfxhRowhedD04DS7hQGDgvDYN663DRAvkZXCy0uZB+BqJP+NPQ3BN8BF1hOqsNCe1
JMD5lPh86uT8EJmnteeGfKcDVwN95Q/puXSIVta7GRqUC32L1x+tYTHex2GcbSNgb+dOjQ9mMnYP
aeM5bVLtObFkd0N1aqn5nNpIPkqyIvdKTHZfQ1TEiKP6IFz/dWpR4jmj0Gk2bVGB0xuOFfPk6PLc
94Ygiy7zRIyJZbLjdGMEpqTTisnSCXVCODsfqaOChDy0d/MgALwHh+/oN4+N04W4wUj1IzvjXVuP
cyxX0lYOdnbJ6cIqzg3WmVwJ3MM4ak+xNEh4s61tbRCBNUzTTaxENzPJEGCrNe2ArryFvUsaY1/f
kDc3bhsf7LQyjOvWNK9F4tRrjDJANmS39/0IJxJnqW1nN3e9E1Hp/VTo5pL9FwhP06UFXhoNUhH6
G0SvFhTP+U1jinSo+221se/X7LAPssrfK5azEykRaIOmkWnYNUSchkOwxoaO1Ekzpkcj5KNxwx+R
0pBDI6sHOTrJFagQ4SduisZAlHe2NhtcpNGAh0hOQysURhx+hUnnNVFc7SLKzkuteMvUVtzUIvjZ
tEm/8wv9eagjMpwGPtiwQ+aEL5zp99C7awPPHi3hwcHDVyEcKxyCnVGXo4crPKmXbwh6xNZUzO6U
lh7gHNDR8qc5ZdEjzjFv0uoYKyNhrFJr1T1ZIxWeB81ew4b6nfFiTQrvJ0ha+honxT71sKO3aMJ9
OtD0Z62e3q17jtve5tF6jI4cJfSgmrggcOrUifXcmoaNrSjY9pU+rho92eKJq++LQDsEkOYptYNQ
cgcr9bgWnpoqT9dKGVZXC59IE+RPBqWW7ejaO8OSxakYm4MZRu9cQLONOfn30ZCtQGfIO7VqUeCR
6QQpu74ZzMZeMTWDhkuG0nOb5x+2Ks+xNIerBv0CqqD/MyOkbaOCq3HyOjyj+FbivFn3zURogKiR
0mvak97EzyCyyf/Oo1PHwb9polmMQZlmk6nlFQb6Wrf6/IAYdu0aQtuLCAFH2OeID4XjbqE0nhwZ
pNvORx2gVACto/ANCbV+O8bOMRxVc+v2FdIm18kIjJVvod0VF80OnvuRWpcbkccCNt8ribVZC6aB
CPvQ6k+46etAvcI7uQ+pwKyJ3hteTb2ZLmZt3/eFyI+SOuAOdhU+IHsIPc2ppwO4s+mpUNRbp8rk
SSZOgo4SKVxJ4GgRT6HXRr18DUEUcUGjhlIb0XEsb/NiSjdjYmpEyPnNyer4RHQsU9h4m52Dm+Ia
FiQEkM+ZNYm7y/3iksZwJ/QuOoAA3XRGW7+JoY7XYY65HxcNkNhxuOnQQVz9YLzoQTltWtF34BmK
H1xrrJfJNp9GneBzsmPSGk1drrsPfU70o+7UL8mU/uwN3z2GkW97HEv7yZm21uC5QBxCRN1iV6v2
JzPzfGVa1mtMP3CllfFlcFUUPEernfpdaLjjajRBqeM5WpMlOZ3KbmPgOL3P+1iu9NS9OiEmaMPF
PupqVXZ0uBhTIUoumB3OYQZEnFO1zkhkvKhEhaLdqZVHlR/0GiraW4y0fosaKodHQ/ir6owGHyxy
HJM2kOcSI0+jO0Txkhj1qitHBEpl7noZuMpjBzaES9ZhjIV+ljWmhULZ+RxVh3o2lPdKGl0sjAhV
Xx8QSDLM4HKiOzbOgAhbo/WGLhxsRVG+qW7aXfR5MRKl6MTTVvO3kjAOr9eTciP40ZYI4NaWCSVT
rxGOIAFBluWU7bYuMj4ZV5coUbN0l2rxe6JgHMOiOF+XUmUlnc7C0mMnGyMJkTlYFi42rM8DrKUd
7yF8CernLvzVtO+jCxxFdbH3I7t6DGzdvY9bVE2IQCR6pl1RMJDQQ5w9dUIm4jCm7b6EV3Q1s91o
2c4BIDADOWlgWWEooqrNpevjfp2NUjnq5PppZjmta5tuHbi/jzAge04L5+8YYPWpih+QLZ78AOeT
qVvyoAccmrZaohIq0y+GQ+6xDSrTUxOc8Qlaw/UUa1w0J/2lxuS/aQ1BgK+idNsWd4ZnMt2qQdy3
pTiURXQkYbH/hQAfodS+b/Lw1cTtu7OyyATAOjHGKkjBJlFHYfTVE0o4Gf4+MhlnY0Art51eYtfO
m5+0hoO9UQoiejuxHbJxHw32qurEcE6HC2jM8aT6mXM3HzIlZOM72d8PlZJtqinB1221+sbC5LLx
0YO7HGwkNkXWcUnCHPv0HrILwmdGt9s6CM7SZqivS383EHpFV8RWdmNCmTV07G055vktHSyPsIM7
1W6b20yvi+vce5g08k+yyXh0jO4xsWa780ji5ATQHgmYjek2NeyVcGNyz+Z4VM2ujXXLa9vhfjPW
TWfZHALlD5wCyUlaeCOHiN3A6qsbM8SOSwoighGctS1TfIqoGP6qHFCBfA2K8mbM9DdhcCZoMXlg
cET0mbRQ0yE2rRVa5V7fTUQM+TkkhJJLgVSzo+bIK2YW1etH+71HZKKVWbKbpvgagKkgCU5fiZq8
VZeUO4YuShZvcvSDBC1+WEVzUEL0ft3on5Uy/4L2s6+q50pzf9g1Lru823U6jZ/B+eEPxVdImKmI
3lynuyLJw+XDdOO5djF7Fh99JA5K0O5kYBxAhJ0Zm14V1TyAYVv3fktm9rCvQ9XD+cvbS5SzwSCi
M6hBG+SGjc12DIddi4+ToL6dMtXbViH91iL7Uza0u2Ly4shRW6GiQJg47U1D3BuNT/Krbf8QHQqy
oKV7Xz6wI/L6PtyCgrhzMuuRK227goTbM/BepWPz4jfGtu5CArM7/5RgmtJbB6PFkAQrTOnn0itF
9TzvpJfJkyPcvRwpzMTDPULmGycTkZeb2kOh1acGtjLhHHM6SMWV1nBP6WjdFaNz5Mj+1Ql3EwQR
nd1yW5bUH3uKNb3abUug1tVkbp26fGiL4GWo7wJyYDliH4EICeBliuZsCF04VYb5ZZm3DQZG4EY1
t5u9BsVCzhkTbEexXeMwSJ8rM9nPf5cJNa665jzYXONpM3qF+VCPSrnutXw7KDhYHWnZK3UocdUY
+G8dTMsDQVnAK+YfyNmCWzbYSA7G6GRH0aEoXCbE0KbGMoIgpntMPQ6BIdtVpRaYjpEdi9ZaTXp0
zsym/UkHBS8f6XYYM3qpb9pce5NN8zrUiCsIZNKqj6bunwhtaZJ729f0S6mU21HInwrJ85Pzbtr2
ix+GhJxlj3kX3aMofm9MeVFm0Fk23YR1iWIx3NNp/WGM6m2v62erZsCCT9exQpAW9vgApunRGnNj
pwT6qx0kZyTv+5homax/yNpx0zHEYUC/cQphrAbcR+WsZ4QtIvp0H17Lmovr5AOJR7YO1Rqhh5If
mJGl60BREPIWcOoJ5eDXgF7fr28VPbttfI4UgnbWtTpHJ9mYSRrpXrOjYExpFx0/p649mYHmrq11
IQbEFff9DPzK9Nuq04+QMuC1JhvYDWdA05sS5qNaBfdNhnm/bNGAO+OjM2U3FA2PVtJt41bfik5c
EMwfzQkibjVeax1kD4DVfUt8bmWTWsY0DNqFZynihtLASy/sFVayVTiInCPHIKEsmr3+d3GOzUrL
PJvGWSzMe0vpXpukP3ESmmNpvlTDPJlKfiYwfR1P8sI7hZABTWbGq2nZO0jsizI6F2FWX4l8xOl3
W6kZVQOdMIWnVm129cBAb8KC7TifZVB5hqHdulbwBDjtENmx52YupUOONPxRjN1IH/L5BLimpll2
W0uHPFzTC5BfU0Qe38g8Xk6ZeWpum7R5axT13nJCIlUQNmT7WHQ/iyDaqBZxYEVzGofih2qILbVM
r+6bR0ffhUl6dZ1gi+KZcASmW1l2cMzorsiTecKIALP5pQn/zur8dxXWkSPf7bZ6DjjBTYmFMN16
rFPrsw3Ji51056nPzCdVaz7dVvkRtATe2gWMfxWriHsTa0T+Dj8DPdupMTSL+WAJRPxGnvFHiyt6
CM1LRk10lYWvwn/MG0S2hlrv6t48IHM+08A8lf2grDEzIY8V/OzHrLmDJQWlZfylkw20siv1JZfU
pxLqoBRkvdLWXlFkPmXQcxrFJX9UOealeB2MCttNQQ+nv3QJmXnpW6fEHznfie8mD10RbkCP3oxm
0a98NwcFJqmzMkcX3QMnDLi+8C6UUm6wLB8VS95aUMBAH+wao9qr9FZjJhYGuYa66z/ghzzEprYL
9PGMM/kcWnIjOiK1czqHvMRpZcdMiXRlPi3uMWRtwqSihqA0J8wn9oVC4xWbPsmlWg2vKRow1UbP
UQWRqUwR+xIp+1nrwRZQ1JWkOpNpu+mJVIrVyGgJORBaKEBrJGPcV5xds6xpCWYgZ1SRn1kaPyOQ
infAELVVEufUSIa7Ma85uyXKY81lc+Vn5Xms9WOFt6zQMLKWHNX4MHd5pG7rMTwUmnVp3bsS5T9c
Bcg5Zf7WIAG14ekk1nQ7mTQZCbEfRvV+cCk6QYaIrPrFlcVdZdQVhS/QJJhGVqQ4lnT30JArA9kx
yp6K3MSMmBMH1Qk1pkQoy6HdQT181wrrjuyUKdcueZReM6C4lqLutHa45r1yzeAjjFqz0RKmRhKh
dfIEPO+JJvVptPubzsD0Qi513OSv7jg9wkB7MEvprKrxjMs1Ww2+jjezgk2RxUyJCoGiufOyeaCH
3mtXMA00rX3LycSC+69bxY5yDljNNYRZIs/aV7KkJDlbgTTvhTHc1nb+GmZXJcpPsckVl9mfSh7b
OCT7OfGsM141Eq+KAkACxwj6zW0l/GMc1q9Ach9LrH9YeThH9NI+U3q80J3kZ180zyR8bOqoeXes
AHpZwkhrSPBkenlv3RGA227m5wJRfhNSpchHEtvbSLnTLWTKxWcddJvYWA782YfCwIlvJa29QZhf
KjPawO9+NTPusTG8BIyE7o4v5I7c9bw7uAgEmZ4kPmZHrb4C0kdXo66R7TS9YO04S1rxKYquzuhv
LWs2MyrlyBAfbkUY0K6RN/P3VcGL7q3+2dXb96xJL20ldmWa7lAFmFF5r5czA0ClpmaN9TkfP1Mz
+IV5Fdk94DlbA9BcY+BxSbv1E6bC5hSDUWr0YR4jrrXY8EKEWquRWRQaEEb0hn8NFPshH/w7TW9x
GsT27NuYGGEVD239gBsEgyS+HAgDut3lHmKDfWLmQCCibUMlm3gSaDaiw6uWl5Qna7JeuSOAbrWl
oIJkUnRn8nBV3HOD8JigP8TmeyOGKzNXBkw4nx17vEvJb3Pzh6IBrZn002vdE7htF+VODYKNsPKr
qlhvrU6on2zRRxrZZ9KMR9l9BcQzcAJ/TnvLxGmswHYa0x0eKH4bGnXTqiMhVImrU+1TV+iwQKxq
ZvU45lzPJO0GSP1Ka/HcF01/LjiWjwALN22CBdiOeudoAkVRskg9U3VmVIc5eqgslN9Ut4uCMVbM
+AhU/K8UKhR6d33fuFO/AZao3kycPy20JSsBhME0QhdwJgk8sOURb044FCqm8NuEQGGAub6+6sY8
4Kw2HpgBrByvb12bmXML8aKBsFToRIc7QbgRTQB5AmhaEwaPzAh+TCEIiKqJ60PXUzIPUmNt11ix
DCeELBWCetAq8xEi4a2vYZgYTOPWGsxrU9NQdA3luXJTwdcYPE6KvIV88+wLGxRzmzSeITvFC9vK
3MdlIndpCj0q1TXGzTkk0ThegbYFAKrBSkuG5rmDc+epo43lngz3KJeHmutWbVqvQjEY/jDVixjL
gWQN8CJU94Ju3bouIWHpHS6PgGS3LFCBijXMpxw9x/5bInHqHXdXVcR8d9EI7Uu2l5Vf2i6R3dWh
Rmz7VKQ/aTJ81MPFnCV2pv1Uk9iBW9WBR8NXSOK9qisKGUwOM+QdHnPrxrXJ4LPmHg42KvZ1ozVF
g2RthwHxY0X8EeKc46LaHQSqcsZvpXkg9hCrdVYdjBQeQaCghSBn/SYeO5tvA12N2+ClA/zzLgaG
p0FURmulqcUuJCkGO/GApxUaWWH1BEn3NHGFDAiasrKTKJIH9ERfcT/ty9Rttq7FywOgyEXNug1r
+StzHC53L1lRMAMo0FoaT0psPhehDtxAKA/NfCTXNW2R1olmdBbw2rRw9E3ntGBLLIobuUoArL0N
Ew62enZ1k/MIHTL0mKmGMtsMaX0bx8aj1IpnMmIC87aeyhNApGsJ7Aw4R7bCoJMyWBneRs35nMyd
5SDEIUVxVSj+yOj/MBXpF1ItLwV71WkAdkaBXIMA+edyEMFKEeOh081T2VY/uMSdVWB0a/j3MIPq
oZmpzOcCPttg/NR2rm7eTk75A16g1zlK5VFY5rAIMI34zT3z64wZVPqMCYvSIfxZom5cUHjGZ1rS
D0sNQFelYmwiBgmgY51yg27cU0NlZ0JMbvkKMn7AuHBmDAfFY2U3wG/qzf7NbzIU9AWErOSAf+Bg
BdqTH2Ek1xXtwCVbrDhiLoPTEQWNDUlvC4YJ8pNpFa2rLv2wkhxkPgiPIdXwpSf5m+b2B2cavEHV
7oc4+lSHbB2M1QOg+x96PZ5jP2GslcufwEiw0Q/PRsSkxIahOzVP6sDVx61/YqdG+UNMI1feprVg
KvBLpiQN2JaC3ZajEYM4dVmBsIbZRZXQrueqGPuGhbVF+QFF8tjE5b2oCW8klZNw9AtNrheLauFq
suRXGNZ3GLzTwbmnh+KBL9yqSh1xuagfApk+6ll31XyCF+PwrujSk5izMIdWPVBh7pklEt1OvTrf
6AG2RJKKSaShFWKRyzjlnwQO7YnCPDJL8uZMsdoFglBY+rnq04+A8T3QLXE3JMNO9tU2UAeeTDtI
a/hKreRN+O2rqopri0hzE2bpQxABx4k/x/wrwD4ncsaNJrxTyxYnO9POiotJ3lBWhjEFaCC7Sw10
nzcy7tNafmimKlfNCCBbg1NWwrNfW73z0MCBMu3yAyQnZ0Z1YhyTctBNcj44z8HQj2tI9ScCo+Qu
K8svJUKeQk+xnvQLlJy7qLXf3N598q10NwmQcmBNy5U6MBgBnymV7NZRzHqV1e1zUNFSjPtd9RRk
8hrPCCC3DvfWhCK2k8UXspWDJvPbPidMRSOGCJL0ym5nnDBGD7oUAAtNqwk9H5EX5jEWbp2Q6fev
m8p886/7/rr518OWR/x+gqjZJaNB6ynDJZVZD1FcaFvilHA5V709My4xbsxmDnyvZEQY032OAnJl
zuLTRYG6rH0v/gf3SZonWMsoi9hDlIBOQYQIDMrykAUgFZslgM7sqVoWy03XxiFqT08I4/v2FM82
jnRxkznSRnwym1tVvySvIJpVjPC686MpM2fCMc9qmdnIY5fVqdWuSDNnHmLESdnNZHZcFsrsQ/m9
RlwcPGgy01K33allBYmQ/BJOI7zM36uLrnG5XY7tXLDzV3ZZ4yivCLaWATqYThv+uVjuW24uG2wn
QL/0vbmZd7SRsKy5XgzrwnQKlZold5b5syn7lo4mir1FHNqaOhc2dUBhkITVkXZqdVzWvhfLfZkC
KNbtfjhlf+srw2eaqshm6oLsVgC8TkA5zjaiHxPtm4thJyMDAJB9EQYkz9wn7shUlOJbqs4EO9B8
jj58Ja0zMEtl4TDvwQxSnUptHD3XVTbjxGkSQqDvZRIXZ5Jo/iFw8msfleOxNgnbrVVOrmN/SWpZ
bmxhkxzE70eK0sONty+ZLYOxES8qlr8j5MJzPIniYhPstdabngQzeLjANuCjJ79UNMiGdGZJ7TBe
HDndO/GQHHXTb09hERzVsfpRx2G173M/YW69ipshvzRV2V1as3I5o1onugwgcIHEFaI/2IQtr2Wj
8Wf0ouDnxpdZwLTYBnQuGZOSphs4SnNBqQYVpcFxm+oqDBD1zhjIK+1FfdYwrxMzax1KfSoAyker
J8tP07MawMTMW+PS64ZxGVuU/7aBGUuxrpNR/rKzJNrwkO6SiYRsDfNMape148C+jVrpHGzN8EkQ
xz1TGvBC5DsoDdp8pf7V6C1274Lx+0TzpQsZsvB/7EifasHIp4r02+vDmjO123wMktDhwSjyq0Ja
x3WKfpH0DbsYiIrnUF2MezXZtBbfimh8hrhqi/s7yfJLiJ3zoiqPdJfkWUxQLEGT0FKh3JZPmtz2
Wj2AkdXtM6GR9pka6QFj070eVDalrGq8AajoqL8MSgQTLbaVVbnkF+gTCdd12XrkDuKLd7PJSyqm
EtQBso2GFXcMs/GiAX0Zc3e8ieZXQu9JoTvH8EZTgef7ttPtpBXwrXRw+d0yI1IucNMLGUOvXO/U
PWW6RwYgMMn5EukooTShoZLRk2OvMOfISirL2Cz3/d68bBGZHXqyQ6HsnKZon5fYirIhewFj/tlZ
E+SoirFrXDyYtaSEVl/8kBA4xX+Sct0o8sOqjC+1ix/HLDgn2YiiosLQqz1GLYGXrak9F0ZSwSop
36F8Ub6ZqMpW0/0w9d0pIxrAVNQb0TJS1KzhpqABs1dseHvwp4i3Jx2oWMXVtkPuuIoMCEokE60i
tRfrwu5fzEKH+9o20EV17Ok+MMcwhBPuM061Ffe+ClK5LqLQXOdOTwdF6x9drlWKdO5gu9JPgrdV
aQB+Jv3I9HYFqIEhWCueB384O2PyNijYvS0mnqrV3MKLvlU1AiL3tLYZlkh344sKhAcJVGA4y2tm
n1vaqLDle1enl5JED+B8vLSjbNXbOHeMHPs2xe+fQ8UgDOPwe1dCuYWDRmq4AWZNOzkODjd/Mn6B
i55WALew3gby3o+4dIyyoNJHYCb5OgfNuvX7wF67ItoqeiFPQzLBdM7IQ7GMe/T9U8hhE9bBbafo
6U3sotlIwSboOnL2vjhBIZWMIC9q1kpOhMBUpqrAAqi8+PDXad/l9HaTYl+L6cP3+TklfQ3ODiNM
fC8EbMb60W2JRoNa8TTWmYdQ8qaqiIbphHUH3vZQthCntNuhD0eK5PQsCqd9z1F8JAWeohFHC2OB
r7ws3ENNh+RWkSGEto6WmqrrJ7BrhhWU+ynwE08wz0MDEl8nnAVeNvAxpONOCv1GjRlRNvqhoxEm
c62DNeeuhiIv15p0+EKZ5BgRxkCjmJBmqOAno+FcBCebUZwXNQR943WuNhQo0Pdn1ZcdmD9s2xcQ
kqhddgY1ydh9GJtI7kNBunOdw0irgo8+1PSXTlBwEc0RD3hwiDppeGOivGjKpWJ8VhYoUMy6+kwr
jdN0fyRO55emcd631YIBYnrrMjjrCenuxgCtmBJpKzgwq7pgAg1vbw0zilFsMx3noWRjEF4saNnp
dlRsrLrT1gjX+SmMzUfstFTqS0yTODk5vOiQB59OY+UnO4eCbjP5WQWWUVwl5YSVTmgG9Mxqz2w3
vwe19YRi6kdvxl9x90lWktj2+uhjwgz2nHfN24wPKxMU9XJ8I5IZP/0A+eSU0eil7gjGx2/b7Ycq
8m5bUV5uYWltxsot1i1pelqI6b+yaD5WPrrAJMGsKz5CxZi2ghklX/e1DDTx5gvtC6rs1Yoy/ZAD
J9/EslnndOhXdeiqm2lQ+W231AotnWEzRY9wLAM6mh2c+NY3gTCWRFqEoEwHv5FeNnF0WUF1lzL1
3Ch6zeXXpz9T2+PGVZqfep/vAiWdHpUpJitED4+Bll8EeOBdoGoPoWDMrGe5RELs92u7q/ZhizmT
EIsvSO9g+GK8TC5nNkq61jmGrd0V/g1264sZlCjf3JTKWFOb9M7QfkF2x9xev3ej6u6ssr6jLOvu
DQfqJE2pGnAhSKVoZdCp2LhqcE/Pek9lyLkEsL04okv1ADNoWiEMy/YuiUAb6Fj4FdIiWzdyOBpG
98siGT0j/IHnto7C0v8Pd2eyG7mSZulXafSeF8bBaCRQ1Qt3+izXLEWENkSEQuI80zg9fX/Uzewc
GpVALquATIdCV4rwkfYP53znRoegmHJ9Fzvd7wizbIP2gEKtDQbC/HZtKA64VO+ZsoAcihqmz/28
5WrjHAZq4w3Ux1+tMY1rkgHdQuN+VEyANxSleJesfj8J/7fo0WQOGodNlol38Cg8BFUDQ3a8TdKj
cQTTdabtWS1Zjdg3JXg1iqW299vd7JkhqMsP8g2Q13lEk7IYsy4J5+4+m9g3ZbHhXWNPeJB2jcAc
HbUVS+jsqiLJjkKqmVWxbRyFImU08poUpq8gabVkVlPzIqruaiFMOqfRcMv0JT9IjU5HjG24g+Xw
K9fawAQEKgHwQBcMGJ7A7LmQaFTPvc+MBEJLFSE+r75Nhkwuf35n/fbSrl1A/GzbPMJSaA3w288v
bttwVEV1N+1123z7849oTg6tY47HGVrzniab5eJa/M0RG4ssvnx95TJEPg4y3c0yDnEUrnSfry+X
loFzkYMFsUvztVxUz+aQH/m6UQAV9mmpv/On/ijGGI2GyC9dhDQiXr9KPFqXvrBPM/NUPoLlSdRL
eak7MnQTo/U3ZbjQ2veu23BRceudpWdnoyR7YTUtb8R9l1y2mvLCxf0Sk1G84wW6qXn0l3a9aYwQ
3qo0vn19K4s9CJVFXm6bXjrZaeyK5LRi6N0OiB440z1q5u7ydTOMK2+2lulG+fpouZ0RqBZCclim
4jzmILZyxiBBPuEwB1m5AUh/iHjF0QMayLBKfiBNizHol6i+5AMhYGhLSBvgEsj7uvhlRq3B0ZUd
deLd6nZiuVhANyLg2AkykXUX5I4i0C1SgSLh7SMFSrwkmpKLHVUJ9zF9p23l/YCKFJCW423LicVF
StB1bhJKwXyb9ZQz1xdmC/WlFxpFR20d4GRWlBJ+1lyGGjAJ0wWfySOcTovwKmh20U2fUh3hQG8v
8FatLZDz9eoSsQj5+qZKy4C3FEPwxC/p3FW788qGE2OOL5nnMNv5+gfJ61YNIY4TsUnD+iREEwsD
QAHXJvL1qU1E8HXfU8ZPl6+veuBwgU4porq5vSvDInloBz5pZvtuRWI5+ex8cwtOYDUQcVCJaS+a
EfCW42+amnrGWPRdX3AHErCXFiv4YM1KqMvO2yxicNdj+61xmYB1jcxQpFDOzZb7kyd6v4w6v7LW
rgMcmRU6oQj6wFZ5TJPcKQrMMOqARI4TUokxINmbhKEH5zEcqfVmvzkksftmD91rSnDVzgA/U9RI
LocF44vVMTBXafr5P9rF4AHk+FcmhuAj/zn+bD/+3sXw5+/8xcSg5B8g9Vk/k00ubHIlyG38i4mB
/6RQmknP9RkauRZ2grJq1yBe2//Ds/kG2WWOVMI2+aW/ehq8PxzHNKXg77M82xL2v2NqQPDwz54G
IV3TXH0Wnu9x9/4pIC0DfJ6ai097S+EYeBgBF0alsG09rEHrFbOQHdNcwggIvloHB8bg7sakKdGO
8LYqGkXN3XFCSLNgB2gwtE25hFQm9cecqeYisTtv9kJxrtZdH10AYOyExzaYIDErGCurv3QFlKgs
vtFdRf5FxMir7oIeKci2c13NtXbdBRq9CMyGnTzB64dOubejnItTgiIPSzIkDncN0KFTWMAyJnP1
kVXFcnA6maIvj9fUPJ/8ne67M8nbCmt5YdqgLvI3x2i9gIh7NoyoY+fZZZgWq9fZFtGOzv3Ws7nc
MfNhM4gbBYNGXG+XkFVMKQ9hIeVTleYXEdG3GhSsqJPi5eLOEQRlIqOYal5b1v4cyGjRi+nEbHU5
KtFDGOqyeyuK3ujrzScojcy5PWjNRXsuQJZvxfxMzcOqnDQFTMBtw0ZmYcyJVhJUGf3CEokfC/E+
4Nf97WJJyL5WTQ5Qlj2FkfqR1HsAp3br1qexB6PFOfmxlGrcpqq+NVnDbH3UXQw3u8AqZuriLnlj
T5hEhrVLM6jQVWHCLUn6HvHzriATgfSegosKjihXfGYjkw3kd9OmTfunOgJa5sIC43W2+tfCYgC8
TJ0X0OJfYhfNlhf9lgxCOBUxBZixxfXRepCZ7ra+n5FeomMWZEO12d+hucMBQZgDMTifs8NBpc7L
IEjBNKviqqlRC8d9DsMy3qjObbZdO19kDafRT5vfZsUYQpL3FGQuFmqZFvcx/5Brc0DBA7j2VWNv
EKE9oKjfzLa6CQd9NZElbOKpfBqSPtkmofAoonrEEUy2c5Rtm5mgqcyLHiwP0vNc3Ejxq62L+xq6
3oTrjM1umO3SdG3i5ujNd8PTXLtIkUhRyE65bT9kc/bWSM5axWJUE2WkvDJ/zdYxET6Unog8O2Ya
mwnCJZRx1CvyDmbBlqBRzre7yQ53oUrdTRbyyAegeK5Ew4CVYFNTQO6LgQAmo1k45kSktzMY/sio
d1AWtq0mvmxAQLghXwns3TChkadYcht11HUL3xD27IlxTYDZLqars8sDKJp6qxpUS7WYT8B/n11k
gZuyB76Byf0z9R79Pr6gqIcE6a/TT9Izo5CY5pZqffaedNuNaNOLm0K4B7XUT64x949GmK8i7k1p
tvGrXee7aUw+keaHmNVP+SiPobd4cH4ZxHeuf0znJ8jtmJaQ3RPr40GguarcbXcU81uo+1AeMOIw
0a4rpszpjRuuoRQrrz8t6DtV05ClyuSgy7jUZO2QnOpfbS7De3lr5zHGRdu4ZUqKtG+9thnJArs5
pC4KzW/QySuWCMNjkSgjsDzEdorVuZ4tbwMIANQ3Sk3Q7S7aYLq7juju5oHN8XRjLxPS3N5H8tHP
0S62yxZ9ZO0cCrpBtDVcnRCXeo1Psgxmf0Hw0D7M7FWU0S97JxZ3/rD4IEc3I8t8uJPxUxU37P7j
8qnr2ZSlffGZp6F5oDorUTma7yo5G8Vinscn1MjHgeZCALswDTpV8141Zh7483g7zA+WnV4Q0NG1
2zFS5CIMvFC8p8maE2bJ18Uqn5KIxedg0QxIHboX1ynVJZ0Gk55x3g0eBoUIzBw890pfGDMW+5E7
YDdIYxJttQRJpoz9jOX3kJFBFM57e55eU3x5XBsQDgzSO9hR3x9nnTyoqZvQijMXq0KPc4MS9WJZ
MjrVBBWp4rVdL/yWOekLC5MaLCQZ34WA17pQQzoJDqosTH3mzE12I3MQyNE6RfYGmHOjPAAanbjo
cB2d/QSUYlUiSgwZBhR292kppkN1uBgXyBPGJSGu9xAN1r1RSnkpmTFvM5IpSAVoqMxzDFIwUkBj
uSo9kpl526d4bY22utrTLC6eWciApyIYoynexI2f3ajS/ubrhWhwR/mXGTsIsEH3WqXEu6UMCnfo
T/CW9Y77571o17vydX+a5TNWqYKIwneKfkQhrBCGrveyjLPpkmk66NU9uNTWeZgbyVz968smcclC
fpV+tZyZRTxXwka5Cu9vJjF63zrWw2SzdclhKX+5XlUHKH/9qrRM++wYM4vfVKIuW4bPgpSkfTXj
obFSgsr47rqSIiIVzbgFQAtm+X1UOmAJ/eX6lX4aAQc4mWiotVbTYSQ+rpkgJP77deNzVfC//1jJ
dO/4DNokivv/8x//8Kdr8t5CEvjs/+VP/XfC1Zn4k/5VBXpNyvKjq/p/MNICkFt/669GWv8Px7Nt
JSWVqPkPtDpf/WHZa93nuSgWTbmWp38pQh3/D3ItVwOttLD3SfU3Wp1j/+H4OHV80xaIlvmb/50i
lH/mH4tQ4ZvKExbFsMX9g373T0WoHWc+4WiluJTC4IKnt7UaWsLDIaLZu7nz+vDi1r39EU7xAiHD
U7lH9RbqWD03qVVEn2w2RvlbYJgzXpzQbbzXsW777pNUvbz6uSh7MH4PqRcicF46/Pf20i3o34Yk
2zRkO5sN6yKSJ4OKWX/3xGRgRiIuu+41wdLA4d7VsT5SIDYsU0nnqfa+lw/hO1O2iVwi14qsSx0P
+V1meDZhVIij1X6ojJ61ptATla3vN6RplwljSOExXVsPdkjWbu5J68AIJZw3PJIowTmXl2/C89BM
ESxJVcuh5VY4l6RPXgHOjkQccqM3P6x5yjpgmwYiiIn4G3RtzUTJPFDMMsNOdOfezLnOhvhOl44F
PmDsEYd0/GugtTtSZyQRQ0Way8T8WQwkPJ5iM6OIEV0usFKMWZaexhjg8SGMnUdnZIaQ2kyxwZRg
viTkx4Ka3FZh9svqRsSNhuPn8bWPBvCwsJgR/R2F4+TFoVjiCVYzfszwB7CELtnjnKFa6aQNxAEA
OhaMcUJFiHNRMklw1ezfawbs44tNkWE/TYsL1Tl1Kuc98sf8XSwTROcua7oMK35bJ3umIpK/Str9
mxtnOsRoOIa3lK0VE/nQfi5NGW8TEleiXZOqBaZ0KSoq/XGyzqhqnIfSzaEFmaKp8B+aqHYBIIfq
RauaOUw5IJl+8LXFORBDIU4Dy5qFeW7blYSLKi/LdGAi4K/x2/VufU/xKxPYojM5cG3T1S6qM4u6
jSO6mvexjjFgbxJjKO/9vDG8T6lG1DSGv4xZjUgtoyAtKnbH0Idb8OybIYkSTgQu7TOHNRCTrVPX
yFuC0h1Uv9V+h/llsJTjHVJvZHmK7I/pEDzZIrqNaiqXY5p0BUGmzIPEbV0PJkq62iJ3OkNtxGUc
CdfVmKJJvZbS8K0jM2bPO4dcUWxnqyNszNkuETWvyrjRWTfeuqOedtbcYI60huScwRL/jpt6fhqU
bT+aLXn2hBNKcvKc8V6oObrhE5Bu617KO7MWtAFTnydoEK3s2aBgPIylhdHZGpNfzeBGB+z08lII
rz5WnYP/1APkTB5nv1MGT/PiUXwxHKG+ivPevjit2VyTCDwHdEP7DtKgEfiJMT3nrYtqLfGqS6Ea
dYObmIC3cCQdxFTuOWzI625lND65TRQGbS9RaaSEAkbatk4ijOQr61/kcjF+09tusT+cYpx/6i5v
bx0o5yhZED+OkDGwuJrlQ10OEc9HF5OrMnQPXhXpX0Nu1ictEvspzgRYqkyr+OrlEz+YN+6BCbP5
vSi75IhCNju5Mx+VXMfZanGtkPOk7FgKrwyPXRJlR8NvZ1AXbnRDOFuCxLYy00d8KN4dRMHyrZyc
dNdoP7p33VYddEuMnJJMNhPkbLtlntojOQjd0dF1+eDbXF3oitqrzVvxMLDL3TuQPe4HJzR+WoCE
+auq+pWKqL/3dKr3bWnM+1ylwx3pxfmJRICca4OLBlomzr2gKYmZxkM8zjyjDOI0FZ+FSMunlpgP
9q/ohagEmYTQp7CIcLrF+MbUtLuiQyLjl6QmlxCOOKvvYztXDz6W/v08M8WybMRXEbLMXTHU/i6t
LKTMxrDa0sVAHlrKx1yb/fQIFUHDMbQh4I0hXS2hZsw1Iwsvcj76ePk9G9oIEy6zIM98k6CS2o5y
Kd+1aaW8QwSXW6EBDVSte9tOknVwA0o+5PU5WgkOtpAg+5NV98aepFFU5rFtn5sEQhpRzTLw4Pxe
DXBnnFZzefBIEeJ3UWKWqCLfAWEaaLKaBDpEOu+LtjbYW9j1YfSYvNiJ32yZFrW3Hna5YJzr+CXs
8vkaa2/eWZZI980yTXDsiT7xq4JYZa/AdmR8JaGjoS/yZDo4icPuHGfoK1CV9DB5qbz08dRcsUmL
g7WM00NYiPaW50BxSS5T9HC08nh1BTGFtekex3lhTRJiaZhb8kwqa6n3okAJXLZOzHDGLE+NhdXW
dNF6qLkmIjGf9ZkEK8ixOSFhMDzVboqUHYhqMI+LO4RXbUbDnn6bKD10PYeJT/TegfN/aGratxBl
67VHF/87j8b2FiM9sAuF4LH0quLgCTAaNUCdgD6HFBZK+xMSJgdroMZsxsh3ZysWdu48D6cYoPqx
LHS5txnJ3RhCITDTqf8N4YH7krWedWeEhNxzYKrD6Kf5vuh78GlGBjaDaChEgXO4y3tOi1qyFW2A
knzGjoguZkKWi7EYbGm9mSh7qeGhj52DxsskRBebH6puOplidmE6FOAf9LICuAc93kEtr0k8KYZb
chjaA6m+GTGZbojRfIgOGGdyukTiCQqx6L004jTaVDY70SSyGQSUUXoeurq7AhGiVzOJVIghYAUT
jNKAzStvBz0wsVnycblAhsjXA1fsGuUznnOHaidBA5w0cUo7F5HFVrFYCpSPowCRs0fCRDljj2m7
YCJTIvASUsvJ7y23bon6vU5h4sRjsR4gY3WZOe+Q2AgieGp697FIIzYJoU2PtPhoFmWf7lB/cIa2
IgeKqfUjHidjK4ulPC74DE49MyUybide9gaBeATufdfZvnFUfid3wBZYl5NWe8AVM/gYGLLuZ9XW
8D/E4BxKhvIO/aceye1u6vhhcPOats9DYhNiqfpW62rZ2+NS3zp5Oub7DI6LgoLOcGzfZR253lPi
9GYgkijX+xgeM2nG5jQuN1hGCalEve72z/Dw6nhPfdmSc9zW45VDPWfeZcYUca4z5/OmaHBt71PC
VBtrU7bDLMMar7k2ZnGjlef8ipbBIY88+Pe7oP9GzQu9hkct/18zgC6wf/R7Nv/9+Pwvv/TX3sX8
A+yOaUmfSfnXjPyvCCD/D6lYnZmSytGhvGNO/7fxuelA0xZC2C4rawEd+6/jc5fOxfNtX9IhIeSQ
7r/Tudj0VHWVz1FVrrgiSVCNoINeWyBaeJOrMP/974hANjEbLaLC6Ez6SUoiL5StpjYD7U7GqarD
a+hHZ6kWVC3KeS7qHEazV8ZHMT0kRo7Oh2sZ8egDmS0pelkV9pvcr8g7731i4kZy6h2boMW+BoKf
TwSbZ+lTZvRyDWbKA+GSkx0KbMEE+57GZvxorX1i6oVW8f+9JPd/Ppz/VerinsydvvvP/2054v9/
nDxTUtCkuZZDh7aSkf7ucVLOzjKzPPdEoLSJ4ZAVNTIqQjtopkgfaM/IJNEjEZsQfHHFMSa256jy
HAZxLIDhEBxBGryWoQ2aWxCt3jK7WLI0uaRs8WKXlTm+kzOAtBdoXN2W7cFTaYhfTlw49183eQEr
x/VBw4Y+h4cbwe4YT4BXKEjqhlxtcNhc7YpqPy/ZiCKvAi5k6GOyFM1uVgQI4HwZL36XRdx352dm
c1FpCVhk7dU+e0Zsnt31BsNdcy4w8IlSnL9uvhKCsLOq02I8/O3bZIIxhS8AtqQ97CPsGEdCUJbz
102MPgulq8+FcQV9ft0MK/3TDsOHKUEQG0oSOFBloQvE7/CjOtbK+hgqlCmzEzF+ZwR9RuX9vRKE
f8Fl6M+x5jkrSTMKIleIcw3j91C6/m1SZYhTJg2M1NaN3EYyX97RGsy7vnrIsylbybEesSD5o0vT
eiaBOzw7LilSUBEBGa5/XHrh/93N1/cMwHGdQ7JQXZQxEZjd/bT+VMfbr4tGVstTbAQohWgIc5u6
1pqxpmJ7KjcVc3AAv2h9V0optjl5/vpqXhhUdt8ygq0guWnINEiz9xE4ky5vjnW0MGqdV9Rt6M/D
uePjQLLsRAgWKkZCAMm3Cvvmp5Vx9GJm5Rkx7e482+aD6PnWIqw9+3x947uqRWE1sHRfb2oXk93X
7nlYtQa6QkSQ1fr161tfNyjIydcrFmPvS/thQeYPZGjVMHzd1N4nq4chwLaCctN5AycwnKrxxpW8
qRpB7FiyLBLSMse9M0q8f5GEKblcEtvXYJDsS1u1Nzl4Vbpyi+XWD+g42Y5WBCXCSsMzBA+jTsyW
U994xQyBhGx001NfOwgUEob7BEHJckmhqV6oz8pztLawFbloCCz9V98FcPS13u+gdPXF4p5IQIkv
CCHctY14jlLAArnM9Xa614WZnIkUv+YaSmLjI52cGu9oEUbFrDw6siTHTJxPI+YDgGeISww/yCaM
mEaf35D8g8HOaFCRt/N4KsM37ZC1tYQe/awcsoNGuXZmZdacJ0HjyulYMq2vHowVSEgBw6YFk+fO
rb7x++rEy2WdsQ/AaZH0k3GTT8ceQUIfS+eckh8WFGjBNgLt59liK6lTZ+/40zZ0O9z2VRJQi7+2
SU/uRW5g6TpOi2eeQg9BklbDRY8xyXcJXol6Hi4kvNSAXffGWL40xeIFMBsXBEDI6gnQDJzC29EK
0qPk9Q97jPHsMzNFCtAdwihuKbUhdUU8RbyL/YPF0nZ9fOVr2bsQZzNcaEP0XkHgODfrTe4/9iML
lEwuUG/yqtt+XSg5MJujUwy7sJHNYZmKh05p6D8iazeOo6NdUeIE7lCvxlJt+4pVUObV7RbrktxK
czD27E7Q3drzGYOOffKjlxhg0nnKyovbZ59+lBGPB8Y5C+k2rOEjrcR+XCLWoBZpEOZIEZ/732OF
atNkeSSi/NWGm3SKRxrqOWwQEij7T4mMlxgL3ZX7s+9Q9eraHshONCzgVNnzGNXkWtsvpZWDs/SM
Q68bxLMNiehe+DGrJycq38Keiy9Ksq+3OTjNc5603er7eSuFcHdNHjGv9p0B4R/yBPJ+MJm07nfD
XbiXmCFT5fS8H5BsDMS1BjpGps/822KKsY866xWCFR2tCh+V/dqZbRQMuYH9qQKwzBviccApa1m4
OhYGFQCVC5AZIt71FhtpQ5Qnv9XHlK4cerBQwdLgfzdjgGgs1YKUAREEULS7CgtnJo9JTXyKlnqX
G7a7LX16/pa5SqPa/uRo3l6l/ZhPzsRMRlyJbv/hHPw0HfZdUn+4c3zreDRpUZfSYk7NyTdLeXVl
DZBKs8TsNfI9j+0YaaisTXp1a9oGiL4k79kLwjK22hYVOTI92zLrPSYFRSCO1RzE7P+a0opI1yx8
QFANjzASYQBG465W0cUWGe1a5u9T8tC/EmXQ+Zc4pMtjO+/HnvY4LYhLNP3wLg/zDEJc880y42Uj
faTAIIjA7FG+wBMD4gHmwo4YkxnTul40UiT++bCcMsM9pohJY3sE64aLYlPGxCRXZDmgiiOhrAG5
IhuyQrF/2Gi4yFX1uR4tTA96hPNIdpNt7jcjaWvOflgK7sZsvCDFnDdLaRgPbrf+99S9rQrQr8Br
aKhguLyHIYtmrixMmSx82i4/b/bwEtQAUEQ19U7jHdvl0uq2ajUGKxKkxqb8kQgqs/Fx4sMMnxAq
GPKq+9G1micQN1dH6V2f5/6WFOF219oGcryo2Ns9Ek/LLV5KzT+XfXN9n2oPMtgmARW5G9r2fmFt
ElTZOWZhDbQiui51GkDPKPic6wch2vxg6Lq6IOeRyKCBGy8cKKTeyoS3pelkgNPIENzCmTpUUbvp
Ej2CBuDlr5MUM1rvogJl8e1gd8aq2mU3DRXbt7y6Q+SIUHS8GyPvR1N25LIuhd5h7MdKtidx5nvu
1/3WKY12pzvbOSBTXVAJqe+p5Ue7UI/mJi5c837ucuu+AJ7iVOH3OCm8Q12Pz83IyNMenM8ch0tF
UvdN5ol96lORUdMQg1i58RZ74xx0qnRPaU2T2H0aWe9cdLlG3YaH3pPAzLS9K8uCYNTEqX5WHWye
sWctnrgpuIsKg5LMSFmL8o68XqahGx3WYOqBsSi/4Qh5diwaUbcubkxGGp7FE5OkDfKH7uSN5tGc
SAbtRDS+zavl1ptfmR+cvIk41h4raut2vE/lEgxurXAmQqj289+dB3kTF8N3RwIoqLNig0Py2ufm
muLWleQdeph0MhtlKzy+n4p5LkEpyHcZQrE+6zqE6M201Vg5a0xB+EPJpkYLRgLmGq1Qt8VVpcj2
9HcSUX+hwcFwQe2edr950Z+QpWP0x9Xq58W9Q3pNnhclvgTiYglkLhhFv3RfdV6UHvPchLRAoCXC
4F8LQXgbM4sPpbQJlYU6HjkParHuEHmYx6IULEgzmLcZ1JAoLI/VYu8GPa3x7UgJVYlnDGPTB6tV
s4nI5iT2L9CldTU8pPkgGPZVj9azj4Gzhfptyj1qqez7TMytodKfbt8RkUPo62D0+567jN4Cek1U
IOOvwGphRZABOcbs52vmB6FxKjV4HdLn8LQSHLcB+50FcJK+9TM2PNLbo9K9ZebcHoDCYbHRzYtl
Ta/TpL6XdfhUAYjf+P3wq3cNRTxW0R796RWbz0FNjne05xAlm7EtU00GHv5W1Z56zSc4sUm1sQCR
2B3gHzvDAjo67KMp9BnPo6yWs5XuRnMSAUDh24FYxohXeV96CFaxTwZR4+906CAlkd3FXmDjNPWt
sp0dQ0WJxzBads6Q3DhlFG8JIigvpoMI3vc+Kv1z7KwXzpuD7RfEH0v9WVsDDLKJ92syIo1lPHSi
5vxUOh/3UVFe7LFAReT6Vx8JvZE9LJTZjx3lWIWOh/C65dG0kse0ZdLGCgCUn3xfyh+17osgCSmD
BougagrTSNaPMQgWIxcvBaoSBJ/IU6084tVIvzWsoTERjwi4veVUgmQBRdlu4h4DNeokPPCwKWO4
JIO5XDj36wdsT6Y8NVGGyqK2f5Ev8di6tiAnmOFlLZNrOJMnKzP33uqdcTeODdfhxoYLQ/0kFrys
xJlPadkwDPT1fmTRtlkaLOF4qKDjSTJLQzNNVzIlUqfkZGUMHmeE/dvQgy5iC3gnSTTsGAixlI5S
nmpBIRl56UuTVw+2HMdTa96PGfV4y2OWra0OaBdu/RbqKETbC9ra3ws02BD5AYFOmKsAu21CN4kP
qsNCFNFyw1gIbFBmuzruvqsqupugiYZVSKwaRUwb86CnwtmLimthLyD9+bn/5ti1de2i7bKMyF0r
+IB5fldOzStLSVwp0pi2bSS5kjMa4MT80MZxtn107WXoHzQMjrLukWIJkBylbzzGocAF0MzegUF/
sV8USpy2dZ6zZn1KuRa65Eh1YU0eOyE1quz8Db4qvTVK964y7GRLdHsS6I4hsibUcNIYcK3E+hmV
+D5s07oDeUbZlmGyMOQLUelX0XrvYTQ+qJRcUjfnKoEbLcet9Z6aSgaAuH5IB7GUiAtS76t5SxxI
dSbqGLES1nGmeuwrgelE2wYrLOnzboW4Fa925Ay3XBwXJDmbyPSYK/a3eYmHA8Lo1pg+9Zz8wKs5
EmFpvhJZi8yqO+t4fK/R9ZyM+Yg0EobkKIHMgTbY9WlSXcJxLUpMICgZa0DdxTdwft4rFjQ2+LYt
kn0gVfqkxzFF2dQAzeTyh8ThonR6MqvPMe/mZ8Og5mAJjUHlhB6FihuS4KHNq3cZgu/OXIKyWJYz
AZA7s0PUFksoK+biHkijkaAFps2srSRApYFpXgOuW/EQQZImJ9tKgDeKAfSLD7yAodW09TJKeMBs
BLBJ7HnZQmYs7sjDME0IufwW4nD0UtrAylK/2nVQdOuy/rBd/WHRizhFa+3E3lHz2zB1AmuE4kM/
vuF6gtNnbgYjuyVcm/uQI9iyKz9EqfKmqODFyKi0nJTY+qHxPe+WY+fQOOSq3OKbeeIvpmxKuYB1
XvZddOOuzjp4b1M7QWCkyOsrxFG4TNxL1f9I8rE8FdF8NmcEgnyMMXZyrRLRjZvhNC/DGSCqFd1q
erltOrIVKHP8JzEG6jR1gSPY8KkbkGUOV3djoLl08xk0TTSWW0GFLf162Fgu8RfVhAZpWepnEZXp
3i2sXWymkshcTQ0YLrfr/4k29xMff1MGyr6sM9a/P5gg8nadki07H4RwFCSzXk6xiL9XBhJK36gu
udcgMOOMrXNYUhMGfsqIekNZoDfsIvELFYqP//pEZrX1zbsZ6oUnQyHht5HeSyvskGzVKU03KZ6M
HtnYWm+szLCuZGDYRnSl/iga/gr/kyxh7GlsiPIPg1lAMyHIT20rDGJH3kvhV5tyWF00cnE3ViFO
1PavaaUOngxffBu91eR7zyVF5NZuGS3HVfhgNBxkU5htkWz0Wz7hd83i/Q4NlGTLI95xliEm0Gm2
rM1YuluRYoxDGh6yaS6XrZMjN8fLYA0I5hg8cji+JyYGuspi7+Eo8KpdZtHLc05E0zQdkf1A2wBU
SxEJJqsLQ1Z0zszcraEjr3GvTIjS94u2EZWnpEWjF45gbwLZtFGK+m79y2f5HhhxguCcT2Q0dAWY
p/QSh9o+zGHM+MTiQIKbFDlAWMzsMPnNTT0a7yOblV3YvyXxEiS1Olb9cG0lyNz5yjUEV8yTNH2x
EUnxTPxV7To7kupB6w4+PzbChAxZ34UM7Eb0dZ79xnrHHvYLseyflBax0TwiS4biLMmXYg9BlAQK
0Sbz/KAzyGf3Ly1MmnkFYlHlv0xmee6Ag29WAQmnnoPLlNeuJTQ+6LmIwnftNgmdQN4ArfEqEmvH
8JO6arjFcAoqKoyOyBazcwFwsDHwcbcdrJfqBg4mb8cKVaZvLi92MyHiS2BHOiKI3fijdoBkgLUB
9yQfZd68OrHzkHZbW+rXSkJhWVepBWRiago15RdHZU+9zadloOrHwv5YAMsMVQW8IvQDZMEXf9WE
Yh0qsRRbefgjpLsxdMKoarpIRG9J3H/gwaVrEZgP7eKkK330jf5OrJ81u/pAFvqtUvQSy0THNfTv
S2WYmxT+D0IL977XXb0b/P75/3J3HtuNY1u2/ZfXxxvwplEdAAS9ESXKsIMhw4D3Hl//JpRZN++t
3utWI5kRVChCJIFz9tl7rbnqXL750rOwZCGohQDXdDqapCByLXaqw9UzupDY2Hnr8TshkteYjQCu
IGb9WvgcCWZH3QspTM6ULwo2Z4hgDHZN8F7pEeFLkcEhGkxF20cXLCZ6rP+R++RkFLBASin4BFl7
wTzqRkV51nP1jyBkz8XymoWhvelF7GYdC7kpRjBoIIaAIWKJxnfBe1Lsqtw8ypYtjeHg9Wr7I6nj
NuVdPJXicQwieavE5TahTHWwQ/kMxS3JA5wcIBvUvbSMBm+sF0FuuuMEAjsMngq+6GaKaCHGxE1P
VJIVCVYaDnE5gkgUJq2wDQTrOeKsoFQiu3T8KvjSvPAmMjuawQ5VGOV0Iue3Y41KtmxKBKqJeA6w
YvaMNslDLFyQGoyQo8kZZaBQKSWzmQTcpVnN17sWcvksfRQT2vW+TKp1AnCtMLJwE8kJ3XSx2ftk
Q2JZ4gNN5uE7A5gJkiRZwIZogQfO5npm1rQIkCI3Ime606BWr4knlVHNwVuSPTFSX1HwopbsRZ0R
IQnPaFnQ7s9faYkCaeIysqN+EahylECYD+g5qoA7z8kbDCJCo5tr5WNb1rMwfR7FHQuRvkob7HhL
92lTFcW9aLObVReFF07Fj0qt6whPqQ4xs4x5p/M6gjnUjwczrH/aMLAcRuLSuphQZ1ZKYhx9inxq
rflzzKxxC4sbU+HMhVCZ0yWb1XlvDQGTZjk+lvjk2hp/mDyxh7CCQis4w4TliNG1qM8V0VijF4tW
qQKF35+laVNv0gzCUDS39NIkMlU7A08F2HAwLEe5S8q1lP5RwiJzMfeqTjrRqGwpLXndCk3bFrdq
OcbU07SbrVklaKF4kcWOBE811T1JgAiS9fFlEiwU4cH4MuBUcgsJagvdcaQGsMZZ45CF5HxfOQwQ
DkF3MYIHbB4v42BTe7bkLNwzWXbQZ+zKNp/2VMksX1OnYquov6Js/Clpy+D203ZGmV7SXIqxBGFo
Kn1RWxs6hgA/Nr5qrVo1hum/5qZyMlC6jPR+9lUxQ8+HDumNgwDTiAwzhLcdyz2CC7Nu4iOpyI4u
j6yCBe7aZCJSTR5BENMvOjRm9ognLV35Cl0p2eREoPqmBu48fWoEST3qMJdU2tdeAnR4zUvZtGNa
XoFmR/ZIIHzUVwOEgfDVJ4N9B6v+s42r6lDnhKWbQYlge9TgUpLjpgiieA6HaTuNS7NS7RxRspVW
blYi4Ho7ranilLgH/Tcp56gy8nUuk12vAVLfdAZT3yy0Vuogdw65GdN1Ks5CHxZOLJbdU5QTxFjL
W7YJcHniNsRVt83rP6CrhgMf3s9QxeU6LmaGGZbAzE44GGIPJNV8V5iJIG2jxDeQ9B+7RrsNMu5i
qzzliHpVDs6ehXlaZJyQBUmPtZ1Rkxk25W7sa+7Qc2Wm7Y6UDdZvUFW0ZhtPMZfcNrH6MbrpGkzx
tZxQ6s36u8jukagdcP1RW1cDn6jBGdRqRxjE0aPClPZUyt2N4zIp4+affmZAOca4bMqoogCu7FGE
FBMQC7dCGoAoZ+6uahFcaB0Na5ZCWxNa8xmIoE/EtfmC0wJ2dlEMT80QPaKEbC/OSCjU2eKHpHgd
opCGF7ck8KfPPFFMUDgYm6Nh1FCfWe9wlF6kNm/P/lg2dtqy/SlT8B74nDjERH2ahwndQhT2DMGI
kvej6K1kSuAF01tAAgjZVD5gJuOjk5RrE4duiAuA2g7Jx9BpypEKojOpDYPcmNBdVE+xIg6cgbJl
n+g3RB5PW7JEDPRKtC+RNZTmQPCF3+wM/KYYhKaQ6JLwOA7TRtMC8uHLpnKiAu0cekjTlTLSMBLN
K9sqQNc5nAaZyBDgqtoO8WRkx34FKLHlzCkbxqE8EoWiXhvVwBhMC1xfTpPIwF08iapjagbajbB5
qAI/ZxiXXtFDT9RFoB8S3dDenL+zBldRZ4YbxS/2uVW9q4MCO9Knv5LpXiEkGmtiEyIH0y/aMBUM
l1TARVKsM8iTBCdOqMrDPAGr7MxBARW0Rvkg+n/8AhKBwcxO6tSJfl1y8ufsm8MVPtko8Azd+hxL
WWE6U8i0EjsUGFG8NepHOoB5ho2QcADDJaEIqnHCk1FnBJCIVX5NEg54OKS5PVGZmVZ3D0Zc0MAC
YWyab1XWfxbhEB4Spt2uFTPtBOvnKbxbPSAN5h6QPDGK9fTLi3PCsXlVNf7aDHVw+i0+DqWdtqVW
FHbfU/0N6vhiaPcknE9RpqYe47duJ2lqZrOVyEleeYY1QS7AQkfIBWNppWk8VJLDtp3L3E1L3DxC
9Fp2w8Yij9imsQglBUVTnNGeiREAOfIMVSBtQtXDvANNdswT96OgVf0W9irf3XSrWsSaFuFQPRGW
MOzRIyFqzTuoujo7/QCjPCkOmTQ0Lulv6HbBQLhyNFxhTOvb5KVNk3kVA8rQByXb+1wkXiuGyLIk
QX6aYmCNk3VLUrXZjFGNV1kMRVuYirUsi0xuxOibsmF2WzNCKmvgVYKr4ka0m2FRU4HAsuAIZ2TX
RBgo7jVEasPckSJSYTyvi+QnUHMJ+I5wbdMWcytl3MVADLcye4lmY0yaZPo0Y9mCEoNVD5v1VcvY
DbBlnFQOhCzandNjW9yphvyN4ihxx5FgDl+Wg7ekPdfdH5/a/Al7inVqhHmVK37Lj13A4sPm08kd
l9tTYYzPCoYIUmtpyw2B0pw7USIhYUpXUSKcm67vcIN1BwGk4qlP2/BYlclGr3JXVIcKt8mMgySV
EaFK5zxN1rVsHNIeKEpnPZLwczCSbSZyN5VqpRCuJsJgVjfBQA3YYZ5fo/PFT2sKFP9xZqylUFvB
VSTepohNV1WbdG+CvO3e4rn8k9cdJTJMibRWPiytyH8UHa4zZI8JU0mMAQS0TodvSqrWNYCUsMRz
PmeSW4Lw8GbN4FDkU3oPk807hbKR5SJDQeMIM/LFvjDpSBM9kw7DtfBZftrRtwO4587UoJOIlODL
mGLIUj36rTKej4nQ0IafrMSLpv6g6UHoxWN26Lqkw1xIr5GGdu1OgbBNy67fA4Fdd7B3D934XudN
sxWpjaDWR6tRD8VDgtMJfC99vbLAyVOqZrsfeiHkSGrwSU3CnZaxuhuy+UkfkglcwvxFtSFAH/xM
O50oqmGZCuU6Qa4A8zl3D2BD1XWiwmJXJyl7Upb6Rm/RczQ1tKMhNk4IUR2f1GLAQ0p6Hv3ZoMfQ
rit1JSf6htnad1y3xcqoQfvFGNXkiOOH5M+BY5nyzmjU7aAyCeafb7wyT69RA2kXOuYZOVfM0ZiP
M67mL8aVR4OkrMeMqpAzHpsZmfMhr4ICp7lOU3gQMa6WmmZ8xQ0igM5E0CsWARzrjr0PFhxHRmSD
ieJh0ImO7BqYIef2jFqXjw+8H0sWzCb+TZm1ohFN0LOtZmdyV1xkOBrowYESwo+MNr1f4phjwqPK
dLXzEc6SxZ1LWOCHFednrcgKt4G7G7fxAQ9d8myIuzka08PvA6I8fIwg0226xkCYuBYaNBwUsQ1T
ySR1VaTxTh7F3Y5sC8yTmRwxOUJGPRtAblKj94xSv0dgguyaSJmLJRKREDNXRDXAJKKpxH07au9B
m+9xBfQunNpzjh/zLSMMo24Zvud6BMyq1dCRLJNOiXmV3OvyjfBiZULOLFg7y6TgmiwzYWVugBbj
49p3yCutqHpRuslYNaUluHTqss7aCQ1Nr8VNUWFycYa+aJ0IxjXqEwNwRjJeEplI3BEOh1aMZ91M
i3XSCN5sKUT2UQZSxD1GKFQbQrfsoet6PARMD/QSB72pa8UKSqS/CicKlIXoDndijy5lXls5kTRy
H58CwbwmYkbXeu4FymQSs0RMXs6kt6h7xn7wSKBpZHIjmjKB0KjLW4vQgdPvgwgBIoq0Va8p0VbF
k0jTPxTX5cgyS08O0SOCzTfwOjbYs3wt+nRxqhAzK4l0p05slMuYdvIhhFeSKLRclT7kfOq3A4Tc
eTtrinXAAbao4+tL0MMsHfUdoKDgfWyZgEzQaPJc9iT0BFMw79s4hTKoaQc5jAICdwh+BHrxaWpq
tcrSMmG2E0yuP1myi+nvrWCwOaUJmtNePowjC1MB5E54jVW0G6WQ9R5952ETNWzusuJzk819SErK
yOSt9C/BSOUNIRFYLfbHqwK21pFm5RB0ifEMzevbtPFeqK+lQlmLrVbMMX4Sdpwd4tbcdbCSgY5Z
60jPsp0aGReiS7Cq4U61YA6hE02FjTaWUMOiH7DmAFnATa1Ko1ZXWgRip8vIKAlneMGEEdMN077S
zEJok8V0MZGfiYJxaBYJah4YWzPRP3Dx0F1qrWOXzcFzzOAxzjOHspiVMb1BvBpOiL/kGMazFpyZ
hHCiy80tZ392GRZ+xrCrGv8mVKGlWYgjpDCIjsHFuillPnSwXEA6+iUOouZbOhgy8qh7WD4vHQMy
2ndTI6ybCnlgnjHgqPJTPegQhLtmH8yy59MsRGLfh24d0kMpW0g5tLtTBVG3MBmpJ3cjPyl2Iqzf
W8aADKspDwQmu/h5rkHk46aOInUjEmEBeSr/0M0XRWI0JPbJoUg15jU53Q366la81ZQ8u2epzGmb
HpDVTleO/P62jZnGSBYCh9qXcTLX9RUPGGelZku3BRFxDMZ0lEnRxkMMMkVbUKUd9a04necwtew4
fSqanJPSGO5C5HxrS1XocA9NzxSUQ6+O3s/EP4052UljEUV62n7oOA/g11A/dJFwrrShhdrEujtn
tM1EE9C+WoYvvY5+2CznJ3VsopWi+Kgwix4Ds9ZQus3WPusiwvZoeY9lHK2xav5YE2f71Mo3/VAQ
Da7iITPTaReDjkkkZOQc4HExLQ+/v1LFbtq1elijchT7xh59BqbS2LjJQpr8ffhVYyBN6MHxiiND
6BCNUa3ES8g0KqUdJw4GPlFBwRpynkIdlrdVSmZgxVyIL/1+/fehAervtYJ540dn5Es0DoDNMaf1
KTWXcPnd71MB7eiqt4ZNvEjbIhXhUGoUnprODKlYM2jEJ61H1bngEWHmh81uXh7QFCIAiTGCRsD+
FyBqv6PD3f318Ir9ZtoRCCfuciF+Mequ9eJen/96yrKkwfnfLYFG0IVa9l96W/ez/fw78fT0mT3+
6/9s0zTKi6j5Dwn0X9/03xJoA82yjn9z8WkulJC/FdCW9H/BgGg6T/+NEPmXAlqVly/xPCJnXF+i
CvbjHwU0AkgDV6OFcpm/8f8LIEK0HQ7R/9RAS5wLCEUlj9XQFMNaCCP/pg2O9EjFIN2EO7W7NeRT
gETqUTY2c+y8T2pNWtyywOrLUotYSuW8w/JrLguxyoqsszLPVcsSHUIBIlGyXgUAjIbIQozSEyWW
NkxK25ZJl0XImpodTLkBnBV1gpMGMENjPFrOaErfgTIYz2OlHUCRg+pDdn0dGpqlZHNJiABErP/d
5NABD9dZlbYwEGCQ18gQN+ncorpqUlD17wxxqu3AHlYue9myqeXsbhK7HMAMGZEWG1+6bIHGshkC
HP8UarZHadkoBUq/Q8PeaS6bqKhsIcQBziPfddlkMdEH74O+Ezq2X1Kj6gv6wsWzaB0M9uhs2ayN
IQ2deNnAA3byYdnSSTtRLu2yzeM2IkiG9V9bSoCAWiBZigJxKQ+gnSLlXUoGZSke6GZE25B6gkBK
HE9UGb8PLTWHySx5xfSWn4F3I5UHb+oknGaZhXdUQGaUxYqwJu5PonUqXFVLi08a/x5b4LzWqHrK
pfwhNHVVLQURxlQq66VIUpdyaVwKp2USPC2lVEJNVVNbiUuRRRvXQ4FVMNIYz+pSiKVUZMwsxku9
FGnxkkiylG1VL5B+Fat4QATFHmMFabLb+BGBZ7JqrMqyeckGA4zYmO/VfBjZJlmBQx2svDIUiJnJ
o5N2cp0rNwgp3Sor0milcoaPkfFCZqD4xB65CHSyt4i61FwK1ALQ0ygY76Iv7ROmT084iRCrqlh4
ewTaF132mdYb5t3XmAvkiuCgIixBqhnRqlpK5GwplrGdompe2gDyJDTHpICcpugy8Z6K246RvIAe
skM+6ulfD7w0baLV3UfpIVlaWoD1XXAq50DOP3zq+WIp7LWlxBeWYn+g6s+W8h9pprJSliNBvhwO
iuWYYCwHBo2TQ8MJgnlNdYS2dzU4W8jLIcNcThvLsQNOoNcsBxG5U0YiThB44c88ZVWGsYqeUKoU
5leScwLJ40NW6hxtmpK8RiuDrGO4SiVv+0qKHyTkHHNfQqRPpIePhINgo74/V2gxBFK/7CJno57x
05EwUTKd1Bk2iuMpGHRrl8PIgs8Vr8aO8WrfSt/gJcBcYv0SE80/FiORcpYFMU7oJpIFowxAPKkI
ew6yhUpY1OCjwi6zuHAipFCrue0U6Di1l0y6hpknaRnUhQSAaRgCAmDIIVFUVk/+eUQYlvyt1clL
0eHjs0TQPnNNJs9Umm8xfGI+TmasoWpuzRghpFrNbwXMBxuRD+fgsriIQ+xZ+ZJ7U0SWUyTYCQsq
tmAyjDU+7B0kxGoaXClClc1AWlczPne6EKGOoqichltfIOqZ65IYz4aXqEe1Y8rEZMl4xw1p+KLf
+yoDosdl1G40GB7LeKezdWHUYe1XDUeN+qRkTyMc15BmhKqpuTOgRcQPSgBaaH7V4Yeh6qP3YIDO
FIGQZiGjMphs9dK2+Tkl+sVJmuodGWC8ApvBbH1OUJGq0hIaGI52TxGKUTkmyCqcL2KeMs4cniud
ISnwCtQMhY19C4TIuIuUDjQFTKJtp4RfSGBxJarJV51WW3AhjPXb4U+dh1jbk+IbcQd8d/iIrLwj
eo8ocEH96aQ2L4jUiHwgMhIdytoLBldgmCE6vMB/Bu/9p+8VvkudNDeS9NCei/pCovNaGKpLar2E
uC1Rasxvlsr8qkQtPNWoc7nepqY7AZS6RWmFQZaBIbnbTqALwQZpO1L7GRWNb3b3zJ+iXUnHikMk
I4weiVGvG2xVsu9ETCejEdynGs4ih/Jdy5QjAyza1eVP/giH4JKG6bjDFn7SW40beVT2ccYg0Ri3
TGIRPkwKDEFNdgEHZI5cisHaWFpxuqm8yX56T1M/coxg+ikjcVsO08dUKiX1mvIeIEawCY9+45h0
CnGBrKX3UhySVVUHHNtVms7AZEDORDDpNb15i4p473f+4AwBQQqkqcLuaubnOe//dDmRO6RWLjYU
TWK0LwAAD+U/xczooh0scwNXlmFDExjYk+cdcnHDLsx3GerxoTDQNHGvW94YFgqJCcNZtE5my3FN
l6P+zElh1Zf1z2yq9A4AIpFwQQJr262YMPZOH5mfURQde4lDi+TTVGJtueH9fkboAgcobh+qVu/N
OhaAiKO6tYJzgHOkWhCDOSt3HGn+PhTmzZAj9ZZlhq9pL+5ngblZzP2BeLPfYj0J7OhP1Gifasf5
IIzUW7VEPiVFA8eql7dN1teO9R6L6hU0rHqEIkF1QSzfJETETx/xESJf1avEHdg32nSkdT7fJqOQ
KR6mVTPpZ2swPzWhf6W5w6RKfWCaRCyWJqSrY83PBieSp49qUASXk37tCrK0TRGkw5mV7pQRBW7M
NyOK+cxgnKzyykjcyZA/MoaTJ348ICsY/S2DjQNi5IFJ47iNJCZYpEoiBuimm8qN4Q4094Lsh1t1
JnkRe6el4n7mI54ymVKmMtZWPeSbcUFSdsKeoEnQh33+GJR0a1VTZ3cR4y1fF98bX7uKSBdqJgvf
FR7hStHdWQdb2C1w2ogqKmi0cN8ZHENmndlEh7JHI4YgPE8zKOwW0Tn7BktXLD26jK201CW7I31Z
CldlFLLwdIYTVtkXCavnllmLWOdfcqvdg+Z17P29HHGqMuSVRuoQfbMXP9ngAbn1ZCCuOit2ct1Y
523icKF7CfXHnDArrznZDPXnPDHCr0ZYCuoVNetRNosfuWKeuphGWokxPD5hrXyTJuzfpBbvxUoA
tyFsuBo9LCDhuheVfj1Tp++j3PzKuz9t2JAgtbSz4F8wEEIcNoIGTb6VbibrjQa1FBjvTe4j/tN+
dEMmZMw3HlF6Kul2MlpjvFDQRrVTzfrg9OWjYuQdw91V1qW2GTQhIDk2v0w0zR0cyfcoLzEQ6J1L
gXAMSo1sxcQyHd6lAu26fA6V2Wko/bhgHZnYHiv1Zn1+MurgK+jRNMTCzlzqSrEC6vOjKsGFQSVR
lU3mVWF0HlFe8JpqLzDYSGNZBY6JQ5EVvBA0WxBC7GHvQplc5rk7ZLm/EsxNQUazVKHtAlqAQ3av
NemzEWuYBQLx1krTSNgBS8uYiS+0rrcV7sBkiBloj28IdLulOPU3Js182zDkzRjKKj+yJjlkmK4l
Qk892UL9hUCAT5WTAA1jnfqWHgEBDczTQ+ktrQVr7ffSCmDW90jQN3kFdytpj3FAIkloXjVpXoBi
ugPRgd7qjOhYUbc9Ei67KczNnDzLzC1sZqovUo1UYiAtyO+bo9zEILRSPv5erze5mm/rhIVOjbBC
w4OydYV9MCvjYdWICLto5q65ZOiP5ssmI8bMrgW9wgwzMN7+/aVmdmRC4cq04+XLZkDb6a+v/P4+
qqrQRbFFw275xt+H3y/IvPfEM/zryX++8s9zhhxylJ+ize93/PP8v/3zv0/+/mD/488AcdmDHsnX
SZe30ur3z7HDNn//knW/+fvn/P1SRTi3ifeJYt3fIcx9LgwCR3//4t8HRFf0ApZX+M8DCqV//21X
K+EOEIdGtC7OdPMTNzr/xu+fUv/zj/71nLoTqVM5JkP+bdSk2HXLA/4FibBJP3Q1X6Sr8fvk75/5
fdBo6O9GIHMgIl8KdIbO//j+f37bJ9LkdK3BDCJdYkL++Qp+9GRN1M2+aCKSwDUt4yNFoSJBy3B/
nzP6MXEGWhxOQl60R+MNkhYyckDn+AfCbIQb//vLTgguOUJsZlsV80nh2KgMNvezRn7ZPo5vILd1
h6KUMKnWJirNGT+GJ+WZQeSZRu7g9HsqFwCvN7IAQf2+zW9UpHJsF99Qd1YIYKmkd9GLBGhTzZ5N
8t7Wsb7DBcTNY0eP+GydmH/Mb91xLI2n9MW8KONsfysEXhRePR0k6mGHQBoSOMikHbzuwf3LWaWD
eY6Q4F7TLd8XKBqNTfQ5sPBkKzFb6+tM2oEx5pftd074LOPfyQHFUPR3YPe4w9C9dq7y1Rx92pJO
s1beWEpsek8pckLwhv5r+ZLsETpLUB4zgtORWLnCMyS7ji3tmALJ8KQXVcXLucaI76or3exPkEQv
6dm84DUmFwjBbOeJMJoCDrMhIaj0KFuvuAoFw8UDj9ohD0lcmsOtLL8jYRrR85h0oQVSBpjc26Zg
Nw/ayzP+GZO/ph+3nHv0XbTOCMewG2FDjCpHVuiYLWb+ZMc6ir4vETaKrHC03slozbDVRY4Kf5GH
8RqLN+Hz0hReizhnQ99Q2afP2Z0FOr2gFtgUTvqcP1dPoSPYmrdkj5L5tTFsMsFxP9jZp+W9G9YZ
rVZJr3jCcunvgFF0rqXvWkK5ghBDrUdGca86HDGRprrxJ3reDXDvd/Vcrr45mMLUObaDO73nJDrf
cSMdAnDoT2+jI5/Bgh8Yko27Esgx8iCX46Gd+s6lQrS8Md0LSaw8baukRPIamco76sX/MbfYbd12
o374L+YW5PBav0RHfav/5F/8f+Baq9/0bfoV3ZhP+j9LzPcblE4uVRr5q9nG0WQvb4CysbAC3pF7
+DsJ8YL7EC/5W+boF3bFgjHGVliNdsFh1I3u/se3dTMvBED0mJKdDI7pFlO9VbiJbMvahSYSuaqk
j5Vuaq/B0BtoVFfFjXTYeys4HvxKxb0Xp3NwfdfI7kNc4ewNyZbOBAKkBRqcDbpkJi80xslQM2VX
ckYntee1dGXCF938g3Z6KNdr1G8F59GWq5qpJLhONz5HK4F/XXK620vsdpor7We75EjLjfc0MsX4
qBUXUhNbGd0curzWKgFkWgmP4Ck/48E+lOcCx9MmuSFm6vcRK84abzA9aV49/kKiIrxtcWtpJt2l
2f3vZ2loeMEOSyqAmym/dsjqJY9RgotUyw528+xWN/7e+FytqweWKq5lp90AXGJgClD0tTlwQpGt
V4bTDlsY+WrfXGzfx/gwelDqPebk0ak71ucWyShLyHQ2jyN5QcShbsYtljjvoW7rTaUweQJW6Bqr
v66UR+KsLSfljGobk1u/fTMs3wiO+ULPh/07J0wh5kchZxyaLkTwo3DyXVWwR/QJLEHcznyYXGV7
AUHwbnkzm8dW4svDLVklkC+XwDjSN7cGPY5dkO3FnfYtoHF1ku38hArU33REROsbTJTRKbzg9rMM
pzgSzXCnSRI781u0ImjQS+6I7XcV3aEd5xyc8N7MO1esUYj02ZM3VDZTWqqUlXhEJx7uvUL30Edk
p3tRXuSn7g8+P96VWvA6sjs2CMr1DEoB7xrAXYKnT9F1YmbM3esO9V3+wcogSq9UurSyqn4VrelP
zq5UYsSSvVJfjzPqA8dSP/sfrXHz9li1Hm5Ry77PLskZ5p9IPKO6+GIUpjsIeISTVnnJzXfHNyx2
ZsQzCBK0fMt0m05Ua4fnkOamwz2RPQqkAriDHdw5j1zbgvDBOcgShsvJro5cLMWad2UFjIKr6Ra+
d0/DujfOvDvzvnIKJ8FA8GW6BKFxNsKyrZheyjEe/Qnsq+mg9h/FUeIjYj7ynvQu7OOZSGE723EX
Bhi87XQ+cI8QkZxflU2z7m7MdIjMMg+tvBKuMf0aycPmRqDlog9Yk3868tEPj9ilvFp2jGfli82S
LbByxj3prywOQ7At7mDhE43f8h7gDHyK2Oi98WuiUsWzVbq0f1igneWzp1VTfGY7uH4bydbEH4A8
QHH0Y+j1G3W59srGEbrXbN37y8ceUeLF8pXGZfpyb9gFP4On9HnmjrryI4qP+pkXvLzoI0sPWvIo
3HC/McWz/W3jIRIFBbrpUdQv/yEJmr9AFO+DldfcsJNFhj279FlPLumN/lN+KW7FDYx1qG78wead
ANkwFM4EB4CApm+CDmzzMatnjWJ3DRICNTGjZdKJ0FgW0KDZksjOjoW13PAxZA92BpaRN5hy6LTY
z4fAIbRbxZJt+7vKRn64CjZcVvGP+QeztIatq2aP8riEGu6Vas0G5bGT8gJHO3uSvnAdIvRfSV/y
I9sZLOep9W0sEzr08XYPOTR+bi3kJ+dot8V/k3setgfSWXjc6dXazVo7ZvKNk/4UB6uWGGv8yNvo
oXU6ycAQXI1TaaDAEl/DJdlmuQZOiJdsPH1v4o0b9RG6+IyCnbKv7gSaOCyerBkgh2VH+zL2AwEd
ge0F++5T35VbboP34NO/C3tlW+0Dj8Et76CDLMGWd0VzqYhEoNS74H3a48xAyon/3lj9Lkwui5M7
Gl6NafX10tomAgtmoaQK9ic+nOZmSmveQmdaLR8iWjReb+y+LJdpte7pGtnl3kQfBWpNsdG5anDG
tulnTonGWoe62GvWOFm4881LuRdYCzk0CBLNCsqhubijrKfg4VHMNhO2zx7lPvuXkDgIL3T/0DNH
VTwp2xjds4EDd3gOaf1G2CVEcRvw0cKG0NR9HHnSlcxR57E2dUfY7F1xrdnUns9E7U04OLNVa9kY
OvjIFQ87cXevz4h7rAty+9Xa9+hmub7X2rrDVX5ViAewi9XwNJ794RxUX6nhZN8VydWQXccfhdMk
mNAjqFrAKGHuCFGDY/8idRDjK8IDXuO5OOkO13K2MT+DmKFnOq4Jjzc+U2K2qPdKt8Xi688vKvRn
cYsjiu2KNhX6W1qcmn/I0TGvEmEt5N/ySw2DBZIWx0SMe6Yu0/s++hurv6sunQTMpiQ0UGekXn6O
0UdvlC/WNvYTCmnJIB8XZ+FyarDj7CnHq2F5lCvVLWH7HWmMbSlUufHOrDyhPYS77lE51Q3bu+Qg
EqYooQSloC57Fg8kmK52rfQD/Xg00SCWMSN+z/seMalvmwtj2pW0dd9guSXz7caYmso6WencY26b
P6HGbxzikMtN6akP9SGUGwCdj2GtmJQRH+WZ+9x4A528FRu739IxAcsFsICmP90VO7tKGpewA0Cf
JnHd7miVYNCFEUkWN3Q8fWKtcIrGi1jFuOPxZTn6M8kp1DvysNeYRdAJKuAT4axkuDzuRvVMS2VO
kRp5wtVHuoL64JjcjXeyfkjZGXuPt6//AVjw1/vB2peypSQrlZ95zZ5QFlvebexkHDz2Tbwtnyld
aD+Kw7ZCB4ldoHdwySYCMhfOGK/JLo497ucJ0SCvpbJf1GGjBQe8uMS/HaediDt5VZKHllzGPQLK
cPnEWkg85K2ID0E9xBFkDPeO10mA/kJZJK980B42IH725/c4c7pTfZluBQZUjAjFlfD3Ch5J4tJU
EW/wFYUWxxi6EYq0raIfleZ5El798QNLJRpHFpcUtvy9FW0qwjdm9zYleGjD7ZCv83mMbAs1qJdW
KwoMNK/dmQJ13mfrgmteO9NoNHYdu4BIiYG/hEPdEZXe4sJ2i1v6LCQvDHV2U4XqdKt9YRkNh0vq
TQXzA64fW+4QjrrSpi83dfakhxhUUe2+pLGH4ZsTWg6dbSlfFFYzuSKOhwbHF8wkmywag9OWcumk
M+UM+2NLuCM0xYf5IJ8BB3sPhW7yLAM9nJegI06LlxAaeQi+UHNwjotQS3lrzgxpg34dG6xt+A5s
pfbyZJfUGyMjksvNYlAYfzgnDKyzz/RCVDQmOL0RkyoIzf8fd+e12zqWpu0rYoM5zKFEiqKCZVnO
J4TTZs5hkbz6eejqf7p68GOAOR2gsMtBlkiu9IU3QP6i+O1iRYW6U54hYe7N0qnEuVT3OgQQI/+y
Tr+9cynphjk+7ZiscI2vOn5Ig9LaKztTOdTpaZ43axDGOWK4dHrma9Ts8vhEObp0yFtPWUIzpIPS
PD8UsFZgmCdSg2PbuCVG5D9QI6CtsicGYPkkGoTyYx6yjHO5ye6LzJ9xF47pJdMuOcbsg/qHbd23
MpigA0e2AlJF/xTv0HGdz1raEo4kP5xKqrH9UcO9Bsp92Mv3+O7Q/DrpEWc5QexUH6h8zz9sNpgX
UwkWSMd0G1rHco4i4x6jhVx6MnZ9sYudvVlvypdW8YoY6t6G2H1brEZYQTI9ctHsObm90epDRC2E
o4iAib1uya+T5I6PHA+cT5v+wrqxDxot7B0mYBvi14Z6+I64o78Ve+pX22bT3EUf2Ud/eq+DavNe
f2v76eVrIRN7c6Rt/w2EHEcpFEnI9xM2pvnMILxYxDRM0WfKAsBI78ll98m5uKbQ/qmxU5klvfuQ
bqj+TTeTh/QBGe8CRSf9IuxC3INjzDo9whSR3DxjQ7WD9nN8YS8t3ea6ygIrTOKp9buR1IhuEl1k
olT+LS/FOTtwQ5v+huEyxQO/xeCN7Zuq+ydSm2w3ZHrZobyU9R7tjm9AyIQ0iQqIUN4n5sagGMGs
BqDWvUPmQ6EECydHpe5he9NCe8Fld+WBUpXgO5jmepDYp4x+7n3sNuK8HiTTjbXFJ5G5+80T21h1
HXwWXMb1NbAs2LNO5Y3Fy4rMd/TKqRewp0PeHjbqSkrex1vchqZAOcVwZqTt/ANE9RuNYOwdLA/p
ruLQ4Kqzoxb1R35Srix3PqUgabjv3SH7hr9W/CTX4modKx/PSxjC59/ricZL+oVT28nZcexVZ4L8
ut7nl3C4lOnbYh06cF+QqVGYR33StdO7ihICYfHaMB2eNAIq5yV9JSe3dgpe4Hv1hwKT9JnBGvqy
ane4qh6RDhtkubPZMymrTvdMrf5Cpqq8EF6a2/5Nk12dcsHugmXa12L57YVaCfQAKk/Jrmw8mYiW
h5PQkNoqXxSOEoiRMkz5HR19OHTIz29ILSqdjvAmeTff4LGxatA7U6VNdiZoMpzHH8Clkac+TWJH
0j5qXlW69lvlK67tWxUmpnSIPS27tOYlKf4oG+eFD+/FzmFGcxw3KywEaRoZYl3kyY/SDv9bQvjF
OPX3EXC/B3GXxzsVKbt4QzSra/dVuJffTGof5r3N+vphAgWhzz1gspFs2bIGcPzB6GYf7alVN/Wj
EfvSV1iD1NgWABdGL9o59yNNHH2Ljs4GPdCTWe5emi/DFyfxGB/Dl/ZJcGCSdIqN6LaRvYmvW6yu
b631UsmuUm0/sFNrN5QTN8UO/Rt3JIRwMVDMXA77BiWXj/DPeKucU8X0wrkRknJyE+iXIy7BjDAf
EwdeE1X7Uz2+ig/OMz7mvfANYqH+7aX+U2Dlsup2krPp0p+6o6m6zd7z2yPKltGpuxKNDO+YtWA8
gUNkT+EVublqD+KCMmNPHEt1oPvBKiDesmaRu11Q6/3Rjr7zQGx+LDwyTPqi7kANU31T39IdAyln
d9EdSmGDupvVY0ZHF5IXNZgdyQTHc3kjFije1dl/tOiGMVObLRUQChhUetinN/jYAHqn2PGTtn6+
y93uPGc+P5XVo8QcQguWhkZ3lhdqzV566jJEZPaF9VSHntDvMRytX6j51hZomM1EHGp3x+LZ7i9T
+8ConyFD1sMxG7nVi9MSCeSfFQdBQw0OSSOIlqgCn+T5lQodmHQZx5gSJtMn/1GRcYDgrP+708Jj
oUE8qJ8c6zp1OJcRh5rJ/bjR9nW1R78BhtZ3XrgjfhPbCk8JRFH+lBdm/Re1EUf3p303BraFw5rL
hnZaEezURzbmuA93KBtg1+vyRt2DFR6hw2lkV7gIvlGnI4QH1vtCxEu2RMESg6ZwG/Cg4VY0Tyjo
GeG2f+lf+N9acdsbL84DRJuKinNobM03FClIvO6Y99A2M39UtmRvLyPbz1KjO8jqSi9kGnb5IQv8
M9AzQNANAd38zI7Kx1C+JmtjMcfs6oS/QEj36S6FtGW4jnjmzT5JLuEbAOEZLhH5OgVdFVeobUG2
uZlepDuOIbDq7DAgTmj8EESh3BftC6o2vprdJZnbjrtpvz6Qd64IqQIw6BGJLuZ15VpWAh0GeyWz
vd8dsDiz3d7I1etbQVZjpnfTJ09rfCHWYluDxZ2i583sY9MjLg3f4Ld9kboQF1PLZYNMdmxL1l5N
jyQWx58cQf+3RL8RYsKbSOgJdfQfP9ndptdC8UdeYw7UUQRNpzO8vfRGUYOldUfUngdddJ4Be4u9
win9omAo/4lhqYQOFqWZUNllfkBqv5kSsCI+9qvjiyxYaVcgFRYg2EeZNiUem8mlsz3pjoec4JVH
rVDfOPRwzuJJ9+YDki3E1TsWmfbZ38CSnSh4NFRrCEDtN6J7uMB8SfWfVIiQQqFmRYxgMgbPGCHB
w+ccAMaiAWW+DKCmNggk/MmdHRFVZm4puUPZEJ4RUoMhLAEZkY5QQt3qRxgvJTmU9hQd0uBVulET
ZcvwsxhZ/VVJhgHS/VH8RJRz/ugcis3s05FAo4ewSqQ+TxRgSkaKlB1IksK3WZy1l/ICY+7CyIi9
nL7AnmeuPdpUaDK4Cq4kf04b+y15z6KArYGrKZ6mT96JbQV5J+pSnPBiuOSgpx5Nkloo+Tu7OkEl
V48qG9x7fBN3CehzKo7PYUqS4IXnNLtYhs+bYQDBrqXyZMgtbtp+vBXPdJKN+QT36TlmEvL6OjrV
TOpP9Bmc23RkIVOsBgl2Z5+Z4FSabA6fChMu1VtthVu/IMSCSm1u13QE7IZA0n6TOrSUfDl7NtqX
YoaRvaMZSv6aPfJaCjsNwUUGinzHuDMa48rR9CZKQqTVDVis+5iIr/H4OwHHzsXciVcPruAxtT5v
5ZRBRHHUeKE7Ywel8wYTvwcdA+eWClNyoNY+me+lszOjfa1jTbjvtGNhvEhs/VyzFKL67UMOQLR6
kud18iRr5sGWTWoN+AWIBLMSRXDE5V2EyOX+siDt2Xgog0qcBEyVG4GJjogFxYpqz9VzrbwzX2gK
85l6OqPbUCBt1mfD/fbaEx/ITsbzqNlSpkd+iz9cZ7il6lFN5GtSrupJnra68pga4OnHPY31iuUd
f9fTNw91EG/8OZ+zpisuD7onPQc8fuSxckfcV024gyQ5zGttzyUp9OtpgfHrBXjN2s+xxvvVuAwp
SmWjS3ueUSq7iKYRBq3OFa5lA2mg2ENeXDOKlCjfmZ28pzldOfdCCR7JK3edU2xssmfK/nzD5VNZ
79dwBF9pnM+rMzslJx8ptVJz4K63SYqCUujgMmbcK9kg7mJEjgwq5zxPVeWiKWhAVmbF0/EG2lID
6Xf7cctdMbdaQmaYoOaWa2SI2BWYSqHBDneVulvu0qJ8d6AL7dKveAc+Yaz2svRHp2yPRAO2fuu5
TZ2EUuVge+uktT1TeWWu8C0lV9VY3/uvT+YTnD7gEuC5UNPQ8VimP+6SntQYtDBRhceFcq+YlJDI
8q4T4j7oE4LGY3O4zcuBx8rf0xlfBzTa8kfcO3rzDCO3w6TXPK6KRcRveAnDIfwJtmOy3jZ3C3OC
S8s7l0fHI+AaocNz/wtc72jLnfNHXC+TYB2kGtimW4Js26wDSA6KFtjavpHn7hQeSDainLOHKIlC
CxIr7nwW73zweKNLIJEx7fhcbof/lu7GG5qUeYw7hoe6cEbWrOs3y7iwKgw9YMkX2rE3goGugIGx
CU1g2QX/xiDyZuvCSLYs1MZwh4Zm3aN11Ml/7B0DywLhM3ghw84dcps6zGWk6/zmGql7ib1h8Zbi
2gCTXPsHwECJfnFQYSlvFWdfrC6Fu4muruMqj2Z+pHgiZRQTbsx5PjwE9Qx1apVGvk+RlMP7ybrn
fgRTiXgQPY4Tw8BrkbRa5yLAFMrP6jqlVugrFXfCHeYqsM4n8WO0PrhRnjJXwesYBsU+MAwLJQUU
86xzDGJSe+IPoAgK50S/jvnBUE5ochV+o/h8Ej33GCXgBFlsljpNQOco1tVnkfZxVVz2cqKxwbLI
6m0/HJlk/f3wQIM0arfrWoQ8+JgD8Zx4xkjJEraA0vFpsdkUs5EZdjXcI0ufq2MdG7FH5DgNuy71
ZAc/NAVVvOBhcVy2E2e4jv1bCkwMzmeVB4V+BtKGvrCN8oV6xhQxRh6m9Cs5oDXuaB6IsUzxImMn
Gy+MMZc5ho+sPau78S23uyK44MIke+LyUNmvtDl8l0fmLW2u9cFGRwjg7A8kTyAclzr4ffybwqOC
U2rInm3t5gklkr+eMHup1O/BVPJ8stIlF87arSg9+3kKwLpxZzPqr1SDZZfng4ItC65cu07b9l5/
pobH0+gWb5VAglZJX7u4WXC5JI8HhtdFjPaYuq4mutZajNPCLgfwyYNlB+L71vDWRKr0YPTy1Pn7
rDzwTBUkLdR1crAguw0yTDtqct/cH+PKtAzp2+lrfVLkR+ezuYbcE4kTkxGlBhO48HpJ3P8KCILz
DpDV9EKK+ZuoWnNT8JGJfmiLpwWbA4APTIKRUuZ2ZDynLdVzhBNwhSjJyjZ0LtQSCSXfaimpbYZx
3gin2frsnltkwQoVLNBDYr6yGJ1j/AVKtXhY56u05Z1HO5hN3J/fyR6YZCS45MA6WVslHjMERaaT
PGF0jXkJGM/fZWcjjTKuTxqzHHYyqnzFlTOT0ELrgMLBs6UxFiQGpC0QFd76wE30hhH63BrPMbkD
eznwLjqMoKdc9MLC+ThqVyD9zSN1NpAcjn1U4NkqJRWiq5WHPstgXT/6tkE1BSYv8Lv7djhUA5qg
LkPdNMe2IalA2xbw8Vbchc88UXlVeNynVO5VlxVQsYcgrNjt0XHSun1rf67zWrsylhRaZRqitD0b
NLUo1AN6kXKkC6CB7gBcUsllByopkwLnKpz1uc2zfWAfVlWH3Z8Uv7mzwPerruNscaooxr2BEWIP
BQp/EbfSD0xD7mJ1wBg9iUCdBdp6qBeZ76S7TRo48V2PGaCE1A2Lx+vxM4n2rDQQmXaKAveH9AVi
hW1M/2kOkrOf7IcCBTWeKeGN82q117pzwSCuM2kIQJZr9E8JUs7Q/Doez3LUojs6e/izj/FxLiFV
v47949r1opQQezHcMFZoe2CvUik54XMDNFmjsLfVPygjOLRp/LrZMzEZCqYsiH9KUmXiz3esQINa
H0GWtWGJlNETh5GNjxeqChKOL5hqU4JcD5k5Drqr9Mn3dhzwVlH8aHILdcCocZKXMqf9QcoeUCCD
rcdd8EpMPddvV2dodle/jI8xYGtrMzn7NZJm3UtgP9+oiPDxVoeD37p66Dhxbuccp9tKZTbS9J/X
DWQ9s3MqaYgaQR9AZcAtyx3TZjCuLEvA6WH3jMoq416PB5W3Wrw+8br+iwlPDyTUrizdPmGzw0DQ
i9OHiRsC7MCqkBAtaBCl8JX+ALdks4wMGBiY4agZNE33+AnJlM4hiktXRkfkXj0e9WVPIYfHLZXX
kIiLjeV3M2Kx1vf5G3OGJcWVsRMt4zrYvIjJzGbEzsEQRbIv5wGDxs5TAFpBCo2FzE0mbvcBIIQN
ivNOMgJePviCvJl4Od/isUAAVikXtrEhObc2OGNiczeSIWoyd9bYh7OPYhnfrk4vSIIvXD456j0d
HMOhbL82GRhW/qqIIOaAGT8jBOiulJx0wtBGf5bAkhmfa7y32nRv9MxnC8kX3L9sAMIobqALx+xH
UUgeAtYM9bRc+3gAE0BLhkiMu7e+2OTvqY2SrJOvrsc3yBPKn6uu6tZYYQZ9B+ovAGlBMZnDuaXC
hBDbgoy4pNg7e4JVu+10vdw4MpuH4eDrHDUotGPmOfEw1++ltqRbNBpw8vOSDbZplg7hsgYBsSgl
QjLFHRTIFKZQbx0MnWITkh1ukYHknIWc+LWpX5NVmRwvB+3gNAowshQQVYnlFoS197SHRlH0MwZs
EnNKbrJAFjGNbglSS2K2pSe1aMugzD0eIqzOi41QVVaS0NDGldnEJ4fCWWsq4jC32aVGqB6RRkak
E/qTMEW+jcLOgliBp8u2x0dwjB8b3SaRWimYmHagcLQY320RfYiQQ6bWOJ3jpfAHy0uJa6II1dQM
0DQaxQ6KmJZym2yt2pnrX/7+eWia8yovd/n9UZtpBUGOfPv9XVFkM4IbREQrLahUp/5QdGZ/EKgf
+fYwnhIVEGX2X/+o0QJI8vf7HlGnw6DWkKAbFm6r180hQrb7n/9onW8YFUeJmBvCDfnhXy9IzfQL
c6LBw5CTJtD6TzvOeY7R0//7/versWP6FWURzB0oysQyQDH+fpkj3o1ocVWnflkuR6kB2SllLZp/
Omze0rJYI8jmAhALEUv7vVob+4xD22Soq/x++fvDv/5w/WuQnfzmXz+sszAYW3KwvqPW01ogIX8/
+fef9Jcc+3s5v1/+/tComxdHppM4abCVokJuyCs56ZDE/uc/Yv32v/3s97e/P1OxQdVSM/E1S5wK
K1ew84saoC7og4uURC6OJHaA5rmV1W6DkIrl9vQ31KjDg3o0UJgxQZk7pyG1Tc+AMet3Uv0kqMws
gMUMey1vp1QGyulPlyPfGkrhZ4SEAhFBc6hCp/dEY9AYQTAvSCmhpRZM43os0UOQAMpoWJkp9Uqk
Q8IJSRkbNr7VwWyywPE3Ms9uHtC0mcV93XMgj1gvDRg0g2meSYlyiOgrm9DW8a9C8gdZZPuz6G6t
QUHQaJXyUaYVkpCuI5WIyrDdpHjs1TRCKJLorXmdVeW+kZGD0XSAr40IN/1EeDKDOfSN1qxQUB1M
UgLqc/DUtThHpkDnSKvG4aEDV1lTtbKzPDzXxRAYYyAnikYTrm3ccEL/A+c6el7GuO9yQR2q1j0H
ch/W1DzpaN51mEq77VAC2LNOWaS0ZOTN9zRIHNARYZBJtS2qaaanUka3nkMI7qG1pasQQyAnK5To
yix53e0aG0/fcbRdMVIfdWRtVwsQIYVChlFUyXMl9wF4+sQUNGhT8ufKspJAWcAg4Q+d2BQI0SMJ
aRMN72PFQ2sbbLIT81lzyB3KiWgT43kiqckdCxht0zv8wAFo5gjiH6E3LX5t5lAisYzR3hsq3c+r
9BMngp2hYB4wYV+/hTQNf6ikATNQrDJD+lELtR05WQSYNky/lmoozzhL3dQ164IKEdiUEIF6waC1
QB45FxTOWTWjZPlyLN4qTB5cScoABUr2aUBw407m7LKG+FBO0UJgD9izjrM3qycalY1PJ3UMZBU4
4AoDommdRC+KSWYIjnkIJHU+4sM+IRFUotqhjRAl5BY4G3T6XFnDeyTaPBRb8zN0MFGJEVmEUTuX
ao3w1gBCikYvFJTliHLwa6NqQAkQwqgHtORSYbuN7ec43l9FeUHtznlB/mNcDM9Bk+pYTGWAwG8f
DLWBzTka+YbUni3LEPuswdMzMpQdutJgVVi820ayroOScO4lc+LmyEquk4g8J0GlK6ut77JexGYR
cNtSXf9uJMK5qNB2SBuikDKWJSqJFmCGoiuDIZGPsYW+tQBJmy5zAVIJ4TwlHd6yRKILtPTZLlU4
f2f924ossRctxD5oH3famKkHLcPCosqJ/ufww9BM6ByZOHcj5jzzY9FgA6srzqmtmxN8mv4Ib+WY
h8ofbe4g0NQUzjgC6DUASOqNo2EoqS+lI0oLMI8KpUE++wGF0bXm3KqHEnAENL/ARvLRH9WZJKlO
822bm90BhhQKdiEmuAWmeUVl+qGScxK03ZNoy3dh5lDaBsVftBzvzoz4anBkz5By9WTF86ed1Zip
JLFnx1DeMNET6Fj4E/G37uwlTdmjwAmlGUdTxBPBerTIeh9TzhFU2RN3CSF7C7LiFbQIDMRqYMA2
hhVIA/GWoWJBokbWoahHDhYrnN1siPGIi7pAkaUlEFo5X/U43qe1cWSKFJ95qJ7RFNiqfTU9KQV5
3ADNzRR01kRH2TBu3/Ru2qMuJB2XBJiGtBIk62mJ0LrrnmY5nwJN1k4NQ0PJEfR3FDsoAms/6Jxp
VxhXKPw5REWKMt9N9HcRliYRQtD6YujaS+soHZWPJQnaRCMmrChEtTPCBquMoFljISW14xQgQgFu
MKaLLO0gwmpupUHTkRvzNsN/PcyRLvwkdJAiVsvysBDIYCN3GpJauw5N+og/VLNjM84CNX0yo0q+
68P65ESLdlTpZ5lZoj7280hTByhW10rKUVjv0+x8I8GQ7AuR/JljnI1ULX6q3AjKaVDZ7zjZjyen
rs5hM+d+CukY9oD8ka8QCTmkn4WZDDJFdXLKlPgZ/1jyPDoZc66cFWlh27QRqpEyCz+Kon5mlm7r
RqrPZtGTno+CuNlBnjHpkHTqI+Om4yiRL/hfQCn9SafwlHaY0sRxkW+XmrCzEkl/QhUcOABtl0an
DYT8uHkcwvGxT1XEQGDo0HhYSyRwhyN0HM9J1ux0q/jTWUg8QuwPIalDAhUiQKMo8wxTfemLSCCx
ZWA3PtbmrrBQ1jdmjlpdNXeGID2yWn1XyPmzMqLnG3XzVbIimmLauCAbgv5mVZUQH53+pE4asS1b
y6CP6k7I6nBS6+JeiOVtqhAgKzpqBNmk7RHyOOlJHfn9KjBYmeKmUzW8pNaWh1f5kopMYNHjgGaZ
RkmpcwbiImkwo9UwUKcxJ7VA+rc3ICR1JkWFpldzxMjji5ink4R8rZSajoe5ASwIAvqmbhpOVLDz
SkoFJZXK7xJJGSTVPOJ3/SOU4T4z2R9KXaFUbtlBQoS+LyJgHWaM1NnsPCjQkKOydWiZ2CUAbleq
OkRmxu4JNzu2domqomKSbC2R/ZUsRJuVjQURIrv7rFUjxKsoaWalZQS9wO99l00kh8oI1KSPQZpW
PbU5u2HNyMrg6xby8Es6nmE94kb0B+L+Bv1T46NeXpsWwwmEZUqyG+7fhPGyYBh5nuOLbRRgG4a3
WZ8As85kA+pxXtJj37TTqZUmGdzwd2SYBOZR2z/H0oMwwKNnTtfswnT8TmY9vDl0luQKfSUd4Ytz
FI1fUWeFvhRoRr1valq3aj9RBliqoMGbc5MpxRFxFv1qZN2X0o8IvhFuNDZFcPz8XhMk9xgf8r55
Zhm/W13n4Vfaexgw0W5WQo6gBVeE6TxrCe7eNS1UO9V2QsFzQlgkOaThfWWQ8Gaxtp2qKoYqab21
iROgGPrGgfNg2ipmKquiBA6wrFOvDkPjVDv5cVKWHrb5WmOSq9uED3CAKsxxRnkT2UQIvgYFes3R
aQ92GvxnE3uC5mRgPnexkqFBaDanrD8TsFAhsDEi9pSpvmhKb54yh9Yr3l5uFqcwSVMcOGc1+7Sr
MD3hdwk6KM18E6VJ+E4GCg9CrvbCcmOsPkN8FJQJMVFrVl40M7ssgzDPSt4+Q1vnnLRBb6YQ0vHt
QAtuprg3l859ZjKUCEWAalK1DVoH9DllUbumcqVi1udFR0KBrjlWzmdEiFIq4D21OrM2vDzqDuk4
Ns8dsMVdTX8ddYcHpNIoX+g1Q5YT0I0yXfpGKSkNt3oJea+69elAOmxAuIPRFSSDqgaY2d8jSZbs
h7Rb48SSypnVjY+kprXfQcMGDsy3BcqpXp4Z77MD3C3W26OAZEzRUnlv9eZSVBqi88vSb9fFY6Lh
RfLIwzWQHweTS0iKG2FpTvNO71ukNRPCCImdKR9aV1TUQcJUf6+IfT300X+KFvv1SRYFkJAWRd4G
B1QWaa1GbGMaEzykXZuLATuzsbC3WlXAd2ObLAVMC82GKxt2j5qc2+dmpLJbqdUefxVoCAA+sTtX
jujg3ckyFrwq4hB78ml8UdeoAOh6Fsk7TE6BMwIII6E+YPyeXYfESX0ki8NtttIisXlHid+ctZOM
r41SjCZVsyTcOsYUmAL6kY1zycZGDeGQo5XIeZVRk8K8TlcWjfDEt1FWhfo9R8+2MYI3zUq4Y5Xy
Gr2ihtojBSXR0rKW7NQ5lFPQrOfMU+XwbraylS9A+yQ08icZrw08eRTlvrYhw+qENhsdv11v6myY
8hpaEDrSgsAAUx9LhnIf96gQG8pPM1vJwVmqhMpJ9z6YNXLwZUfJAbuVpUIpH4NnlFW78tBSRisj
bla2o0uvMbgd7jqNvJAYGjL1alsGRoaQlSulsrGryu4VE4mZo3d0iFnSNmhn4OhkEatVIaj/fkGj
Ev4LnjLYmEVnW04vqi6kR9JdjbPza2lRZtS742gmVGxseo2D9FCVVoBsMe3Bga6mHHJ85z1ddJxM
SIZc9HC/RBab4JoTeZPqRUnbYVV97l/HcHqm7GCQPtnscka3r6y2gUDh1Ce09gUNiTzISO4PVt2y
tzTxoaPTL7WoeOPOhXA9qrc2lGZfWvBv7IWxZqHyiFa5BnASl60BqVK3zEGGKhrsE0UUgVX02r0u
xmCkPDJGYXKOZ5xddKdp7pifbKcpliroRrF32j3htil9qzALjraSvE4Jx6ocsxqZLSxoQljoQ1O5
a5Vq1wF77RS20dmMzA3mADYvaN8qTWheP7fvssBSxUhQ+tZrrHni5RV35qcY9UcKgrTlbUeEwP9p
9YfzvNCgbt4xAVQ8bYpoUoI172rg/3FD9yOOR9KuIrubMGiXLDH6soOXhWwvG/tTRMCv57gGqiGZ
2JtqbY4RzDVf5udlmaGQORSAh6q4QwfzaYnLvZRH0S03Xrpx/Jqw86BESSpZU+ZwuVysiKjdqp18
6KYCdggIEqWawCvYh9HOznF70hT5vV2QZCg054h/Mz4vhmmDvR0fOqfAKkoWP5qARmIbsELGxDE2
HSKSNyPJX03xXFeV8b3otzLJrsXUNsFQLrSB0mltOtMJ6hzKrZl+njiQPKpRf8bGGfe9Qy8P3ZqR
k35xfBSUEIhXQDSi3/IhLXQWFBS/xxnumQSGz1OyFzascTek2NVSJkqP9Zh8JVX+XVtRQ1W3uW+V
cDiVYClHTlULkwqnkxXPXKVBkn55/hhsZbqTB8lzCh4SuhWV32ghOACvxe/yXmnHvZUV5DSi35Xs
4NtBmU5I9mqBGmkE/PF5KaqRWoJF66Je9hPqGttpnqEdDAhHJGZQqGvNZSUmipYixtzXFMSHxo0F
zpmxWl/g+NK6aFi7caO/lo7zoxVStUuH7rM0GXE1CWt/XsyLlitUpFNr10lERRa5XW1DpdEl2IBD
2UDRBzA+6SiBOPC2GHWWjx673WSB9cDbix5nrLJhQxWQEDu/G536G9u8Q98XfwwMbUDIw0FtATCz
04SO/CEVwIlwlpq9GdstI6EZJ+mIXnbtZ6nAggrt3dw1VdDqFdurTioXjvHL0HWv07gsl9y4dwqY
xtkg5T6aHyXYRUSVJLxWGPNl6/AeUt5d+6yNUXvrhs3/bX02yP/m/6TPtv8QyJL8mzrbX3/yT3U2
xdD/YcvYUKuarln/UmdTTPkfqs7BpCu2bliy9i9/alX9h6opFp6qsqXrJips/6XOptj/cGSHqqGK
fYDCb5T/jT+1oun/Js6G1bVmG0h0maop27au21zf38XZZNPJl9SI1BvWX9I+n/OBTQqfRIQLzxnS
yC95CZK0FjiX9YP+ZGN+u1HJdQ9ZUTugAZfnDt19XONKQdtSxjl90adDL0PlzhqJAhHC8iaFO39E
xnQ79eiC130fiAFz1LIxogdhS+VJy7rHpLZ3cp8Aue8llDTi8MAJJ7BxpFvhgNa21JDeohJJ+3Dk
yCDP388K6CTbAQCfKxaS6069tkCEtk96uYYVK6y9hsEB+8Aq2DshCyKbVe+iX4Q/gD1cm2gNO+Re
BRCUY+bQpfa5J79ZOvMJH0VXdbpbU1FGMMMaT0oKMFFmoEiFxStH196JoEyXFmUFrToqiNztmBjt
Vk5CLBNbKwPSPcpIhAmcWEbxhUAaddpa99u0HsB7CXpLkvnZG/OLjWDknYisq4qd/GXsWxAJM1yr
Jiuus9Hngd1ZuLKlDpBHeq0PAt9IvbH6l87GRwbZZaJNp9hNGtwzWc85j6DVNGhCZyLr8O4dZk9W
OqReQGqmoxgQHI7OxRSOQWo1CGOa+qGqpj8I72cXMUivWAbBXVeXh8KY0EbIuogzo931FoBrtsP6
PLYRmnl1Tsm6lP8I7vGYxPJX2jvmXWvloNmnlD6Y3EMXWJbHZrKoE/Rx6deV1dzjS5D8pfr4Nf1H
9IM82a+l+t89yM1/dyD/ncimaVssDoQGbcVmNf19ImPNoadS2Jm3skm3mRwOe0MbkNmeiDFDYwwD
Q6E3zedSekjfZYNWZo2FhJ3r6cGI1e4yUowl/1UsQKaVL7JRuVrlBMtkGbV7clnTiR6VqobyN9sR
cdJ4TTIZVZg4nSluDDuVE8MnHL/LlawOap0qs9QTk4Ns4sjDuKldOM8buPqaBJEJoU18cUpPlroO
39LOJzia0FTCxsrscyD32Yc1Lt1L1+NytljPYz4YD3GteOMi3hEGxMu2Y6o6FB5x7KwuqTI/dMRR
Ww2rSYh3AoYczHagl+D4zb5wbn/b5P4/D1yV2QX/puvIE9dllIUsBR8cWdcN/b95vte2aaPEWJc3
q8kGN55p8/Xx7Ikx1s5atMpNg/2M0M/LT5THx2M6S/dTPb73MuX7jNaf28wAleuh/TIG9NGtfCz3
6Dy3p5kjnZ7QGfspoML4Eq/ZIR6QTQRtgJgLXWehHGiYGiBCcbcbUu1egSIzxB2woukzKvXskNfj
S5etaIY8uW/QjaVmasXuYhfPLRUNEU3Jk1pXypGnVJ4kIjVKG9gytwL4NGpBBs4lkT6pftuUycGs
FQGKRRCurH47i1W/Cbk7ofRY+sWwSD5U5q5eY3qc2dGjWV0J7Bon2c6+N4V+cEy7gG+rfZfmcBKt
CsSHzW3WOnj5owKXj9rN8xyJkw4Uwihky+t1qUf7rNqgUgXIPcV/T0tlhMKiyjnOFI8GQbaXrEpb
eRHjhq0q9E3Nu1xGQUKZDQdHA8OPVREUibVVxpW+XtOO71KgD8bwVS2U+GItPNX/Sd2Z9catbFn6
rxTqnac5RJBBoOo+KOdJQ1qShxfClmXOc3D89fUxfer6Hnf3QddjAwaRlGUrxeQQe++1viVeCIIA
bSWgY2kEBFnL/JZcvl1URletDEVHo0fHMhAWYHa4aXK/2yWCfp8umnMBZ52Yd+O+j1rsdsksT5Vr
vbjF/NCJgRFky0xkGvHPZi3ZR36kUsBKaET9yMs5m6eTOaNjsONuCdyu93WWintGQ2RJDCcjohen
ey7pua+mU01h41SMZz2XCf8Qdgdh4InyFYAUILnb2kMLUQByJlKQmm2WQn5QqqOjBW53msJL30v0
WGX1XbuQIxqbUVtn+zFBkulbEbW0xzL66DGSQ63NC+cVK2kEdjZFKJTbdUR6y6njZmJXc3EZSBPZ
TmRkB3UYbmtqwodxQqYAExq8cAFeW+5GWsaQ+2W1c32PNumy8eBgVnVXHyd+M8JE0mpf5MAkfakv
IqP7PQ/qCyDGcGt2zRKfBJmSZtC+K+hLToi1jICEpGKwx31iOv6qT8IUSx8eO1a/OzGLdj3NHo+n
NDwThsEDW1WP2m3fuiYa9n9/GxDLAuHn7fjw/T//XZpk/YllsWJRejseq+a/3neLOW0bKwq9KwAz
vRkTFu51xeH4xKAneCxGoopNgYCjVHI7IMT3jWjB6XTnSjJmmlgmI8q5LyJpbGqdTdspTkmaTatX
kzChU1+HxqoRvX9vIKvlRAFFoix5XzSmgeM5O1lc6oegDDN4zeg/7LIlDM4mFbuUfXXKJid9tkz5
QHf5M4xBsEH9wj23g4JgQkU1brYfNDoA+ksZTXvQeoaAbPT3x8hy/vpwWg6STcPUdMh89x30Tb8d
JDvsiaLuPUAHGY2fIVrmAgUhpr6X+OteAmD3RUO0hjpOI5OwxkOVNAO7NphBckMhcij1p9MYz0jQ
Cm5BedG/hk1brSyWQMTKj9/n0JTkgx2Juqy6bjy36FkyWUNZNtyd0dAuyzk+R0N3gKQdfV+r6hNd
4nRN4Gx3GCRXuxFO8WpAcMGIAbAdQLXowdSeh961QeVkW2caqBCH2lZvAMgZG0FAsBs43SkKGUFH
tgW8oQogFdlU1o1NNycszjVAyi0AeBRyERqjYcQWL008njSK7ODbmDs4OUyRnxpc1N2C9XR8dTQz
z6ZvxfNxMIBPSgd1fcWPx3xHvuTEzefsVDRTtRnEWMeREJRuJnba8PJ1N2Kk1E5KF6ww5KmezNc+
j770VfzNNUJ/R8OFAbAbnnIaOVUfYpOQkzy19BMiIs22BOGojSckcqG4GI5Ni2e6wuE4c5M7Qe23
sXej4yZSF3OppcVlKBzCo6bchB84sXaVKUyBkI9XjwnUzjFLuEmmAHL5RAlm2bd+lV70CL2vKWnk
l+GQnlWYfi+5yHb1dI0NP2LAQZPVdAg8sxOzO2e1++wg7hMl4daF2pU1KdfdkqZy2+zHvvvx92et
u5yUv13ZFBge7GjXllJ5v3GblwGfEc5NcG2D0V/7fegTAFf5p5kMrL0p7NeqyfeGMY/XXr4lsz9d
hERJvsiD47n+agb0nslK2RhmRqVgAzeP7RJmUWqP53ygAjXmqzG1yXFk7opjXT0ZMps+q4LOD1zq
6LpoHNAnoxUSCArjmnRIqWxU7LJBtKeafi2KfLzUJfd7x2vm7S26wg47/y53hwBB/fwNhYCFxJoI
nBHxqG6dSz8+FYGnzmPg0uwpOmR5WphXGWSonyAjaLcxX30iVGYiVvaDQzuX1bJ7pt2tuXIek3zM
12WQeTsPTksNOXH79wceJtr/fuSFJzzLsm3YfeL3e+qQN4D9xSCvrBF5Yiap/RBbTy2o3CONFXPH
LeqTay8agX7sjmY3j5QrCQ213kJV3nMZM4QD6dZ2mrXvSJ8syFnWCmzalYeTokhB6uvEQmTozxfT
p5fjBHnDPYl0dlXF/THVpI/UyUesaGJftuco788mkeg4nyKLEQXIKBWCdnIZvfqt941BI5bRYpqf
PR9j8Oj4dF5Bb6o2pi+Tr61KYdw2EQpXrBjXtmKIZalkus8EF3Aag+mEF7E1zIkKx0f7WUO0PueM
bO7aYOgOUzGhF0xBh8TRJ8OScl/EH3uja84xsYNTl0YXz3Xwe0+ReDatCT1eOrsn4iPQ+jYTF8kx
DON+lcQ59RW00buoH4adPW4FWZJIflHbMStHMV5LOmWccgO1zmYcGFo0KsLUWrZgunPXWicF7r3y
YFtob0IfIwo59u2jJQZAUOQUrw2GFpcBOoUdLYLC0j2XXdZd49ncGhqLa61r934uAw8TgxmdfRl/
6kgvOeftSBM//WaPo/6qUptOGE3GWgZqn7MmpAvvPQa9A85zNY1LE3YKaOTngIWtrhG7290V9cij
4uI7l2Z9H1fGQzZY6qGpjWaroqzcILadi6y9FxIOg4nznWyFVenR7IbhUUomg3biGccqcg8mDNVX
J82R7U/x9BTTEkbsCwtrMj8SdGi9DKN/SLOGru8ILdMUqAonO243fU8TXRuqOCXKe9TVS27nUKhq
qhxb46uVPlaPlqsqzHe4s51TC7kgr/vuNIjYB3EyvHsWkb9m6YZbkiPhLdh5+uzExyg2ItTLYbmt
WpBVt10VtjsvT94Yf5Qk9bGK45Ki7LXByisfq3rKYReIGFgtZWAq9QfHmfDZTyiZPB0CQhlD88LB
VT/bXP/XgpS1z+9XMQnUlKOWkvLWsPmtIlUFkTVt2tdX6fLgGxkrrivZ4cSmo3LPDfc6u9zWZFOI
B+jPH+wokKAbQOFkw1iTh1gzE0Sxt5FUd6MDltRJBKjc4NHIiydhJ8UzBkLX1vOTaSekdDqTT7Mh
sl981SLsVdC2VI+fobQrRulK7syWZ9JtWeY0jGcAWQ6HKJj4JMJuAP8dfO9VfzUzx38OwwI+jFb3
fYqLksQ3dGs0UFY8D2g5VuiL7V6NoAhJfaA706EJtDKUlZBOPMMN9oFVkcIO0Jr1Hl3gbICmY0zq
ZMxK3Qd1Ge47cOJ3Fdkk/OCQPKLOOUHQZKTp+4hxi7D77FXzIUnS+dm14GVloRltagJBVkX11Bca
dL1RRi/OXNf7NObnZsaYPOfBB9dfvpvZzGUMFCBb0rUQ8fgQfALubqYXPjEzNy90UsnWQwKSEPPO
BAeJKKugjy3t/1XEzPPs1qzz+0jk63AyE9zD3hvZVcU17IgubQFTnzyH3FFctwX0+pO1PKpDQoLo
3PjeuuqZVjNkJffMQl5KD2HXkskO0YaFblx0Bwcd0opJLqt5RlNbJmS7goUMUV15cG/XpU96Nnbs
yEw0+XQwZrU2ivt2TOlrDMZr3NPfLoLK3DUTijrP7SgzeKAiRZGnwkbWF9UnWS783qAjw7hEFkDo
9Tp2ImBz+QBRu/PDbQDJkgmf23DqoHEgkLBL95m/4D/C5GOUoKqtR9NZZx0Q7IKcdtwuPjVsC4Uo
cacnjsNatukbQ0XrQ+nqdCdLJzzGVdE+uAhLvVIvkV11/mYBJax08BWFAclAmisytAaGTmWMeN4P
ToFgyBKDdCuzLnvJLPmNho11qZc9XfsnZC/Xus6cY0Yz8xnRW7oJCXrHb/Wat4b90C4xCEHkeKuq
YRysWrNANJxDkov89KpsD95PSfkt0h9BM3xza+U+JYymjfAYtYQ5j3udOOVTbHyP0S6sdNOoU5QB
OAy9gjDqXqq1ZZbqRcwZ3MsSD6ORLBFRA3UXj4FXo2WYzmixRacIHDlAl+9EPH/HFnqDPefxczbh
KtFjkRxCWbxUYdntOhNWUmU+9w62hbJ04s+qz/d1AyA4LKHZS7XVJQnDTqJOU243W09PGs0AiZUE
StybhY6fhlAfYE2721AYBbfXanpNA047aqko0kgrxomTJ+1R8UnsIRN38XOeFeleFJ+rMQfyRBrI
3k7kmVSZ8tEbcbUY/Zg9VqL50GkcOJlfA0mQfnaZu7rHO0d7so9HSjijndBeJ1h8bVQnlFzY6wgf
zZlBc7YAc5C2FWGC9tC/Dj1OMlnRc8DyQ47JfRRWxMgsWY8FCYsAaDJ3J3qE4jq2tnGo1TPkXelc
Wa0ciNe1zkpEL8yUDMy1+yzRwAcnkqj7VuYnt5qoGqkN4OeKYJ8bqt1aDTx+J7H6q1Uh9SGGwtTo
QjNQ80CTmuBxlDRORV/g34KRjGrYCY4iJRM7l0TLedaAcbmNsWSOA1KEeviAWCyDHj2NO8IEj3kO
ruG2JJzkV51VzYHi/cMcTOlqmpiUF8Zk3zOEzHzkN13yliVDtmUeb57t2sRKtIhRvSBCPYY23p2C
szHU8/3Q4wDzqxpDuhDUvqYFp9hyPnsLBKdtP3vkLO3NfBoPGAewduqFGxt7w72V1F9mmsUbc0lX
79VwZYbgc9B8wLNpg4+yA2xRgfuoC+dHVjMaTkdr+iimAlkVIyh05NzTRNpc08bd+v6r5bfFJ0Xv
HB0G9kQ0oEzTKPV/Pin/118ele0//oP9t7KaIJZH+rfdfzyXOX/+Y/k3//yev/6Lf1zit6Zsyx/6
b79r914usTnt79/0l/+Zn/7nu1vSdv6ys+GS0dNT995M1/e2y/TtXdCDXr7z//Uv/8zveZ4q8nu+
fs/jYs24uonf9F/GRLRQqan+JvkHi9L/4R/8OVfyzT8s6XmWUH8ZK/nuHy4iNtoxnuV79m14VdBz
jP7z34WzhP5YyhOO8l3+HcOglhCL5a/MP5CeLssUlzEQoiv3fzRW8vy/zpUkgS0OQkiXmZdv2p7j
/NbxmHKt+8KL1ZFQ7Y+Mfe50Q0piS4R8V/sAC4PkVdlTfCZ9+NzGcwtsibuHN9lfsQGxkl7Eich8
L2GCXLFSX6JFvuiskzaNX2JEKV2V/ZgWmSOX2vfR+6IX+aNAB9ktgkhvkUZCVMeSo5xTZVIm9CQv
dMNL0JjpIS9ApjDyebZN03mavOpstCPhQUNxjMOYBnxhDDu3CPxjOqgPokLb3GgPXiTgkrBR57Dx
7oJF4CkXqafTGRX2IaG3YeNsDCLTV5VF46ZIMTxlmfsx8hPzobSBCGYOBqYknO+lRyHhgqMIKuE8
1YX77rmov9uof4+Z9xA4Is8xMcsHgVqVgAOiMTMmsVRpEaWIY5yEmPbdoD8PsQMgAwFRPxAiIal6
g8IaX1JgGJUjLrbo8m+O7y4tt31I9PbTyJPpYHWaXLesppOUAjsq7WQXTOqI0M3c0qeCm4w2Vy0i
3cwgisOqHga8fOQ4rehsx+tegemZZHxqKg+9Jr4bGj/TfMLishfZYUIVPN7kwXJPkxc5E7phfxEQ
K5TE7iIpnhZxsbfIjNF03ItFeEzmzYoR3ReBIplCott0AYHjWZTvLFTL9SJfbhchc7BImoebuHmR
OU+L4BkqnF4E0N0ihbbma7dIo1uQdose2ZIq2WWxd8KiZdvoWX16bBtPY+mvhPjhOMXJCQZ9Kozm
nIyGfw4GtXVfUw2UbPbHS0bsDyaC6Bvd7H7d2OZRLMJu1K3UUSWKLhmP+7h8N3h7hPGZzBbH3NiZ
aBaLRSoeL6LxHvW4xXIZAjUyXRT0h9bDSp44TcE6mX7lLIEwxqz4+h59eonAxhPIWs0w+G7RxNgz
IsWOvkjZ00XUrhd5e4XOXS6C936RvstFBK/c/kthRuM+E/qShnN5QjV455SDPiBfOEiPLs5suxs4
aqosg4/l9IDMOnxyk73TYwWPGuLnOMF2tQXUsFKfpOHMp6lRoGnQqWKMfWoWUX+/yPsT64doIL1E
RhcsQTDEKhoBVpACt5SHOg7vVXHiihvXaNhPuahgPPoNXkAdf0RvxSwjdcWKMYB7Nss3Y2yBUvT5
53Cis+Yp6Lh2Aysew6bte/LetAP0nkw+w7gmWYYIFEfleAY0kxlDGg/DYoLIcUMo3EpJZB5yZa47
UpSLTGCbsKBs0eoaWK67W7cScIAmuDOMzDBchHQj07Rb6amVe6nr7ehl6Dx6bBodpXE8ZOGOPswn
nZEajqcjZO2wmr7EWexjUkmZZahrM3DjsqYJFzPPd1vFJCIsBLeAswazsDXLeD8kiIyjHLerbcO4
LNsnMq5+iAB0BMJ/OhSEWYxqHUvzXbnoa0lfAJBd4TshvHhM8jfeN6Dw1DvQDQW4gYUKfDfCSa8k
elWCeUQsDOq0jXY6/jxSAqZBa2zanMVGP4NnMCPqcUdQ1GscqFmJzF0T0kAveVpdmxK+wBzgS5fu
iN74GsIgJqMsZt6RPYh2QNQj3Tda6GQS4q/ZBNRvW7l4Mqa0IzlFw21haQ99IYHJ7aLAyVLogSRD
F9qtWVep1eAuIznx4Pp4WxM05qu+xEHZBSmSMnImfGKDCGz9VM2MPnhQ1as8iRncIz8iaenc2vCr
s3JGtTV9lyHOzDENgEQyccjFpNaT23xxR84fMfJb1tqrcD56H/N3nDHZLi2a+UDtu07RB0RkJ579
GPUbw5q3cgQ7EHjpPbqYCfSANhCc000P4NBHvOWyH8I70ZT+ochtujgstLed8T77CMrjkaKqHE2W
m8M7EiCcBCNtsJYw5VeeuVtE9o9z45NwpK0FtjidExLZYcnk3xC9vRhmcFriu60QRp1LViwuzP5j
PXa0TnE0WQno98ZaCIc2JQmzeKRe17ov5HYecUQ7QqbQMWuH2J0emD241AnvEEQbJEhea9oP4C/6
18lRwbFLNFYBiqH1MAEabCuk4UEr8nvTg7nr2MwJRMsIkKKnJQtzfgxSxpk++AkrADA0ShPJcuJN
jwikS052tLYxxC7NKuMuCD3/qAQUP8Si+m6sUFiR5rJkgdMbQvZnM42ESAXnlE7+wZjI82KUD7ur
xdFaREAK/DbRxx4PgMtQ5N5xCVXt3Rz3etmdYvqAm9ss1DeyFzUp0rH6GvknSct0gaKNt5Tc7TT2
685Et+7aTHn1zHFrZiu9k32Z3aOI4uYb6C0V7yXuqnPuhuLkNA2dDbs9uy2XiRzL5IFIh50bOvdz
5Q9HG2kjhW56KmISzuyYbGVIxa5BXsbok4HDk70+0irciQoXJKsWY6ssKOvJ4PJEXuTAZfQUmx4D
U4amqYH13tP53kcADNeJDC3VeESedCDBMyLC/YJMqzqpKOsiHsAx1EcmNZwICkJcZKtLVwl733ww
aPDtI4fZwxSHz4EXIbhARbxDrNKvhmghonQ9j1zy5aVrnWVQU9UnibwgjgYdWW3ryqDtKFGXZT0Q
kpSUNnegq867zB/amGWAD1rbAKsdZsYHRRTegdgD+uWGC3msm7NzB51oYvi5pnFvIqOtPW5AFikZ
SbAkM2ZJ90FjKvbCyt6HM6ULY9qmuQtDEBZB5WI8p0L96WDtGvXd1hMUS/twc7P+sq2KdqpBTncr
zxwLkkf6D6MXECDaTYCqcWNxltHKrGwXEjSydQZctmZg73xJCFdCY9EDpaAP3HAT25va3EuTafBt
M2edBYnF/5rmA5Ii2b8Zc7DYgfuwPJr58mlnZEXg6iiPuZy7fSANBjqgeBhpkrUa+yNL0ZRWJyPW
nW4VTGk8LA6uTI/nQCqZXdEeXpmhMW0srb9p1uDgDEsUnMubJIQVcpHt6lUZwK4YO0nXrEeq4LQv
Te5ugxAxKGFuL0G6uMy6jIGeVGS7+u05Kadwd9sLK3W2594AOMmJiHiiPt5e2Y3x56vb7m2Tg4tw
qtjfd9ZASs2yaf/5aqIdclhiFPsgPkVqLOkPX53ARKEfBOmB9EeCCpW1kkWK0TpxIVhJk+YC69et
JarH29sdPLgNUQqjaTFC38zUt40zkBp992ufIHmPKE/34zjNkOCXdJe+CrNiz5AJbnHcgEChluHZ
2iBTWizBrVHzjT3KKiI5eNkKDm+KlQv3C+ebaX20kFIcFNblY99bxrS6vcxoUMGiAHtx+1jTJfBW
yQ7q38/t7QuWKB9n18yYDY+fb1Z3zs/yp+n9tnvbOIvxvbE5MAKFm4twklSRgVb/Erjr0D85ymVz
222m9N2s2nrz60sprSn0zyQBEWFU/Tw28nZYbseqteVZoivd2s9Fo+djJBtxDGa0naTwAXGJ7eh0
29CUiE6t+lF3IBuiAb1PaooKRDE1SlnUUE+AQyoWO/ubO/7Xxl8c88xWy21KZFluVEuvPzKO2bCc
czHXZ21gOjW6JdqXDUbCZmO67Tv91MFczTQodhET9pt/O1ic3bfNzdj981Uh0Pybsy02o6E/36zq
t41nLfFCCiAtC0fufV1bc1en1ZuQt3l04+6eBOhwh+kAk0nQNlffG6bt7S/75WJ36hFDGf1f9C+L
E77LaKaa5HWub/cJd7lFNIsx/vbKmlQFSXrZ73X4GiMV2d4+lNtncfug+sWO7xbeh9bBPAMrEAN9
7cJwJjxwdztLfzt/22GgpmoJsPr1Fx5gIJbNB7urixmBMSfyyF0juxNTDS6FBQHKPg4Iz/E/D9Xt
KPnIoLI78sOjA+XEz0Nw+y1vv6/AqHP89Ztz2wa52kSHHI1/1TcYT0zne0ko4100FmLvaevJoiL2
BFIZaTcLqcCHvDmLz+2iBLd7d6M1dO2pfDEK5GUJkwk6kqRe+0q/o7tWql1g7MP0qcGiQdwjY5Gi
YMKSApBe42tML782o0/wq2fFp1aiPhdYSN3ZT+8aGGEeXE4bdWIfqQiuyqU26ns7DB4bl9rNiHjQ
i+4YJhbMZds9iFZcS11+gDrNExNzpgA146Us3q083c5+cRn7S1IUb2hPXs0QKG1mkNM5DPHH3HxN
IrKGMkQMYV98sr2AEAGHS4DowPsmKrJ9KcYns1nJsga3PObnGA3eXU5HjKWFgxiayrNh9X7Hamfb
ecQOmbNMtyHy1yGYWPp4/XNS2dUJS9lFO4Pah1n0UluTt14WqqbAgUIgnoc/lecrOsdDp7xihzIE
ScaIwFo9J7ThgF3FJ/XNoE+wmXJo/h1tOYnQaZhUf2yFuGTN22jD07lWxECTzG6Q25Cn50iO3yhI
yEMxjHujgzRoC1IRQ0G1rlRNJ4JIFzfwQnoOBp9Y8yEJ5UORPU4q/U5OJVjTCecCaP6vbcdixZiA
jZDffVZyJPsYG7RMqqtqDv5S6iGHAcgFjl6W+jFFXcKZ5RCXkWcQM/NLV9ZoqZL+Yo6vgQeNTofu
ZWKRQZOcS8IC9o0ELGLNvPaq6kWhuLQcfD7EgBFcmsaHWZc5oTNapF9b2T+3rvrScxBmRg53qNg4
EV35ocnSo8rNK9HLNd0FZ1M181tqU1P3CSz7ZGifBOPTxAUphLULFUYWv3ajsx57+2UKgpJpLODN
XL43jdOsOwd7gx1BHWq7R4zFm6jcIk0+aTqzXPA/2oVU6Gs/WkM7QJIgz3WSbVoJJbCLiL8jLRPW
EIEnldle8woEyUSTHCsKDcRvs51eE3/xFKTuJZsIHFJpcfaCEb0xue75dEqJWkyXVm4vxrcCVWiU
Ny9z431ILf+z73bByuY6mstZHkwHMyFO78esItzLzO6HFDgOa9Jd43afyjK/8i7vrN6fULUlCpoP
hZfIiDlxClwiBCvSKQFlUFK5I05kAL3IPx/HTLBwJL4GYh8RDw5ZpdsYBqkj+glFg0ROmPuP8dh+
mqfg6MlgguPTfmrCCHEknmONk3CVo55bzQ09Xz2m/cmO63iHZwQtVeqvA6vkUUCqKxNbdFfbQIH/
iur+Kx5Zbn5Gt5G2j6d25nbgdkQ7eBlAtlapVWCso5RovChkrWxk8cktrOdWIW1S9ZAhsyPNym4w
tTXEzXDUatbJpE/m/XDCxzCtyXLdTzj47lqhCacfzHqngN10SUFjW8ar3q0+KcG4per9TWlZ73ry
23VUAmNgiYWPKyDVJfOzVVcRDhT29RpLxkQf/YrwHMpB3qMg7HdOOtIjyoGym6lbEFNoACqojbNp
I6wzIcWGg5k8MjKbVn7DgE96Vz8iWqrs7X7tOYAhM3xEyeT+YGURbpyuJ7Yke/Ts0OI5gXk6fqIu
ns+WiM+ln7OydrsfTgeIzIe7z3/5dZSNuSN9+DOYmJJgYnHqPNsC8EpgkoqgVznfRdZ4mzmZR7hN
A8kU1WqE2xM76oLAmWAaWPlidmEJJkguE/7vyiRd2AuKF6xoj21BNzZPHXxNWlhHFrCvPDVaTika
gVNxbkPUF/ieEDGYV0IZv7mmU1zQC2FzZdJ7z2SAkNeFZGvAGYmRCzS63/dpHx7yiLaAhl0WBOpH
kmTjhjJErrDJwG/08LUxj9pEsvrU0rE+c1tbxyOfpgybH7Q9pm2z8JQE4kgzCJDh12By/PpHlA0r
7RCYlufNe0QX5a4efqAkKdf4CJSJQTMU2RMObLjYvUtsSG6CTuweRI3/SNBA4Ea2zVneu7H+1PXq
nUc6WRQj+ABfCqLITIbO31PpomTGwXp2B56NCWsyxkN4s1RL92qbtOBtMh5pXEituzHgHFce6OG0
nJs7v2emmEMwU/6j1XcMSNFzgdiizeKYg81tEGpHPZNQ2TWSvGflrEwXgngTX5tU5vduAQXGzd1g
1XUD4zkeiJn3mFFYw9WGe22IAaq+2DTdhQhkoHriSzN6BevMbtiV6HDM+R2TMpxwy9/6ZU6+paUl
TENItxrQnU3/fIWv51iX0WeEIuCh9dqvmTX3oDecGS98ILF6h3k8L5Y4qPIxiEThPKAdgEVce/zC
NiFtJiP/3navLdpkJuhpsq/l3nHq4Wy4kOJ8eTGowtAd5UCrxHORYq0qkpQEwZIbWtj1i55lRUIy
8IgAlkM+3k9hLy4OZzXMk92cDNNZOAMBpJPdbUEGo85dj22GGRZ8k+EyqbQyJpJzGX4kyz7XrTjR
8MaW3d0JaV1DTn14PuARttIb3lLEoGV3aQsl73omCUy1gT70nU3N5HcoNOAGxgTJFEqDZTDix6nf
MaE3j7TJCNozfRgvaD3IwXGfYmxoUb6kRYiPKf3tO4ge5fG28Xq8F2kR7K2iehbc2AbmfBMpp9qm
40VzqOoAFtILjiHQBhsErzz8wx/YMapTMAhz5wV2f9fi4OBmCNbayS485lZp1Pn3OPoApI3Fh6T/
FutTYNdyo1kS3XkVtO7AcV4aHKFeRaKt9tKvfkDUHLOIZj9l/efZGr+xboLhmH0xU2yraaaegqRc
Oz3rliZ+cjLeDzrI72OEsSOEOpArsck9DLaB+CrlVB11UbkUyofZpLyKdfbeCe+KgJ6QqxaWuJN8
q2zxbabjAWQTq+ooKDUXvKJSxoUQ6GSjy4AIrw6+MJ8Jt+G0yGkQsHo3OpePE62VAQV8mNAa0DK9
OjXi74YAIZlj7rT8Q+CWA+bNpAb7vrSSBvT8ll1uOq+taGY6B9fJl1zd7jSN+PojF3mNtcQ+qMS4
K3Mfl3JcVg+aEBJzSQqmGiBepwe+PjZpfY5cH4BfDtPbi4jMkV+JrC/WpvlWo15Afk0AQxVhGHIt
HPmm/3Woik0Cm6de4IliXnGJY5VdGuadNZ29+n6YaVr4Tfmcw5ygvppQgVpOe9RThoKsClHl3vbN
OtS0mqi6XrMWElhz6yPkC8Xqtv9rE1cRtwvJnd4oPAwmVrWLLCBDJY3/9bT8D4bJD4hvNZvifIvi
5Eh0s4b6UzwxExm3LHj4CcuXfm0QxCEU8bAgl8sPTUYJfLQXsLPM5JLM+WdFK2MDpKg7Krwa/OCu
Pxa6wGBdqFmirUNN75UpmhEdhsOxY+pwHJYNb+A8WyFo1eXrpvuZgOHpECPSPJINPyzJxPSdJ0lk
dVg2RxLsOwZuTEZuu56r/ZVRVu7SLKuJk6fJEZl1TlwSy5mwjpMD4y5iD4t5IA+b9gjiKorwzPzX
TaZNODT2bJH8QWEvlkp+DJyrpTNWanH2LAf0FXIMhuNtAxRiRC0O1BZw3D5YCucEJB2tLTa3V7++
VprDI6ZOxmaeRVN+qcDDYOoxfVh+9nP/1xeLJkKcnll7Mxn4aBHNN6lb7Q1JcTSPyCtXaBzIcZKk
9TDX1cds6RTVhbLvgjohAQPCB1lLTLfggVSQsD3gPgt77/ZKLLu3V8t31LbS6Kk9sW61aBArPCrH
w++ku4V2DbHsaNoWv6LbCJQGhn3MXdtGkMKrPqnJWGTy2bcKL3w6CIBhg29sPZRSt68lIXfO2ytr
JDTT7AB0tkX3bsFh2xSyZjVhRNZRENB8SOtvt53bl4Uu9CHlE9OL/OW2af756rddFrwtgB58Qrf3
Z5Sjwym7tlp+YbyFzs/N7cuT1sFhJJGlncGTUyakuypL7i0RsZstb/b2jlMWCSvEogR5Le9RTLN1
dJfNbfe2cWtNwhw6iIoncQ5j4Qhs7fbz/+VNLAfJVQtHbVrex+1vJk6EOGDJHA0YBQP1LOrmwe+R
o3YRohWJer5GPhlSrMweAdBktrmAHym8Js9lxoHHWYV3TlOJ+zn3Ldb0tLSNnm52G+izZZOKMKrk
azpm31gDAX5EFYs60iUfJH6XqIpKzVmSTqBrSkxFc2p2THo61CYph2sswGYF04KWZHjYx+ipLRoV
W2cSJ01FgzZJ7oi6cNcN0OsfQC+oN3dzAO/NbkLEwgh7Q0I/Y+ultPp3I+M3cHsFfzchB2Dy4Iuy
UiSMwTuG+Gu4qZofDMMC6+OSnHFTQvwpy/jTf/abSuS33X/8f6T1wK3r/63W4/59+Lf917xijtC8
/6vo489/+afowzP/cC3Mja5AIfXLS+zZf3BPcx1f2i46Dix5//5v/y36kH84iD6k71NwYNNbbMb/
Lfqw/3B96Sm0GgDMFP6d/4no46ZK/xe/gMAhwP/kKoEfEE+g+5sfUBjuGNbKW3yx7S6N3YuTgwtD
y/FSn7O9565me1t7x8DelCAan/VX8RY+61dum0UBKBwFwnacV57xUeOxCnZ4ZCz8oqBuSYQz96hn
c7jf6V30wnCpLg5VcM3+i7zzWI5cy7Lsv9S4kQYtBjWBO1xLujvVBEYGSWit8fW1LjMt+2V2W7XV
uCd8EfGCQdLFvUfsvdc6W6qr/EPD6qF5vNCousOH8lXtQd1snSXvt7/ob/7xovury1T5N2X+339G
x+ZhMzSL/wjN75+PpygPmv/8D+V/1b46KWpGjqKMJbNTlKewm9eVrV3iQcde1f1IEvFFZRK9GZHy
9N9/ceRB/6oo/v3qOs+UZWC9lI1fm9FfvnqR+WMVBziP7Ycz7OWf4qk+6+FCfm9X2Q9te84o4Me6
MVcDqbuntk1urKKOzs1GwHAmz1K/KvVROVQ79SM7zdvkinETUG3tDteORakXnaYPWxfAD+NmxRTg
y2Iz/imew4N2kdel/U3OEu2OMz8n38ngmRdmjETXuFRFdBfGEVUxZBoKOLd7rx7ZA626pG05fjMg
QRgSRZTlAtfNXJEL7jaH7DCs5C9QgtqmZXNZLXOLFHoXB9StOnExKXtImTu25e/FQ8FK/Se+8+Os
xpf8Z15LT8BkIpiPxCFg5us/AhJ5D92Z8Zy9ir+nDVagJSkJkU8WuPuj7iukhRDbYmkLfbT5JAJQ
mD+W2WfDyQU+d1u/s//LCJl4IIpl068St06jcifb3Hn4zTqNr9NlZmBwDDA42ffimnwDWmEHJB2L
O8zbJ3wR+Us23IlqAIXHwxEcoG9/mKshIcXcNX5iNDckDm97ZUfONQl2QbDp7dUw8IBw3uJjcQGj
mNMrxCFNO86EkaSKl8tXXcbm4FrX+n3Ym5/FxT+3xUm9UfbZSAWLDUSZkCCyJ5aIp2w3nIJdP2+C
i7nvYW4t0dY02qL8SHcVzIfQDa9U/T8xXCoaK5wfbHGGzzYGTY0/hxnbkmbiVW08BKHRvQ2P9l7H
VExuFXNWr/Xy/bzWVyG74oVD4GfuGm/KFxmfqmse51eSC51lduZ+eg+PKl5gHlqyS4knp/piQuAz
9V9bh1Fx83g97e0XArdyHefsMv2urzjFxpPKZPYsv6m9ZzxRhtQugzwi0AuVfJmFc+95JAjpIgnH
OqB8UTfxR7etF9lZfVKwYj2CT/PUNfsWj+CL/7CvtK28tMuFUHmihtmap+w8sMz0Mu1gXRvdk9Bl
bfLPYZUD7dpUm/SVHU3sOhsq7fjoXJznmQ1/t0ZOMHrtgjR8PMnf/Unn0dyr8Z2otepcbM1zA0ba
oBZyCXuzkt3wqoonDUcmUlOBKF2mXvthblCFEmZGpusCM7O0gBF1NVDSuiHpIQuiZPBniBh41/xT
L1D8qhtzlXvWtmcEzIAvd5VhHR+njV9uCFsFAnLK8ANvwyN7OXQ7yOIxIhOD3Hs+0gpz2YN2Rsb1
lT5CD4PdWwJIbK0y0RwvZDiba4YfxjZ+tO/TcjNtwocORZOeHRfw2WqXAdqiu//R/Egi4NlVcdFu
pxfKZ4+IMefakRUJeGQ91aS7uiMh7Kw0XfusdQ/n2h/bt3AXk4z6Nj3JL/IyI5THlZ+Ucz38Pw7n
f3Oi6rZNAaTbjkUoI9ecSO3469msprNtDKZKqH3QgpCc12pmvdhQaP/7Y/j/OITFlzEcbCQyl51q
iiviL4dwXdPByb5SbQxluIsv4aDFnYLxe26QPiB8JE284or/p+7z/3LvqH/30f7L7WoruioT1mES
UYeo8t/cJFjSdRNRSbMhROyFKGoEV0jJN+UYoJ0wNeldMWimIen55XMcODr2qg8CkXIGT1hhGNVt
9XK6F77fb2abvN4UEQ1qHnxEkSYfkm48jyyaibirUU4j7iPgP9I9e1TtFdbPkmYbrVCCi6cdOTLS
OSUiUd/LWhqf81mrAEqhvtFia5ewtq6a5lll1LowLWhHvYydNc0LySPl5qnNMh8bGRd9wESdsKjJ
hm5vWN0tMBr16KT5HvGDSAq3JKQBQbl12ubAgIvY/ICLjMiBN6cvENGf0yCzVqnxpwsGRM2k2tWm
xKhYuFGyVVG1rPATZY0OdGuRdLQyE1ycuuD7mKQGDCwnSge9xTCggFDy/hLl/Ag87S3HgU2MKanB
tSLtCjkTeDbnRS1hctTOXC6VOvrp6jY5kR5E41nIt8T09WPUA7fNZ5P0R1UtXQxVu8SeNkZVX800
SsB0k9GBk4rhFJotqbB/1HuoiN1VHkJ6Z43FUqMtlkaApUOVZlxdVWaD7cxXkkqIKf5/69g21jHW
53xpyQMXn6Wfp1qb1qYEmNQZ9ROB0nrKeM5n77Ppe8hTcms026RBrTLEF62Q/jgq31luzHcD/DXf
L57q7Avxl78xShg946ye475F1seUty1gP6iR+dwJJ7vOaIUFGYErJkVC31Cj1QRUz6Z5M+aAEJla
aLpOsk3S/WRclPGrGo2nuZTwpQfTy2iWz+WYfoTnTg5Bl4zN0xjmt9gP7ljHvmKbdmfmBTzrHUn9
zYv4tY6ic4gASEVSvGIItAzGGe6wTMvhJ/qGYIIhB+1nzCbzWQxuupp1XhZj3a/j4ISs+ME+9ShJ
MuGPDs+0Df87LoBIp7q0qQuIEj3oDi0hbbnuhue8ZJBjD4IhENgrafyeeKnLUnofS/XLt6Ydpv+a
gw8yEJ5eKekmJFtdzUVhXmSL7m3iZmhPPc8AGYdUEUQbzkcciYQbBIiOb6WOC4R8fxz9y7JLl/oU
svVhkMhnyD7pVOm3gxfd0juYAgB3ciFgShn9Vhv9YpZiw+W4PeSMvGCWn1RLm+2qobC0GdmO1duO
Xovs14WvvBsQRi0MdAmFV258x+HHPN7m3lhqY/+wm+HgaCFQQXmllxGryplYu8ltKNF6IrIAG9Ym
BIxAX0dZdp5CI2bF5pMriCiDS6PutIMvdXaHQ+Y0I80uUGgbrc5oHin3csqRYqhmPm3irNuwb2U7
ayhjt89prKUigMVSIBwaEyg6hcGcIGhED87Jx/6aKbvdg/ib+h48QAM51R99mI8AbBQ52k1FtLIw
/ex+P6DxVXdpVFOzkdcarqvWvviozxe4v5tlrDQ163hwekMoJ/tRHxLSIz7ixKdo/f2jyH7JeyQj
RUSI5u+fGFiG/v6rXv3DOyJGWpkbTCkVeZFVOjjPGolPyO4DxraT+ruwU7+rQJVW6Isj7xItUhyR
5/mpIcbUgijllht72RyLq4Ptbt1j/OLF+6Y+5g0YzNJrlvUxPY5H5YMUombfYOzFcH2ZiReEGf42
3XjvVwcEEONPvSYBhgrhoJ3sN7e4hrYrv0mY68/hR3PQV+ORbt8/FZ/ZnpJddg3kaa88R+arvW9u
4UZfRsyHLc75s1WuyS/ipCcnKNN5oBZyyx5sCRXCOskXlvoK5SkMEriWg4taOkQxw8b7ClAmwPDp
1m8KXlTrQAQtn2ZRIC7M2DU+7Yv9ZW+r76h/Y+lP+jixbnrHJ/Y/leYZz8MBLVc+uZKzgCAddJhY
lunJWVvPxZ1CPrjAIHzGXr2WzxGAHrhL2KkoNHCtvM/4ahb25/wez661rtjUoz2PIUpQNi8Vc9nu
241S0aqs2FaOuyLYpbAhkVFCvLUKpmpr3LsD3jF4owNEmJVGdQVsriHAact4ZeLd1u4dqNdHBEic
pRhfwNESV4JvGsxPCcaLCbU3mBeAiXAEkytpAXC+vcGL7FXIBJT42oD7ZCGU3dWy4TEsveAFQSEA
N4rTE65eC6DPtozd+lUt1xrEgQGUNatyxtYIJVzjrO5sRLc7+5jz48H+gAdnr2xW/svhlcc44f01
rWHk1hqu64VtHkQA0SCw6FmPjNYlaCPyomshXEiL4hu4p1bv60/ygHh6UEmOJEq4UNLSswP+mhAS
5Fr5E1mNo/MmnTjCHByqO/ON3K0ezRyt95aH2ArcLLhZJ/2rR3zDIkF2gYnX+Lxgg87UjPbdIpqD
iJkT6mfzy/Ck6/zsn+mfmrcaK2H+1N7HGvwJ5GFK39f8UG77L3qyvFno3+jfT+Yx+wAwi8y0fRke
MBhBZDgn3jYJi4MNOS8mgQkPuIk3YM5C6/3GO0D7hAWqYgVjBcySU5goF9WjgmO7NE7Jw6BURUuO
3R0bJ9jnZf2CTjYYNiXf/47vV+6OxAvxnqSEgiPBOkB27zV8anC8AvQM53gKMBKKf7rvL0SUFhDX
iQ/BCmIsiZxGdMiDaNFInuBsGQel8qy9j5xhicwBeEIrr/g3IIryBLFM8OFnPwfzOhMJgCjM99Kn
nnvRU6Bs8GoazhpKUHVyzvgGINMQcUDGxwFwbRGseOWiQEdVvq73XbIiam2XHMFRUNmkX1BJ4lfZ
OaRQaDf0tqwQCYrBawAKHhwq3Zwrkqnxtr3yuppQLLHOY9ReuNJG5czoPmNP36Dex/C/yUc0+Mvk
NV23MA2PogGDLflMSmVybtd+Rh7QMtHYe0HIAwgMn2Yx2LxE8LJ5w4G4H9Ym89HhVUOLylzAS99r
kryHxcim8UpHnsNdv/drqjznzpaieymocMY1W/9ts1BelZW6Nh/pmmHOG4a2metjmx6jlfbImSt4
1mFfKN58GzJvvFSyW13SK/3MG8vZLVoB/ZhwjJF3sHQ4uL9A3xAzckLX8dq/6mv7nZ/hSqdrEwe7
69c92HLU0AeWQHCCt0WxHM8BfnbC3KxVXqzkk/+EKqWF+8NybYGVI3Xbp+YsvWGyvSHwal/tqwNG
HVbT3meQQplw9UeE0zTbKDpv8bSy14i0/C0r2U8glc9coe0FCYFyGFcFDOT6zwwYzKK7IqPMOcPD
1im3HuVntzSOnLD6XTtFD0D1G13dBRpza89nlzu5k7xJkwNq4VK+mFf9aN0KHLHkfrEQWRIT5vOq
I973i9YAQ/m+3iqvrAjI5L77J24YRiH0iNFnS/IFCfcBOhkXToPVLeB1Qgov/R2Pe7bUXyv0z6i0
vPpV0TwNZ8HZPhkA45SVJa17fxNKm1FZ8Tz5EJnZRiVXeTwUOuH1BPACClr43So/MlYZCoqFA12l
8tVUn1QVTrUs2oN+De8SQZguLparunZuCtx1EeyCvmpBFjZj6Iilt0sip7rUOnc8AJ+nInBOFZov
LqQTwFq2hvZPjxB/y8sueJn/ZKffY0732Mm/M10ZYld5z+CEya7jTZdsjWrmGkQ7TfmEuhvb12A4
Ru+QCIHQzTWJZm7c7rFFU/EeOfxRDgcJa9o7SYSLQPphHb4Gy1zEF84fZ0KT5tyTXX+bvPCP8iI5
SzoC2PFvTCC0V+XMAKTXXOWcbudVdVVa1Mludg3euZc4DDTtw8FicezPxVOEP+UPljI0OC+yTCAK
lCwCaTza5pirjPMxoBVEh6146WMsH4FNFb5IDGiD2H1WXCoKp91b/I7gPzmr1KXX8RUhBRkPLA7b
rcYrNgbthFLKmzvXfw8CgoNJ7vXKz+pRvBf+QX8uo6f4Ypd7B1PMJn4Thae0ij5GOJagn6BqQBfc
xeeZ8HsuihdlU670NcaYzA0ZiGzkdbulPe1I7F8KjiVr028bCmfucmwCaCaounuzb/J88m/5xvIA
+n63ZGNRBdxZXCPLRMjFGyU4Ea3zsOSFfymu4ByfEO7Pi+SDHUP1o62695L5xs+0yz5U7QqWHSj7
ALjl2O8RUnG7pDfuvOiKLeNCeooRbdtd5E3vMCGrB6c6BAfgIAGzsVOyr29IeblFtI39bDKmzFzn
zEDpQ1vJ3/xGgdgebAFBExCjjxD8UG96qbLw7yrTy73xVDIsITc1vWbfpBvbvZd9GxYO5+vs7BNl
JWHXWWkENpM8dOlNIPP0CfK7zrgl1T97xAZFDAk0eJ3NbFmjym11r2iIlGaCRWOLPAC9C7ZfHH8p
JVAV1TTqnlXCDIh9xmoKPt7jRIP+mpMWdKy1n6b+w8axvvAzwR20YAdug29qmPxM0jM7f2zyIMSo
EnYWq8gao96ifIs7alxX/4YmhtAaZlrLS/8xJC6v4/DeH/ov68/wjkgEvvH8WX3TNSKwKkDB/TTm
auSiGeiZcYO4xguOJ+4sGYnh2trNx2mZHbCIU10uSSEYTgllRl16ub5GC6Ygcd2TikF6iQdlelJW
+pe8pUSM1jW6jr1+JCAOB7zmgrg+pW9QYdbhuGg+OwJCGWveK5yOixRX0zE62+vqZNt7eT1+99/2
iVelBJXtPh/DY/6HjItze0RTqX862+i5PhDcz/y8eiaefcp/lPkyGW4OpSJdTPE2J4W4Xo1/LHtd
sqZwaGXcwOaFjjVkjDKNsJEAafI4kXnDbpshBNmmu5kuNjQseT8EhASPv/9Dkdtjn7X4A5up9tqU
2xYpurL//fD7935/9ftp1oASK0+ShkO5U/ZYLxUEk+JvF9Zc7vzpkgYtqTRxeG2IXg0M1JCaDfU+
5JxpKwK1bBnAtKXyeLFCHQkdFQE2I044Ig4sIz4H4cgbOwMtmZUKSiUruUZOuDcNm+/Nwccp6Zm8
QvhvbGZLdlw/r3SSXUv0qH2SMT9SOTzMYgWtjIpKstqVP8lISOwa8bDMMMoxmHP6KBbbuH1TEpMM
j64Zbgo+1ijL01WlMmGXHQrulsUW4cXxSCdc35pGs0lZsj/UUOfikvC2TNrSStn9BnUKitRBmT6k
qKFH1c8g4o7hcwR3t9Jh+cTWb4BAveg1v14hCEQklnMVFlXRoi9Fa6aFUCeJ+2GhSbM2ktohNwPa
Ie71MpkZpNjDPozTqyTcIL2s+Mew0d5MfUZsxPkQEzi0zckackV+XYnEwS6tvcXl5BO70WuAY+aU
WKGKCnko/Gsa+e86Ds5dqyIkIuQMgxznH4vqFTKUX5WDahVbcsPory9tKadLtCSMxEm+QSCU0Ykg
Sma2qG+DwXmEmRWiS0AS1du7xgoOfjm+mkmubvsBj0bWmhc//gArgOjcUb511uD4n+yRkO44XhOZ
xv0rreNOT990bIbMUXry5uxScqEZ1Z7kj09zcM3y3HjNutdGKuTFKLdveQfFB2NTFPv3yvhRpBI1
aZA+92HKvVolIzM154c4+r3SYISSJAKKiBHa+dmkeNWoe4NqS0Jm9SK1Nrnio4YOTg5/CKZnjEQ3
ZBMkH5IfuvGZ5VXd/KgQtcNkkMgsgJ/hBubAhiEYXibxxVTgsomC+cLx0TmOKdLD2fHMsF3pChjN
KEZa34SEJZSMpyPNWc8JitgkD1usQPtufkHK+dLn4cnkDu0RQhOyXby0Lc3Y7+dmsfEj29tEKTms
SeVrmKdFFmFFY2qf4eVUbj3J91YmHZxUlk5wqRcSBi+54taZZueZUzkkvTPgO7D+4J97KQz0IxkN
cZlTompF+8grCcuJrlFrD85nTShW5OMJpDSOCESyCgpmwGlo+0nF0t+cVHmtOyaOic4Cq41IJEUh
V/TdKihpGdSQFUoshMtRmq4V4BPbJ4TkgVtMdHQQAteFEtHMwHZTK+tKjv2zFIsEDYuEQUt+Q+7w
GY/cNHburyeHeVCGBy1CI6RCzHBiwmT0+AEGEg6lxpGSynTLYZMWSxI1PJSek1dNOPzsqCKOPI/M
XY+TDcvxvRv1cG0BfaAvjVss2IokX9EPrZrGIXo8uvth/GHoCux4BfCWTUK0mhJJqDUl96LqOLCp
mFtIgYZvumKiR8aVOFk9bSLSiAzYpayxbwu68mw7+RWZ80OpiEPqrclGAK64odISpobNoZKHR6a3
5Fip+B9/XVoE7keu4E0MqNRVAoI25cQIFlxkqRRXjYeWV6eab8hTT65Ychq3T7qXuEipR1J2MZzh
2cGpnjWbFk3JY2hqoJr12J9OGOkWcWDf+yEG74XdTdWTlZ3La9gZgSuC3yFsSdMSo5p6LtkDSnLR
r0wnQuRnIflzZjynyXiL7YqRQup8VCmdaxFmDwR0btTzXBE4ScD82ELSTapTyZgBGcw3qjdUfd1L
WcTxopl0yK5pHHslxnoK5RGh4s5u1PdwpJAt2zfZ3BOYemKvsSktdLx223w7I4v7rFnKcHQsKT8W
k8ZsJguOiyeyPLdZVd1wb57GkmzvwWTT1spEzdb1V5nunEn+ANPFdZp3Eimbcwz7NmXYZKVvsLCa
hO1vbYTHFKU041H8MgEtzvT2YU5waYyKwr4BAJb3zEk1ST20HVORWhK9KgaKyM4pPOIIgwciwtTI
NlrF2ncskKoXzi2o42yVdhMXK+Lhppm3rdnv/BgLelETFxvL6dPYt299iSK6yvDBBCoCd5OaiFzN
ayFJH6QpelOonTGX7JFOnMk6A5uLaQkbBK0kUnZbssZV2oTmAqEpaArCeTZ+Iq9Di544R0FNHZVa
S1Tdj2Ic+KOSsVo99Ps0DB4y/tum6BdJYyhrpKwpq9WB6S9MlIbTzDXthHFHr53IenlO+8lcE+OP
BSNF2ZbPHxjJ9+T/S9tYVq6ZTQ2Kh/sxjARIdGZ7GzUmuP5gXTtepySscsCrDvxGBK92l9I3sWsN
dNqq3oIS6perpNKWflQi3ZXWUcmgT0uJhYuUfKul5b63o5vEz/8cMTxPiuQ1sZKQmzikWuQiU4jb
Zds2yFudED/ZkeDnatDl+1jjnKr1aBWWNPZWQ8RU6+PdiKQOXlFM3zGTkSsHRJL7aCzPCa66nsg4
4reDnqfEWYbzgHiXvQ64SRrgSKU1NKcPPXGAyY0QxIoyQYiqbLLC3upx23m2pEhu2CVgmAtzac7Y
nFFsLAeh7Z+JhGtknn/TnwFV0pcpiFjAZUuXSW8zsjygQdQ2WYhdVqzwlebreFB/yHxgjJs2i+He
SzIpR+CCqymmdWiQEqvkX3WwbWY930x2e2sycg6ltt76nb1JrYgZRG1ch4wrt5xxko/OKeEhWkS+
dShNbBClMFCztML9c6umhndMY7yoeKexF2VviS9D5wuntWEaLOqcF0smdVHtxxUhYD7ZmE1G+qv5
qkOPWDSxtDQUTXALCaVXdGvF0z2sCkV9xfhIjp/JTMAWM2tDTZ9mSSJzZb7VCRsIDnZD95SSt3Gm
D3c4OoRa2cpXl3X1UY8bwlAmDPMkBK16v32Cy1ek1qepEpTcoLENsuknLoJQpE/YLthbAEy6143M
1xSJii0ilW6BMQ+HMO9qq/pjVRgYFFOkjjU+Ac9jYy4JOs6SaqH2OXpSVXn4RE0f+o5GQUcdUfgd
qO04uiXY5lYsaDrca6iCKlbZSY8EYl5FqU+eFBuNaWCuEbTWUSUvBc8MicsyqJTOufo+WJR2mud1
lPfnXltJ2ONcNew0TBa5vmsyorp/f/Vvvx1hImzDgsa1Sj5hvNmeolXGbrDDv374/TO7nhwvkoP3
QJhSfz9UPe8ADiyFEF6qNl9R32ShGWzM/I9RYNV34G4te1kio1yogI2wZ8IXBjSlCo1sjGMVlxOk
lgjLrZ7SuQnlLgjJAnIV/MS0E0Pc9B8fuqm8Splm4aHDFt3EEyJn1SisnRpqcM7EhzxHf9K+Ocpo
7aR/fkCdjVXEqLax0B//6o0zoRM2qo4YCEN+ygabqZhm5BfZH9R13xkJwbSJvv7ddv+PtH33/w8D
oVTFUBCU/VMYICKn/hElJTKt/vM/joBrC/Z3/6IP/Psn/UMfaDt/w23j6L/BT38RCDrG31DnEUKN
dux/SwN/xYSKSUCTraH+Uwhp+oc0UDP/JhPhK1uoDUn4Juv/fyINVFX134RzqB/xJenYI2wUxpoh
/5s4sFbMmMTzIISz1y1sPbiWGILXiQA6/+qbpyQ11kbir39/9/vBDBWvluV4I08AFXrlyxA2/N8P
djGRyvz7S7m2sWW08ymJsqWvhzOFSCoC04t3wqEx9cA3PGAkWIZa9m3y9g+ivD7KFWt7EAyrKSOO
tJY5RKIsPvgj7eXIW9HslLOfVcR2mkF1EFavvB7KBYtmUkoUvI12N9/6SUFiPM97fDp0dImJOYEr
wq3sjAlxwQ0R0uOhzUQ0AD8L33hy5mI3B2tXISN4kcddTqzVonPSQ0HInZ/7n01pmsQ4+IfZcaFZ
diuzSRzXnEHgFVHChtue8iUKFej2QjmvGv6Ivwp74yihgiTQVNuEALTFOrhidYKDZKVKkeNqcrKI
EBGvUoKYWOaNTIp8JB/hhxJhP+zqmG1VKX9r6t1pFJzXU66iTJoSrzFDND8G7dFsdxAJSREGMpkx
8esfpZzhyvYNQmjUadUV+1IrAdYH8Y8ZW08Jzf22TTj/e516RsPEFLLcK6dtq9Dmy2bJLLUC2Vax
fVO7fm0jhsK4dBbx45GHn1hdZhOwtjwCCEhi63EQYpYQT7EXV9bFkiwkZC0qOydpzrVEGEyksFXr
iRh0rZnHI/GT+0ysphspQ0+2V7zLiqdY6eaPRl2N1UAqTESokQ/hVDFZfk51ugTSDVuwSG+o3Zel
XckLeG76smqRzTlBSA3kFKM3Q6hz7RpjWNayKIykYdyGUoqC/zrZebhJqcSFOOPuUBLvCC2kPLKP
WV1KWx6avVUBnggM7bsnixOzXcswTOHplQzpwjFM2AS90EQolsxPVxMOuqFHI5SvsyiNkj7e+Dpb
0QBv6mIO8mlLBkDkJbVynQk8WRSxGt6pUL18YrGmVrSXVSqzFiND9CyrPJhJEmwNuX8bO2Naoh+2
F6k9Mvw1CVyflurQEBxCvDsjHTIue67tXd7kYKmuU5g6fAfydJ4HFApIRB49IcLLQTWwiQywcDUZ
NMnYgosG3KNp9ZMZoMUI1V/GWM1jNvCIG8b0VBJ70dn6F7jj7D1sRGO37/SMzQb7aqVPDpDfcITb
92DO3xQ8tBSpkb4JI+q3pngKyilaFXqzcbScoajUTcgNWAOihaFGz1ZGmGhrYq8Z5fDshezIW7ln
7BMWgLYmlYVct+8jdihRWgJg4c1TsUUgAEpao/7o63U3BxdtBG5ukBeF9W2R9Tp/gUxK0n9CZtsZ
8itLHRcV5POwlCsvZwbDDITY4jTDV4YbSCUIG5J2clSV6ExZRwTzIiJy6JRNj7aR5rVRMteU7I2a
ScFN468fYzbVsmy/Wb29bQaQZIpkHYpMv4xUPrgenX5fqsYnlTbJYuApTeK2Fgfq9phdKQZom3C+
bRA9Iix+dEBAvIKsufpQvbCaIjcN2XYL4Jcs0F9pBwTMFziwzMDuBh6sxwMs9eFLLMBhjUCIzb8w
MahiBf9GabBLRM6nyCZKR/hjaoDENsjR4EqwyahXXKla+FnEEFvAyxooZiFmoQ6qGcYEom0F6IwZ
j+oaAn6Gc9FckB0HbEmGuu7Triwq4WFrClaT4NMIwURIK5BqKWy1FsaaIWBr+Pr2s6CvCQxbYQJk
SyCz6QLRVsBqiyr9FYRyvVUFxi1S4blBYl2EI5TNUJVZugvsG8igZc7RtpwgwoUxSe4TjLhJwOII
H4YzZRF0L0BychQiY9X2g0DM9bDmCDBSmYyDnyO3a6fCoyORWr0wbK3xcMQCWFe2YqU4obAtg+lU
MfeYny1BuPOZ1Xo20LsB+F0BBK8RNLxwqC6V4OMxWPiqAObBko73kNtwAUk5stzpxWoT26snGw8Q
szwiGXzK9vmDsHjeLzXqgUYxnXUpyb1bqgnjsCgFjy4PP5Pg+SmJfhwE4Y9Gnd0BzL9e0P/yEQ4g
V8tV1jHZwge0hmcTXCD2weQ2CIKgI1iCZHixJQAv2ArOIGHzT74gD9oOhXUOjLCZoRLq4Amj+oAV
lOAG+F3AC0cghrWgGXa+slPAG7ZlykjHD1DoKxo7OAxwbgsOMWNRkEFHlMEkgpjgVMlOk+Anyn8n
KcrPWnPtBGHRjKjqMWyW3ij4i84n7HlXEVTGwB769RRpN4JB0OYJdmMExLEtcWHDiiYTjHVaFEF6
DIrqXRLsR01QIB3Bg5QFGTL1C80LzfFhhlB+BT3SJMFVETxJXh/vBZBar2AU2hKjuZgFfbJVkEW3
v0DKYmUJQmUpWJWGoFYyamOqEcEzcEBaahZsSwPIpWETXpwI7mUtCJjI/nuW/lAxI8HHHAQpcwCZ
aSDHsLNWQ28wZNsg52m1KlCHpC8vpxi8mFmqQFUZ5RjwB4m/YpeYlIa5zig2KMu5KRr4ndy1Z4P0
drjeBHELxqcM7FPCtY/eHP5naaENiIxmU9UBWOouNVdWIT93cv+qsVrKpwZIlUbvPwq2aJFof0KC
SMzaOElNqQsZ2zovCc1WTc7zEkSpBarUtPvLwMsIEd9e/mWZCqopfbumQzl1wJ0GWh8cZwCoqEtS
wUN1sKN7oWCkNsBSk5I3r672ziYI4sklT/qVW8dY5YKyOtpcZjQkpCTItHotMNZOw1bAsRmcC0Ct
DftaX5BbJcFwlQsFnyKtsCz4rmQDbGuAr74gv9aCAVsDg41a6gxBh6UZj9fMLFeVIMdOgiFrCJqs
IbiylSDMWoI1qwjqrGSwelXg0M6CSGsJNm0tKLWtA6/WEuTaRDBsM0GzFdgC7ZXvclo0DnP0iOXt
c2PUk2c5aCMZjnZkwpg12PHSIuqc5P14x9sLk5hwlBrFvJVToCkGt/WyyTJOMFs76EwWyJ6IuAVL
SDldlFCRDmpyLUqVtR2qKZlMmyRTVhkGTOpQ0ySKD/egYmyaXlM2dBen2InUvTwyrR8M/au2nWJj
YuadWRkcO+PO6xPLDkkH7mRCnNIBDUt9ZiMyhD3M5c0rA7l5JbjEtgOhOK42Wi+He0dD8JB1FQWM
pH4HidZ4mWK+661OvFPN3ixPoBAEIwRyJssYaKZVmUCY0PEOj1JgeATzYEnh8ZyQQHWBODpTyyFM
pzlrpf6ONNl3I2ImZ0FjzsAy5zb2/8lqeqbyobxUO67H399WDBWE5RtnqqA8Y5a6xB3F6WRALufN
sewEE5o875ssKNEZMRqHQZCjG8GQRrGJTEVwpXUA0xWgadxyKfEeffUM4HmHqtXwjKqdKI4hVMty
foxbCnbDCNHHVcuqusLuLJdpboUrUCQoM2hTGrOKyb2wEMlyLPpSHXkaT3kWc3IzJvB5ERbPfZXh
qPCjs8bWpIRNxCUs6aQFLgN1WdmNkEQhXyMnEaUnaO5GMLodQesmouRzFPzuVJC8zXHICKJW97oC
5ZtC5OyEgvstCOAmI1eNhYuNu/ZoCkp4Ux2CEWp4Aj5cJ3rONQGK03MgyBWMcWz4+0lQx2vw4xgy
fU8BjOK2hH22CryLISGMoklqiO/849BiVfu/qDuP5ciRrEu/yti/Rxu0WMwmtCIZ1GIDI5mZ0Bpw
wPH08zmyurO7rG3MZjmLQiGCSTIYAXH93nO+Yz6gGn/viDcHyfIuVd65TvjYeqgclCJmRPOdy+hE
ok8UkJNO33cz46rnld60KkmdCRwVKtwCJ8Iw63fddkZBptLXFUVSpbGzcHhrVT57p5LazV7suTR+
Jy0Z7rlBupBKdadeOloq571Vie+2Ux8U/J0c+DgS3xjl/Bt8lMOaYcQqVanxGvHxeUD/e2IKskm0
BwEO6CV2yJpP4h+dyp4fmna6zGTc5sTSm/I021Ozyob3wCG1nqWMrlLsvYYGlsq1p3bFSNoKf93M
b4JP7VOmjLKnrPwVbXUIO3zmcu3qxrCHg3lX9x7ndIx4wRSmucunGQtzgIh4y6HkHBGAVyuCmaJj
6yaHmvi6LR84PtLI/zZdlXGnmYjFXK6MRIA/R5AuEHhvIoOTNC7bYGNKjqM5ePDi4VJGKENSfMSH
xvOPlQ0YEvbwg6ZjbQngD34yDkPmUm1pV5Y/zBRKsqBn39ZNQ4WLBnEm0iViDUwyZ3ZL6uGFwBUk
Bmb+1Lsw3gdHGeNoB54QHwNvACaba5azbUudWpn3Bc4pDfNZB5Mx5wZkfW/t6LK7q93xcYDnoZb7
0V7XxSXMJuvQFdxWZdXfTeP8btXFdYI6A8JemAyjGTMV4HLzqlSFVadyk8h75J6MDQYRZwziwhQW
diY9f0HmTIoAi3tMzETkORJ7k4cQUtSAPW1n2g8Fybiua772FlK/OBzHIwhjhCXGNyybnPO0+JVm
zS5u0+TGoJNtstimyszIlkvN7ihC8RRkhnvG0T/DveEeP1keFNuuJwN5pBgrmhztT0hpWUU3dd39
pBHrbis67E7uPUKIBNpF1sQ2Q/28kTUdgKCsm5smRVs2ti+tFyXbgOvAbrJda2fowrjxW0As6IaE
om33iECn3LO3AfKRpEteW2XInTXGQppuPsbKrNvh2pXKvjvj442VoTfxYMFFvDY+NvGzw/XbKfsv
gyvSCs66sgX3NUsYfcswEsNwrpzDdTA4+wEzsY2pWAkedqPyGdODAIO5eI+VC1lnFO4pX7KuHMqJ
8iqTfcydDwmai43ZxM48K18zM0WWx8rqPOVfVL6fpvJA95iho5Fju1T+aF05pW3lmUbqYygPtavc
1CXFW+PBlNCV07pUnusa8zXqWaG82KFyZePMuEO0mii3dqp829IYrqXywJOOAxaEMR0xterxrPq1
y96ygawTDiUgBJChK6ndNy3jR6LtjNOyaRyc5ZXaLA+5eCOuNmGWlEWOv15t4NjY3I5aNX520735
26UeXN0wC4/Lb2NYYZ6WTW013QnV+J8Xoffo9pwch96Cwlzgccvef3vYjZBfSq07euoF6oVDwLj3
WemlcVweLE9P5A5h/2t/6q1REhOls/RWrvjlFS97jGDvcsr83QA3Ad6c+qqWgEZPk+iYqzepUCb7
5f2xUhRVhmIL2Ioy4PYKOBBYsAeG+NorFgE0FPQNhC8dhrbcNgpgUKnNshfQn/u91/IxLf+CXF4b
O2bLJIU8TXNFNduf6Jn0J6vDOCf0atxoA2lua7AxAzBGvm+aOhagfEw2aS+HVqAAUWyGeYz/2kx9
BqDhz5OCOwpHiVGtWOtetRbowwJPXPYWeOKf50qq9UMJEt1VzIjeNf7a5Jpod5mfPE2uard5YGgY
mf+mRop4NFb1gHLOnFroFP/aGApWQZFdn5oA+IOvI/wZKzc5GmQYBb3GIHPhekKjBoVKjc4BjTXa
biF8lgg11hRe+FvUQy1DChQMaJdt1SFMFWUj40w8Gu77sPA3FImjAclBbPF4EmqzPO8v6A6EB2BS
FM+jWtAeQPYBWSjeR6PIH4FigGTAQIz0ZlRskGzBhNSKGKIpdsioKCKdmk/82eRqipAp7kgFgGR5
nt+fnpjrpwukBL/TX8TJWjFM6NahhVVck4ixhaVIJ6linhRqLvFnAxNrAKKncKvLk1dLsU8MNUFJ
1A9s1KsYFszK8lg59+Bv4SgI2+qpcjjuUpvJogbSPvK4THqAdCydZVJZ6kA3o6naxf1LMNaU69D4
NrFhfwAZRsOA7gIal/ttNnRnvdQ6jpl2E4ru6LfI0LQQMu0MQH7laNm8Hiucx8IJ332vuo8QQgpd
OLshNR4bK3iVpKVskTBpSRoT65deEwm90zYaNNcE060L1/2Rao92YDbbCRbZGnHWi3SiC3FQ+W6g
Woc+Pga7QhJEMeV7n/O4EHTpUjO/zTUy+aDT6IexhIhVsmgAvh2aG9c/aeRybSsrf4l8RC020ZxZ
TnDiEOAJJxCFS2r+WNU+hqui/0VJNxwHh6pUy16SDE64m3K91Pcih+WLn61cu6pdzmQAHFModmRf
MJOv+LEEyFZ0Kasba8ICXDQjJNuWCX4+QqnsobqAe+otBSIPWE+4+E5SU3u3dYCjlXQ9Ti3I1Ph/
NmJsrJUbuJ8akDKoRIhXXcTjOQsu8LurwUVaUI3esQtS5+SnSpyat+6NV7bQRsRLUApyqysJ94rl
mc1ftsq7Zrh2SLQ7zULsINfVQLFcjNprZZVPDKrnvQ9LHDqJ2BsaMiVb4F52ym31LoKiX1ke/sNT
Ubbgp/LhRO+e3oZmHrGovg+WQmAQ07Gtygmm8fgCOaZ9opO1cs1xj7ZjWAf5qJad+f0UOR6jVAxu
qPLWDYO5rWcMb8LxKffIs+J9+mRgk3+5QqUKTAxWvfirnz0U2bNGitnIh6FFAz7csfziDX+FkLT1
AV8FPU5Ez6r2kTB/iEI8JmMEUgQrF2TOGUPbZiIWlmLG2fdIPwl6gXfmTugtcSNmhe1zBR+4B6dV
sKX9fleOQGUnDOIi1PdW5WX7wAaMStZOvM+n6KeVMapWRENmC6q7Ju7nRpsPhpmt52ZgZYcYamVU
+QVRSrOxuuCZFcKEgoUlZk+NkHQfNv+NU4pKARY3UQ9gvDqLWwnA9qsEv0iXo9MPFtw0U8bPosXL
0DFmXwX0V9ddGZ8L49o+kEKKwMcfbyjB32fL73duLfGfw8RWLHp3qsYbi5TQrWMqXckNpxZHl2Pf
phLFVeQ473aRFIdyeKgKcswma3rRjcIGi9d/4HvLN5qDTI/q0UB6G9O5SCl8kLDGcfkO6zphHe5s
GIrbu7TXaduwYuz89NiW6GsISsxBTKohVBE+zZJXGjp+tTO8FHk6whhOrpUaZeQeEVK2L/O1KLyj
hR5jBxAckmIxpA/2tS6SfGN54EFpbSlLITycxgeEUOmXsBIly3PnribleuWkIeFMtPokGagYbD+k
7WtkaeBIAlnUEqu4TuLcuDdCHYNR9kFjWwmDK6xdhJn7RnTm2rotK5wfkj+27cFATCztYrc2NnE9
rYB8RXunx+4rzfYpZrDC0uSHpvF/UrnkSkyaA7UXQ5RuuTs/174dGzQhjJhfLf5LKFnGS5UQxBWb
QYYNrXhyR+RzbiboFITZQBwGuQ0QMPS1FPSfAy7D1NPhKqDRvXJjch0nbZWD3yS9EKVyb171A/Tl
ruLIC+vGwdXRIeLR3M+yq57LKd9kXt9vEL8UuwhzZePYWAZBdm8SiXtm5sJu5lG6LRn2476mRzZy
BR9isfN7eTEt55YLlrlKVYCVSQYMEo6ty+LyNs5fHJHgfW6bF3MG3q+RFtsE+B06I5lfRuFXmx4K
CgeBA//XvUVZRYvW3NVWKw+5kVzIQXzJiD5EdW2bewPBIv0Qok5kcgNS1GDRhRwmV4pn+RVp3bxP
wwnvmHCRZTavemxptLGmvUfQyamKW8JHkFTnSLeSRGUJB69DCCCOnBmDc2Z8icOabrKHyw/hal4H
6LSl9zja2GskYaOmtFakaKm0UWKsQXZ+Vrl4bZgcrAwsNKMnPpMKYWbbGg/dNCOIw3NcNCE8BqJt
L0If7roi/0kz0IaMFytIsrDpizG3LGjzh8kxVc8tX1g25OGVp0IBwVPUpfQ1012M+/y0bBq40RRA
p8IvYtpisowOiWvfjsi9gCw/FEU37iMHYtyI868diGqjZlg2oU65suzJsMfzEqO13HWhsalBZyIj
TGqT0cqgibMMbdDqDCZ8YyY7UI+2CT1JhVlF9N8g3A0Z+SGhmk+e3U2HPMxuoERBnAnqu3jiNh6k
MHzWwN2nU53bx4yQAir8ZDqRQoE2nMYtGRbUr9wkQSpIilgXSK+ZdtVxeb6Zc3NfjC2Lev++oX2P
yprxJKTAMezdHQlfwclyAwprsZ56JwF+P9ApLGZWpYyy4HZRCLkdosG8J7e21FCumLpeb6WeYwyd
fbwtxlCc7WikI8LyiuhngNkjpLVVEyH+AcjLuWd2+MEimGs4nJvTsrdsxlShn5bdEpbhqdoJ5a0l
HiE/T5mFIyU1ftYDJHTpc27nQDxZWRHpQ7fsRwQW+NRrbnNyqq49LQ9Z6tUrAhUOrYSmvnxGXpj8
9Wl5Yh73dtpemsnD7QzsHyRsipjN8yQNe3z1AYs/Ai/5VfZU0jsnvnDm7Uij8V4vEg3tm1sc0hBC
pKQs/LOxSkrFDh4mRhO1u3xFwigPTdYLWRYX57iPEICXCQnl9Tu8xPIESRlNeJa0N1pJrOW/PUfE
+o0wcKhKycrPnftoN0EwGdXRbahvXfaYR0OLLl/G1LVOXDmtUyEizoRsRaDDX2C6hU5nqNUByFcM
MHEIodMq6M0o9nygAHbL3rJx0omQo7GqN93YJWdTIO0u6VMnaYsVSMHEtY6kzo5YxgDFlWtNWJLr
xqfbrMp6u8embnotx5gq9ZeNlwzBDlHk7cKD6xP/ZyXpknJbP3qM5gcrpgynhCsTjp2FFuhFmMZ8
faJtoDQdDOwQ3U8EwpyGGrsxuj0VeQ70/s8G/VZ+MFBKTmVMVCTva6FM/r9swYGjKR77sgn+tWc1
ePks1LWkgMdgEYDGZ1b4FyDPRYCdK5DeRsZYFciZ0c1D79prodaIhVotBg7QNxnRx10+iMjJEJ8A
P6b50Xruxmd8TeejHxniU5LXFcYxvy2dc2MRIc0IiAZlMWn7Gfgtuq6ZfmpQH2KvZ/IW1ZXYD9I+
DF3CtQs2VRgE5W75PeNChB8ddcnrutDehdZ4T7Yv4xxvoFYPKxq/ds+LFfbBxxo9qmVMrSFvFln1
tjBFLXVo6IlD3Rpg/VeKsJO6wZ8ahR1dHgK26PdW0B8XyCKSOFzTlo7/YLa5UFpqLRjETcKdY2AF
0s1MhmIGT/jsz7Y1fLmmfEjntAOtySp0wSjmGYGH3AR5PEWCnmeb8F4Isli8vEmOir64SHCmkgSr
37uVOj7bzmoPTA82y0uPmzfp5u1xeaUVSQMwMs3+xuv4CMnRShmjLMdzvmE4G8AzT86VLq1j7B6W
n07IG4fSsrtswK7//t2MqprTsjG7iRf657EQVoeqfr7Xhuwjjqy9O8b+vhOSw8xURxdHCFkH8QzY
cVIXF/Vca7vYo5hCbJa/2AYZQn6pIkniP3ibbcPHOTOtdPV2xJcSMc7JU8K7vuvW1Ujy2e+TUX1Q
QgJMd4kA2KAFobYs/C9oA88Lg7BriO1wVStFNUtAtf8QE55tT4VlhIwP1wQ5Y3/1BKeKelnL+bI8
XDaz+sI4xMMGxwIVkPonkyRA1rLMS9A5t9CPUZfw6aYe8THcIGMiCgBcsggUoJxFUWC4sjjlC6IA
6KC/cQfTID4V+b7O2nst3+VN/WgNvnUIsuHWKAEqeRFsMdY0qCthO/VBeyMS/UoFQTOSK5eZ9znU
v9xk2hrJleXSvm4M0sBG7WRWvKtmLb5r+pqYGIoHvzbf0t59d3P/tqmNADwyCsKgxqnsOc4FV9u8
r1PokLqO9LCuzp1XvxMPzLwDCSKYzA57N6ocGaMx6IqPKDDn9SDMYptDsSjBoNEpIQATOf6+Sezn
QZ6tJrxRcn2ycXGvmMNtOuYfVZdDAbVvhhHevZdV37TjuwdBr1KAoGqnWD7koX7oqcd8crDWVIVH
koyAq/s6FnLsoLTpr34akr57b8B+39Y2mQSTm9xNOZVxUveYU6W9tUwWxhSpFCr9eKzb6pszcsbE
TVFG2gfhVXo3sYYwgeV3yB+YFpRn2TiY47A7yLIZvir96nih/R2HrWQ0oUY8FTWqKCJy0PQXkl/v
AhoX29TIsqM79r+MgLq+icU9LFVr3VUaMWXqSkHTeTikUESnErD46Pr75SoStKDtCQnmggLy3Dw2
8ogMgeua7I07I5+1XRCXAcxyTz/+v2s9/3/iONo07/9vEs07FqH/Ic/8/Q3/lGfq/3AMECY6ykrH
UPeb//lf48+u/9//o/n2P3xDaSQprfy/xJj/RDga/yDfznQDy6BfwMTs33Sa/j/At+oGYizTNTwF
fvxnYOl/MDQJMP0vmClbpXL+O2TKC4grh26F9AINoY3q8z/YVuGoRSIuGYpyR+Y4t+VdGEz4XRzO
uSJyvqxBcu/5grX/UAe4wvLAzjYgYN8a+o87x7bJhEC/sG1twWSXVmrL1wMrnWmIimsOnBz/2BSe
KobjhxLenxO097Xh0poXoPPQOZjrOQSMYxX4O5M4OM7pLUxTEnVzXBYOHqWM2bhX+v6qeyqrfY5y
6FAYDBDnzjwZ3WBu/+3T+y9viflf3hKTGbnDu2JaOMH+RnwMBr8NjTGwj7PmIUYwEwunsEaQbiIx
rGoo42EfxF0dbqfZutWj+GDO2YdmuA5MBiy8kr+0r+msDEHJXxNdgloXaPVZXWYVC2HBMor86DdG
FvXvc+s/cnX/g1bJx/e3D9QnhtU3bPJcYQ+5tvU32W0Ym3ntDklzDKPwjTUZDECruC8mV0cMGFR7
evh0dF7LxGOYVrMIarj6HO3Wf61SMlCJULZo5JDBASQL5X6F4GSUhwH9ijulxop7zMYkvpXl3peo
a29jmXgZVHuNxgfXNCc/W7ijiLqZ0ZvO9/hXMbRq7c/CwStVh/25yRPQe9V0liJ6tQE1ARpWwTb+
mymiZ6/ubepL5hQzTiDs0gYq+rPrX6O4cpTKY9jRmH2eL7kI5wOg3GOhYQJIfKzwWrfl5siwKpiI
zGTePNtfbQzGL3bFtyzxePsADvg+stLuMI602w4AGjpQQY3c/0A9hOCJSyBXeHmMcurU2CyI1XRf
obLz72gdoobBWKW91E1PSompffcDQz8qQucuJknGM1mg6DQKMb5QgkWDfmlUVirjBzgsundE7PZU
mli3UEjhyeeHAEZq1slg3+Ph+I7UINpE0uSlGJEDaXxm8mkS+JSyyf7046OBjxUodH9NHACNOmqc
uYXGlxXdOYMbFuXpO03qbRDm8apqbUR1NvMN+kc3jT1jaEcSvXJmc0/E4+ecSZ/WMpk1Mxq5QbRv
tYMwqBoTxmgDPeWmMqHqE6LV0mALZuSQPdxWJwUtmeS+dWeGQ8PIZ2OFxiWiALrPyIzjJnxgQr1V
XluGYJi9xHQqvP4rpMvuxPOMeAeQZFJ+am4x8SNHAnZ0Ue5IRrmPfHCvjDvfC/HMHKhZ5035Ukvi
DvruixKU7v3w5vkTaeR9+aPDEGbGLfe9hLlz1gO1GMSr29TvzDIIBSfU0aOPNmsMgX2gGnZ4rmdC
4icMnF6SbKfKvGl00upQz+4TyaA+a+Er1EYE9dEACqbc3FXlSxLe5FGP4c/HIBN6cSfFoJINL3HV
7nuCd/1pPCJ/+PbMe5KYkD4Wz0j8cmbP06dmODigGZtYKSG/fCw+TS5yeTGVsl5ClrbypfcRY5Tb
aPFwdIoSjhxqCVu3X/3Me8qz5GRr84V5iL6l1wBOMY105lBEzxbyTiTom93uszK7d2SXCIvyHf1N
ADvx8NH7B6vs+HWeOxJycOgMA4BcEBorHY2lF4RcWN0nuvf0rfMvZtu/Ql5Lm8sTDtVPrYtrdBVc
0D2YRt1Edoxw3lI+TyON7zIS4zKUU33bPE9kcVHtXynnvkOHP6C0P205tnvPyCA5hQ9+Wt+kygaF
+wv2jPOQ29jNVcCRYQYAV7GJredC7IvI+Fly5q18+okrYefPRK3sWNixtndpTzu66r3NFTbkCSlQ
h4y786oHr893FEL8DHR5XDWol+rcuqtKl2RUZOwIGKXnE32TKRj+Lc5fdLzwPmuWxJJguC3LYi7X
JMeM3S3xDLSFo8rGr0vCKXGgaRtDWgy/TKe4aGX8GMi+XTPcekb4Z24wM5MBOerX3783Y+RPYsEO
BxYJiJiyM2+jzm/ZQa1qOZXaIjmGeYjYSd+Sp7ma7ehdoCjGZz79pGeHRVGFOGgAzHrjGtZIvPlC
GnhvGdYgkJBfZh8+RC7C9ZH1fsLiwfL9D3+yLpF/JrXP64IIIqN4m49SlxjM1EixDvdVjkonCeiD
4chHKoK+S6/dfWWSjeO5qJKT2GnIOYifwtExDtjNj6bJJTPuXYKqjWhn2CPRL+2RYLdXhBx0aFRL
1bt1veo1CtpzljhvPeoj0utQfDG/8Mpk0yTIZRJi68qg3dI8IrovBrpYdmA/EIOvht576lqhWHGx
WqanR7z41MTc3kinSoDAWS8Igw55bkAjQj6xswgmyev2JYynKzolVKCl92LgcU6zDu6Px/yUAZOF
MpqBJkIAdhgiFytRCLJa+JIMmofaDi4lUi9Z+0hHYuvDxDY913m5SfGvxQHtes3WVAOgYt6P3tDN
Zuhss/g1WcO9mwTrKSrIxpn009SmIy1J9xKMrFujZGp3lSXqnSmdu6i3iV4uCuxzw9OkQdSMdJaD
oAw6pp0ooo3voqG3aJGi7GFrY3DjvGdTB10vND9rLXxt4+HGCgcC2qyq3BHOoppbtNj1G0RrWC9N
R1uJViIbkgzcA2kD5c32sDkfU2faaL73hkMxWA0FkTQfaZ18SrSNg+tYnw6FSNrHO8R6ZLna07Cu
icjCVADvy4dNOA8cijVogZlGyUG3InSzyiw6Zkjy+/ZqY1qO9R5hAEmtK7+2+juU1giDiqC+cctE
P/dd9GP29admgrfE3zAxegAT0HUg3pDnDXq10Z0AFaJb/Ux04ALIgGCAKN2gTPcR2R89CzEKFxRn
vvPURwkGwfDoTTlJZ4V31QnoJpJu/DEnLI0bk56rNJ/jtiOZldkYF5dmPXje04hNgCRtrEjilkma
Hde0hdGhhYwnfa5b4dx/5q6LOJ9D4mbn5Iy6w+F19sEYEcflEl93GXv7MZ+cDZrs/l29dX3IClt9
HqPjvEXN8GPWOImLWH9D2bZy6BWuXNt7xef8WHjYYAfiEDtIYl5r1sAek1Vv5z9EKXQk9iQjJA4T
tKA5B7l2HQfxYXNDXM+2BX2zfHZLOakk1WrVNNWLDxJ4tPLb2CXxTLoPmjnepYSnrZLsSbX1tWHC
X584KxImuDTNAaIC5HJM1ebIeV7+Om6Pa1sq4o7MQcA1Z8u1d2YGODx1fxJ5yDE/eS+1l9wL/kLX
7rYj6E0/vKXJcacFLS/cHjcxuQohg+e+9RMYKUF+HcTXLIoaw8jQ7dtujxrV2ro1qUZONx7JSfOO
/QS3U4zFvVXR1eRSb0hz25T189jL9xkBz2kYjcOk2dPayqWJE0nCXhsTj/S55DQReLu2IYMeiM5i
FtRWu9q1250/J1u7LvpzFYzX3DPNrVal0CZKs9vUTMmMNk62bZFvnEHUl8zOnwyQFDtySXBl29a3
36dgAgvmkg39oTkpnklmoVbQmLfFNuF+SgtdzshS+wFZaqY/GkgLSnBUoZMyBow4/Y3xSF0yHIIS
P0JEsk456+Qxprzx2TgmF2nO5ibrFNCpxgldhC2yuUF/KEs0lkaU3BMEqDEn1jTkzwzcRTF06xoq
dd4dEbJDYcSV3IWttal9sC6TibxNZ2bIKEI/Np52zm0HDLTQgH9GNgjwsLjxiuYxxqO+ASnabwjy
Pg+5qe07h9NDa+CMuET30FSP80MP04W+OPSRTaWyHhle1yehNrpPdsqfh8ueIdG3uWOyX744asQL
aWSebJYv/v4G65q380RlRAPtz49Y9qQ+i50ntGujhgZojYONbKAEIv+Po9lFrb5kByf0hGOQBqgH
I0mtzAGzbEz1gpYftDysJ/NapsR8NaoZO4mWwNhlN9ND1hdhjVHAf59UG7eMaWCXzsgsDdHBsTYN
EAawBhjsN/sEpzzs8cCGchhEJ24fjx7gjSGV4RPiUd4W9ePVj1n2ll+BuJLftjxJIhpBs7aB1z/k
whRpWUMCpNvBDyiQ6GA/uyRdBNTbG7dNAW6pTrHcB62un8NgYHQT+zPabLVishi8WVoHWcOezxwy
MW43I74jAg6ilAreaBpU+jnKJRzD0BfjMMq302i2+MsR2RCg+jjSJVxPYW8+eMQ5b1rCR3E2FVRz
OfqCaFQqDpcZAvJi597BrnSCPQNTyMZyIGk6rr0C7BvBs4SSSHD3oY/iMRnLdZel+l0Wa1tXVESv
B3iSoyC5JHH70hfaRJWIvCsHt2kUzY3eW/NVKyge/AIR6iyDnWbUzi4z+P0drJLLKJx3+gvfcztn
x6KgSu3a8IQ1J+/y+kjAHAhnrbYfYgP9kByGlePMCcndXB/KmltFXzDt7mIHVCg3JD+FJ5fXoj03
6jpr+8LaNlF7X9joxk2D5DxjbB9tA53xOLOY0gvZIYEpYUXS6ojRfN8ZE/ZJs3RA2If2sRNheg8Z
yUU/gUqg9Mov0V/mTAtOlc0NrNOK8lwaVGJpE6G5lQmZ3VpAdemRhhXGIn/zvOi+CkHRmVmKIioR
0dM4l7+shuv3CBibuU9/xJFinaQY35usYJI7evMNhwiGG5Oc9hEzzsE1BTWm55+Bb3hnkFmBkz7I
vqZ5kpdvdGFY7tWBvLNdcc2yNNhnQ/RFwKc81pX9RTBhfM5CkW0n5oRkdSXpLbLK5FazRjTDEZTO
wXRPcm7kk+ZqxiYrBVfL3HxAPI8lT+vKIzwO/H6g5VjVu9cJDPXaz2rmGiKlYi1T37zUaiN0+ypH
R6zjwMgANffmc+K5V3AzxSEZpptOavUVBNTtmBr5wbf67hxN43Pu5TDJiJmcZ+/qb8oSyUNrWMEl
wd8bI84nalE+SEnjOMXCcRpr+y1xWwSfBTEGo2P5x3hi6j66EcN2XEyY699CqhFw+Lp17Jw0OOai
2tq4Mm8RCDDRLNC3uuRJJ451RcasHzTEQSyR8v6Qd3huxyejo/Ew2+4NCWfRnWl6SGRzs9pPgvGa
TVJvXIQ/epHVD8akb8ge94Dr23DTDIc3zJjfRQssKOn3iMcrxoDZGa8EsTwcuS0GT4K7notEnOLY
sY7eOHU7Ly5fQwLsH7xy2Bhh253HmiUoc03m4BwQYsaZi0T5HNGV8dDxIKbpy3C8dSb6Jb473SeS
HMDKmYEo2ZlKB2Qdbzg1HL7OVJjxWDuHBAAJX26HFh5FNAw/07yH0T3572FhvYiASmaaWxQtsr1v
OXLjJipORlRt5mG2jticdjVGtXUhYYlTS5j0IZIPK6nEA+HwW63PTm1RRveprG+RjgpMHX3JAqRg
BIN+pdTOtU+UnmEhSLPnl1nPoWSmRblPUpAnPirXuPcmGgqrqJL9GYTzcF5V+LjvnaQgcGkGVxL6
4Phc2YGdGyxkClOpn2NN3lFPp7uqLX282RCghuCOObjgXp1r28iTtyFgkFOb2+BXCjApSR+4tw5y
8JXdlhK5eXiyCbZ6Rr0ORcOACvzatACLhmnYZHQ5riTYr8yJgrHQnQc9AnoyR7kNzg7klTlhAaY6
71sw44M7YgWyOnM7OTAvusn/ERWF3M/j0JynfCa6bMYr2DsbeqU7EBO01lz7GfRJfxAOlj7GXai4
0+BQ64NYt315abNnGvc3ngjhH/ZjeJJwjvv6XFR1c5rz7mxWnX5Pz3LldxycZAIzUYC2GQQnT22W
vSS5oItm4tpoKuVK7U7thSVwyN2RbPAItzFORQboQQ1zVKeXhKuKSSzsIwTTDBbXS5B4Hje/Ss2Q
20WynNIvxiQKmD3B9Qk3Uemnf+8mauZNQYOGg7D2ctTDOzPPrc3sy576g3NtIK56nLKZ+QwLeHy2
zHYc0OsxPuzYGzByhCOOZfXUspFd8DLBxdtlfcUMF1LMjFzaJEJl2c0qppU6ApZF7SyV/nnZM50J
h5Lox78ek8iXbPQU2Oky1LdbptfLXsk6nArfZl5MxhEOe8q15QtDAgSwmvDDtqpwaVw1tUuBd+sV
Se/Lc+FSuvz5ssu9fxt12QeXeXftZAH5Hf/63uUHLJu/PffnIUCEAqVGm5LYCAOIbC1+5++NRz2L
TXD++w+Ec8O3LP/m965R07J14qjY/Pnuf/tHy5O+5grsbzgT/v4XLF/+84KWh4EPcwgJGlEk6o+J
G2wovYnQ4M8v+Nt3/Lef8uefGBNnLkZVHGEcj1wI4WDZE3HUVWLNJH+iTumqGKCV+nJjM6Q1x4A/
Mm0fkogh1SIh+aMjoXmKAnl57Cs90NQxAM3CvIKIJVm8uQVB8kgruYtK7TEv/Sc3KCpSzzgCOK++
A1o+W6eSFX5IzWDCrQ6FnlE1wZgtKmHfzB8DcuxVQNNeI/dKnnOAR9Aj8M9GaiSc2vrHVM7HVow/
4kIlWMZrNwpvBrNGwI34h8KCG6R0TC4ZcPE4ijCmU6c74tnOCJNps/oxSbxfMdmVQBU3kRVcKyP6
dCu0lqizbunE/mqR7ork2kwMQKch8Ta1mxxZdr+JBMkYo4K1UVhfLs4l1fCB4d1qn4p56M5wm1PS
NLVm+iZbHJwO0LxNrA02EGXiatte3liV9it0KYAD47Ec7WdE0E9xI+vtYPrXZYJQhgkd3nz8JrMV
iAUrI9esX1v7JwLjDIK5uCt0cTBhFul0gPQW9lwc9z9t7CmxNZ29ODtjg9+bRvRhqr9ZY1zB+NI0
/DOy2JACMea3jZue+i8dph0QNDhFUfmoZeV5nII12SJklIBbdew70xle4C9ZMc30vHkR0nlAcKQA
Fva+T7QfnW/rm6DDlt9Mjwi9nrNKTAfDhvXRBtWlb7tDjVsJkQehymF2Iv4zOhSBfKgjV9yK8BdW
LcqiBlwzzELCHqDLda5100RWvklcgKlc1JhphzhxbNJ4R4PVQIBh1PJJC0Xo6J9bii0iHGD7BvQh
cHzhO+eatLZTyv9Iax765llmcvxlsjRlkJb51ofUxv9D3pksN65kW/Zfaly45gAccGBQE7EXO1Gi
2glMoZDQ9z2+vhZ4b753M61ykDUrq0HISCoksQEcx8/Ze+11OXg7vfVOpdVv3c49NlnJMkkEWmgQ
vRFdpe4KkjjdJzhj0XhE2UhqeXcsHWtrh+PSbT6IvIAr22tfvVseYiQym9wH9xu9FEb0OngBuZoe
UCSniGbdZ4q7CI0vTYRHxzC8pWMXv3ITKLdbu6uOhWRjRqZajK0ZrvuSvBCOHuJljRJIqueOS49h
0jzyIm6bIURqQkOShTVsTZ2zkFiftcwp5P15I2PnZJeVpJEA1CAwjvCqemsmWBADLWPkEEPImiLe
wKInioo0VsxAEUGT8CvHR8JcxKLAWI8+8CwVflED5ejCw4oJUeWCd6SA8Aaxlpbi1TFJeCb1/DnM
Ffkb9cuc/Mxewoagz2cnBbp6X1oPxI16KASJkvOqaZ8HyTfhE3EQP+WJ+8PwvVx1eXGPdB7rwIRU
y3ONj1nieoeuYjlhY15IOqoLA4vcpNBCROD3lor+vfGaJ5CZ8lTRCErIxLZqIAqIywrEB3m8jYFI
YO0lmax1EHmX+17xvrl+/Da6YtcOIfmVdE0n3oKCpAsm+h8JF7m1MZ9rhZ2yabkvcPfO/7xoBHNK
6UqD01zFDddXzaquHPCsNARlLt0KMUIMrL7CFrQoE7oM1cTFceYOS7QQi0GYKIQjyF4BTMIU5mPY
Y7JuJht8juGfUkYFXM0UEGeBNQEApu2Cwhw1Y5X4XLmTPqNR/F7T7tnXeQwh3EEULAaQl3lcQx+t
+xUIgzcyWzDlpxVCr6p8whFIjoJMznFN6J2nvaUD0q6p57yyFQ07+8PIQceW8xupRx3zL4v8bE1n
quU9dXL8qC33q6IfwqehfzgbvxoMvBaAkqfhu2EOWcXxY+jmK9VnpNLb/vM8kGbaBZShCZqNYyeb
CpDOyk5LApxjnKV96QwLz6Ok1/FEIFlJCY3oo53pgILLUoII3NnMMDYqXDollXqFX3hw1SYpPXbM
kv3gYNr8QQtdhiUeGgIDV51dYiUJ6k1kjP6qFLuaQVqVpByChmTmJ386h90wgBSr087D3LAn9Tla
ZO0uS3J/abSwfjIPALKrfRlBdIiT/Kua++kG6lmmH1W+PzowDK0OvGBhauRq2Ft3aIodfLwv1IpO
RdtZ0/WXLqR104zhuzf8DBoeuTgzgRVWp15nvIsXF/X93SRonQr7J6ZlsC4KRgd0ZKAgQNO38NCz
c0L8y2YGMZiDoXUK0ngNyIPeSWi9hzpT4yj+Ar0A5CCZ6AgSIA6oqb9MlfMVs4YifnvGUr9PJ84G
QzfOWtoNq1aXn009I/jbBG10zXNKct50DbKHl9nnKE7bhZ3V7p0zNEvOdt592wkXlAhRefso5JXB
GnBEt0pZqEYOCETB69TVHh1OS2zX5FgAo+Cw99zNYCJEb7Rton1X6F3pGzDZwcZK5Dqgirt0KIH4
n5PcnZbjNOuf/YVpFsaxbUsi7AoFkQSQS1auinZcZWZ7dAXBSTKiSConigPU5dubWOE/Aqf9PySm
UWpOuPz3uDPAStn3VxN+tc3fJTV//tg/AlH1P5RDGpqtUGeYhjMzzP5S1CjzD2VA1xYmShVduTbi
iH8oaow/QJHpJjG/0lDKlAhd/iKfSfGH68waHHOWwRiOq/8nipobXu2fJDWOMk3XEIhpOKxn4c8/
S2osg4XQpsmzrRKxDaghFi1EMRkqyoYpI920ad4a7SeuTI5BAHxFjsE9aylmYga5jGkJTAi12oEw
noFzlWfRcPFiObj3s8Lbd+XP0CaHzkEWR8jbKURheSfCXQLrAmPafF1sObJd3+VuBywsyeWGnDOU
cjaVSTY9Q1KB7KBPJz3QLsUciFaY6rMe4meAcnjnTVy6fn+UGqR6Ziwry+ubJUwbuj4KdKrOk6xS
gjx7dK36Jy1MtN55vBTDs+fAuTBCCWn4EUPataIq1KbsWk3BD8HHJ9uKfrW9e4Ywduwr7zA0yM9E
dYr1qcMKjDukbQk9oHv3NgXFNfDyx84r3+uk2iAWZp/ZtMvUUy/SDB5aFRP7wJO3reKNVeEn9xuk
KzlvM5qqi11Ye3pEByPjfYp9nrOvqjdJ/R8GazM1NpAhV1GfnRA3roROQghGoM6N3tgGM3maiftT
Ldhd/TbLaFVVzi4UvG3gJIme5UcQl0NVY4LuNxTPKolXlBdHLODDnW3PWMV461D6oCgvF6LkOSRd
YZJ/kGwFznQfN/kQ2M6qgDctB/vDU80XHgM2ut2Eo4zqiX3tPszQTwWegd3ldqRopBLZ04duT8sI
/zNVyUxoHfydXdrhoovlZVLJxMdp0DJwdvj+nJmbMz9t7bcsXn2a0fNkvAHO7bwCxCD8KxociqUE
kyb6fAZ1Cy5voc2kOS5ogVp9uew7hD0SlEZY96c2Y5hsTtkKDkK9NAsQbGLyn7mig6VT1BNunv3U
JlzuJILrE/qnUHHo8G/TODWGIFWz4ubqtWqcjmGX/wVSGXZ95V4jVWXL0D/6Jv1cenJACgg5EPCM
A+REa9mgAdPV+KDRLDaqLz2Gz2DUHtEss4SgLcQSyHvpkoFj0cOZRLyulAq56EHtpD1r1jzX3qL9
7qldAArrdrKg2h4WIuhWU6lLIo1+CsVEDnbUJe04ZyrhMr30X3EMwBvk89V5g4R16cLKYJviX8om
ozocQalIXFpRSeS9U6z9iJTeEUg7VOuvobslmbHfzIxHt2kotR9Fz15JuOpk5GkPtC/BKeV+ew2u
svSRedVKpxeVSPFjezbOUmM+8cp4l9DfBNxlMTeKfwYXoQITegfQYP7KziBIcua4MWeCeEVid88x
StKurmVLWRHXyCGiKF0XKQREGtkME6fef9NzBktk/nUcppRlVV29YVTQ77Rdihznrks4xTROuoUj
NmWRHjyTwyE0r8oF4A5Baevr0/0U/4pLsoqcdGFQ/9y1PAuh+z+y0pdtv5ZTeA2nAY2G/uAEqEoc
xUnD0B8yA1m0cZ7uSokomVbqHmpgvEoCvm870S8EkozcBte560vvLYOMu235CJVUV6MyNcCS7Yrv
0OlyadqHgDWWCT6MlcnOdAH5DNlVn6xcVb/BMIbtpDCUstZuAEIcaHicYlvhYC4eMrrYuI3ZmZS4
cIgESH9pLGQLsC47igR+SKUupfACB761KvwSojqRVYUIIEgk+iPq6QTwd9lu0zpCNVOQOtNXVI+u
MZ+zLUjxMVSnIWKxzKvqkyr2xxiSGNEaOo6gHJYe9UoezzINqe0dNuybxjcf4mC6rwLTWKFoJiUo
eKlrlqMYXR41qHkIexBQWZvXoCfpW7uNXGPOxwUo4qPJG3Fnpc7R9/YixETpwsnSZEPclSahdxBl
oMcM4KP4xyRoGrIfuUddYJ16jU+wkxaKep8NSpcBFw5G51m01jZ3UGno8PCOImWOiXs2p43a1ktX
5SxvaW+hHSdKJBDZBueSXAxxt+r0TCy7GFNwL90H3TTWKDi0lI9C87KDUXhfsYGKQ0csFBTRb2T4
T2bPpxVbb31Dew/Y0rTOi4qYrLH4RQeI11xb146L78I2Ea7KBJHWXJCaksNlXkv82riMFeB9320e
QVeD+Wl/D+3wXNmo1sHNs1jYCJbi37ejfHC3TRyQ/ENN3NibXvYBR8OI11bl55BNLoBPlttM4mow
HZq88wXLCvhIJo0nmmu1t+jqEgOla3aLyAp/IQA5D2PziangJ5DpJpra97ycyfJ68ltonIup2QC/
MUhGkYa1gpi5gxOHPcPFNplAUyqZBO7pW22swdqUrPYjUiTND8c7Dwvh1Ktjj2Hai0CPCI9QzDLw
VlTbK4ojFvxJfAu7eXEm4FhBMl4mM0VhlJXvYUtgNww23nydCDNz0Okc2JzLU1dVXJwSKF8urytz
qC+i9FP08WtViHsdn184cJ2EMVUI8W3JAOGbN3zgbGRTLxOf9tannBXBDNit/j1ocqaOFVMYsnNp
UQ4I9HqbxcaN7Z3b8tO4MbO1XmdbH3rgcjaFagnpHMrXAVYVLD690q418445KILNX2tcupZamu3a
epoXSHtAV9HVXImFKZJF0u1plOBnIyfH63gRfYuGOAp6fzOi5Ej0k0mMRgoYE+BTQlrUfDnk5AFI
RMWRzNVXRNrZoOmbLmRB1HwNq27zRmM6RnhAayyrWGwteRFAvkJdBPA5uVIG5tFq8rl+o2zQrOJJ
63ktgXs0UQGyuiViGZQiOxDI6udacJpLF7yHOGJq0gMN/TRO4u125LgmOXOOiy9AYwudwYRRiIbu
6Ni5awlsEhADJI1Kq899572GQFkZ+TNpPrmK8ARmnNnCGghwHgLvwYB6sWwiDOOBYP+rF8GKWSCM
wOzb6fXyPrTsYl0K77NpLWvVwTQPWsjyKF5K9ZLmlEqxRpllx2uLLaTKiVCwYU6uG10+8pZnW8O2
CV9kFPLnlxI2z77qO1TbAKgpmVAMd7gW9RpLfaFvqcDfg9LmKkFac12nt+K4v68qV1/1efKaiLn/
WM+/7dEK1KdPB3DtFAVKJBoxf8WF/nlf1EyRso6OqVFMhHHmyTmK6LK0pnhyZidkMdv+9CwFMaLW
jYOpN2z1jjAlDKFWKzDuzySJ293bl3b+hrce/RoLIrG6s4NMaVg17bKBHw9ffNEyCZ9FtoxXR8bX
M5jCdXDXVZGOipc4SdeoiHPAdO70xhY7+Gqo5YnYG30jQhzyQewFSynLSCcwt3U3qZFt/kRZ3KgW
Ge8jdovk2QIdvC7lzLgoYw65Jqwgp8+Ii6nR/fuR+UrZzZ8nWapu7E27cN7+tlW8D7ITxlIa1oYP
VGfU/YOym0OBdWhRJR7hJWlNcEyTHLTcQEUWmPa9M/uZXDkTEOWwxY95V2XZk2d920PmPdUTfY3a
7b7yvOoOgRLdYbokgc3s1IzJDHCse/4K5MSPwvHte9Oz8AJ2yS5pIjbPFQeMU4M8bjpP03G6cDNW
BiWOnfzc7uFABRPVKmCOU/R045ZEOg7a2y0SZqxM+Xtlq2IfQenCWqneM20CxM/BChrHflPCho9m
6OZ9D/v13hYm0uv/vo+kD/l6FvxOm9HATDcohOm3mzKWaBxiakcaTky3CqwEmkcMexK4+xRTJU66
DkfP4EybPDUOJTCvfRUx6PAtumXzPaMP2U65PqyKwekYMeNw39++EPTw162uL9Auet7azhu1YqMS
0v1r+j1yAn1l9BhwhbK7PT1y9oaKIiDOwv5ge3P0omHJu7GizzYJa687Lq7ENLP/vOXJSi1lo0ES
mx+7/Ze2ZHxXT/dwt+Xq9og5/5CdkXGlqmJYtLU46qZ19Pqo+y54ssUgqve48sBLW8I+9bM7u3Nb
MtTK3j6OmnagabZQk+yfwqbWTk1q7bOeEWdp9skeoZZ+RRQAVCy3/c3trjUFJ2YhaGt6arOiF8Y1
CSP9UE84K/suyTEFA08EsecvSSHvP4oJLeRABlVsYfmo4uE9bVX6UrQuROaMAiHOLMpz1MFmy7sd
KPv6t/7C/8Htof8LphyUIXJJyBG2zcHiuOa/uD0SVzMmmVfttsHfujFwsrBXZWxJtDlDobaiqjEF
25IOsRyYCmf5f/P3sRIKw3aEwp75z90C9JrG6DYFgclqeLYmgg0VxSQbQdBjvyn2jbomM88O7j19
+pO6/2/dIrMV5O/en9tLh/duG/N4APPtP/9pin9NhhN6tWRknzhvGOvWvQ4JzAxf0sOTYisCCAr/
ecvq/0fWv2nqEhL/v29+Xb+Hz/rvba+/fuKvvpdr/gFE33GEreNLkqbil/3V9wK9/AetMEMJPFyu
4xh80n/1vcD64y+TTGOFcnWhW/Z/9b0M64+55YXnSwhnbqnZ/0nfy5IWVra/H0+6zpJE+0xxOKHq
lMZsTfr6fAwzv/5f/0P/n4LGNjr2XJDMAh4ZTtoTEELcoz56UBwIR+xu3p3hFY+pP6+c03jIWqw7
E8XHyH/BuHQwYbRCxnXWllM9mlb6WdVY+zWhtnTJ1oGAq8emhQZMcCks56lv9EOVQ9sPcHzcyMnZ
JJ8hfpD6JYz6YJnV55y0riGmLOFyDqFxxlTHuQWaOMJ60RbetnKStWohXYICQRqcHeJiLqBL61Ka
9cmqBgb+GdkryJcZUJaIGlsbMAoQDrDHa4vyx2jJzfMxyFTaV+QivrfZz7D9U6iB0a/SdFz2OXQU
sJSrSe2qMKDkDvVi5cTTptXbl5Q8KhQ/PS8s22iITWqXJa8nBKxvCRCeyh5RUzgYG4EKsmjTtePV
HyWb1baSBwTOKIeNYGcr3o+FCZ4Dtet93iGWCJMy3TP14wkY4JxRbxtHJChiryIop/M96JXG8XZL
r2yTjaM4OkrqJxjMZIPmobsBEkYOlCHrg7D0YQ84yV6Ow6QjVnG1c2bl6KdNyOl5qW2yvJ8O04jV
pUqagSTeUjz4kzWtiKzP/7zb5l5J/s5dLEJ3bcLzWYVWKK+qw86XKyY6cDSDY5d7r76XAa93/WLd
+mG3UJrjnW9fKmfUgNzkTx050O6gtt4EXI6kG3s6pUyh9xn9vUKmPCaqknQ7PuUIyTCODvIQ4XTV
+dK0ctNH/qsHexDGjGE5vBdg15xDnyl1qEjIgSBfMH4ZFML+nPRNfs8yTLrgYahUeAqB+6Vjmzh3
TdBSYQlj2DDzenBtoR3teGyf2D8GmxED7rJVVvOUzRsHXdBk3AVSr55JJuKL+PBNRle3O4ZVrWWf
d/hoAqyRkf0MdZfAWC18E2jj9qbo4FDYdfQ2FaJYjsKyV1Ftvg15PV49s3npMPT+AmoAcWSS8tLZ
ILjzMhtgWAqsDBS+ewrjk2Jj813aYO+doTh1NL5o8zj5Sgg/u3ez1roatnly7ag52aJn3lIZT2xD
xt9OCZaaKaA/z0tI+rGDdxwzCFfdTRWjpWMMYz8GfRx96J6uMQDPnacxskhDF4Bw696mUs26aZdE
ZNkiPg4uE0lQizB2rA92qruii71fnYFsUhvODKv6Z9w90zYIBm3t1Gb9Fk/5KvFs40wKBqNT/C8b
KEMeOby9/xLHjlwX7FxWzpxelcamw6zaF+vbd8FlbnT6UotIKodZawtevdZfx1jLH2ppIuWv6njn
eBAXrLrufqc4t6A60AU2KfDKfZJ27qkeECnQAXchX4XOIdANgqexslwDu91YwM9WSa1rqzKauquD
dO/e7oxn15BHEhn9z1QDllT5ckLHIcZjEAcMrNMBpDYn276kC39PwYkLInGHp5x5+BNWU/pdbrIA
aYoiYH4cLyH4MyR+q9v/UKhOAB3SZOoCsKoqHS8YOIYLfIn+SOggsqh/PMRnGW98Ee7xqmCkH7Li
VWAO3UxOrq1ud8eR6q4IPJ4V+kL2csmrpcdnj4HtxcIN9zyiC7Tj/sMunenYl0F2rbPkFGa1f77d
G/ye2WTAnCvmnIAJ61xZgShu09E/YKwSrylhEU5lWddx6NuHynJfLKTR1GbJI7lVyaXJs02GVmEx
b7NWszbryDg6OWox6HyzZUfoG2DWUJSFe8+4YsaGeBQ6ap0rz3oqpE02Hpud78DdEAfQHbpSwb7T
QCdOSZwds7Kuznx+CAvZRIA9Ijedwf9sqK+ftAxucMvlkiFDiEejKIDs2oTCUZ//RrVwdhiyfA3r
Vrd3ifLHV8IfLdx+gAZud5d5F8hl1ZbGrqqleks4qpJAj1+l67p7BSCD/NjUeetdpJmCwwvCFNN5
hdnsrV1xya/egCN6+yQsMVYWzU+ncT5hAz8jnO1ebM3U1iLUUzRFnrV2XSpD6WveJdPxjri1mS+8
RgFl6Ur5UEFxX3SCU7jMHDoIbpotaZ6ASsX98qJyPhRcmeF+CLOTlxfuuZ/Q9ga+8onn0aNnZUHt
p3H0ZjA7xfnlh0+pyNuLg8YulCJ4KnvGG5YHf8XKgbsZUXOISzzfoH80TvOofa0sbR2FeXZva234
POB7IBY8q3dFGYbPRlXGhGbxim7fRXWgYo2KIJ12vi9wdtiqmh4su70QfNfu/3xsvsu2nyFOKl68
YmqOzvzldqvPeD5oyYNVQ89xP6AG3N9uxUDqGOZALUsDmA3mnOgyZCxPAv3t0glvcRFEpDBMZnvo
puTK6/1WxfWPLoS+cbu2AGjETAKcApdBO7kPM++mZ09ooEvJ8YPN0qc9zIFvIup5h4fR7+LQpyEv
2l2KfATMPxf2nkaVAWXvUHhzjF4TnRBsxNVDqjXpRWOVhXk+J0bb3/pEQSS5KGxS0hDuYprIeyTG
ycIOxVPvhaSyRp6+nUzPxrVfofaNC7BO5bvvphsd8N8K13C/tfqKXkY+YWrR3LM/Moay8/a1VHF0
7OTwKUuIom3RIkLi+tDSDF8U41OI0WhtdMjJzabhz1aIHqQEu6q+1Bhdp6hkRY1hfQSA8KrholsI
ROqq/PFCfdG2lUBkiNSsxr2oNUB4TaP7bQ7jLgHCD8lDD9eNRtMqBwe4dSIlFxA+3kC6Mx1r4XgJ
rAPKHmaOcOHdBTAFC7f4QkCJV9PLXrTGmhA0rIAmEJjjo1SCnWaWxpeeasdGiZMmPDa78t0pgk2v
O5c2Z7oSJf23aiF1liWSgTC0n/22fokVeYhMWDZlGzN2HL/hDNpQdjHTNcOr5RVf3TwYIZSTiN9f
yux1BC5i2eAG74Pg4k85boS16EW38jrvI3c15re/kWZwMJN6BaWq3vgtMj8Quxvwt2tgV8EcYAkd
NPS/jJi2K8JUhrB3TZl8wW96m6S1nPDxEntA+HfIvEVP7sseMd9k6a95I548FT/mmFXXKVGUSvz0
qNT78cUbzRXOP/wf1tYzZhVvc/Ym7R5D2JKjCXw6yITuYWCw7FSAL41Ae+xM7TPu64vwEaDE7TLS
7O2o8m3MSgxbcLjCF8TZrxWMUFuIYkGLmZhMmZyE77hLHjPVX4FppSh5dWBR4B05+5k9O/YXzqAA
lSSnZBXtSoMuMH5X4NVIcWzTPpQxlFFZPucKjLzLtR6tcFGeSx8WANLLA/VTvGFVU4GHEl0fTkbW
u8tE9vWyQjXpoZp0hVduAleda9AnJlYErBnefh4/LeayOxQsMKn/ZrVedkrc7h0n1D6fsq+sEcWG
oKur4HzE3I6qRipzmxokABQlHmOMI/xyfcFGTBEANj7oI3oiMyLqp3FwOhZ8PLgyn8Y4pXWD2iZz
UL+MZkH7vyK/ckD00To2QHtfvIjcPMUYYVEEmeGqtDDol+jpa8KiGix5CzfEFu4aA4VcB+PUfK/n
36Pr1jup1ye6Hv1iJO7hbgy+yxlda2rlV1eE9OVaTNn2M2OpD+XovyLnN1eAB6+qeKoF3r8Sx3ft
/Djp+EvaxsFooKeLLK2AarYP5JCiWErsZaiNn50JXlaX353df48hUoXiu64lHNo8PSCO3CFTI3ot
Cb4CK7w0fYyi0io+4f7nB3iEXL5IihRci5CcfiDscRFkOozTh20eBEcK5jeiuF791nqsbfvkFO4l
McaHHDnh3ZgO78Jpj+By72Wp7SmNDLgFwe+AYMXbAZhKDMxJTohHG2GVLmyM/jZRziQQkW+pQSLH
N5879YOXxZyUFe2oZLLaO5OM3F7rHzQ9eoiIjsA4/uBz/bXxb9/lw8Skq24Pfi23ZWcGq5p0ZhFh
/U0fuo58IWYkc8xWMgsdzgzBWLLwyVYxSvg28JclnfXC+SCXlCbtNH23kOjQ65b72j5pWBqCyPMW
FA3OHTSGeGv24blOjGZj690Dvoc7dIAfOL52uaaiteyAoSd1vc6G8NiWyJ6aRtc3dugvdVmKLWCg
FYncn7jZ251UAwloQrNO7PfX0i8q6g2GgciyprXu8B649NpI8ASK5NbBg6q8a5hXP/HIlKPtzIm2
7dqT0vnyH6MnjBNPqPbCa5ybr57Hpd2vC22peVCirTpdU2XVOwRy4o4cvGE7GdlZls2rTkL7oa8M
0LjhGK9jfNnVEvdtsHW1/siAUjxqyTU0SekxCFldJkhyF213ZucH4nVkNfG7YWRUD9lgDNy1bjtI
+rrIwiPjBKzd9kvQhPnKcrIzErxoTVeSWGJP7WM+tb3GK0WstxvNzkdAkZwR1M2sKOfc90699UW6
tiM3omgh8aAgKRBwYKsWpjZ82JVqd+wTd1bAtGxynHRbWfF7GOVYQlJ28VktfutNxQQ40ZxlD1uR
aw3IbyMd14nelG91Wq2xu65GNv5Ek4bEw3v2p2Gi6/Vz1r4PSzOYrgYSCIzDvtnmw6dhikY/D9Ul
GL0121rSICrn0U75ll+ZL/QGuVwSck8nGptZ45xrK7tgosAGn4hjDaFylUGr37vavufyisG6Qb+H
IjErRu259rBGMu4i7CV8s5IkIdOgP/aZ+AlGptJtE2ZbBtr+Si8lG2sfMtQs2a9mH0GUzCS+/75/
e9B07dfYmNTq9ji0LOzS9YxS+5f/d7sbifCe3Vi5uf1oRdxwzqSEVuI//sSfj89/THhUhHIQh9uv
vD3elx2+SCYAk8OF1jP9bC8UZM8oReUq+01tWjuCu0D00kjK+u8gpZhtRvFGw+MY7mqiYe4Mrdnl
dXOWTbWjzwpiF2lrxnjACrtf2NO+VTR+l2aFxmJEUu6aO7PvvyfmMTNo48pFbE+oIRj2ATk5tYJl
SJDW0vgexwV7ymBZFfqRuD0y4n5PEwOlJOEq0CEuKgt7KUNI2DmTJ8aZLlxpp9BZOYEPxvOXbkZ9
3m5NCU3Wri9BMbaq3bbEQNy+efsSkGm4nnrrmZh7bdUZ4WcakO4qmmTb9bJku8r4kvE1uG1giBEe
5zshfXQq84irNGYU6G3udbt/G37RUY6b5JJbutjUEXAlGLj9nUc3aXSDADZ7kq1Mi+psMtLXBLk6
kUYgBkvmqqBDoo/JwebUmb6xFx00xNsX479u2fT/KKV8TuIhjfcgBWNCeOF+GNET4Rbod8yTpqzf
hk0PTjw1hv+S9P6+jon+DfWja1VfQe09q3DAWsMbPsCdXPYxojJTEB2R3UuIcl00HU0wl9jojQPi
+JUEdWC0YonNDKtuyX5mmQRsejg22KSgJzX2Xp75i5qYLGah8WK2rxdmNw/NGlutGlf7KHWfK4PK
TuHg/i5GZF0IzOcSgeweOLseVJTk0urWHoj4fVNeBr89Fll50kJ/TXQkDieNiXe/pPdHiV/iEcFC
0gYf+iSOZtlwjkw+WrbWo5syJ9VI8eAgmVoGj1lseFuz7U/uAGlZQ9A8EahXyz18YbyFd7FWHKSI
NumA7q7F2Ds6Boyd6Bz7RLcNUYvnKOs3HRtqwKGI2smxIaW0TK55S+MyxzjHLspJruOc/o4G/VXX
uo2nRewvhnvXQCBfkYiVgOJxAFOSZGktmcA9GEiZRUOghln8xMUIoly7d0YHL1nDsNSmI0AGFjRn
Nz8VLPx3A1UL6GqC9oZxdtoWGCvT1eAU2P7aQ5l6z3lhi6WQ8TkqgexjXxll5mwq+T56ROwkAeEF
dXCfRw+tFQAPrtECB1YAztvRid1oNmmGzjqusYTl6Su52quBudUiIUNpgYv/WkgSWhjldSW7AAoO
Dn2CD4vqaaLcv3Pgny8qG70A7KPnwGLxlh1ID618D2g7kDjqsWO6S6v6S5I1gMcLrFAYfUV56hCT
ScWK/2JpoH+Mk4/Ba4mvqTk4M79ayb6A2RkgISikd5d7we8RN9wplFSPJrqBmMtY4rivBDqBXWjb
axRicrcJkpRZ/wb4CjlR8o0G4lWXZFbG01eDIe+u1QjBslCtEojT79LpKTEqY+mKlny9YVxYQnt2
VOwuZZDDTG7RHbcWip4NCeKPqRJnXyPIsxkhNZA1qjdvUtZbrXltCTozmcX1bUmQGP6ZDI6CUDq6
bkCQ8Dxr2BfWD5aUo6Z7K4IIzjkaJCr0Y+LV+t1kjkSUlac66b7LKXz3owdTL1+RkxbLrEjhI2Vk
z/Q2K5plNeuuDw4uvsT3tsi/dDvembV2wMpw9vwXhxPR7KhCHLNcFI530d3BxdCUrG29fipr8Sot
kvKG7Ak9DHmsPdfoeD9hRYPT+pTOwXBN/hmXY4zSFXpRbrrIfOL2PZBuQCCv/OVFDG+VM+IYsfJr
gFsjnQqsU93GmMqfgoRK4TWXRLDmKP2AqgaZQ/ZrCodfHouCrqc/6IKPTQvAWKmPMSo+WiSMrFPL
WkLWhVcWoqTLEZGDpUeOxGwYI8V7JYdoCxrrinLsCbem9OSKs+s5F/0lAcpTeJiF6hCBed+SWaPo
mpHWsHXH5zZt4HWN+X02l6pekf00WrMRRqvDgjFxeYafra+fpTshsGoxfI3ZOp/UGmxzipnBP3Lp
W9NtQ69LBID1ZXAJKzzU8LHxbuqnlurNHrNTPkHdGPxL1E2PtqQom+gUt7Q9MJRhT32Qed/zUrAY
NOl9bZGgCyATZcss8VNPZWQD+h93FtGBdHwdutP6O6yGRzR8d7jEjJWiNhS+MSHPM4h4AVa1ADPE
u43/fGGMVNAw0n0KnikfLvNb3KbF1U1cpHisCLENkqAJvjT2ZZBFyd3MeAnBezTp9JTrbNmM+ixR
dZ+NQT/2NncymBfVVLF6phPy1CR9cMIvJEDjUUIPvLMs7Q3A3Pv/Zuy9dhsHtmjbLyLAHF4lUlly
ji+EI3NmFcPXn0E17u6Nxr4458WwZVnJJGvVWnOOaSTusrXyfHfOntsIrsXwNJSVxp8lN9cTqc85
9Otfig/8104VRPDh015lj+beYsyHuzJ5dNsVXV+DY2T/gQwDEfKLY/OmdCRNawUWPR0plslsJu6V
fZGdnRiP8VjA1w2OGFZ08u2Zdm1joX6Gce1rWXybDNpn7rhc5L3mFq0T5z1emKkCZprrfIDoDAJ3
2W5XE3kZVaSd7FqlIZh5sKnIxYY6snYj2iE4yhG+mrSNMt5ghNlrYu1A5Gi3fgjopbHfR6uhu6M9
hTENDjn8UuM+i/zBErLaJAy5Q9A7qF15SzCKpxVjJ9aVxFV8McbRko11CFuTi0KW/VoAloNmcDfZ
OJHFy/PnQopNjXYG55f+WbiYnTryZyYrPFtCPA1oeItObS5QfqGLdKC7OvWo5zDgcpuNtjcAMBeT
RcuVurSj+aS6q1hqDN0g3yQNWSw5OQms6Miide1t1j6KIX2eGMGsigxlu7dcIZvuTRnlhw14bgVa
DeOO1E5uTh2au8XiS+fljZXVcx1FFxWytsqxpO+um3ge5wVz0mFadRCoOKSCCQ3ro4WoUuYCP3dM
NaGlbgEuAR1PQpg10Ul2kExoW8wocw8Llnog8gfhWPzUCmPkitVu2t57mSHAG0P/JaAOYumaJ865
6MbJvbsOjgP6noe+GV9qw7uQzc2LbZRXOraWWgqU4bBeC4UWpR0nrLMsaERlfiaIX5O5yWAutL+z
jR4PwbifMudbEyaA6dxhIRg8UkBoq+/D5JO2vcMpNNNM79elob91SzeFZeObPE0oCA7/uJh88rle
y0hz7ld215M7q1fPMbLaqucFyFh1wEvRVZ5xdmvw/U+K5frC4xDXqmW6KSPyDgtj25hE3PSa90V5
8xQBFacSUvxIQIdw8+l3jPuvgty1PgGOpHrYRkPNZgNJDCtgq4vWi2fNY/8kuhuo4Px7j05EP2mq
hhulig2fsImS/YdHxgQ+hRkRYox0dSvMCx678ShVnS5tVGmnmEAAQPBh/KzWCBObIfKIP0ba4nUf
5mw360iKgxPKczmaiW/CDWKAN9Jeg7zg8l+yBvbpzKAOLrqqRBkf1aw+OxHXPK9ig5bF097x6g9T
Z5wURyCNRppY8set1S1zlZdMS/XVoBVP4wC5LkH2t5YxKS+wPstMnYNKmy6kW/6USmNtlM7YmPT5
tfpZ65lL21AyaPolnzXCz0LiclS3CmgDK72xiwyj8OT+iM6l/89cD+vZSlGWK0BB8BoRgby0YlM0
CKolwWxIZyCi1cg/S917Id9l8SvJj1KgakVn7gFEIq1bwEjG49x1zh0bWhwXw4eeuQ5uNjIwSrff
9qrxBmpr2obkca3l2L53Of0t2P5YeUdS3jXRsThpNxaDQitU63XscuUzlOys1MlGjjH+T47JjGlK
oIcs6ZTsNWoXjyFOCzMVlOSunjtqdHBlhVS6DfFHg6keauEQeiOMDj6kZvto0jVfdul3w8hsPZTp
o5OzbdbpBKxbPNormyYgz4wiEM4RYy4iRbt3Cwsr9jsKY5UADs9B0q+183OkEJZYCB1FqjtgISnd
yRfq+CWIdF1bhX5L7MeCdTxETF58GmPcOt73lpiJ4IjFKq6O0sMu3HooTW23X2ta608FYI5aV+Sa
lvs9iILQx2UT+XVDAKvu2gV5DuoiKqCYtF5Cx7gzIa2uw4QuoQts3HPKN7Js1554FqST+nHlkQ4i
Q+1otFutdJqNqRNC3T46te6AAVGnQ4EtgcsDAYjnwr6EOWcykyeDPGpExEpkqlh0pLERI4tMbbcT
6w/Jt2z+CMZmofWsTVuRs4GbbyjyfTZNS3jisCvyOQ8An4LiY4lLiVOilr6rBMOedIjPisG0IcnH
fZKh04KPDi1Vm3ezSxlimxjI4XOPHsplaOy+lSKfLjtKBLMdod8KDL7Q49apzYZ87pTXqnUOSRNm
2Ar9riEqMEKsBldjWButqwXmlOoHmUsQdRnKZbLnu83UT5864okz/lef6VnuqwUYAIzUjeKcQwER
JdI4MSI1qKo0O2EGeAjFQOHh8somKOmNaQEU1pRdEhNOxXQS1bi4Zx+7EarqBVrKpFaWTn6QMIfn
hMyI8tYqGSzU7LNXipvfkwzuvZBFQA+nqi3lm+5cMKMdz5FiaxPLjOl1N6HuSp9Q0WTL833Esuaq
KTHROpg+RrOuNoYsP9U0hiyVRv4M6iLQFOw5MIRZX9KLVZKx16n3tWNDjSpJmO2R+Y9mVa3AsBK7
bpsErDiCZpvzhf6n3FmiIKElTt1AWwS7FfQRAI8MHWjHDMwjI0f7LJWoO4pauWmy9hg7zpM7qczc
wzy7AWZqtfmm5i3tIpC+e7YlR8WEbzJHtEOQRuwz+FBIjsgkUIvbScwnw4GRxnBnpfbdbdFmjDoM
SH+6A+1cQkJ3ZI8HjnB5/tNzMGfxg+GWxrqJSrHNk1q9c8OIUaJiPBFdeS/jXrDtiNlySuMpwUI7
m2DXTIaOBLGT99R6Awn1Xr1Ru6KHLjrfQmc2FfgyHHdnI1MuiApQfoztRZ8lfQn2cIh3EuxNs/LR
xOmT+0pDn/zW58Gc9kbFdm+ILHuteyw96o8xYHDpu/w5WxAG9IKYOIgPlc2XXaMQQt5wJ7HREJ7G
f3IG4A/zv7AD00aozTT6Reou47fS2Exz3SBumXdQcO7khCg3xpTnZ0U/rozKdukjuZfYM+UGjilx
LWV8LtrcuSiZc4xSCxGUkdFaE28J6qEtoMqRwzykUXFWlRhOj81OpMeDauNV0wW43d4lTKCNAyYf
5iUn42oQqD5de+cUYLYLhsvKgufofPjaXMK9+igZ0kFckJ82rpOVZTalb8hXru1AdUvtW+vcZp06
cPQKQ3WDwhPnYuuG0h/aeAc8keCwjPo3E3Lr5VVDdRgQ3sCWiqZ8Y5Q6po96MbsxG/Uyk9TgjCu2
JWirSxrflu2xPofhdDHI6GPNLo5jrclNJoD9IzXZYeb4jbSUNlf2i0bT9Wv+I65ciIJNchBIYlgH
4CWZn1MywMggfEBLA3zp3CuRT32FqNikbRkP6SGch6eJd6MT5jUlH73V10GODiWIVd2PbadEX1/m
QTWpHOpyWP5N6X1vFISro//RAP/jFPNL/mts94uHzBx7PPpxvpUVJI2+yuBHM+VR7eoxDMcdsok3
wfh91WVciLym+5jTeEclrTqzs8sjyby7qn4ZVD0DwuNSzvPTtYXDJZ4dbSFkueGGzKZFNguhuawK
BOj5hz0ZOldOHbG5+h3aJRUttT/1rfso7W0sCdqq0uGWOJqLtyDLUCDtENYILPAYjwYgwfg3uu9M
I5KPcTB5eKrT3InGPCaO5QVFn23gCIaHXNMfeihETFUYFKopi3b4wmCq3dCs4H/TY2uu9BSYYY3v
m8XTpKOxTsbi3XadPqiWZQmEL9d975Cyjq9Fnm7rQnaBwoppjewna0JQUUN3P4zisK0ZCK8iGCGS
Pl05efkhQtUNXI58P4ZdqJbMtS054HhorgxpZ27bI24uOh2m96DEOclrsvtG2sUmKsfspNtTv50M
YkEYX8Wcx8oWmOxG1bTnWVW+22g0D129JFp72b17ch+1MS6PXYTRrEpt+p3Rg2382Hna3VYpZGpB
IATW83CMx8sIaVMsOy6Yz+jtiH6Y7Bnwd3MOQQ2fK4zqW9eo4VG7kYojHYBb0+HQc1X11e6sewAB
n5WVvUaFFpJzNKkbrmrSuYfbbBDokqVHpFGATWcKzqrsrbMNpgyLjYtniIGPiotvHVnufqxfwCSM
+7DG7KdazWfVyYYsGlK2Q3Hb10bPhYESE9YGHt9WaYO2Jw06srYgfdFidzXogYZQXSW/hJOS7TU5
TTdE0p3yqG8PYdLC1ZnVGxoH9LAhureVnxLZulJj0ex6U+vYlwxq0NOhhwqYFetoAMfFlxMRQSHY
G0ZsY1MHAJK2ih3m25D5kq/qSiCacfBpjmxBY10UhTy7weAwQPh8mSb7QQOXd2/mFVS81tyOkfaw
MKR2o1pGlKbECVi2tiUG9SAZ7B9Qx58VB2qHOmpPGh1Cy5QEEISqAstg0A664X6Azy7XE2SJDTgo
hoeZvao0ya6lnwPNJGsrK2rQhks321OTZ23uYj90+48OFMk25kpT2krhTy0dMgBg28wYyWzJTTRr
GTBauLHdfpFYcyl5z5FUrIuhVDbM3luguoyB+G5iDVNvOxif7LoJrRX5h7Qa7UYTJEYVn6FqZc85
yZBJbnxauR30daHQjAWsB0k0IyhHxMN9zqGAorZvfeW6+1X80LG/+7Z/URrhBYldbkInxsdA8glh
KBRGdfttRwWFqeeQltXXN0MP/12Xh6Gq50A20Z7rFLupMn4ZUoWrL9ZJKvZwOy47zu/E7cuLmSRv
dcW6TMb2MQHzCZE0A+ZFGr3hmgcVZdLeaKithwpKWhvAM8LvGM3vBpvhkcwhu06zQK2YYiT9a6iT
fO9B0e0AtBDUzdSECvlnaOt8m5HmuMYji6GQUDhup0AWw5QF5G4CHYuCeRAdolv81GrLi9Ux1EeE
3PH6U8YQzpEcY1ILzJnusPqiUt37jpSPagR9vlnaxGaV1L6o+sci8fpN38GEKUPL8K1YTCuHi5NM
M7BqFo7FtIufSt3C0lqZaGd1nH3trJRQ9LnyoSUhsMKYPtq++O2zsUYo5dxWrWpubW+2NjlzhzXC
lecsoQQE9/gsBj430xDESDnVRaoNPV4dg4VbD4+qlPOu8QvNn3KYisgQOov4TIKhYw8yo9yY8dEr
xoKzHPjo9Tv6KYg1/++36ezes9XfO07LI/x9mJpSiCDXuC+PWlo26+sdr/epGxuh3fVn+vjutP77
jGGG75saiVeQTDG/uv7Bf3379/H//AYMTae7+//fV/HnRf55Rta7bg7++5bIDKHVN6bIj3YLleb6
MNdn//NCrs+mx3ZV7P4+cX2lr17v2mT23P75/P48+PXWv49y/U51xpbzgYN078n3yDbFwS2I5ysL
slx7DbCJdqXgLt+FC4j2n9vceQYO9vc+KSIrumr/uef1u2i5Uv+9rQtzCK2pubve/ucRrr/988fX
Z/jn7/750VIWWY8WaQSu0UdfbG4adQMQ0/+82EZXmEBcH+u/vq0gvKjQ1Xg91ycv2zLa6KP1lBUD
W3OZqdPGFerNNZrx+iX9T2bjP7f9/fH6Xdk7Jycrvc0/t1///nrbNfPx748zVSh7n7Kn3QJA9+8v
/mZD/r3tepecRhYd+OXe/zzW9bZ/Hub6o9cT6KnBEwOhw+xleS/X2/+83evP14cqRU0w0j8P8+dO
/+thr3+TzZAVO1Fvr7y5rqQs00wFtPJCnrvGGlp/sw2X764/quPi8fvn14O6SWd3A+2fjst/4iuv
D3T98s9taoUV0BhNC+TB/5ee+L+e9f/1Ns0LeU1/Hwt9YXNoD/P15uuDmPXADPD67d8H/a/f//N+
rj/++2vFK+rdlIrgf34Efx/27+v4nw9zveM/97neFi/wvsExfgTBC2t0vsgIr5TmcugZfWiF0fa3
4DOTzZ/LxWA8K1aXh/M51uun69WgooV3iNMKtrGRORjwl+4DSWEZSFKUr3Jjg1RiEctgFGkfPa6D
LdPf9jghQzpay3d061pSuhq7DqCtWVve80XPaJ2pbvGohq268+J0m43ysRHQYW2IditiWRgjdqj/
BD7ZOpQ3nVadASyhLBPUzF0x3U61/DbD0M9i9ARG2rP3YA5LD5Ccm3yafNUFDVfqargtNPXby8dH
jTCiTdwgiijIFe17gpMnLUwCvaBKikgyrRoIeAlZGuVcxycbFRTMANpDlUFMxFRciiWQliG25Xsg
LI4qpTBT9Dowsz68qxuxH9XJIUlvVu9M18b8OvDKbLaro/NCacLWps80JOwUOrrbRZuE6KEWOqkC
4Hwr+Ez9ir0KO70bU8dMy8xHCUKlZ5ZLPwZTC0L/+ckw831Z12dUuvU66cy3ZmgOVTWR/CFkElis
7VQopzhiIpWCLPPZsVckbO+nWJzoSrDHSGkDKiqwhIgkI9VgCgChYAHY8dlZvbELYVM8RswQ51of
1krogo5nY965000mx18ip4sz4Lk3ZuqMR6VH6k0GLCXnccoUh3xdj1tmZyddEmmfGyn7ljZ+aeRv
GlJAqioVwThbJLCRgqzU5D/qjL+V1t0mJtbzwaSdXneDGVAbP1NLjpuuUWGz9923k9wWEUN7dIH8
rU0reWso03SvK2BKxaBQmcN9ccLsvZNeHDC+L3a1QoMA9+/CxteIPCQjxUWjEegmbzxC17jL3DtQ
1+3O7XjR44zmkxxp5aCW/KPrjRE78PvYhq3cyFUZGyxmZJ2dfaz89mEx++14Xo4gPbX7cx7PP4yw
KZM7xgON+d4rTnghQOirKfRxDdCRSNCBOeg4IZUDSF8TcEPgd4i7hjHF4Ld4Q8wOgl6OfMsw4eDP
GZZ+u58YihTMFlG+vBD9ipjfzldo1gAwFhgVXZ7LRknmlz1IBjHK6dAKCx2dsiF7NrybtH41N+4n
yR4m2RvRB3j8Te8qynrQqMs040w/IcY7vdjc429lUb6SA0pfe5xfvWZSUZ/sNOXH8UrEJ6Ag9oam
FmsvVe/mPnTXxpT7QL4fJ83Fn+adhEv1XSl0XjPZrhol+8oaTWxmCJ0+jcd6o7jPkDZK2qoFZtMc
xrNJ+pFF9+g0c0qvIV7QFNe0m2ikO1EwfRXqh9XAk/Ggsgeifeiy5gkxPQFRdCptr37TYLMxQyvW
kLQ3eS+fK5XcL5OQ8nUbqgVNGsl+Azw1duUqRD7FuCN14p1lKsQmNto9luFnJaUpim0tz9kjdUWj
+mVaH0iNi8AjiZ1mILjM8+kl8uRHGDUtU+PqO51fZz0bkKnFX2oSM7vXn9wmfpK4D0gH7rXNcPS0
jWpL76MfF9pgRP8VMV5aUZDbof5bAkfoVfstHawLuswXsFEnU+duhUZau4r+rp/NNJBIWvq6O4Xo
Q2hNTVtoHfBS5zLeTZ+23Mowf8xK8a6JkrlQP92aqeIPAs+gTScRkwTXbpNBWEPgoVYKGqzt4Ecc
E+u2Eqjj0g/Jh7Rqa4Qw2Cz28B9h65lMeXv2iDEp2Y6D36erjka9aQsrvEON0gdD6KXrZYRsjwWG
YcGFQKHjkOfg2AmM1+AbIeyjHQHv4KWGTwb9a/LzMUv8iDQf325VGjKgM1VU9kGn5M92CuRiXJrT
L9Jm6tskGVZKBBGJ/l0p4EoS/atr4N/RcF0L1YKw5xQ4ZgTlWgH7MtEQ0rg5U614Au6DSoGwUTLd
p+pBTZtL003ropygAtDo7GhY6QMvONY3Xof1Tu31NhgJ1oD3V98wt1ollW36hhOxb43GfaWxKBSr
MoMcgV6E9mhvg5HV9mQa3Tg4mJFNVpcio7FlOPumsT+6pA6q0byNXSDLJvG/sebAqwjJYRdDiP7D
HQ49k3Vs9KbfsOoGwoA5aQ4y822F2Q3iPtAuVgkgx1C+3IYBXyjHrZEYTAYGNEqOvWXq/Whij3b6
wgSfo2+teThncUnmu7oxtRwheow8ZGrytwR2UqVUr55apQcJIchdWXVzjwb4sbDy54kAKd9su8e4
nb+q0X7RK3Q1tIYLMqLtaDzPRBdlNFy1DimrZtvnqkZGQ6w1bSOGMrbZ7bMQhUoCRCZRcJegVHtj
av/uRfmjXYvTCAoiVQcErvmuM3Oyfjgm0p4UXkFtYIBZmBERTfjc1JamVlbrt4nS+kbL+Uk8hpXv
2HWjPsyZ9SUDcYK8wjXn5vvUj+9Rx0zQyZGEuhVtgoSJb5F9DU7yZDTjm2zmn5QhrSQfd5bJXpjF
I/NVJnJqdV/jKhWJwnQ80/hixA/mjCClmhMZZJoBdw3Dq+lFH53b7SOBLYfuZlC6MNuG3vnpzG4m
457BOVB6UHMm4ycVuYViDmSwYKAPF49QX95lkcouCWFEgClqO9re/g1i0tIgc/fVyJgek1q0Viaz
WsUJa7Oikxgo2C+HCNpNR98tOuqmDoHQONmxt77UAuOROrwKXtRerV+SGqqNOuXPXquQTS4fkoUC
C2WCjz66aCBMK0vf9umwGyvS4HcdLeSOj2XB7+IMwXK1GhgTksjGYFA49SWB4bujIxGo3WT7o3fK
quohFxAwGAphUlnAt274k+fjocoGa12O7QuqkJPu9bfCJSFHDHd1H72T7MYYhFjVNWG0byQ7oj/A
7LnuZppaAAvB83BsZKZqr7iIAZ3X4Cv1JNUb6olTcmuKad57OJOr4oI3ALUNZiA8M5wu4sXuacvN
OWiiLqpu8pQGCS4fPk0TPadRRI+Vnf/Ui3Gl6PMB6bV4SmjE79qYqQqCHgfXAh4DdOdlJI9It+IV
GsZ3bDCkMQh9Aw5143TybLTAhysiJ5oQLX2e4PlitG4o6AqwUBcZ6lQ3chQIcRZNfoMP2eFjdBwc
BAUqK1/oDlFEeNjpszBZLR7QU8PRyxAzoaFeWV2b3Pcy6EO7f2SBo5K8877VUYiTNvXrrq8sqLD9
o2JO7OY88Y7mdwXQm4SVQby3HWnS0mWqASRJ85DMgagHMluu86pqfGTznDwUYQ2awCZifMasD0Fq
ke2KWbp7d85fwLZ4NSs4IUHowKmNp4HTs5IshsnJxI8lo+Fm9FIOlya517j8+B3hP+gYMsaEzSlK
ql+nS2iPa4zLM+Mp7NwLgpNPbUSVMrcdpTcmoTBxN4x7z5AhjzbFYkSTTXrRhRJkibY460n2TK39
7NpGvbYgrCHTHb/oSjFsceV4cT2WGnsiOEB8RFBFUse+U6KU9rjdIN0GRFUPa7uld2vJgmmTDWjF
dKnB7NzcpFHyKzee2R+tSlsAp5DXNOI3rGoINB1k3FQorK0O+2Bb3GJDZdirZLcGvXFmrp+0xMot
Y7abhqQkCtpYbtHlGh3zbc0tocFEn+yUm7WVNcheNSb+JOqclV+dQLOkyvahzXQwiftjbV6KWjWh
miEmzgsK0dmKENxl7trDlJPO1rkFSFEo4ofRjuGZp2QkU6me/AmnNIRFAvII74ICbCIiad7IYTuI
cr6fDZozsn5vTEDvo4doTK3ip9pEMjrW4ZM7IKBtYBbDUcdXY6YYwF20HCoIAcQpjFfmHVF+q6S0
PlJRAJgaprUZ2Qu1bHrUVcxLKWdgzCecmUm0SM5+yGqWft47RA0GsWajBBnf55G4hY5QE87Sohia
oND4nMzBvERjcZ6wMi+bJJ1yrDt3mfWiwBgwsZEhV5WvendUtI0NHHrFXOvBrMyNNNmOcZGCQ6K6
+ECnZ3fx7g4hTPyMC5tiHI24e5Ox8anbyrQJdflA/F8w9RrA4igntbOlIrQ8jv5KmbyAwiTiDMko
qAwWCyR9VWb8GowrVvYofhhqX6+bUPUsaHO6epegrl/FjeNnHrN7xeMocSz9w3Ldn4T5ElbBam/o
w05OOjAsXbtvLA/plOYhKjawzmUkqfAHQZIQU4UAazeS2G0CTF1riCIdTbrUAdDzNA8JD+KO11Rr
9i2ZsQoCxaZC9Eci0FOal+dYtQ+ybfy5on4eeo8ZvKbD2csXy1/qr6puvtAKeK3Nb7JQvupiTn0G
VvjEOnHnlMOb0w1fCTkbM0NtW9fe0Xdafm0M2bokMDYcW2x985J1xMFTmw8yc+4Ew9DVlBZniWNJ
YUa5qlLvLbXQn6B/egz7e2GqDELZuq/ghC1snxAQV3nOLfNkakw+AV8F9jxi1FCdm5pdhwQs4cdM
Bciwe9Kl8kR8RrmJ4ukeh5uEEe/cFSE5mDIN92y1Xl3v3qXXjsikAHnPHHnd9ykFNgWm7eBLSvXK
J3fngGxsJVux7Z0Y/RCu5/ypwQF6UNNwxzG5buvYCIjzZScmEbzhNygDRSeWzT10EaZLrcPnFyVz
4BEXqpcOiEX1Vcnzg9sKyKkjQchjuKlkjukF8A+Sqv4rbjp/IsOG+gJPOAXGAMCJqpLdF6mR2Z5K
2tori/JEEp6oVdLmaeyAel/B9+G9QvtBg+em35MTv8Z9HEwThmQSh4x16umIrqaXyiQ6ONThYuru
qpTEDHe4WuyU0Z4pXrOSCTsE2sgHfo7EzCaaovOAa7YwOz1nx93SRXxlZ0/jyOptkWi1qQdKDmn3
a8/tiGOMRYlIyDuY1XcdOmDt4vrSRwBjMyvB9Doe60z/BASxI6hXsGlDj9z0X8kwPQHNrjZK5Xmr
hjM+8BSHvaHHqQQK7lJOGy/HrTolEVrPvmHyRbqwUsEGbsLABA27SjHZ+XlILyRJvqswP6kOmia2
YBbbegsAd9Lt4rHqVy519qqt9O/BwNSRPwFKLrcI394d1CzOPNI/8Yp9ZtTfFTOgjVPl32mO1XeQ
xAjo8WWOEKo2fFl3y/xenW/a2Ns5tyOrKafiBafyR6KHG92SvyBZLuDt5SrhGqURWllI59nTxuPU
Eqo7N+ziK6O9ka2Jrozpn8P0KvP0rbK0wuN6OuWW2gd5UpLajIDRZti8quvhmXMUNYhWI3IZyMds
o2nL35EXLCI/S4k5ztUnPKiKnzD9ezZ1tCNAPu/6+NsbXxrXeEE/8+gU5PMJqCsWOgti8cJkhagD
RRJaSjKFDQpezk00u1UDPtHeGG+qreP/MJ7HQih8oO19xYe3KgfjTsmzye9N41XC/dCiQfozWi3+
M150wkLwGM32Tlt0b2YUd5TCKyoAmyOLf4eO5qwRRkEfDtej1G+9OLqrf7jwhhFivsY4jbG8A9MX
rWw4rat0aJAQqK+kVOqrSa8uVj48jugUNlOc3KaOPBkeOjKXmSxMxd5nE3gasHmPk/GgfSCl/nBw
LncqB2ZmPTux/aDbAF6j5Bx78zbrsaCQ39u1nC0R1ml33HWG+ip661NxkITwvvaYqja4cWnGgFtb
OXMCuVOX+0ZcssY+k3qGCDwp1m2vvZHajKdEiU5zi1ZDq06ZDlVUkd1X3YyLVuA5Fw1ahhi51gBQ
R1UtxCIhRwtVjCgrbzeruKksJshV2H+WpryrYzHDB7DY04gHJzePiCyIS1AwsURI7V0mlrwwRfHN
Iv2hANAYyhBQaqbVV1zEu9QiWwpvsZpZ37ELFpMZYw0BlHzaMSH/s4bpmhFR0OT7mqjiWag1SdbW
R6Z1h1ZnEutZSZBm+G/T3viMw/KuBZrJSziK+MaBhtDNw6mEjbnKbKQbCfiLwbgPewV3Rvg7l8qj
vnjWcOw8Ktm7RONgzVAfI5U820FH21nUvtFrX47o97qXPEDEifZVmX334fJhx/n7pMmXrMSqUho4
jbuF+JgMoPuGM4mVD1goPighPtRF5uxUcmPV07uoIxJWVRZypSBZPp5JJ551B3mzuHYqx+3IJdM3
JlqzaqIfUK3TTYjfPSxBy0z1VOTRERX0feEOJJSoytscDSe18Q6xV551LuFAUbY9YdcMrnVUNX2Q
DMlrkrfm+rex6i/LyD/Dug4p4Ku7QmlWSNi4uNi4Y0LMH3ZznMshCLG92nT08kyryYEvHhBDrkoH
DUmJ+mUasDDFWviSpqhiLQH5BYrpMZlNgzE1Ynqy0Ld2Uw5rdd3PRGI6TpJt5sg55lX5YZvNO9Lx
G1mELghE+8wZ8oLbwQkU4XtldU6ES5JMC1Z0WBKdiXY10vkCYfZQ5nLeNpYRWALSD0ueQgrB2tU5
u1BRyp0lUZgveurRxWK3vKna8O5Hh+YNmCZ25VR0HMUlSN1nCDLEnla3bdy/xhLt63IIzlOjr0rK
o01kc6DQy79g99vSEX8F7H2hc3sTdqHKLkEfuDppgZXWhHUWD32svxUj6bRVH1PWDvXW9eYgNnsW
xjJ5QL3AOqzSlKF5XO/YjT30U/Fa9+kXu9/Hwe37vYMfxCjn0Icg8GrVp7YO3ygPxD6GOYrIOmpP
imsGLToqIoKtDBSTvmsVk7ZeOhEzrDfRqZiUU+XUyoW95stY0NudhbNpCSn1UVoM7OkR4mCoWQJp
82xXtueyUhgQ8AAwrJQv9r2rSchHMwnd3Tgrl5pd+T4qMpqYbnSQycCmUWk3xtSBBUwR3deTtZ26
QjsoOVrmZgYeHWVEf+RurG6LUNtOhDTvLcVFjj8R04wDrLhXpg5NDWSO7fXHP7eF5JRxXjK+Idgy
ASJY1jprVW+xjS+qLZmaQNzHV9dMzgx+xMZ28FQ13rSvnIKAMNd5t+kjaxioV44hlB3vZ0N238oR
ZkinTyvWbG2e57zttpIKvR1Yw2RLAzLpH+qx+hA9CKjEZvWZlWFvatLbOkQFObCfp5zRUEPfeO4a
qMA4NpG+5m+KIPasMijt7UH7wQ3MSUOFXYThp5GaYHMgpfpQlUwPizwgZd6TzWXJBdk6LCUb8X0x
CCMndL5iT8f8QhzixEU4FOHeIBpTNelY9Z7+4mUXgRQBj/C5WZ4uWSYwhq01CETficR5dk2IGG65
M/HfrOWUnmbVvi/qmzoFw4Cy5qGMcLhjZNq3tUlL07nBw7hqHfe7HS2HxRCSl5XfpcvowFMK2oZj
ezQJD8AFYXBGeCUJg2p/EBLdYxORkkGan09xPXBaG/tSmj+earF7g5+CTrzJYjqhdkhaoVN3/4e7
81qOW8m27RehAwkk3Gt5w6ITRW7pBUFKIrx3CXz9HQl1H+3uuOfEva/nQRUoJ5IoVJq15hyTK8sm
MnPGeAdC6qFNx79U0bEcUim2Rrv4nJKlu5HGfIwob5sOO2U7IsOHi5L+ANlIQWz+lczeLYg+UUGl
V7PVXgQ2nHXilwyP6Zdieg1tbCmjzx4tjpDHwubeqJ7kZVWhzAhS9s4esjwYMsc0McVbFjBaEzrH
7pYSCzQo5yiSqxyovrijJDebIDGzeOsKP98bLQaDUYCgiAxYYb51TLQULkWRyYcYsWk3T5LKIUUq
dJqUPTH+Ejtu8RlbtUGeH3xy5WTZEWUQ77KuNr2wg+m77wuGxGKiVAn3mVzoiHd1mvHWK/Zwhg1h
qcz9bea6Yh8u44vIKxaqdoOzGNLPBqgr5IufWdo8tkE5nfJZu4tyPCOWPPdFPyDdoTHVLRSfPC97
HyjyMdtUBmZTKmZ5FZ+jdNQLaOub4+J/pVoZHXl1+2gWaJYmC3mbbj2F3xsqLBiXCLKN+zuMA5gG
MVRGOTQ9FiNPsO0bIHMUOwfTCI6EbBkaQVMM9T4onZY1P20Pd5z8M3RT8NPLQMgwGLVDYEcZDI6W
sCvalqrNhqemoAnUOR0fzVSRp5veIgeuwkDdRuXIkSfKmqyl6nM6YqFhN3WMG0Kwab6at562O45S
BjHP8vDYJLdSmg9BLe2jNIfmAPzzvDQpBo2MDFtLguSLmByiSBLOSb0dtDnK+Ey9uiU+ULP/SteM
z78kW2qhIhsmXXrJK8rq7FvJDkZf2NrjoTTtlnShMrnrPfqnTUvRvrYVoFmuYhhgwAJ75J5sIP4K
gnJfOnr9WfXOdRnPTsZImifVa+ku9gnPGQHSspovstM9odYkIVQA/J68rGVdmzsbstnGvYy5LIxJ
Wlf6jUXPF41tluu8Fjm2MU+UITz9bWlBiXAmnWPFV7Srff2VfMgVP4L8S74QOVlNcL5tVHTNHf7a
t97l3Iaid6HsZWho+NrvCvXauvzFpKz6WyvDYKYil2GNlozrj29O4Aik4MWdT1HyGlVPJiUUriga
3Xwq+zgjt80GibAP+dming92wxAq9CqLUBM8hT5K8DQaT5KN+8Y0CmNvDRLmfL+xY6c8BMgw43jk
5zXvpiv75wK065jOb+AY7urRG6EmpBV6SqwV5UyLaAEgoJKFFxmfsiBB23Gij9p2h53nD5eIHiqF
w8AKWgAWlM3d+qfV55yiOX0ctVPXD/3XPB79Ez4l0pWbut70aFB3VtOchvLallzJTohrii8SZJb6
Juee4UaV1tmzcHayrHC45mQtfqrIeTetz1EtoPCbp6BO947TPC6da166BGN5F76j3ePd0nIxdL+E
kKV2qmbIzFnxuMY0AvNdNi7+qZRkiy42vgWt9JEqtOaW8Q5JgTS8fb74P+JM0tOh7bVFGctaY2Et
Au06Yl97tCrGyoKkiR3T9jm1w/niYsXZAA7H0DywmI0qdTBq45jXyZfeyM1D6z9a0mBhaM6vowJQ
1ZlUhVX7tQeofnQnfHdR2YEBIr/VJQKV3z66xV3/LXdpkdmfFlmGPrt9NsHMiuOo3qTFdoBcWsbn
ADx1emorJ36IKlwJlU3bgLXKRLhJW43fgEeg6Sbwe8jGjRx+Tj4FffKIc0ZI46WnKFBZhNVHVulS
/LC/jiHbQ3JvCx2l+k5kM+Qhb4YclshzkaZPhgTX7zvQbbyFiOkqoH4tRvZ8UOMo/tflL9OePnpi
CI6FO50EY88xKytYn/kHjvKQ92IuMXx2xpZHTKUPXR3KAI7a2smPsQ3Gc2l2GVH2hQlbqA3tRxI4
UrLFubZtAh85yZu5Dq5cR+VWEPdMKu403ddYs2SLkEWBzoqH93muHphhU1bB9gZTSQITlSQ2Ykjm
tOrucJZR9Q/S+tFc6p9phxakj9MvlkmOWtxQeo0rB0JfQ+EEA93wQMxeUhg/qLVP343oRPdVp30R
jtPRZltU+cPz4IN6hBRlbXffaGdOKszlGEG1e0j0jUP1rTAC77I+hE/lx+hQeagzl7+2818AF6hT
gUB8kyGBoECUHXwjgCzYjvOuJoADP7R4SYck5Tow37o6nnbCsoiIsE++i2dMLsFblMRAZVpq2lVX
ECUXspEpJlItCLJTVXNuVPcyevVytDAg7UdgSiojypJBDod1mzdHvjy4iH0sSr2P95cYZRoyBmOs
i8qenVdW7e22G+7H2n/OS05oueBXrUVLZFBfb7IEJCXvRwBv9LQ3mil9aENSRRbKjDgKPwgfgEnq
0ZZPB/Fquw2xC933uinDY6wwWFegy1rvoaAjtsPCjpwY5XxYG4eRFqvIjW5HstOvFNNW6I5Yw4mm
bYnALAgUGpPwHijZLXLZq7AtQwdbw4s1MuoxAj10UNcsctQvhlxgbJ7/KOz2qRkyyjAuJI6Z/qdk
XopI3m0NvJnh+JiS5XSfOPa460vS2o0c/Fsj/E/PGfEe9q8KijsOLpYb3ozCtpsZn+3lp1T+qbWh
s6afHtGn+6XIfzQKkobp9az9DFT/5RxdJ7v+2maIKXouLqt7URm8fBKA6ATHe3TmX0UG18AL5A85
tvjkbQFaLrDsbWh5dxbJ3zn9l/0YERyB5OdSp+qrWLDwRbVBt73iBHjyJ9yA4xCTnETx9aBCP91N
af4CIYK+qYeTHxk5ibDzw2jTPXBk+C1+RIHCqLINp2U/WP3OGNsb4LH8iCzjPI/hQ93RIPaoRWRC
IdXx+D+xQb0VpfOrXdRNgjdglbqLQx2tziu4Og0EQd0hk/i0Mr06o4/y4KYxlu6sw7A52qfG6c9C
x60X6osxL+I2oAWyaodpIDnBpXBYvNu/rMweNiWsCKPqycVaMiYDzpvVbIsG0VPrx9eeXho1t3dL
9v0d+k9Ge38+GH0f7Do4yoGMuVqSJ8KxxDZirK/aYyfF2R3JWM4AJO9zUX/PXQIKQ4VdyTJ+Rc7w
nsnso4eozNVvHaeGz0Um0xYfVHZwlw5cLUXIlIBmw0jpoNn4+awKJAgxdzsqDHRsHU7ziGYZ4RMj
7CXt0698/s/eR4tfchdRL6BMS9G/C0x8h2yrnOiX6tRzZ3m/6rx/8+fuC10IKKQpAYKG19N3xl3W
hGwHpNDqHfqoBp5rV4I3MmPCgQZyA9nym3SdvdC+1o34EDoxuinRieluVtlHCF9yH1hYWZ9H5V7H
9jLb89HjG1Si3isYuEPX+Mseks/WwokNy1odK0DNU4h7vv1Vet1bUEdUo8vqoZEHETJzMqYTEx2c
CjneFEAJvLMTzZP94CdI6kxJEhQL1ab2yD3UNhcGn5+e9YuGpr+Pl+BGHhDKJSF/kDf9hFk4vsAQ
uihnWQ3ltxpAGAv34k7ns2RlUxz72TH3yOYcVhcQG0v3KCYV3XV93RyirnnGB7Y3HUKe6kxeWjal
Ud8YGOVBDxRB0zPCYyRLf8UQ1zAt9Gei2Pm7wSlKlyoOy1s2YS4B7vOEBYIsBCobW9WVeh5MxF55
5Utct4/2YJM+6m/5NZLdhI9251Mt37bU/FyAuZuGdvk2mWHoeXZ2l7rNUwTrltT0mo6VoomhipRi
VX5segNASf3QL6aA2jwecE2AV8tYlNXdqSpBfQzUhJMS8k6vyr0fL7cEfjXJtE25N+v+EvnpOYxM
hOoojgQAxj38GpJRxr9yhd9l7FgC9BEcOBb9ACBIYIcBmQJWCCIj2Rmz9e72zYM0e5J+83nfC9a7
eY87hHW1sSVrE9b29EgU00ctr5HNqKmSieRb6zNA41BJB2LlGPzyiPqh+CUb/5UOylGVEb2S7Eo8
JExVlhEkUTx4qXqIJyTV04DaQ5zrKC8OgvKAW7iPysIMR3mqPdaNeYErA9qstd46Be+moWDqFGBW
+jHdBqV7Xy72l9BOnyVjysH3hmPWLsegFpeQmVz66XaoaJC5IJPSlGokFrgUiwSxx/YOGSX3/IjF
To0upoNnbPbFOalAVY/i4PU9qxKKjUFJZENt5HdStT/DdPyZdfQqCNYRzXPeDANfmhkrTPUXuvuf
iXJ+DWO1DyGdE8RTH01D0S+bARk27Nrd+IOSLA17DGQUz4wHu1peYsd7TT11Mi37jCmz2Rm9RZ6V
ofGyaHQGJkSnw2t794mWek9IPRNG127HQB4cMkJ7c/pAsv6YZx/S1oCD7ExR9wlLGIHUffW2hMGu
BX2A1Ul8DSpym5rgWzwgbafTeWeASSBQFVBgVKg7p/C/4LWiwF34X02iToawelhR/v9bgzotaQXk
av73YQUPWf6O1Ov973kF/3zTv/IK5D8k0zT9XFsEtk1b+W95BfY/TNN1PQc7vSVIIPiTV+DpZzzh
uTjeKT+5f/IKbPsfrnAcBwUxSzPe6///5BVYwtR5BH/Lv+ABm0DLIBD8GsLmx/H8jz95BS2JZKWi
GnYxEl1inuE2zETPa9RSDj5iaklSpJjJUKqs3WB8yXz0e9UgiCnKEMHpIBeCmYnhxR+NqhHQW9Nr
iK2U5yA00NFKkoikvJRt1NqsL87xVCZXQrZrXdCxAexup7b/UGgR2H6yKyySZQs0cSdngTgc0bZ0
A/+y2EVwARU6Mr0j4SRtxbvUbNprh/olHU5QXqZBO7xT3mU9+nNDzhtgEHWZoSE4XmCc1qesiMyt
329qJhBYoAFJ0TFQnOQzQGKMyr9v8OpZ4F/CYpc5HmlZ+i7qa/RiS4cF/L9evD6x3iT6JevR+r+s
R3PZ0S5zSgS19KOK9jPuSFMy/ALfipkX1/UGhWlxbSEpnpyUyJ7ZsjBUGNbl91Ff7QpE+Nt5AQIO
qKQ/hzha0mXJr6AQKQAFgYGJNQECHt5B9NCcCNfd+GwIr39uUkHKDlOcv52zMNVVmdHZoZZmXnKs
Gih6cteEsNU7WHTOhCDNSo+llohoKqg1+T+wf+fIZZdp75r5XzlLXXr39Xcf0+IGbe4TwTqYM2PX
pwbp4yUF2AlyAx63b3xDFkwfYcwPI5JgBA5qOVVucWczrW6mdiDNR+cwRL0lbmqa0YIhree0sX4/
pG16MuM5Oxs+2xKri1BZDoIxbP60S1HexiAn9HApbjDiT4MnySmyh7sQ5l3aWx/RhCw6UXhtS9O0
bo3BXdH24U4HINzqFj25QYFtA6f1CwiincqC+Q75R7BvnQ5dpuHEN2tsuTp7cHUTVKbTJO0Tu9/i
XsYBxruiHY/2FCEfFRl7Qaed5iMw16PCWkk3j0KnVdBR80J5x6puU02qu/qsFO/MnJoAzJXX9bmg
njh7EF0LhCsECfACN3X9s9UaR8Gffpv92b4J/Vv3Xfw6GtZ80H3A9blFv8BNigeUQd4uNpevbpS2
x172CK6ycrlrJ/6syU04H+y9A8v44S19pBs34jKRPnV05uHmDi3f+U5mRGemtnfo3O7fHpvab22c
3Sd9tGxzkl2vhhXAZ6WxYZXkc1G26y8dPxx/uz5cH/xzU8a0qhCZ0iNFb+AESX0Rkp+c9vN1vWep
tiYOtwR4vHiw6KwI5Sv1nqZ9Qhj1lepUxAhF8Y5KnIqq9uIoviyN7T7mkWDeHcj7AFtKvtp4b2fE
ng50xsmEbCVVqIQSPRpbcfYVoZLgbSiMWPvRL74Dqy0ukzWPpypw8V4C1uBDwv7y+7D2QNoTFHky
wxqPwQ/W0ONFDmq6WPpmyt+lwyfnBzYeER1iVnS4ntqRjDeq5qf1oaDFkyKEHPetLdo9QwKdewNw
dVKP8Q6uF/WmCpR328Cs1G759pJZaXvJ3fQHDplxjwGnuaT6Zk6Gfx6tjxG9BUgvB+MtWDl0oQ89
W7inondB94/00mRNNIIXBu8oF9G1RywZ119pKaJ3kbSsadczOdAWrXxlUCrixJYy3yW2mk5z4DU7
Sy/HmcZaitKorxQX9rbJY2trknBIzwH8rmeMjA0Ys1HM4+G59Gbjnt3wIBNruXRmaV761C5OdgKA
0YlOSdkcc6SgWFrd+TCm/Vd7md1L4/vqYFXlixty0pOx6TcFGyTQdQI7ymzStKiAJ7i9HYCScVnR
zXbAXpzWaUS64NjEByeBRGKPwTlxtmjhnZOB5gw9ZHmBNstUsR4O2jjX6Zv1aGr8je0n4CsqcEIY
lfCZrhfA6t1cj2hSP/fmUB9Cgek68SGFuk7CdBVUCOrDQU9eeUjCS5hqxDsa9yTtp4vRZtNFlhIe
M3J1VI72fLFG64flecRKD6E82Ev35MG4AXHe2aeBelf3zel+UT+Ha1pEM4gYg1kURBpW6UsZ0EtW
IqaJ67ufiZ+2+/WVMAnZkNSUzddXw7ehaBJW6CwxmXlFWp/I5EtODvYI/BQNadjnpJg8MDDIWHz0
o6RUyzcLqAsByOf/+NvXu2Ni4qLNqLnMlAR+nwZUw1t8VstpPSnrjaFPh6PcOxDXH1Mp0Fukrn2R
o13undoCeLAE5sUCOLdJG8JkTa6OTF+gmVPtlnlB2WPB2QqbJd3EBumJy73y7IpkPnHo+hJLatne
TU6VHXMLie5ADXU/BKnYEbdCf0+bVtFpeInHd0SQpGeaB5wMyWUOWAWYY/wFoqxxGAqM1EE6QTlW
oGhNpGZoOTnh+oYWHgNYVZroBIB+74MtMOWawGRIaXw5LkQxb9IsCU+5y1xQo72oLSyxblL//WZ9
rFuGJ+28xlnDYLfe2P91tN4F0lJfisRgHR557A0q5FxcZqf12x+ZgtFgPVxviLML6JJ6DsWb/i6N
Un9Tm8ibXQWver3pxdAdiYT+PQYhJ7q51Do3ZYlAEOrag1G7ZKdI8/v6c9fx9s+v8efuAjngWLoQ
FB2fBSFqtbD3z7+9xmNDdtHi52+dg4NtpHN0WW/wbshdV3BGKjOSd7gcKKD3zmfB+muvYiO+Uhjf
LWWtTlb5QtYgPL5SX5kxnfiKuvdCgKx2dK/WVmJMcPP0GOVWh+IUNlhSMA6MsThYU/Qth22f8sbE
b6ZD58HU2xLJeCXLNMO3j7fVyv0SOpQuVK+HJOSWl/WZP0+L4tQNg33+89z60vUFaSjrszd+t3OT
MzClzgm3xna95+uTkg55c/lz9/eRramfE0N740Zivz5GeFTFiKXfUute4TVtqqMsyV2w+YtLq1QX
mebmHRS75c4ZgvNYG/4xIrNmn7QlslLUARCRkAjoADARBE8zhelLHlnVZT1K9VGZtAjO1sP1wT+v
+b895nVqQgEbZZjS+b/+3BSl157YsdLv+Nfj//H+9Ql3Cf/5rkE1xtYwqKGvX726LuDQrIcIzkrk
jMrSC3YS1RUD+qCqQxPigVE2zK0/U+ifu+vRuEgE6OvT6/11mv1zt6AzQPdyvtBvhe0GqhNQG1MO
uCWY3qPGdK/3J/09cqS/G4sO0GIsgvay3mAsREbh9wO9qgbVlo0rZb1RBIlB4SRbk5og1kcBjo/6
K0pWeD5AlFF4gNGpwu6UkNNEslUHxuMEoF+TkTR8az1UgZ4KyXSvgLv/+1N/exX8FMAhCtXw71eR
J6+d98tqwofZAYxUfxvWo/VmWKkA6yF9BOz86yG7FjhB6+GiuQZihQCsh7OtkGf++V8s7f2uPTXm
tBtjLKcr3oB+DuP67//874/8+S/DhOXR+j+ujynNMcDAtj78H6+KVxbC+szvw/Wn//5F1peu95MV
prDe//0T//xXpiYwWAEK7CsCEgYIfSLWn/0fv8XvX/vP03/+9/+Hx6rimnoNdY4DG6HzEs5zx340
ieTWcnfNvqvt5WRO84sqpYLDCVtfieaeNhAOH82wGIFZpJpqUWm8heZcOJp4UWr2hQCC0WkaBlvh
T5bo70iQm/2iiRmNZmdUFi8XmqdRWJA1EhAbSrM2Bk3dAJxBAN8wIyCEyNFpNke+UjrAddia21H7
uHwXzfJwx/EFc8i0G8B8AK9aNmQmQBqDnAUIBONYu0kt2CCZ/jMlUg3EZ90h1wQRl0RgTRRpWJ9u
VZ8Stky5EtoH5JFRM0hqYCQhEmq+vgh+CB38ZvUq2bvuX36KxN/TLJMZqIkEbjIr8d02ciRBtG2w
eFoNFJRF81C8wb0UfF1OtLIvq+Mz7+S10hQVG5xKrLkqcfxzmj9yYCuppq6Mmr8S4f2hp4gZ3I7P
smFDWlZwCG3IQMBbRB31fFTUdLto+AlSh4CDwCG3lIpECvwlQjCJRxQcDFgYx8BWqwsYxczcyls3
QzY/Z0i3bdyuLfXoTjNmJLAZkos+MuAzyHGy17H4MFEKDZpOQ8Lde9Gy1m3abGcjVW9mSDaVZtpw
1G6JvGPHISHeRO73RRNwpGbhVJqKA3U6om8MKYdd9lG1sHMKTdGhZ7FtNVcnALBjatKOaqPXDlvN
NcMGj2lp6He1JvOUIHoMSTVWAe1Rmt6TaI6P0EAfrvRLykyNFgEXshknNCcB3WoOUG0Zt8VlAVqw
Wi01K0gBDZo0PSjWHKEJoJA/oS22QQzFRSOfE+l/8ev8nsY0u3ctkSZs+YGIlSOU1mm3gCwKKGfQ
IoBilGic0QTXKAJwRHpz+BNB7B3/GiJsoSB1mocUazIS7ZZuu2haUsLaatPAT9IcJS2HdTDnBJqw
hCugvZhAl0xNXwo0h6lA/FsDZlId16sQYbWVtXsc8dOIKu/2cpq5OIfF1pHIPZ6yCYg7NdBINpeu
7z+QndYX0mbVearfDOkzrEKMym3YUSkQKUfTpIBUODdfE6bQmTYbS1OnpAV/qgFEpaWTUKmMHD5V
CaiqsZ0Pp3OoN0OwqkFZ1QxR2xlIyIYeOxBNtbRHa5nGG/GRePNnRFrsIqVVkYszFkwHpLeHrbqn
Ly3xxm2nTDy51dA9zuWnuSCSnTv3ysgKtQ8Kl/fi3TWay9UC6MJ3KilgGT8X0F30AQ55HJ+COqBP
m/rdtkBxeUTNi5NHs79KIGChpoGBFfriaD5Ycx00LUxqZmIDIwV0F33zyshp1KDwi0hwQ4dSsMzz
95NRp5tiDJEqodSewuEXi9x0IxXshZDBqSogmCH7+C3kKoCbFZpyVjnpfYP+Ze9G2fcKcso2DNSu
i3PoYJqS5mleWk/dx9IENcANb0VIJb+lM0n38kRP4Eu9UtfAr8UeHLYeIBuhQc2ToWC0pZrWhurx
J0aX7hgyRm3NuSAHvGePKxW76B6LAdi3aIT/NuA8BQc3aS4cFrJ+54OKS1zr6syIiawpeV+wfEp0
ljRXoxgIpggPJXoZsEyvNtI8FPPQ6OaRE229jmP+WScdGnB61Se0XqVjcPnW75Qp+JvwgNKSy74F
NPQX0HdCM/A6YHiDpuJVmo+XalJeLGHmFcDzCMIDwAFNL/fuOk3X66r8eZwFlEDpyv0U9fm+r5MK
s4W9q9MaPp9Y6n2i3odo+k4Oo/YEfu2j/EL9Ck1Rl38JQP0ZmvlXWNledfF1JjyytNwPbPW9ZgTS
gb0EI9TABnxg5U3+TpGaFdcm9v/x0xflKYtHZGqBhyZr4fJLNKeqq5d7oU8QOoXskEdIMVWA3l9z
DA0B0XDQbMPahnIYaN6hAnxYT3s/h4OYAkScNBlxaHD8RWw9faYq2srBcMs1SdEO4PLWiQSUDmZx
LulwpwngfviLTgWJsQLJOHSwGU0gjZ2mNSax6HbdSLri95EexzasM+9EHQpo+rZzwSBHXbIPzQjE
/zz7CNm2bo+LPtCUyAVcpHRuC/BIpSmSseZJSsCSsE3gCM/+oZ2gcLuuey+AULaaRhlpLmUGoJJ6
MzwavEZs0VBxDppjmQC0bHJxYhZu9kGPpdDDj22ly1sVpzX9Na1fdi0QtiwaNxOqQ5IOsyc3wQDW
UWO3YwwpmqyZ8ol0oDZpNyvWjNYvqyKmiTIUWrZpp+TMUPiKyPvavddx+hVL8jtmr+aicxm2QtM9
2a7eEwuHEj6KH+xR3GQsyiN60aIUjxgu+10ZEFiHrXe/BOg2oz4S51kTRWPQoiQife01a3SImZcp
IDxLMKSe5pFmmkxaa0ZpW6Y2ZR7jWVbA5wsY1ONY04LudbBlhVJWIRO14sBEA9k96rg8SxNRFWjU
BESqqkyK1XxkBfDUWVNUQ81TFRqsWkJYrTRrVQJdDWnuaQYrKz8AHWBZyQa8YgV+9JKmu1aj/CCN
iyYa2b4A2bYJSfZ76FHgwqG9ugPc11BAgE368IeI1QsBBu6WHj0iyLAlNAdZBnXJrtgFDSvY0XoW
jn1xgMwuwGYtTZ01Y/izdQeJVtDMB0vxkVcT0RRNO6H1hmmv7Vw2IFv6gQlFVJaABDE8mJp2q6AO
jrZ3TH3Ub2QC/2LPQRVfRkPw1hrlM61z2LcymbXB45HMIJqxR6J284u1snZNdIuZZR/qYQIBS0GQ
DIdDi6Wp1qTeSTN7FYk3qGPnFzZ7X0BZZncTPekpx3BilIrRPLjFehuyFM8Ou85dBhyYSKzlNtv1
k0C9ezX6cVOXxrVL8SmLluBD07MyMPBN/RSMLbVmgMMokyfCv4AQt9CIKYnHGk5cth47ReMvw6MC
17H3wvxJnkaV+QeqTeVjlJBENycHxMPBd4ajZmOzmD/Akwj2+aDE/Ug7uDXNSxAwgyciUsy0JPMO
eUIHZtp72jtXWfNzLWf1SFB8sTcNoNLUwLGhJ7WkGVC1J+mmBFsNJwtVdFQW1XXuMjQ6KEdhHXk7
cyh/VKn8iQEX0Ls3GAfocVSNc1M9TApE+PRSsiRE2le7ezcfzvVkxsRbQ2+2GRoYEAPzCRnxXQzl
9wGg89mV1HbzKdizTEJrQxokbWCy4ZzuPpNxy95LYVMfKVAGHiI5w+yS49gnuzSR7XkSbXq0AT1v
eySCR0/t3JxmbW8lcErp3DB3fAxugYEiZ1RGGOTvnC68S0nDYaEVfybdLS3FoWB+ZRkZnpyifrbd
LySdixei9sD2Tt0h8LGh2cgnm+ZbN1I4H3pLe8awj4PYLkBt1yC3KeA9Cc3gJg+5J1AGtZvShG4T
VHeFTWWrClxXpsZ4xyiCBJqCTUqIUg5bHuHUxvGAt0v1PGgWuFHhXffUxdOUcAkuvKfRue0BiDua
JD5qpng+8JARIlJCd/7qa/L4AoJ80ixyqankgDe+D5pTjg+u33k1GeDkeMH52BSEL2yBoBL63ecv
cwHpw0uKn3bpkWFaeHjBBGgikUBvqRqLst0vKy76Q0MM167PBph8wanSbPVWU9YzzVsXmryeejDY
c2Ds7HLQyRGmS2/xlrv85JxIP1J5YLpP9oOJrYVVV7avE3yzmbbApMnwfWDs36KPQTmdud/aPh0Y
8HwYctLjyzS8u6p/yYbgSWJwUc1CjUHAmA/J6+gwmdqzep8J5maaDt7GAqaw6RGzVTfgDhY0nqmm
1wsw9hTSrp5voz7QhPuOAlDhB+esNfRfaW0iYPgk9Hmg8acORj4k9iT5cDQ5f2xRCDnW65ROn+3C
rOQoB2rH+EvOCBI1fV+69ZnPjG2bxGsCXOdAxBvEGuaPuQjeskUca2D+KLO+WsD9q0geWda/h5r6
j7dAWxrcZ7PDgEwwQIbE082N/gIX/lhWzrwrl4OTAdxxdKoA2BPk/7a6VRERxWGIkMZ7t3QSQT2R
SQBjKtokOqcg0okF1MnE3WCSYuC6jbr28p7WULRz16SDpfhq4oEcFvgafGT2bs7nB/YuVIIc4wqa
omcU1ukJZj+8LjpPgV0KrskRET+nrJ5DJMeEL8yEMNC3/cSBp5+i8BhZXNqu/Moo8bOheXaoiXIQ
OtMBzzzedJ3zEGJHYX6O7kZy6JYg8ncpnXWURbQWAmfE69q8umQkH3botfxnvj3YCzJ2KSFsBoIm
CgInzCUGXFU436CVdDqRoszIpgiSD6/Fd4B4dd/p9AqlcyySkUSLckGdIygmdm31GevUi5j4ixgX
qSjJwyAt8ByG+hcwx/Ik4nYgHGubEaIx6DQNJtd71ghvNjEbLXEbyJyefJE8YNtEmp6CMkqL6YeN
YbIhqqNlI98MZHeQBfw18hCI1hXZ9DrfI9ZJH4Bo2CET/hFYlThiQmTdp5NBBp0RMpKszApcUmFm
VJuFtdXKKDtHzyp0xsig00Y4FZT0CCCZKvzGyDLpm2rPmDlXwybxpbjLqDAkDoiv3Jve7ab75iMq
LxZX0SPDjJ1PBJ+I99gS3yK0yZu+wxNczszOvdwmOjMFPyHkFxolyr1ZmFaudcKsLElSRk6x0O6/
Un2CVNxAM8k7UllG4lkkMS2Jzmtpp0vuk98yEuSC9qbdwPQe8DNTysuYkefaO4jeRHpGEAxachqT
qJRCD2ZkZ8fRPsYrh8d/wnets2SKXlBJJHg2N6rqMDjPqjK+DtNnoFNoXPF10qk0Oh/JcMhjIq3G
tceCNZ93CnN2i/SJsF8xAng65abN02RL8+sc1969o5NwsJuIuxINl6dTchricjKdm6N0go4gSscw
iTso/O4xNmgKAkNneEjx5cI+HswPofN4cMmTRCUY+fidY9uv9g09c8FytA3Mm96jbkLaasTYN3wh
tXuB6J9BZwC5hAGlOhUIjjLLb50UVPuPiU4OMqZ8NwRRvRdL8DXr2s++qD61psQBj0SQgNiwUwn5
jLsmeY0xYO0sYooyLGGS2CI7Ib9o6Egy8pIfkmAjRyccNTrrqGDdOZLHhYTLvpkdfB+di6RcVMkj
tkLxWoDrUzo/KdRJSkJHKo1Rcmiyk2J3T6xh/cKkebPr5cnDQrwt9rb+nESWBttpJJQLQEiyHRs4
a0vE1WLGSDM98p3AXGw0H8Ym+Kkif/6A+3tnu+c6JRkqJiIqpgC98eUtc5AY5Jgtkyh+pB43bRzi
pTxipixkFk03vbhz+pKMy7NSyVOUzOekx8LcFYe2vXcIrar4E8Ix2nrNjzpmszEZj52zcHmRIpbg
cSwJv9Ib04UwLL64LGiJx7Kz6N0iLmtBTwdzBppg2nymMcE2kl3CqDO2HNLTYN3VjnkbdQZXm0Ch
q3Qul85Hksv4ZPFp2QR3kYhhxvILGNaXRud6iW80FWwimbgggZikY3HoC64Y0IWYwBAU90SEJWb7
fSEyDEAOJQRxM4kSG7rguz0MH2X5MemkMRhndwXRY7SRnhqoxoVbflr8ssR1fEZEleVO9VKO9oJN
loRfkj4+Aq7nI4nM30qddLbozLO0mZFcE4OWp+25bb0vJRZtX+YUCtRZzuWOrKQvDjFqLXFqHrFq
2B8PsaJVXBG45itCudBxEMGWPQXR64Ry2SKgLe5T+HL5j9qkq9R6xjU3hgOSEbKYcOQd2rEpkOEF
9c4SzZuRPNZL8i3ru19FdI89BylTXQPh6/1bZaFox0EdEiXXGPbNI1rOEUW3jaQuVln2/Tha1RZw
MFUkVtoE0/UE1IX9m01cXRz91arIOBf9/GSQ7JR7Jgq05HlJjv+7dXiOa/2POrzHX2XZkXj1Xib/
rsX7/cZ/avE8+Q83sNgAMZNQXvi7Fs//P9ydR3PkyJpl/0rb26MM0gEf655FaEEmtcjcwFICcGjp
AH79HCCri/XKrMdstrNIWASCjCQZgIvvu/dc8w/PYr3MyzYCfcfivyuA78X/9S/X/oNTgpref0v4
/vUfCAyWlxz5h295qPAsNG9SLAq+//2f38f/Ff0s739L7Np/PP8PABD3ZVJ07X/9y7JN/9+1eC4+
CNdxfMu0Xd8i7xdF4N+1eFnusFKpzOk0ZtUT6zdSGnP15GJtQepLQoWA7GRYd9xJACdNLMmB7baH
PDChWGTeSdZ+9lixtmyXFVKn3aOcu2YvEnqkuYj6jT9y44psGPE5tw9a2u0+N4DhjzFC/AAnSXyT
DyIAtc6aM+/550QRfO/xcdS07aT1VoTI18JkpjjDFc17pchnHeOTncXdxcUH44X35TfVDMkZ2ChI
+JY+sZYxCTMR6SCZiIHRu2rX1im4grQPjpPPIrRNozfpZOTdGV5/6SW72UYLdaX686LiRyLhq+Mk
B2SsajhFtv85pvRxtNBXT230S7dU0BxuOVYTUOMq2ImlhVTcBum08FqyOaYWK3RyzIfMJPzDaQ9I
ihngixAMX1LY24yIUqzD1gSCORVblLspjrTmmzMlv+BR1rvSMV6ET6FnXpARxEdR/8gCeDQxGhVh
3/phBjBCocNO3PY2dW41aUNwzKJzAepl6xQwWEKwN7ve9cksSO1468u+Ps+2iW1HpsmnKSbkW0l5
KcVwSx+qu1riWxuzwXcG99YxHP9W+FlOBmrbs3epsH5mkHpMAUJ9GP304JBy44pwwJsCAGGqMkiX
i1Z6MN1g4y4lS0clb67tSYp4cMTKSKGWqEB5lDNJPLPfPosZflGjZ0rLwSkeNmlArINpdN9Dq/yK
2xmO4izueunndx6eNP6oLG8M2iRg0bvbOcuMc1ZGd17JIsZPYvsT7hVyOdzPvpV3ZGBWN+hTqqsx
UH+RvnUyTCcDCx8cHVhMRDIyz7Yj0KtUy+s0Y67WaXPOIuxN2LpfRqnJ9St9IplpDu8n6umHoiPg
izwyTdYFor4gAsCTCnc44TQeTz3Is23ga1IA4h9NVu6aBAweO43haDExeIXxk4VRu01HItcb6o95
FDmPzJexNvyzmoddYyu6G22EikaPpO2IjMDjlJKl7LhOWKiB/TS6fifc6J50tnmvR7s/z9VAl2Hw
v3QUcE7mWFGHqHAUtDUhQHNnvo80J7YsM4Mtksdbitw/dBHyLWP7JEWJWb8Nv6B6YsIsnubY4oor
kls3oCKnc6bSNBV70zbJhBmcdzBUT+1stjukcvOub5kYQ/wMTVa1x3ICzvg1mSF5DSPWnMl+mijH
naJCP0gDgJaFMVPY9q6d8ogcovCZJcfPIJHFBiAn5RtvOluKqIQ6fZoETcy8M1uWjMUvYMLodWm8
gGp0uF5YgZn+AVBqc+PR1YMIgU64aBm3ELpd+WGdB/7K3xLFNrDAilMwIO0z2/9W++WRMkh950j5
3FjNTdugY0L6rHZC5t21S19kit4nNI9uhTYIm1n+kH6xRtT4dDBx29Mnm0RArwnDr646mrdlPy47
e4Bx86zew9rytkSFbOlHAXc+9AWEwAEPfy7caxiQLUFh18KBnurdVLvfAMXNFwsdWTEO9VH7rAPC
sMsOni2fC1SvbKwSOr2pxVoMV9B+pHIK5g1EmEUPN4nQO2XDwSy9h8ZBhViNcX6CKAdfzvWPek5O
bR1voP1QIpXFS2a38lzmNYXXK6E/x5jSqWEyPnjy6AY2mAp73iVodfd5UL97gW53OnPqYwm4qDad
tzJj8dGROEQdd4pP2iGW1bO85tSPNDGTIcQainFE0BvZD+15qgufhq/Xvs6kZpm6e+48MUFjDKIT
tWRF4RAkV22BY3AWJan74MOf1iX4tyqiJVCq6aXKcM8nfhc8vs+ZE2xSlMjkyGMW62hA+N52NFMq
Q6wuJ8ckKce8OIu8pSCZ1HUuWqeUWwkwgUcZlbepSMQOhGW9DNcST42cCAeRuf/dkB4yoZwENYLn
qWvg1Wo7MofrFKyJQFgnwt3sez/c3HrEOV2TYK2MfUN9SIh5os+YfMM7jhInKd66PSDQjaF8LIww
tncoMCF1oqwNTz7bIXMgxbpzAIXhQdyxnCP3i8RKGfZnI2YH7ynW8njjnMj5VYviNQV3A9ealbTT
UNIiZexgBaxPe48o9lhmZOCkj0BJuRQ6MHBh4zw5dnKL324hsNb9ySi4j1mIHAeM2ZukiHYVdAaI
I9PBI0RncpYaHQbLCnk7Zj8HGfMnzIcPdYOeMsf/5kguIvqhGHI/1zTZaPpMMdS0HpsqGCOcIdOF
jXK39xCB6yx4AkTaUX23qc50S5HBHM5zENgHp/IXchDIjXAX8HibFPyNI1Ee65SFhwijh8aaz4Ud
45yvHvArn0vFJTcVPRizMPkyoM66jdAsqz7lVwFpQ197kRUCWI6k8ymXxcloU1T9Foi9WQLGlF2A
uUbr78FQ0wIMsKeGX6PJf5FgTjZOTVnXy9HqscFJ6+l7agTRrnOihI9HHy3p7roIoqv0z9RNxbb2
3khx/e7FJIf0zWsbGPSdunvL1W8RGqGdqlsi3W4YFELspfLaCYpn/IBdoeibg7Fz2eobwrkFCCaI
9GOS9YeOAKYaby3p4sxtEzBO/DasNrB5h+cE9kBDaHW0yHdx6n1j95cnMRORiC/Uz28swksg2ESH
3laQZTrnrhyG13TKoYiNARJ3Lq7OcW6Jz46OCo3J1lT2OSrLN2TwbL8Z3Qhw8QGpty9SNsQbTGRr
jXVwGA3nriqGl1nRzlAkGW6lR0Vl9O1r1E1HLm78YRF8/qricyeNT9XII7LssaCsU9Q1XXpxSHNQ
wjIU2JVxsGfBsys9GqW5T9zCtBdEhQEQ4Opz0+aQjJuKtVXlAAXJPZQvvVgiPdRwMQFdRoGpYcZH
tOhXieh60J0HPDTLy32Kgr+iyEt5k9orHjU9XpoKvdvHYT23ChfXc1wALDkFZI1VXZctErv1sCru
GpNb1ogOqwQNCFZ5IbKLrsj6nJszO1N23+R13l5CwySzYRBoQytsB2FSTmdVPeVpTxpCQg1jVUCv
Wuj1kC6K7Q9ptFdpAUuEXwRLFm38Vdm6Cn1XqfjUFedF13Bcz5OmgAD4r8P6FUAXvuPjaPGD8eJ6
6uM9fr/nx9tZsHzbazURKanqb6tcthyeosSUZ0Fz5kiOy6eYLr2D9DNxL+sX+PNE2moQnn3PpcK9
qm6DueDh+r7r85AMTVA6MOTTRa7cLNrVJgeRv1kfric/Dv84t77DP85B8YD85jSnf5z/eBqECXBf
NbeMWwzkgHrmTeVWJGgsByyQ9aUS2p+363PX916zCg6n/lAbLh/rKjkEycxnu37M+BhxJawfsxj1
a55mQFDXcyYABiDS8rdecf3i9cv+8YZNSrcBPmTyWyi4qgPXg7lIBlfd4Po0ab2clkE2/U1Jma7X
2PqGvx9GIVDstISgsMhMV/34+ihdtabAFJbJpP/xW8uaxdZu1pq7VRTUdFc9uSizc2S1EHR9jPmb
3x9bFNFj+/Px+rdXgtGcWikNGoyIDFjLx7eKitdHH2pj3d2mVW6ebQgaKPAXPfHvh1FNtE0GEszD
ccOvha94UaGuB99XfArVckcVHmL1IGFTY1XS2yLPBmlWcBMBoOImWp6uj8zlqTsoognX53JQKTtR
HPuFL05OVX42ZNBfy2SINiNnUKPgkwXk0BpV84wlumgYSuxu+tLW4TGd5vHRam/cqUkfAyBCXhO+
N2GTXXxDE0HOUvqQdnVzqPxQIfSgW+pWz0UJuC8N8gcoMxFY4EId43JiugRGvYyXbOZEMpG+t6w8
bOqMLiT6DeqjmuyrTJ3aWXy3LUudBhLgHZRKgLh9esDK/FT3mUU53gm2bSMV9nRWEVFqnBHcEWAv
2vSql4KsNYT5J9sumSHFzNrFZ2sNJCWlFEw90ouqO9OjyeeZ9pUohs+DXSQHF0/3jliOdq8y2wED
NaUXoYtf3OHPLhP9uUHXvTEMogqhBWWHnD7TDkZ1TC3hvmsJOA6FiM4TTPBbCRUECQnVcxIUP9kO
K0KrQQarV91nanf1ZlZsNatFPJov6km9yEKnVeW5Pvw4+Y+vWV+Vi9jz4+vKlj5XExCq68jb9bVs
VY2uD+ch6A/laN+vIUrzkre0hi6tT38f2JbgkyMjpOmJX1VsZzAOzVhDgJyJaqSwKHu5qwW3IWL/
+9FcsiCXN0JBVl3WR02KABt773gW4/3Ha2FR1LvBgLu2nquXLb45oaFavrFfDh9v8fGUcA5qyFNC
TkNiM5WlSKVOi44XoUdxqTChc255+HHIAtUetdBnlS3kYa/AaLHcClzs3CMZznC2oNbvcx8vrI/W
gyCulRo+CpdjX/hI0Pne9RCl01e7VYiA/zpVtZW7tVjnYXDj77X+XVTlJ0fU6LQzFgcGIqEbtMXB
wV8+qfVzEAFIuM36uUY5kckQDPnc7WXqMR3vzXJo7OB7tBdzpH2Z+tK52DRz0HrOAXZiIL19zq/W
ePgetapsAjOnnbfYGViXl5f1kVxyu/5xziXUBD2VLWEKuOEuWgTWWPTbi9Trr4x4owbRTiDp/FDm
SXI2wEFVCYtIPd3aq2R74LdcHw15Ph0zQ5+ixeNEl3I6eoN9YuMa7RtuDeh6CcXo9SeY1wGReuuf
P2Cj3SUmEor4+r+PYvIOZeV8choYYgqOyDkYvkxK9xdCIijYmhB8F5uKLZLmALDswVl+V6RFzI8K
MeJ1fT4CfMILB0drr8YIpAWyQUA4BLtfXLw85yD92S0OovWAnMLNT/Dp+ZPnRtMSXzuVR2lmF72c
Ww9thyCt8flzW8sVtn7f+kLvqaXttc4faj32KdCTOOfa+ttXLW/08T+u/9f67f/juWB1Uny8w/po
/b6Pcx9PP97m48f7OKdqbtYwombW+uo1/Hjn9Yv91Vr1+2f/+B5YW/Fptuz9x6nfX2LYPlUTr0Me
hnj6Mi+6+gq2yaFq0jt7MVyUEwjhnql3AeoxNixXH8WruDy5i7RzPVnO44vuuvjgKiWIXKJzsvgS
yoiUUheb3cZcL5n1yl0v5I/D6AefYEPYh2ZWlbnXD8rBbBcsIv8kYPrXM0aAmXjNDDgbuRPdMg9X
ymcygVuCYn/5IcxmeNI2kuMgmPZRgrtNGD5OraJaHK80bILcSi78ChSbu4uT18k5dhvlwx8L1ZlQ
oA6dgnVvZZ1MtkzZCG5xUK/vwSyOBUnPXndsrIxxKSZFAz05Vet68/91P8BxTNv7v/nyn+kH/Gzb
nz//bsz/87v+bAYE1h/Cw2CH6d11PA8P+V/GfGn+4aD68oUdWL4TcPyrGeCIP0RgsSJybdO1TMv7
mzHf/UMGjqBsKVk9OTQZ/l+aARAA/mHMp7QjpWAva1qOMCVhEP/eDPCnxjFi7dHxtXxju17t63Wn
Xadje//a1x4aOMeuTCzkAdbIGh9mu5xcX1kPRj4NLBst/efJ0Yjbv728vrCeK/oBT2FPDdv3cS//
NRaaUcS6c33++2Hg0LbKZIczDJ96RqVg9VpQ3/03n8o6TfW9AsRTO3dq2XuAU2eEWx/qsMSUuj6s
lxE3dRVwRcuhd1F6GIkJtu4vlGDPtUuyjj1G6CiC9NVbJto6R+HhEWbczQCV0LrmTX+xTG7bzRxq
TUJWYe19UUDUBfGZtzUuTFlvlCtZTMbYXUeKk9MIicmiiNWllJnuHNf8nFPe/DTZipt1XLT8c3iK
YZ9tcxgch6rK7jpzuCedLN1nCA6IZ4MbiOl5lywb6B4iTjxEJqYDdTTtCJel29AEHpNr1/kHqftl
CR+/V41znSAAMOMwNgEcvfWjLLkaTk9dpT0mbgdU8IhsiP6OfkGQizkWiUOvR2KJdHWwc/eNEvRz
q7EFCKD4zIdIKouRXLE8xxUG+rX1abK4RuUdAvkURESJKxrD1KiC94KiVVWRseSFCvkMQV0T3LaN
lQfGCREGa+y2BZ5Fg/igGyJ2jVrtu+6o0G6+GPGj7tTnDP5MkcxYVDLKj4Dwdil604MESrmDXLUl
dA6wamBQCvM10CrvKfct92RiRbGD5I5KoXvw4XrRdoHDY2VUrQOKzTCbbt0WW6DrWr+MwhC7IrHl
pc6qeydt6gebDHiWr9T8EdbAHYQH7LuHIMe9GVGjhB6Ey7Qy5kdfts0hbiH5T5SBkkxSFYGpiEuM
igQ0dDth0wDPwDogHyMNJRTf9PIuYrpN1fhOQ6g7VUtzHATFlyS0E+p6S24od9D8BPWT9GN7vDeL
CrmLF7mwDzQhY7H7PeqWGrvjQyHwuWxCVZ0LOktHhGvHtsc22NkCqztdmzyTW8PUj+yqKMMRckv2
XoCOJZr27KwPYwy5CkBDekLJvg860ExUJ3Gq6PMs9LZqxHiTQI7YhQ80yM8e+tMiGEgXbrwnOxm+
Zb2hdsBIH7oOwLSFpNjoaQwxrDG12tM5dmYwb+beCiuqiIZNME3SPhaNJpptTLblmFIM8zxkTC03
YncqBIVmajHI2UqP1nWNgjRKnxsTN29iWFeTzF4XsaXd09NPc+8kShPcXoRoyWXbMiZ4ZgOn/MbV
gaC6Z2NnJsKBrloua7WJcqXc2M4kN1zFkO6a98Hro6ubHdcJ32K9FdIyvFrmQmCeNAocVA5lScXN
m3vMk3BIqc/sWyM6JrM8ZWynDaKojhQ95IEL6KFsFtLy9N5qdAX0Fuz9tPxgdVFS3nPAX89x1J5z
9zm3xJfUD6uDdUg8dPE1Qe4tjMbCor0kQ4I5nANxbI7/s/f87iQCgHdVE+LmsF36LWn7lnGZnXxn
oOGvMWORbr0xChMOa6z3C2SokrcWiX+7Kd/IATE5RJCjMsvqGEvZ7gx7VEfZsFPwtYUQDXZ0855G
PSb2ygF/UcSEPnBrxDgj67i4E8t/UsLDImbCIJ5bdLvQRHthQGsGL3zfm+6PzGNMjXpSrcb7cUi6
T1OGMWVomujcyqdwRAXR+h57jSnBvGAV54ZrDIiCQI0K8zG2DeI+EpoVgyLXpSGxT0KG0YP53U55
lpMlGBnbhhbzdslzC9GfBXk2kAb4OEWhcbRjRk5q3NvK85MdvoYFh0IhGRlPHSbQ2cSrg6qIy8SA
PB5FmNECzAREOxGhBDPSKPzo4Bd+SeZ1fRaU4rZTSHs4qXV4RZs3FEvChp6Q2uvgpzsyvAxiYj+H
1HqLzBF7DnC34lyFzFRBk7977i8jpz9qGR5dyyw5hyV5FGX1KygL+4Ja8GQ0Vn+KdPY85ouu3Gjg
cKVDtlNZLO4pMm9VgQkhNXANosw2+x9VHWF/n53XJZsQdohlbNJWQw0vpE2RCkMFiqKocq19lBHh
4T+qIN42BlIfTCAtOkGAY3YAN7uYOnpRVj7czOrbXCHFTR1It0jic0IbsBkQJa6gW2Lw3iHVo0+Q
xhTTVfGN1ujXcUK3iBymx/mRD1UPDENeFIkkV0femT6WLnJZM9ra4eemNPU5iCFw6dg6h3l89Dx7
4UfRG8qcOTsZ2RTSX6adBI91K6M5vzfwJG9Mz92EJhTZ3C/bczxBho0xbsnxSkbrSAgvLZkmVg8T
eOpt+9rkAxRF1iCwHVGda1BzoxxHCF01olZPnhyVA1yot+lMgkaBB4j0nfi5zpmLZluHR3Iw6c4W
DBo6/eVFQ7HPNbi7qcXaoUxoQu0b28eTHKbbqqfLCsbgKObsDcC1t63qfpe5FPq9pPiFZpUgea9p
9kVcB7uCSSVqpzsSiJ4b0XaHVKgJbWe4YdlQEyDouI+RRUaCMXvXNJ6vjNOfElFFB8+pXxs2FMfJ
FOSEHIYWLLbRQjRTCH070Dh7p+SeIFgkOQpXPBoG0gyvTtlG2Idl+cLOJtyJCAOqZX7yC++JO+fd
ZM+Bv7saj1QqL6vXeD2kLCTSFm+Dbz9WaFAxAtbktGuWDwMpVdg2cG0iosyhGJ3zBayw0hWc2P6S
M6VDQA1uR4oOey9lUJ+hg8UVkv8gll+GOM+JTSpPY+Q5R7TeI2OdCwcjyb1nFKUF7pDpswnZZ6+p
rxpBDLelMnMEcUHxtUoUUg2X1RfBZeQld3n+aKYKP22rtpGiWJVg6agDkkf9sj6E8kc4tfXes0D6
JNJCqaiDYMN64qQN4xtjPiJ2o76LOsL51rKlMFyHNp9EMiJc5iw0u5umDrABTmygsmnb2wkh1l77
UCTpLsQueO42DRyHmfQHxm+lcdw0S4XALob6AE/lcQUvaDgKqDMHMD1EXTk77bCbS51HobxoB3rb
YZKgUm3GIeIN/s+VXJIDgqUVsKAV4CLdJbTbfQQrpMeytDWL4tlRltgy/t/qhTLhO/ZwHAFeRyKG
BjnGd6uLHW4Njp2pq3GSZPaprKttF4OpcOlyHOAOPBZtN5+d5GlCEN2oZIe0ovxdKBcSyWyaxGdf
5skBWAgkuRoX0ximF4U1taCLf8GOlmxzA/ltLu0MCGb1rPA00h9hJX3oRwyhMvXOsAo14x6wl6VI
FC3tEbx0pL0q62ftGd0+zUV8ps+5rf2aNjzdYFSNZMp04Fh2ZoJoGQEO7bAFQ7MSaPLwi9uGL4ru
6aF182jHTWI6wSOdr+akY/PVsUV7gPU8xJAK9JJT0JNstIFY2p2URZtqYBPfNbiLo9a8tIVP6RPz
FbrXaL6UwIL2PpSePGna45wVUOEpvMGkMJZSOzXgL/XwlKvgp04YL2KzxAloEYhkZ6SPOS8jyo60
Tp+T2rC3w1Ju6Fuyj4DNf5UJ7YnZi0NqeXzy5hTWu0TT+cLzc7ai7HWWvcUP7m6jXL6zDowP0qaX
WIjkkJbmIbOHn3AAjD2FmZA0UzS68a9uzK7WUmKrzOcK1d95Zb5QAr7r3NIgjRW6aRbAzO3LaWA1
avrbQpZA4ItnzyW2oyAIlcQtagjFmD4YtVcfvXzYe4FZI5mhwhZmJYGbGLC2FcK4cy4fm0kARFsO
Ovqe+cGEpX3OD3ZdvDrI3SCyzZbEsgB2x3BKklpiHN+11x4dNm6ujp2Dn1WfWVHQo88ZbHx6rB1t
0boykU3nJH5GY/FSM9geBKjXahquSVI/DRpzYwnG/moEI2iyAFtZTwBTZgDp7r6yenilYoqInWQZ
T45b2Sv3kKcHU8dAcATml1RW9a6PPfdCLscxqaEltV4/7guf3keVZ8S4pKV/9su3xIApmjGW/76p
XZ0/2LVdbOUoaRItJUN7KfYJFzDMmFGKD3ETHMB3+KrmckfTv81No9mSSXuTjfRKlTAkwwomV/iH
3N2BAkPZ8ScKwYoCM0ug+spohxAOGWqS3iahBiJzD72q3+qOt/MdIiUnalad6uJrj1D9DB+MJZ9C
Fi5UfpCx/xrB8d3G5AtBx+Mi8cg6LGZ1qQu4mgn/d4+rqesndY5CKrhlK1/rBFb1ivRZL/OJ9IsN
A0+6l+IzcuQvcUpHZZiqG2VbV+E4PZDa+Zqh5/e0B5m8mlESzbNHrZclte+Rd1lpVEvZQPHpS44z
fcFxgLsJftFmMC7rwTSx5+NycB50PnONLntXlzLa70NW9a9D2Y4HwLZ/nqqJeKBLPFT79RAK9MZF
FvU3KCnXRfp+dqwHJtL2YtURxa8Un4DR1V89Z5YbmSRiOxoj/ngqXDvKnJTdFnIPYr2A+rsoT6Tf
bkXudoc4q8dtZtTDoXtLGIzgb5juJalz7/ejVIttlNaM1sxDCJe8drGFIXUsjEUmDXcGvYDukd24
+043bCvd+l7iOjya8KhPtCIwJyO8G5bXPg7ruUxR74uMkSyG5UvqMofQoNRjYUFQGKcyvTjJg+1C
aomKcPruUnbZTn3gXVSZMoGWQn6qjSg6xsJkZl7q7F1to+NeyoFuEwTEx5fvein6TS4maw2UY4tL
72d1qkLnc9VTK8jTgCCKrIF641OoXtviH128cJklrZjVrqq7+bIeTDXMpwIgrdOKnGFjQaX54XxZ
D8b8UDuGOK/T2sdpu2OJvqDFcs+kfs1h7mm2dS6OxKCvd1Pifg3RaYL8tfV1QZRs1MzgO3ONnmg5
nOc51ddCDDleh0IV+2okW3QS2UEWwzkiajy05YExwGR2iQVXTu7er4fcQH/Tl09e57dAn62XWjqE
DYgQ+I3E0K6Sa9nQhx/srjo2rX0ZWZQeW5UdfaOeb2OuvK1rRQXNPMu9MZVPbKJCa+FEn8fikcpt
0XdAUIoy2sW+lXx1h94kQ9Frr5gbHmI8jU8VjjppBtsqxqDXFqF3H0rE+Xmc/SCX+RjKIYAqRyxS
7c7lTowKkUSallgKIHD0sXP1fMjKqcvGYLTL6NrYX2Yzpz0gEa9DyMIbuCkr5by1lYIkbSOWG52k
RLWO+7aAwaNVC8g4QMTuud7Prs+eYzOXJ683p8OIoTQmYZe4vXJEDJ6c56L4ikTX+g6J7UJR4G2y
c+exyUS08xQR0nZkxxcdLKlT0fipSuofpoSomeB5J2PJpfpcq+GqS3n2Otu/HcwOcW8+jRuCseRN
Un2zUJhdq7sxy91HdiD2rilzDWhQ7qAdRrtymtEp2Ox8o4pooDmCkxFFrCcmUVBP17B42d3umrqo
T2nYLOK9MbyJXPXo6a/TGKdfbHcEXotBWo3OM/Lrr8Eb+D75iVkx2jWdZz3H2JryTtrnscIriNNo
uulAbh5mVGFHf2rlTVwiN1KLP7zBDCYj1CtDPF6qygN9WaXT0Xd+NQj+zsJT+jizHGEDEhj7rA2f
yxnbcGSywFC+O97WbTvtnU4MuzjQ3zIjae+8on2L0YBtV1zQKibB1eLvqFqyDlwmYWMh9E1JiprS
bA+h01sQDxYL6DL8p4OYgR/3HUxR9byeYi00Xe5r7O/UtTisKCGlnXqT2TPCwaXGNCz12245GKhA
Zetx88mWyKgZGZjFBZhZZnkAevWSLiN3M8ilWxbjUaKXtco+JrshxTDSv0/Za9G1ssVLN5Iutcoc
1sOqesDrdChJzMLyxYxTx/ftIpL5rYVYunIo0jAiFTFrhRwRKxmhLYvrlfy0sqfWgz22uynk8jXN
oUUcFGPy8qggXNZFT9jyS6+PMktlBxLfXtedTsm2xs9jmCQj6IGRC0VY1g+rDuIjli101UKeDLHE
PkSLkGSgYCgpq8BWptwyFepURXx4w5gJVrmyP/HrURTB+oI7ZoNrlvHDuB+tFD922KG/oF4AwUL8
HGDVXCc3uAYBwLginCt6LAhRy8c4UpfY0iCeCtVvVJiihnYUmxeqx4mdo4gKrXRXlfUdbnJGo9rF
yVR795EdkZcSCnqDkw5vuVqrHeECDJGlvYv3RpoQvjzHd0G3r3QxHEunvkYAEraEt1woH+mdrJah
Bv2w49+rAcdpn5JCUduEoij/MY3UL4pa6ZHPOx3HQxWbDaklCcLaanhJFeQnt472U9CnG9oaxqbh
I9iQaJDuk6mw90FrwQhVL1ni/OynArAM2ScbHcVf2cffYRQ8pjKl0tOGcAGl2toUFxkeh8NYM0WD
CcMAdqSogcjXAHRBdZH4LEy2v+Fc0rIZywOcN1XCH9ufazzBLTGWnZP0B8fbuDq4SV1T7PrZ/1ak
8tzJ7CavSZQmGrhq5Pzmaf8CTIjOXHqHL48aHQRkxAu0ucxyV1HkJZ7AZHGTCr67X8aweb72k5Ue
/X5+Gi1EMyxeadGCq9i25FdltVPd2ClkAt9Q1l054Ri2DS7QILlx+OMIC6ZTLWyNd4GVVirrW0Gt
NDPUz9GkpqtlfTPSD9g6Tf4l0YsMNSfb28yy3dwBxGiN6+TAoa0744lC/9O+Dum/VNb70FL2XZax
hf5qsrsGv2S2j/mcvEesih7bil+7rdElu11OwZnlYJJFT2wElHPbTUR+kOeBlps8BzdkxgN6tS2q
/BkI6q3Pmnhou/h2XD5o+Hv1jQ9RrSRe0xX2d78OZrjlr4UkRCbL/RdaP6+e21r7uHfdo99lt9qn
FCJFSGx5UH2qowABLqRxpgz0sHHon9vYsk/A+W8zxWxWGCkBVeYhaPD8qcQ/G0AHAkIlLDHJXcWY
xazW3NQY28ap16fUGTuK+Rb6aivexgYpu5knHm2bhkAySBJ7Ir0HS3orKMW1rUnbJK8aIIW4csFm
PqThbT/BQJxteKR4Fw9mSALpJNxiN2EXE1p7e8NLhy1ARCg/tHpyia/Ldn4asvvhEK1iFyD/I6PM
WBh/xoAX91EIa2LYUDWErcrygGxbTQELY0GwiJ75v2+Iw7NXvyT9a/zZzVzzx4L6AyopMJovXuP+
Gr8XdAk3WVTcwh/1bvIofivUd3aqxI14XbrvUq5ugshMYbNlq+6nxFmErlStXONAXFv13LpcIP78
VHtmwH7JIarULa598mVJpDqMWoTwst5h3GjKA86hawlfQYZAPEYmLqDedmZVwkjVlAQWtAdTF1HS
IWWWZgklIEegsd9LpaBjk7budva3xCEGqNaI1YnJfC2gQEJCTdINNvZr0zc4Zhc7QEo1sZis55ly
ODZwfNhE0/buc5jI5hSSwpqX6TNcK+LJFZZKMbD4ySX2CDXFDBTF18hCSV95gooU8jyHzgnSlUef
wohm1dN2jj7gGy2xeL+kLu2hpDrNRTnsAt94NM2we4pd+62c5OciBTXBDyePHUN6G4tPdpj8ihQx
3ZOOnE2AD54NmqJnVDAbxaygVNQCoQiQ1PqgT0GqxJc2o6ewt5Fs9Zq6sZyUtRdA02AVeM1GW6QL
YKbBopkY31qjPXohLX2rjQ4qAQrgj5a7D8ir2/hYjTzjOzf7Lm7wtLog0ikrII2JiFbx7Tsnvw4W
d1qtXmr2ZxsBpImcDJoVbWS9+pCYjuyZEVhXN6g2zy6iXwp4aUn+dnOTYss66uzAmuYO3NP+/3B3
Zr1tc2m2/iuNumcdztwEum4sUaMtT/EQ3xCOk3CeZ/7683ArVXLl5Gt09+UBDIGUKEqWRHLv913r
WXVao8Q3QoJ06hv8R0iwteSxKkmCqucdnTXevzN8HRwcRX7odvusSm/CLwueqxuOtpXTAUImdOW4
7KIPy+qGLKwrWJxv6iJvU6L2hSaCBRxTv42pEO7jQjmSvwKCAfnWyjAZgaQEf4UgYLjAZ6skK5zN
7JVWVCDdJIGYo76uQ/IUnZzIbAKWiLYvNqRWf7RovLCAlPZNEM/7fjmgGmpEvlIDXSYcC2Il1mds
jgnXicam1JtzvYRPEJBtMzIHnbqGOZDqeIJgNEwwALtteg5ljrHceaO6+VEV8KLMqLwah70DmuNL
RO6VpqYOcwgGiYHxEU3tEa36on8kDX3M9uBTNXiNgSe+O1stz9RVmjvOIv+nZLT4PRA4h6p6m+rx
Ox02sojbdgIXxLnMJBGxLoCtWU4Ck4mfmDrSsMs5pLG6TrmXlvijkzxBvdKMX0wHGGxWxxtRjSNG
OjqQIUylrGlxj+PB3TeOAB4zYY4Xq5m+0SGonU3q4ClA9njwVYbrCOV3jH5fcc/x09SxEFcgfCIa
nEOav5sfsZUaJ73sycxE5VfDRtpbcHPnwbE9JAnkKOZN4VmjQGUtmp+cY5xVpTpihX/liFKexsqC
A0K2iDdh7sg+db8VlKicmVYwAFyqPQJ0l2pvtKV0CGOnSMnB7c1w6y9j3MuNs2iq4wVK/dt9l1UF
MwQKmQAyQJU3hMMsat4c8X5Kw3TRa0tNL1WEirAov1xN2aK348pWQFJFEvVp+9rXl+ye9KmUT5fb
fFo8727ZZ7EUE2ydw0MqkYTR3WqzNtPFW15wuZHPvaye38Tl9T7t+rfNz683DSiEAuwxG1BDA1wD
3qjUXQXLzgep3ZIvrdmhtstmtcNJpj+psxFtnUDNN2bQflAUm3Zdi3GvKkSxyxldezjIP+wp2fX9
S1TB3M4MaEok8Z0cpz6kVf4V38n0FuJ0y0PHuRZ6B8xaxxbBZIm2i9TY/b4oBXCVYILTdt2bv0xV
GD/9uomFjSJErqM6IFZaLoa6i6RXLjZA+A4Z8eF+b2JLOv7+uNyfA836115SKfb71/5tPf7nnuQz
XXNmbGkXjJy5Bp/vWja+vK3zvi7rf9rmT/eZSiv2ToOzjwK61UzVYVjEmY4JM02ugtusIdH/81G5
JO+Tj8pVeSN3cFn903P/tKusKwbGbXwX9dIcodFGXWlRuPPfUgNc1v94p1ECnvn0eLE8Kbo8Sa7L
Z5InrQed2A8GpNy64ydNv5pFv3CmX4vyIXljRXAmACRfnn55C5f7DNwa/3+Lx3TNEUit/jrU5abI
2/f8333k5+f8ko5pqvl3zOC2gzRL0w3VxMY9/Gjaf/xNwbT9d9Ui70U1TGY+Mm3lnz5yl0wX1WWY
b4tFb7bouX75yE3z74ZtWoCYdNXCjmVq/yPpmKH95iNXLVu1UY0h6rUYmMpkmc8+8nIuSCj2p/DW
npp7AtfpayRFvssrxCBU26gfcX2PKfFknYi9tI/eRCOo0JIDs/RfYUJQzVbzfgMgKl53+U8BETIt
W+urLtoHs1zixXtssxOJhlwzwEK0eLy6ynlurOI+G6xbN4Trw6lRqF+Sqf1GSIlXOPHsaVFIqkdt
fA0TRtV6ToMUY3BKKN49yZbrHLs48FPG2n4nrix73mmpybynBSEzlMQ7JHdoo54VK3sxJiXaFj+D
ofCGqd7WAhKjRvjpJqwTgDYpHIsA/k/A064AIsO6iYLXNCVkOHKm76MZMqHHEspwj3RHpB2qyaV+
cilW9O8j3oF7On5e58INa+Y6vnZ0QHWYvXcd/CoEX1OAp8NkYOtG36tOHPOekCzXoiQObk1v1K0q
GBCOrruKQNlnZpOs2GLc6iX+RWaytBcZI4YYtGnnm2tL8J+jXuiuQUKVgWVvbCWNvKDMIHkNiadb
qGVifboL002ejtZtlWdrvUwscm0DsYoM91GJ6IzMtXrX9rSSOgXgzgz16souHxt+A+AaSTnRzfRV
q5uR2Xb6rnVE0wJcCTaRC/EyhAu/8oXYGHHz1aU/uaR/FV7eqQfdLYbrEkesRoh6rDkBQQfMIUhf
6LCQRd8RZMCsGp03Le0f7Nk0N3rMoCs3A1ry1G3pDM0Q1sR0Ww1hfURf+zNOFAWgrTAp5+yRPJm7
qWcfc1I/O8tYP3Myl5gs/T0orHFnQFga47DfAxzAwZkWy+SSDmhojyfFWHLFZ0iJEZUAI1fx5o5C
20aLw9tWb2iKg7uB02Unzls+w2wtQnol/cQQTT2FVRAv+O/3rIVLoLQox9QGkqkG6dcuZ5vy6zXN
y4MSlPSE6hjoQloBNtN/umpIIkDWvarI2b2a+hpTMYbHBZM0o9ZbnMoBXsNdU2BgbLNDnANRscMi
36JInWiTEOYThfq9S6eAaUafP4ThM+P79GhWDJzayBp4PyGXlgw1XcNMq8LVPEYPoIRVO4y9yvyg
M5gDbVyr9S2eGcjHWimuqIiGGcc3RljLEYAQtJ50WzPZT6IAs0D2W2kla1K7CXJ38wRJgQPd2P8O
2khd0SdEzzPpm4hOVoMijHGq9cPJxxtDzdl3PGAzIPoMxQ7Tc62HVNw3Wk7SZtxtNKu96snd3CFG
XU9cBsm5xcxoUFiLXytLjHsHrvZdTYMVTUK7rnsqVyb9RkrLGnOboqaPmnXMehlEodYimSHYqhX4
UCHUtwjJYAFadRJ0K1ViMR3rO584vZGWRlgy3LVtsa81wXfbIrpRACVOubkf+c3Wwc7wbchlaqEf
k2h4T22CJptupMQeUeSzG8gCqkE3LsJwm/YFVg8dvaYbntRCwI0WoK77gp9clDC8N1Om8CKf125B
onEaF97UMotUmSdi40a11PkDagYabUX6SheSX1g+QhXu/NuKDF8lRihK3xbTuZGauD3Uvt2QjPBO
bfkhScN3K49u88ywbhUHm/3gN+3iGKL1M92ET1HkpSmkCi1ukQSoGfKcdlsNTbFR7QgrbSjt4P6u
Rug1lONa6fadlda3YYyKsrWBPqL2ZfiWR4s4OJ0pO4MkZbjJ9JGxbE0yUKAeL3fJLeAfqHSHzs85
P7Y88dM6dhKwgTPq3Fgo/SGZGanIJW0w7mbF/m6Ay49DLM9S3S+1zNZiRpOr8iapl3ZVYP5s+3kg
zIHi45ZK/y2aOfQl9MmZMtLg7MQQ3DZzs7d1Mo57f3BXVWhez5yo13bo6Ni+HAWseEtvUSX3CTXz
itji/CAoBOGOXBblTYPXALY7PXiJl5c3Us4MJAyNwWKakjcaeIA16qRypRBKdL9oKikvNGuU2QTY
z+hKIkq54Iw3YKO+FCK/MpJCnGZr3oVNhBgNzpC65DfIm3Lx2JgwT7sG9C+OuORQWUd+VxDSLfvO
DoKX1s/umxFpIvUVUCvBjWih/xmOSvGzLoNsVyeM7peGQWRp1aZug8fRxv1yFqpKEXhaT8N+aJ+y
dCSFMV8TkjjRp4t2EGmDzTiK9xYvDYE81TEdrJ/FNFFeEzZJTA7Nj8VEMS5zsmRJllCdE06deW8a
Sl5gySevwNE/oAljnp+KTWAH87pqiYAPllmJvJEj9k6GLshFreX0WAdF61XG5KCxS72qtQkWHV0u
4Alm+JK+PaoohW+oWz5+aRjBn5ccQBBY46OpwjnMikNoO+DgbHQHgF6vcWz3ew7ON3VpjJB4tI/Q
bW5UKlBZ3qODGRqKv+YyxfQTrNHyF0BK1LhqTbgsf7K5/HYfQ/B63QwgAjOa/qoXLZ8IiB1SAcqC
CuzyKdVL+SiLQFBKR9O/bkCO//I2fXogzuqNY6kPvdROLTdzO9FDiWq6UXOhTCvq+aTLEgFcmoM9
ltvMHc4z5MsM1vAjy3M0/TVPxlT+HOZF2x+YBmU/ctP1Se9XU9BRYPC3g5ii8FuYhh/KGIppVS2f
77j8vMViILusZkmfZzv5yEiHd/bkQ5m0+83SPuhMSfFrC/lYrZgbs28ggDaTubvsqc9hvNi6gbJz
eR1jOebk0nk355dYHpFLn15GrndZ9yQGGla/bSd3c347l5e6bCPvK3zLMyeIAdssdt5+e/AvV+UD
v+3z/FbPLycfP98hP7NP/8anRbmVL7qZEciYjNdpraCuW/7Ny64/bf7H/+TPj/9x09/2LFedjKAp
B1OmmTIwr4wmPI6kEh9pgozBplK1rV/P9U4+4E9aCT5h2SYLlq5QsSzKdQvYZjdyyIfWo9OgTgtm
vEoiFSSo/XkRVHi4NJaRooF4u0KuN6xpCaAMdAqc9YoOzmwlnyrX5Y0W5v2u9nFOar1W78pUEHnQ
gK40K6JNln9iKR+Uja5C7Sg0z+x7unHpEkq0WFQmaQIEs1evg6i8daDPSZ+9lLVJT75cHaUb5bIu
7yRTLjtv/dtTioFAcEAma9lTvXjg5ZKOSWBtxowDZECY3EmRLX5Ludj7KCZX8uUzea9c/HTvIIzX
3GJAYi8Fi8l1UfgX1VdbmzkZhw3ZFPEiY+zLGFq2cBUPUtRT1IfvgY74SfrJ5U27HMExg+ErazEn
6lP6LSe20o0Nzn3zeExMvDQNfdFwKVBpo35oe3dVihITMvFSEkRgtN8z+j8UbdkXE9OMKhlLfrOG
TuHs7Wj4Drrrrsp8cRYK+on96Fdg+Kk2I6iQ/5v8GDj3Onued3l/+nLF7CfSBi6fYim5A1IwmYmM
cAKLBpnUZzJSeu011fDK2cUjJDeh4Mt51Uhfy1GzPLVOm1/2f9hc1XYSUMR942HEb8OQAOIvFcAs
RjwmRVZ4EfKZKnpQANHT8XQvaW5u0p5qIzEwj6PZlO/Lt6Nx38J4NvKW0Ztxf95w2Vp+n3I177qP
GBDY1VgUoEOLGJTJxfffL6IuRXohu8UKekYAkCpVFslCqGoIwNBgHeL7b/PhpsO3srvwLIZFQclv
4We5aHEv30Sz7OqyKpcInPuRYqYwsQrTb6HHalYOSdyyoCoQhKKYLLySj0x+M/JnDZDWWFlMLxa1
p/xv5GPy5hJsd/kmzz/oRRUqN/5tVW53+WD+cldt3pO60d7IQ+6Cv5CrGbXl5Eq+ucsReb5zjhKa
rAExAvLFA6Wzd6jDzhvLl2WuiUZOLo7yUDsvyuNbvhtGfv88ABP5Qpe3HJQgP0fGiYrbfZFpX5IV
EcIinT15mFA2we0bTOZbUefl1g37ZFc0YagCrqPge170lwMlWvkIlhk+Le41+UuVS5eby33TnIEc
xgBbInm+/MfyA5A3ba9xyZeLrhydyMXzuy/n8daKCVWHPtWz3KC82diji1uuSptib5vfhHwjqCl0
oav7C2FELl0+e6kNkatO0TEzD+icXDaWL3lZlUuXm8vXeLnvsr/fnhvlT12C3Vp+FpIK0jlhne/k
ujzy+MQTsF7LR3d+83OJNyFSBnUt9yW/08tvy51xmCg5bfXlgweq+AuhEXYdQxn5S/nzotzF+VQ1
Eq2yI9mG5HcGb5c4M7k6LSO4M29keVSuyptLxNl/dzv5tMH/APme7+Xry/d3zk2Ui/JOX5r1zz9m
ea+r5xC0Lk/4tJVc/H39017P+/rrp356HJJ+tGrtL9qsxudIPXkZkad+uUe59Nt9l1X5qC5HgXLx
ciO/msuqXJLP+8u9lprgQL48RW7420v96b7f9vrbKwXLCR+BYd2FHXN0jlmUdDsDSwY2Aa6Dl5tZ
QAFeSaLL5U65dLlvlp0puV7JBtR5S3m6lTu/bPrpEbnom0vOA5Lk8y/allSey4Hyaf28KI+rT/fK
dbm9PM5+PdMF3BalRK7MGiU9BsfVh9p4Nlblu3RGI2AHhEzmJS30iuKbi4GUVu1KbTr1idMJbrOx
JJ/ZJ/HKmbuKYI1mb1YG+HkUHV9zM9+BcVaedM1376DUwiz2+8ckLqNNUY+up8ZJuCdxY1Rt6yEf
0TFqBnS/oknL63mK8rUTgNHNzOx6diLKjdRJViHALHTqwO0Gh2pdPy5qrX/RlD79w+fTyUzqb7dM
quZsXKP7AWUkL6/ywnq5OadDXtbPl1y5/qfNf7tPXrrlfedX+NPzzq8wJO613WxRRp/BGhKpIS6g
Dbku6RsjpfNf9A25PiznqvOdf3xcPvPydDAI09qxnRLW1HJSk0/PhJPHt3KjPqmajT5W9/KBTxyX
/2cxCkCQW2nxQaqvvdIK4F0NmqN0aDsum5j04iH8cPLrTin5ogtCAkyHIN7XJEvNTdTUgCEbLAQq
HivmUYdetOZzU0Z3Wm1fi9E9GXn/TuJs+SYUom4aUPZWZz34o/pR6r61Wk7PxHq46W7QMOo0sxPC
oM7hs+Rzg8IxVNdKoGBea7oGbBvZ4VmMDbKizrhtle5Yv9kBfhmdMABSaVHM6c1dkKoo8gdkNqjq
6qtobsGdheRgguPYuT4pjpqVHDWuszsu8a+JveASC8daK4r/bHcdSiASjYM009eWQYofdTaqfD1V
MArhV/iTqMD7U41cwObAGEeDSsF06sOAKoWNSyRXUTT7CW5CyETeVLJkdZjwMF9ug6Yh+qnxUy83
i++K5t6aimlfYWaBbKP8zJQRTy8WW69EdRaloK5sqPG0KFfoIpy7Pozfw6kPMEwYYK+XZGP/pbOr
e4GiR5AIA8qIT7VPYUN8M9y8PXUTceL0ajdWbG2c2re9NMu/T6LcW0pfXhUhAkEmyZ1H3vddVaju
In77QBiiHNTCETsHHupMDvYKha+5J/QMhisC9yYvNxUE3Ga24w263myFQpHkdSX1mLZROQe+jwwD
w39t0tWEIJeNag0VMmH4SRPBFSmxFain17gx8x7ndQLqJiMtem20VDyV3Hgcikocraky1w7E9roC
bAc5dO04xECYWNVjLBkkFTbRfWx1r2EYb5NsVL4ULuAmfCVfFOyUSG9cEtaZ8hw7zb/JMaRuOixW
4Jdw3oSReszJcvfyHuAnYdZb4VbvCNpREc6Jvi5HQLiTnTXXkMGHra3kJNKfcsyEKz0lI52WBIVy
zXnKCBlg9sms0ky1Td70u9GHuzgUI0XnnDJTpxSrTOu/2YAV8bCiL0gV+7pC7WQ4ZYI6rQenv5z1
qDetR5SFeXfVwgm6rjusAPg39+0AXs/Y011UPKWMvppjMG4SCqxVV++yWxPDAvNcehWuVn+djeZ7
5lqNl2r2F9OnzdPk351SC7/B1/wWl2P+WPdJTMhf0a7tQsNJHGmndqJWTr+FiMbh6M6ReByA1zoD
TRIfG08xBNdjnTe7weK6UtBh65Cub6fuR+BE+V0yJN+FNuyiRpQerEGac619mrA46vbwqHfqtxmx
9w1nioQKQgcdUzW/JigBr/SS039dVa9pbJkeSjL05jUhIE28t5Zg1qQL3+cWDz/EZzTLKUksvvla
bPSClO/Ebt7sgVZCPL0GAyaeudWv7UF/UwSZjoWChM3tPUSVU4n63QrvYzXD3gJScBM0NcUm9Fm9
UdfXjqgx+drDVx0YxKajRjxF0aJAcD40P7TJwsqSWxtDI2Z0FDCFRnyO6nyZAjNbAxErvMIfU/LG
dQJhOGPoKr/ZWEXyu/QS0zIjOKF0v2eU2vAObUt/mq/TML8HlHukHDuiqdknNnNNLX1xI66G/RWp
1fz8lFqBysBroLAr9AXma1lb00judYGerI5OXP5sC/8X1pQ9oWmaN1WPhVrrHzjqy754GfLQXy/J
daiD/FWT8kEqWnpEbwfhiZdbB9OzbvUvwJKVTTpN3qhz8meAiXEpO4KlTjxDQbVgllm4E2Zr4yPk
qO1Mw+BNW8+9VaiHyn+ZZ9pHqeMZWfNsMt4BVusM5EHoR1HDkjNj/x6JnlfUPuKnjuzQAXg0SGqK
5KrCh1BoN6KLdmZdjidzVPw1YGyuEBPXpSyowH2M9USoAZxQgPxmYdq7qofqgYFx9kux7Q0yJCON
nCRzzvftwjfLhi7f48Cwrmzd7GhocpQHheaimZqGbcuXOlXDcOOXANAETWa4cVT/3bLekXZIek8H
0oIzP0dgh/4rpbC7qYuYs4uzQGVHk5RA92vZ0jPVa1pBgRr8VNDtBDOi99a47wfD2RvFktFR6xuS
gUhjAXGaW2FwY8z6k6WWWPimJDl2inEwpveqKZXTopNNyxD5raJ0xCTFoEMdCipWj/8pNrdpxcmS
UwO5ML2/6nsoAS3sKBE41lVHvf+F8+PRdrNgFaj8UHOCtzuDk5WuKTiv0KhRbF4TsQH5jE8MGodL
2FQSvsVacYpFoS1WdISCdTFfUcu/IeTpbm7jo4sIdN1Bv2DGvG2qBcgNYJoW0cqKF5AF5iVP8YMb
gPnlqqvEiYxRMOY1StGu1+hW2eO9FVmo9RdyLCSTHfRE93jQSnrBWDbGo6o8IfmHr06ZHnqCba6M
6EVtBuGl775PV1+Zu3QzxkyjQSbvoukZTABQbIVQvSSC9GTfj5OxpTEHtsXYUDxCBapP1+7AIV4J
12vABiIiR+KkQfPUfXZUmJlCeooGpkt7Sgj6uSfmBPJIoW9FOOy7lE8IdT869zFGQgjBVfG9urwe
SMF6CKJg2JMzUkTZ7MF0QgaKPW3IioLYy2EXq9MhoaOcEpNEds7dZEOBbUHQECWH9TDDnzukjMd7
K/FyPSpWZZuNnh9pnPoI9+z0CZJChm20qDDaTfkSjaM0gadjayQLpXrytTuMk6dkAMLsvJHuQTS3
0VPa0issdvPoqTaYfivExp0vAYNWBDC+GpWladkdIaWpqzI5msrrNCTONjAGjvoUv2MfNV9nnPVV
bcxfxkm5ixpE+nkONo8fCfD4lJx3HVbVIKyvE0qNMSuPA7GnXjoqzZUxZuku6odnUGI7zcmrfRuT
xWU7ycxFbu87JKIVsAT2rg0xjnzYrRqFDtwE9Nc5+STLeRI/MPleD7GxoTKcwtUhYAXrOyEXJ3+o
Nm5C80nHqXxVT+9U2ggBtsLvZT5f433yPfq1fBIgW4gJhL3GF9Tfzpm6Lo1HVBKYFSIyfseWC2pK
pFCQ1Awwy/nAVYlOcFdxCEaYQbPmtUd9sQ6s8quw+r3bOeDBCFtz3fBnNiVfUZrAMKcucV3n7YM+
Ge4mtHoLd7z4FmbJFyvzE3LxYvWqdUS7wfbPMEmzHkPnJWP+QztaSOq67WlldJ1ZN47y5gRhRU5q
dsgm5agM83ANTvxNnRQ0zgXjlqBlKMbZtMgTYg765ugUM2ZXUhZILGsxcHBSrnQIvpPm0PUdkFd3
wAmzO90w4v0wdM9iEj/rytZWZWYbK7cnvSicbnpkAHBzwpUtMLrW1moIAVi7SVfuI4UEJ1ta82Bs
6OCcHKzcYdwhpR3tPTRy65p5BnMGlNWWfxj5qnapKMyN8poPOgP1wi2OOjTtPBN7robmY8TZwRHw
MuunxSlsU6Y6qvVdMqruBkL+x9yZP/2cIK4ICRCYBHgW5k2bhvCuy35H3jOglhhpeadwCFvutB98
/6Q2vX4VVHtn6RVG9DvnqBu2eVzVa6yqNlYJhNkZyO4y5eRnNMNdB1mC3PWYUVW6nZuJPLklwK5y
BwbhibpVxg6uT6vuxjgz77N5jeiFRihBukSD5lN9aqygPrUESiHkrZVbNLkbmMQbG2LCqWUCrQk1
PyXRuDHbZWoyVKt4Em9ZptMgNBIMlLao+PWLp9DGMMkIYPTLh9iZtoVmbs0eh0BnjEQp+kTMpfZw
neazF9CWXMe2/jxV2ndnDkBlWDGTBQIlNqVlZAS0xVumDa9VgWC7Q3OQqniNgF46KzFw+dTmaufm
9Rb0CTJ9B3n2NEB/7Z4GRAuHPAYDYywjdOwsIs/e4Y5fOxEFIMslTgzeNlwkzeqPcBLIjgv2acev
cNCxuWDFeRw7uNrCGl4L4b5UCNWvGiP9HsVQaEjLQG3jlLuRvNxVap7qhNS5tHZeGpQ9NEg1rw3s
9DCDcwlzI8er3wwbdQkC8ytY83n8XLZm9ti0g7XOlmCLGbFTHClPeUyEZKOCZ4Dr6mEXQ/2qzS/Y
mioPMfYmFHyXmPr45QC/COqJnJSxCzfYhlCukFUpEKZhGjtMWrjuFeM0GLhFKiMtt/jWcUWSJIgK
fDXoqbYNHHKR7BljEygKrEdACSKTgY4+jgOhAapYOzVU+T6417nebBDi04dJueQmaL40C8CgEyJW
0Yga0INNYYEFi4IW4lTViKsAoCSpqk7iDVQ7U67+h3qYdkNSthz6JUTLluJzikNKheYeda31kjFd
inEvkxuMNh9eSUrKLXvvCW0WapvtDNgWVzVtsbHGsGLHTb/OAtRjjINvW2ANIyS0kDNZmjQHi0DN
TYi7hmkizJF6MYCSQWcTE8osuRfNNkNXn2bZtJua+D6z4eyELpRVyyy82I94K61zm/uZvxGjoRAC
pq6csu7vF2yL5SPeCgE4bNQadRoJ7DEW05YDjl/gRos4++N90A6hi0HRn9JnNTY4zXPRGkJb2bpO
SHdEQF6oi4dxaJ5F9BCa7XPcFmj/A9y1pIr2eWzv+TbqoLFhjq8UN+DLMzGzJg0OUrsjoqKF22AU
IK5hmjyH+MY8+t73pBYTFt4N+dbB32BpMR6dGlYUKlrtVtMz5HQ+gxmtJvxiwD7nhD9TPstVpUwu
FsTkRzTY3+jfb5e3uIfE/GZR5YLCmz7VZIiq8dTurDbYulmMMcXP6/XQverAvHoHC627AanSrZMK
fM/PCvbywfdxanGJeNCZglwZQVwiCs8YHWFusWa+0tIibJqrcICt6NQVxNFaYx+vKQyjwas7LgPd
EyC310wL9BNO8vC2neuTSo4NHYECAByOVS/p0nzjkjYQi6UHazuk2AKvz5TptkNfvmk0Q11H1Qhu
zNACD8ZCehRa+7+QBH8pMv7+8/+Qh/RRlFNN4lkr05AuazfRR100xc/2v9xq+6M4vWc/mt83+rc9
E7S0rJO8tH5v3/9txcvbqJ3uux/19PCj6dLzu/i15X/3wf/4IffyZSp//ONv798zypkRFo7oo/2M
mEQUrAGL/Gtt8WnJlPqP1XtdpJij/vDUf0ZVWX83l2ApUwCp1HV74Uz+khgLxMK6ZpuqqoH5FaaB
jviXxBg6pSWIosL8rxo6T/tEpzT+zqaaIG8HEapGxNX/RGJsaLoOffKcabX//o+/AZTXTIYYrmMt
lEzVcAjM+iwxdhL8tvRk410EEmqLSOXJEiCjIA94eal3wFSd8D4g7CXPtHSrElO3NkrVeCAgCxYL
drQDJN1VMuT2Q6lUBIE2eo7kUMmviQoMwZ6a1l3vwwAr+zu7CzZBkMePhcIMOo2G7LrpyvLFqG9c
LSE6UJ3f/I6iEiFL1Ulv8/KItRKudNxMIGs0575yZ+b/lp89Ovh2EgRLC8DReBC6Mm0QD5ILX0RM
s/oWDWMFw0oPK1JAR1y/dI7Gj9ZVbkKxcL0yG3lmbqe7efSzba9Nw6ta12u/icavERQ/hSPeK+sU
amJmFy8TtECM1U6/J6j0MGZB94SxlFxnZSpvunZun5pMdLABWhyvgsQGW9WIaWAUAGVkm2ZzdmzG
4jTN95MfmvteVO8ASHNsfskW/A+c8MgS17E9h9uanONh8Mqi1U4GUy2XAEFAmOG6mgGKudl1L5Lp
2Pj62ufDelbbek0mkbGPXSRrdmZgriS0CHX6D4U5WlHwcioiu3UyVwRZpSNXUHxmYRnu8nl46JLe
xdFGvp6+Iqwq2+Sq1mwUsym2SnFNRJX7rB7jey4KpEJ346sPZZGiYdp7U4aDZqq7YudukyHoN83Q
5IjycIGPvXZnjv1DXvfaKeti4qyzNNwCB591+1oRqXVVJqD1C/Jf2poYo6kV+qFx4NZ3UHWfEY2v
zWjO7xRRU3iutILg7O8cR2AIGPIhVrPBdBEvvvYL48uCcKPy03gMAZtboWf6ChJeuXdLisO1xUi3
1NtxY/HlbFo33Jrq1G9A1pBINTLnCSgXMgSeUgS6BLogTyT/o7TCozYoP4tG/VYqJLlNQWXcqwqq
ct/YY153r63OLfekdLYkkpMX36p2cDD0jhAA4DdE5UbKRvFjmji2IEehd407g841VS/IRr6RvtVE
6lyXy40zt0c/6aNdmHflUU1SfvfhSnUb48BUpTg47sOM/OFGRKN+g1cA4HlqJtRh4kdy3Sn3g8YS
/oTtLp4OwvTju2i5xleCmbcxMT0Nc1aJ6VzVQFaveBup56qR7xGyNaBNI6I7plK/zhTHOSg9plkz
67BaRuChoIKs22J6RpWirHH/4hGIsNbG+MZt6jj46+N5q2eUWYzJ7jdMQZg14bv/Mox5dxzr8JtB
5NK+rqhUWXa7ykUMYVytUexTMJmdut5N88MQtceqKp07R81yKrLLvz/pIRe3ot6N0EHWrSnabbv8
WEufQG5q2Oa60QjmBQwojtGQvJB2Wd+RavxoB8kh8gll0QPxTJO6QBgZrpuGPKXeDorXjNhbp27g
9nAGvuHYeeH6H3HmIgdKS+f7edSnvUr6ERfD+Jj7ZbghtS30wpwYdotay7ZrSb2LcQVS2emJn5tS
sSbrngPN5DRRE0dOtNOonwzQSjcxU5u4zt9MsyJ+ThTxgdDXZnxS3NQjaLcjbDImhaeuBVPZGNW6
0R5CES1z8Pk5H3P0UGaxAvtHOuAw9oTpuK/CxXQw5w7GdCv7quF+LWzT31RCKb5GeIEnIrw6zPM3
QdbmJxtU30MZQfhInTK8diYGjgAacF8LzVnZuWWvTCXrblun1u/NRL3Vqza/FYNzDwsGEXkxo4gn
yuVUuWRticr5NvShVxXWPijj52AgLU1kpfAgJfZxvJ8an5KXlkT73nEgLGYOofF1FG2jkOiOSFcY
8JeQ4uJieIx9/bZIrQ0gyQ7vvu2uYgwJHteh4tqujft86l5U5sz32g9k9vptya/fC9VIPTG9hQiD
/5jZbr+4F2ZCbLua631vMhQlPgJVzXsQ+e6z4U/+yay1Q50YTAlLf9ghzyKPPM7Ga5u+zgY3uLth
8kB1SiWYIBTFW2wN5q1DH3VS8dcwn3gqyKvTferruIzWuhYTDdZ2P2N8IRtFRVaaNEV4beXECykq
4WBZYk7HSiSvaaSRADMqR+EzjUlSmKvTR9nDbAh18RQrymvmdMeydJhGJ+QOJfpAWTDs9JVu8dGS
kc6Vdq7qkx4CeSMoOFm8hLOav03/l7Hz2o0c+a/wq/gFCBTJIlm87RylVkujdENoUjHn/PT+qDX8
t2ED9sUKO7uaGanFrvqFc87n8pmk7Ye7rq78o3bYrGg9EbQRtdHB54mHjeXXEOKOtrR/k9RKKJWu
nMMs9A3zBhNBMome4ymx1sOEIUEk+BBq/oGodM1Ce5ONNhH3pd+fZWOFh6jK34MQ2DBKX5TSBBuv
ezVn+3E24n0flN3OraHMuaEFnsMpXmBKL/C4bNy7ZuE/Krs/CNPz2HgBnGMmIy5+RQtVYAHcKwJw
tt6YzUe6pmHBWIK3nXL9MBg+RN7C/cSnhVHBtX4MZFSeoti8zRHz1FqyyJY8Q2QJ7Nia9KcWbuu6
cyxnz00N7TUlH2yoFjHt9JV1ifk6EXfb5/7rlA53CqOvOQ/JyEOijoW5+aF76MrE2nTNZa4MkhXV
VyhpxgtjeC+bkwFElCy9hYbil8nVkub5n4vEI/wrVER4k2uIxrGqxaFuuBO7rrWoAYgvYZRTgpNq
spuf0oPP1pdVCecpGYR5TEVlE3ZhRztySbxViHiYlWROdlnb0SiaYfFSLHMXX3Gtd0y2V1kx1YfU
bgpyipgiFZlGU59MJxGk6sDbfZUHwy83vafkI50rHK/71sRGUleJiTtBbzy0hGe7Kvb9EpjVOMjQ
PftRd1Lc2/ZhbErie0m9pxUvjmXSsljCb96PwbzDr9PABC2bp8YPzj4H0KUgOGcdJlmyb+rGvfR5
eHIr0a5j5IIrdpN/qrmiKjDycN0NT1XGk13qZrxr0T23jeG81LQvKVJyZKfsRRUtmeEV7SWLP1Mc
K0fmX78JhaSH8oN2Gy7eGBbY15Fp0qpt6pKvJ9E5YZ4wyHuVBnt+zoy/dfY5YOLbWYKM3wGLlZtY
4iFKefaLEjlTOI1ix08a/ab+UEw9ORoLrOx2a+jjMMfmelb+pi9U99i7HcVjPFwCRjxssgMsZbWD
70kRtVn3VnhxneJPV48BIBWTaRP+6UZK+FKDqm+2YbyRClZjCnpuPaN4jvffZUQiMN7P5j3OcnMn
qirZDEmXv0MohX2oR2O+sRb/5cWUHdJiICpL76qoCzdQ/Op9ODNv8IhdcO5GKIdHGcgvR4YdqQUH
oSoMRmbc0EO7K+aq3lml6a6i+bkIvWplmp/RIf61HTu8tIFmhaVnLgUvYv4YkfEY51lybs0SFmIw
bXP2wlRrcXvLKLVGSbONGetGzZpdyJwChe6NBKIg0T+EyP1hr2IR7G1mb6nnvmYkGAFXmcUhKyCN
W17irMZe4Pd3UhZ9RDtIiKOHSU0/JJSevW0FL0wMowNr52hP8NMj3jIKghqCXdmRstHynm/5ilzL
eIm7kxWo+p2UAv6ETQnY6LGU+dbWA9naUXVMoNl0cXEQCWwT35zEybFOxVJhV7GLr2Do5k3NiJCx
QD/eM1m+htJnwemU4EYy7k6G3omZr5iIT9eCDHS2vOOt0Aw4mGcfm1HaRwNtDfzhfmMbFOH1ULBC
aBJB6l3+O8+5cgPDji5JPrEnmcpiFbaefGhV33HbufOerov5Ax442gzD2zVqLtbxcqM0Sf9GMIE8
fhdDfL2rsiCFom/xA0ZduXQBCF81UeXD7F+8hBFZlxJ/VlvlszcGmuVbFO9ACz4lmYyv/P9TChyB
aHI4A0ZisZ1z5npLYhLjOTkBpF+KsoH52CUO0WFhtyLGoY39sxiyz7hoEfsaeXqpoJMf+5x9qsc2
9+IMBMrTE219byoJgaimrW/5NvTKOF65fbKNK81fNabOc22T2O6SFrIV3JZbZwIlhcZlILttMh9q
j+5p+Z9Rr0K+rHIFS3na52Rzjr6T3bVv8N7lOCaKrz0W2ifEvy87Yqhjn4iKfKbEqPDqzP7RsCl8
u4ia2qjttYoyRPwZT2VlSDybtnXwYH3nJHWv+ZOBL4l+yxg+3xbdJ2ZHHjv6gJXrQESU419PlWrT
sM3ZpG3yC7AEb0i7JK2jLHmrEOCMTZKBrm7IZR/mOtrDgqg3XPfLLCrDldUfISjFa+YRzH1Kk/Sg
ogqDA9HtPAIhGrNUx+9xAjYvaFTKFcsxwI9u26SvsVvNOKUsh+gKVR9bJr6EnRPqXwzDwa0xnlqW
fvAHgkdNtDN+TQVc9D7p10RzWCNnfUBc21mO43MmXLKrWqH2aWAjmaFcaUcaFpGW3iHrope5SaZ1
lGALdTwXA6o/Mjp9Lt2mW1vlzCmadBkXOBsafEM12X1Gv0/j6c2PK/MhaL10TTAbUU/LY1mTi4lt
DL9PklzLqXyLQt/l8UNGoXI7Opf59NFkrGV7SdJWXATuTjUj8Ykz49cqSt47+Bw4Ed1ok3SExvXK
vTqWQfomKhR+4tifUzfWJzkyxbVkdTQr57epakym7CkgI7s59rjUYPeDkS+uGnsz9Yhd8Hx9N9yR
mpJ10GbP05Twivfm34L6ZdvHuDKBcv2anJIfd0qWaiXVBeZPtg6JAELXXCl4u5F/EQNvtSgjKGKY
4BnWlcc+K8lZ+yS92hRhZu8mS5FlW6sDUIb8IE0/3EQATQ5JaVHYEaSUmFEBvNI+MeYD4RkFYmcS
HxuSrP0rgvcUiKrYWoMGQhC09cHd+0TdLBmwGAQ5t3eBrL5cZ/rVzKh17egwN6N/LXuwrQW73GsV
GMdyTJpDPUKL6Dx7vJsWCj4PZ9l5Khva8pZDuMQ3nVtzcB2D/pPOlU8gnRhuV/uGL8s9lpbT3uri
lkfDnlscDDT30V4yymFLx+vC0GqPm5LUcf8yD7B2W/JRV46D5FmgZ8D4MfoM4+Y/KkaRMFZjTClO
E8bq5ZJahvniate+RGpOcfyCNGDfzXjVxE0b1EfbsbCXs73CEkrep6vY1qqsOdb5w1hY8mINXnqM
8qCp1l7O9sn0mNo309xsF1b8qiC0f08KfLQ3JPufpCGia3Jy80G05c7w2c2SRPQagoHsRJnsdOx3
GxOW9Rk4r7P25wsm1v3i7HugI2j3gM0BcKRwQlQ0E/08qRrKLntbc7kCx9oSF6RNP9y6HS/M/Mee
ZJB5qm9T1k7nLCUyLQ6aF9bzcCLatRf67BjFuI/bXN3aUdzL1FjmOa8JtpuVcJV7JAGroCYintQP
kYb4cVK9FaT9mwHx7F2EUR4h+7ZoBs6X2urRh8WnDKcjmC71ZGaNeSvUZ990ixShuBH2uDObFh3O
jH/D4Do4kkGwrjt5RqRhHCYG/+sMacAuKRlSeRK0gzlEx8m8drTD1ygZ3tPWaF4JK2NgkP9soXo9
yzR6ByeanYmf+vy+sWJC4AIyoLemWeW7YjZ+9AxikKnWz2HC+WLX9jWxZpy0pGcR41tZR44VSvYn
cA7pa2jbIes3gr2x3kN/YDGsMzYdvfU4CIK4CsSz+4KHvN0NgpgOt0Ac7pvEYE0YtFH5sBDkoeau
frCW73Y0bEHXLKOjHw/t3g696kjyuDdS7+nBZJ8TtATdaco57E/Mmkz915296ZamGBhso7mPlIDW
dM+crvxgabVRbczsyCZNVeHeS2JZnJ08/hvLWlxZ8G+djCAuyYj3GJs5xg0kPPsWCOCDu5U+iSDV
SCy5i+cuqPbZAsppojk5RyNbNtLs2p0eK++aF4VxqFT3XPgDXz8MvWOf1QfHsvN9H/oBQ0SWrhLZ
3BUHqMUeFXaknkZE9aOUPztWV5U8ls7QvJsNZhOTqeaKk/xRZmN4SFkP0S57G1UY/lUUv9XYEuZY
Teu6adUmFP5HaPBqKeYza4o9vUIwWd+azLyLOSFpDffrjcpmuFWfilTV3WDX1abGmSODoLhkmeHg
h2dL04i3sG/tT228BwEa0ch2cO+6Ae5fT59jlZ74ZoZHt5FHBrn1XsaKfXXEOc8tbqACNRjGZOLJ
iMFwlZHXPwxmD8hvWOgKKnnOu2rvk4jBqVmy2gt4ZotlWGsPzd2JaoaZCpt0TP4OLF3ipguZc1iI
/LVJnsDMzYxSAEra4XDqDS9/lLJgGjm8RDrxHuVw1MzQL+gj15Y5BAenQTTQuBOtzYJDmV2DwIhs
jLeZUsGewTlTrNzjL4nT7jQS47XWQzIS162NQ2RQW+ckT4AeD8iq7YdgZS22c6fsTdbhTCz6maVb
NnjZ3ogw/DDQb9lcGtmuqtldllHh7z3e6nPBrJz0zRtm03tBfDM6U/nQsR5/xVtEYGpQPwxS/UIK
5qMAN/3nUjIhGJlNKHkbXPwqpmn4y8g53mFiPhqd0GtDBdVzSAIAyJP8OujkrQFBf+K4JJOeOcMT
8xHwMgXL0CWji7gqXIVaw3KZ7ANqlI3BgoCd7QR4aAkpIOB5rwbrw2JqjnjL3bLbid5QSR8Qd71W
zq8el/gy4VCbXoi/bkJ+srmMP5Smcg5H/+i5KCqLsnpwFzIko7v0KR6LZ3duPRCAejymk3yg1NFH
DUnj4CM6XYV90VyClLzitLCYuFaWe+wNGN5dZ54czQ6t9REJBX1cHwzy6VFpUx9xV8QWuwigDz/7
Ei/aUKLL6UG7jRmWPGXkX8qwSN9KoNRgMuHGAWaAbo8hw2JTGL0Jba21TgBnH90leF97wz7W3oMn
qubU1+uRNf6KeMmWz7kbMyvPxB9P5vJB/B6RCjdZMh2sxXBMcsSzYISya4Pg00AhtJUFx2SHy4bi
ngDXmomrwSd9B5WrLjxMmRLrukIV1/TikQoE0M1iTPYaWa1Vh4ioaYzi4HTV1m25vrymC5FSCgtF
h0/l73YEiVJV4y5GmYyAw5bR9pt40Gk9nEaUC4qXjdktcQZeHd5oK5AAO8bezuSD0L6zE7H70HRu
sh/m6kkGFg1vuuQoZbrYfn+d34m6JuHeWztt0zViuIPhFz+8rriSh2uuR2K8016NB0pqDtfCApsT
If1FNheuf7Uc2ovRDhjkBEMcvc+xqubm9P1BU64TMi+OU8VwcBiSZpvpbV+2wc7pk7eiTn+XBSn2
cQPLe8FE5wv7wnbSv5ip5m2nu4a2WHnMaQi1CNukWiWTtx8waIwOlzWLo8JILnHtf8zB+7ebw0J0
eICYuXK+eYHLB1igiA7DidjuxUAuDNWsGIH9h5PlHwuaFbcrn/3LxvCn/iQdou6Drr9AtCCKeLSG
bREOP9vQr0kiSJ7JpzfXlHvNapqWvYQsjpKUa50TqZrqno7QNPlJ54gIJ3ijbpQ7m4alv9u5J6aD
JPzxvJ/wwVwm1v97Sl17RMeQT0iyiMwZrWTYRkQF7Izc/6mr9Hch531bei9znP5BMLgTRa9Z3rDI
4JaEAuoDsMWlbto63FlQIZAN9SdLQjKf+unTQQu/Kn2Cdfp03yAga4hxOU7krswKYi+hJsZpEriD
A00ESjXxg6jyH8Ke5aYTAqrIkh+vxhtPLldg4Vy7xUXpApfbodE/F0MXrs24nPfMJ3h4tH7tZW/9
KObWXIWJd3A4BI5e5XU7XRbBbi6nH35K7N/3jmRuivps58vf9XAxo0k8oEhOPhSKa9QwNXGBjXEq
TeclNMAWCwOksMhR4g6juxVRS9aNciRrDL1PjIEzu9PyfXKtkO6RxIRAbhBtcivye5DxsT6hl3EV
ZDG/5SGArm46Y7btCtQCFXP6xTb67R2dyLDY0Wre/3kuF6DkxJxxhQ3hh4z6az15L5n/22lf6yi8
G1MI4KarvjyCqplc+N0qz91HlQmgz13ydxTTRvqYUVzD4BT2hUtikDoyFjZWTdO6Cyy3Za8j7UOZ
e9bJ4DeH5EkwcORn7Oatt1zGCD2LReSyYFYkM8QdMo2N+4syxXftrd+QyBAZ8oID4c7Ecf3thjWk
/6Ws8lNERD3n+blPKIDd57G5zXr8ZB3NUeCVNDhD/27k5VvzS4UPALuQAQcXAnsgi3RLU239qEXz
LD0CewbGMlN/L1VH+i+kFK4EArpDnm7yckywfVXm/0jqcBsYKLb41JMXmtvBjpODs7A9EW8Nh2E2
1tn4oKvKPrLd6E5ZaPESu7lkSNexEeqoeGcmZFW1D3Mm2iyZ124bIda5DO0S0mOi+3Sm4kkl4HUs
Nkkk7qIW3dCwihUojHDWmtkduf+AqO6JVTGNyKHZZU3ysAjPZ67wKXrWjJ8oXwCR+Fw7qDuJJrV7
VscL8uebLuA5CMSxN2ybbvz9bUPLD2WIqBlyOucPqqcg1JtysrNjPctDWDv+XtMQmW47HOwJY1mo
Jboszp5vv6OI5amrABJBsTcOnmGvNUwZNybqqx+4t8uqok2yEcGHRrO19EzNnFkDTT6jL+YDa8ON
aSp9/xq53jsFsd6MQfWolmyRrlRI10bHPOhaQ7E3oUSkwIbYTNBixCoiTFvz3ghEfGaHonHGCJSN
2SBPfkm+xzyJSx/I1Ug9yQyvE+hdicJfOC5ZRVk9elKv3HF8y0y/35FP/Vouvy3QwGVUxU+nMZ6o
EEhKSINH5Eur7+vu+8M310hGEAxiR90qQX6CFfL9BQVRRktWHwq458pxOGIDm4K4CHG6S73lrCNN
fbboC0HIomFql6+2CnjdQz3z1s6zR1QLQPICir6i0w9C8Ef4+lQSD1O2c0JAFW/0pJi+1FBCk2WP
1iLs++eWXr7y738b0q8eMOHKa0YL34bxzgKzWIs8ex2f7Dxdu7ywZdlUu4nCt6ScYTwLMNzKG7Tm
9bqUpIxk3p37atjWbXX3C5AsNKXzyRGktpN5FzE5867+aI7rPu7fLC/7wmRDPO9EKI8BhJMez5J0
yPZPf6lOnK1vczzbOUs1tWQhUp6eksJUANF7iHJ4L6Rl2vvOHF4dhzuD47yA1pkwj/dxOtQI41ZZ
CZ0jJZUd+1pM/LkfcHWlRPOEyENPqWn9rSRBuqjTV+Ns77/vbQZY3dFovmxhvBCx+xguT4qyg7PW
uAlMeW/Q4ey9xgsQYycQMzkDSK5DC4V4d49vAS8jy0lYXtKuXqc+1jze9UPSjmebidBZCrRkdg0D
ocbvERPdRrE7XvhJtggBhhfdD49Utk90a2qjFrZYtlDGcLz9dUwOCHrljS8gkaHrflO8k6qFURYA
KxuAlrVvyUIwQ6gK/mehmrkL30yKPwhLqZ6KCJVnXgb7qGeYhyL2uaYFJByhqR+ZiIIupmVp1CGw
SEvzU7BiQzfu07TiFFwGc7ZX6F3yUsXYDojwf+KcCBgrMsZw2GyTu2SWJiejCfuwq4dg2yw0BZTN
UOWL7FZkZIEZyPRquwr2TtKkB21GYLfiSa4tw9h1mSOOQjW7XDeMCzL1EWHsPwpzsZdOjz0rkXMd
KaYJKG66aHhsieNbU5ikdfcVxPlP8IyUHADb1o4Jzw79Bhl/IO4AWX0a8Tq1kc6Jkjx7Ef/MFyZe
sdDx7IWTNy7EPBr2hoRbl+8uJXikvxdAreh4TG7JVeyLnsxgWI/cj/nGT4hRCsj33VA5v/qDnA5m
91uA72tMKzjaJVoYMAi5bzq3OObFa72k3puZF690Fb94LGwPDWCjpA/M0+D8CYrAYNOmjw695Lp2
03btF3/rIkjf/ZzxSpOhowZz4e8JtMd0SQV5GGQud7Pt/PHLBu5F03irJXMYbeU5Ckn9c+cREntU
Hu3GRHzpC/LEXAZk0iF0YmEisgBN1q2PqQuh+oiHy33lIVjLmYFQ2EBV7BZhAIGNzrKZD/zsMRpS
fbDau+iR7higGScQjc1iA12mzqAbYasSDgzM0V2ojoJfDAvmceE9pq3iwA2Qhieixrarib3Ns6Pv
uAMbIoBgAbncTJqe6zoG9SbmaY2SoXno4v6mPZC5CUw63/zN+N65qc7LaKWuLeHAm16Xxh7lMrr4
hqF7mj6aNNhO5rqbBlIOB1R8UEUJCVciuuiOZSp+BwsVU9tjvI8WUibLr3IfAM8MGAxxWlGlQNVM
ZxInwlXge/3Wm6fzOEKRlHjIjLpu1qNEtWVLZGMLrRPbUk7qIomH7cLytIB69td5O2J3A3eFVH2S
0lwXbsyyfN7gvWCBtgti+WnVL7YHBJmA8WYT4eBZ9lcof1B/YEtzs5XJkKsg98hN8ifEFWrnJSnq
bHw9UaYOCYnwTB22DB/poBaCKVsZ2njyqvsW2awF5tRYeKejWLo1FDqI24GO67MrindvdDeZ2/kr
TkGv6lmQRHFI12HZzCw4NAzJsqlJsp/+APRULF+YQx4duIDpYuWBxM23wA1D67diHlyJs+HA89Vh
8pKWFVyMwlnblUF/1ydYYw2KZK45D8kMcrAa62S4juO62+S6utPlcUkLGD9lRK6nnDZp1E1HmaID
qsEOOESQh9mQr6M5e8IwGW9s4LRe7TzPbd2vGfNvyjI+Bo+usnHD2ayNmDuuAaMcRR3ulByhWzfW
1p1Ecmi73EcpY+3iYGB76KBZlnazGxNeO20Od6PWPmaseE8iJkZXl+CjoNzH0iDtyMyPzijwuVpW
stGeNaHKNn+x+gUuWIL/a+KMQcwC9Y3jbDPe6XDqkxORvxNA/0Vq/FktPOBiIQOnIILd4qqBDLO/
kT9T6C0bNXgCvirv86zoPxD/ZMuOLljFwIdZBBv7tM62UFw4+tR4r3OSSfFlI0Na/pTBFXJXASqs
JCqntsBwh6sito3yyc3yWwwY/sT+xt3gUf5biJAozNy92gpmMi0Epruk2cA+4OJNcGhYOnxMhmoV
BC1JpcjzQLESQK/IGZQ4Q3Ke1rIqh40wIKO57C02eub+ZZACISzbakN/1NZT3ubzjxKsLE+UHCit
B8sCiRsX0DU87iIHjNph8gYgRsK/oBuzN+zEx202LzxW9x1oIoDJpkPoMj7rDKeycKyQpDTo1AJM
ddY1Hlt4yNWEF63qhWUtRPzSueabYn0E8ov5CjJRZRYIxyGXoEPcIdGgTef5QERmN092qMIza6rr
gPBwVaX4qnxCIJUbvJGCE2w6ABLxwjBziUaBShwelil+27gIYxZad0z9P4PvnheOd7YQvYmEhbwi
+lsFpy/wxmZnmjw2StYB4r7KAN0ZnbJ6CB/qcvqIH/Bb/LJT3q5Tmf8o24otb+9/RgtnPCSkCnbU
hAzOXMaQ2RmqmYktueU9gRoMIgXN20kvAeDVuV2k/xb3ss8qjHo+eg0cN6bwsPQ6hWDhCqc9Dfny
TiQOczn7QLJ/p9BVouvbc+n+UJ7XHqFQksu3VNffH/75Jaxt2NYSQENEnpIxVaSAViBvvrMtvnPM
vz98Z97965f/j/+WxeydWxrP2U+xASgGt8ECIepj0ufFSJ8JHNaEHqKeBS1hUgQTaqOW9LGEXMi4
JcZ6+bfwP//t+5f/23/7/pR//Y7/7VOkHGkWIqfbNBJIjx1VePSaOnwMfcipBLePa1G0KPOmYN4Y
DeOZcI4BwdY/5CB/607X0FujYRsQEbuCgHrOFYiyEijMTiJHBj4ifxMX+E21IY4TD5NZnpTVMxCc
WLt2LdNCbHsXnrw9Ryzu0ImapPPD8XEAZtDCOtvkzoTI32rZVDLmcFjVrmQXnfUCWCbCdYeOZd3N
B4ZtweenmZj+VaZ/OTPHdSE45roGjxw87r0jSQO0zC8dYzAAvKQ35Cs4hhlzStoeJVQH2sA3T0Vg
fSiOjmMATH20PwlouIFk9vYeLfyyxDa64adVuuY5IFfVbFmCulA3oduT0Bw+ggKymRkSgNAT0rqy
XAzAS0XpBsZrl/0VjZ89D+ZHa05/GK6Gm1kEPzSRjgzVJ9xYbXkqkgRXzYiuZq6BC9dqn8AW2QVL
IvMwFr/nKb5Su3ANiuYVPTRzaYAbgIzSB8oFohoRXuLGB2NkdvcsIEfEuKMisjd8Uz+G2t3TpUd8
hqjXlhX9ahhQrHAOjbvR77ODVauX3MBi0g4DWald1K7plx/tOftQ3fA8ZhQOYoFJDplP2EUpGbZo
fcbIaMMRB55o2xUBGJ1yTrJQLynoV2peOroxG9tlXDRuvHFSu7GuH9IONlPle9066MBnB+3vyuGN
S+SlPheNbZyKMWaQ9aSZwFZeW5+L8dFiV73i0OyAOXHRbMidDQkX8/NtOGZP89Q9h75qWK9b/abu
cYMY5uid3IyIezXB3Wscom1j1i0wYW/V4Kf7hFOQr45ZOn4eOOK4bn34abhi0vNEMlibZMNBLj1e
XxBSUPYtAJkarYRf8FqYOrPO0pvfaBQx3UMG0DhtoRDWENUSNN+jefj+/s360XY9RiijeGBbjtVs
cum8szcvSW7OaN/iAd1b+CoDVEBKAE4ADhajw3fuXUy9Qzbb1/cfhM/QdvmeCH56THAE7VpmBn1Y
uwd0GxPBtMxifc8kNnRSAXGg1j4Dc32owr4/9ECWbEdMLK0stuqQ9CKHLN2HOI9PRdbx98IcFERt
aM9dG7gYcany4FAPo3Gl+0/8HUXeRx3SC0qAgYDviMssKd/ShADb6Koc860dnXxt+8FXU5oXO3ZB
03gfc56+j3WPpnEsDoQpfBCCE7DFjrvn3oajO4vw1IUZXQ0rM2lLJM9pxagoeDcraEqeHTPcj6aP
pCwnNv7Mo/rYSLZBHPCDFaF4Lpzqj4BlV4dJfO8QMqxE5ZLbku6HREb3PFzSvef01VOefzVS6nXa
B5z7QEInR5EYk4CKN4KFCSfDa9y6/nHMI4FRianLIC+EkhuHLqrZONY+I6HKQeMdPpqdSTvz5Vpp
csnnrxx90VR595FRjmbjCL4dy+oUPqVLFzWQI8JkCt2CYvPA3jGGjj68KLBkZKPHHpArtg5F6f+M
cR+g5uryrbkArq3l8WsdRvV+w8uuiYUhPrqD5A4TQSdMtwQV6TqgztgHefMQape9VRm/xWVpr/wh
zjffuIbZA1vHvU3wLJ5Uzj/Thcuu0QF3LrnDE6BYzCvrmYRFWhpHc/xzy4b98NEveGa7G4d/Pvgl
1j/CXfWW1Iprbvb93mQToWxEQWkF/xlUa9CSP6lF+dSbzrFdFhrfH7oSgYojDIFuMHgl7tNd4Tso
V54TQWTtR8IhsGUpH6lz1c1nSqYiWW6QpN1IS7/ksNpXOCeIdmVgfXI70Z3k8mEmYmDjtGwWv3Nw
TSt6nWHisUfAEItTtDtb+dL01L+tKMGduvweFAA0VsuZ5pJI4SuFGT2Sr7ImKpdH4+BXNjvPvr4q
9E0fZckGr0RolgfjW71ssAuVJBtB5AdyqfDYq1I8wvIJN14nGQZGxit6xWwOohsiY0KnDTnQXSQA
ahq34dbEEIelFMu7yjtio7rwPBt/J+b1dBLy7DaR++i3rLTz2az/kCdCIorT67UcTG4V+33oWBQL
gRjLGVT0mMA2Y36e7lFk5NRl3TXjqyeqvLgT+f1zbOxnLcP5wyiKs+8N45/Mjq7+bXDm8KPO2GnP
4GXY4JSok1XcbNjavVrhREa8M+z6mAn+hGVgDlmi+lYZvVud/2EPTv17at68sCCtRdx0SyBF1AzO
Rub238BDjBpDdSeVV8XboLfoDXMEWzZelI0ZalBxUfAnmcFEaxJ6QmCuK13M+XXykIjW5uw/e4sE
3C9q9WkOx7Zsbq1w7m4VdRun1smxIXhfZdUPZlQsrtLFLZAtMbLTlxPf5BiFLyRFM0aPHPx7quOd
wcnmVfGXldb67AB7vrSt3e2osgkD0ohKkqJ4hjSP8UE06IsbLKVudR+QjUrf7n8RKU2WPfveF3J7
ToQS8y7K7+7UtZfAnLfVZJIwGpkBWgGEXVNVahwwJqYofo6kbJdHrZjBWtMfYlwuuY73RTLIv1YV
HlWN5Jvm3d1FAy+U3xFk3inTPHIUdnuJwuIZzxd9Lp6mP44+mLMBFowKlwixuTvr0MEx05m3GjLd
baxZK3que7G6Yj8VQ3XtQyLkQReE+8QKGQEzbrsqVzy1yKWRLzf5VVcESdYxw9S+FoozvTM/GmuO
dtjIvZO3rCm+P2T0hKfkbQjb8pqTdHbN6gikUsl09Z9fMsjfNy1xTTa1yiTn4aba8D2c8HgRz2Vz
oFp3nJbOxvZ79FRVVG6BsCw2Ed8gtgKns+F4nHdjsnXGtl4ngdseW69597w5uWhnec1LJjcygVxb
JcYPp7P8LXOAfNuGf03PXa7I6ZV1UE+POqOHlKilHdbBXcC6iZIV4FiZIHJNZ1A3TvDQowew0wGg
zJTc1PMApvYwO3m+VkWHQMIn06bOzW1DlPUK8wYlsSWZJZWYZgoO44OR5WqrAqKD/4vP8faPM/Df
MO/diihvGxyC4n8aBh38jBa2QcvDPIht8b8aBrswSKOyjeIDEFFMPHNjXftWEOjY+k+8XLuO2dQp
kQSx4smvt66cCEERbP7nHFMKpRRi9nQiTL1S8WvfKArcBQ4eJZFxQL6SZWvlZmTll/Z/WKHsNIRl
VZMmqsvm4I5RfJoo4VEMpO5Lm/oN3o/OPNsJOvzCtASDBDFvmSeFB2IiPtLcHq6NX8VHq7Mfy2DW
1399UBm5SbCuX7RZsdeS1Ek9CjgxeS40+a4pt6Uw753nB//Hyyid//kyKttk3yU9ZfNSyv/+MuKc
NtkxtPrQDt7vstfmR1fHMOTtWK0w3bhMOProfX4vJxgks5faRCuP9h21o4McJC3+nbvzWJIcSbfz
u3BNjMEdcDiw4F2E1hmpq3IDKwmtNZ6eH7JnaM265B3jlmZtaVXVJSIjAMcvzvnOsbNT64n9a/Og
7XmHZgEDi51hf2HY/cyNixmn0y/m1BjHhAA39CXBfUxiBz552mwLx/mRwk07IQ4OHyU2RCQX4Uda
p2iKMPC/iWgkoLUgY48jWkNEaPybhnfljlN1RhJ6byU+PbuBIsLemfqsEW+uzf78v77cLGy3f/pT
PSI4FXE72GS1XvyrP749RUyj/8d/E/89tzq/CNEFHDrpQ+DK+q3jN/uSzGNG/HKilFQxOJuqPfcm
Utaw38VcA/vB6qIj4+Gbn3vmJWRDoae0Pnwa2GLVVgcVKG8L3CBY/1RlFjy422qcp9dsjG5EMYwb
P0HLaPjZV4M0xmdjsKF+/JtrgH/3//jNOXyDDnJh0g/++OYmXKx5PyN7d1Jo0Ql7VgWdzIo+sL9j
gQyKiluJD4Ltlb2zqmZclQaRh24leHYVFMF1Wh7AWMOtc1m2sj+FijB15mvtETqi64xRN5cVPLgC
8Qob24fA0unffpSo8Kal1d6mLs5XhkzaHz1HpGNO+bvT+vXO3SP+GU+4csVtLhqSogNTf/VLon1t
tnH5aL6Zbfw1kn30SnXT7VMcMAdbd/IpRQhOPEiPEHOYHCTqxjtTHwfEGfkpJJGS5kHPAd/BE0TI
WUi2U+foWBuBLe0sw3vtglyqAuE+89A7IS3v1kOVhpfSc8IbzSwHAjCYdR2P/rmp8ve+cfpfPcsu
327J45xIiwUrs5Lqqe3RMSRaga5Urf1cMsvfl9lIkAQN9cYQGEmzCjmf7nrnSzUWD6Ke1S+O1gPT
T//sLLweJyLutO3c4CX27XTbCQVFzUQaxhYQ/BYD/ASTYRzueG7XpFtjURl2zVw2X7G9IRxvjty7
+HcHr73IeMnU6XkcDXX5JdeOtyI7+BUtln2KQ5UdWque9nCmjUMfS42yqrW2KWUG+Gfx9d/cYf/5
JFJaC6UtTxJVI/68w1jwRIaFJ/fgMTA9mEiXLUabV92/p728wy9JkETWzpZhojynAp5DGCXBAQk9
Hb87tNt62TlGpvyeKea8Nru7vTbZk5sT2J5smjazh72DLKV80y2q+rl1V7qFB5VNzCCb2t1ahcf8
3g+/ImxDtMF0FMDWfDVbfmfqDuqQsav8N9/28pz66/H2L+M7agpcb45la0uY4o+DxVAV3CqpwwP5
zg8Aq+WDnKJg7RAafgtUd85ySSJzkL8U0kMm35vdCx3NgzF0NJh1090bG49lryXbHxVcDT8lGhmE
BTIZPMtlj/o7yHqUg4sQch6/Cdx/K8vAARjE8Ss3UUka8soEcnRzrPAkC3VgHJ3s0pF0x1pXapPK
TO0qtW/Yf21m1ln/5i0Qzn/+6CES2Mpz8HswfRRwBv5+uOreLHEEV+EBoFL/MKWBe+1qi32Z/OLo
tn2cQTKeqiD6oW20G3ZUvg8R9BHC6HeONhnIZV75NU0eQF8/p1OCijmT1kumAxt2CFAiHiJnVdUw
7KKvPjKFez/036vRNA+yAg0TG7b5ZsV6gyKFO62J8atMxUNr+cj3WWOHRfqWs3h7mKP6HYJbtCYY
Kj41Rt09exoSR16+dEyENlU2loeuK+5paQ4PBL+OlzGYPlzQQ8hMsx15zajDlfPWTLF6aKVtP3Be
fkntyCTbAvhLD3riCf2QdYE1cJNVp2gNM+whg3HtcBWt58BW2wgy3kPDqmbTTvL6qS3hzD42KS1/
b44EnU3V/FQq8eRCvz13Vf1kWa17AWaIZphmsPRmFMfoJQGODmejKPGctHm0dztSbfvZ3Xezd27B
mZ3mwYw48txHJboESE4Lg7cN7O1gIEjFphgQ57oqdelepGoMREvIX0akZTvmHz/15Jlb3NSAmd0q
Xw9d6t/TTDwwcUj3cZ/W29JFSdzkQb2NaN+3psiqzehqxHdArHaRBDpqRt0BySnyvYi+3J8ZdisR
JGBnhviMppuQW4OhuQpdfysqIfc2QMI6faO4ov5LmegZIcbn5rsSJZOveULKNfdfTW01+zlEhIIz
ktqvw+BY5pAU+pi+ASzd7yqVd3SbV4Fk62HIGI7aOExdhDmrirbrXqcAJB29JHRNDFyiJT886nO0
gBq1xRSZL/jMi8c0HKP14PAnQ9+hVp/dN5RiK0vT96EwdS5ZN7HgKX3j9b8+WYQkhvDPo0VLbTvC
tYXtePYfJXIoDAZDvTb2bFPH9WIifCAo1l+j6JarabZ/9jTRT3kZ++DAmnRbapsY0lB89LkOoCcw
uDNiuBKF5433xpDhkYDPcZ2F3ovy3OhQgywATzOIg2U57y2MobGcsqsqVPPQTgbSvaqH9xam7c3z
jbWn3IIG7z6GSXhf1n2PFKR4K4SE8Zuj+vVZzrumjPdu37arrO35cwHjlFHnKU8hK7k6BeKHXg3d
ZsAqfVV2xtq8EILNcPGNtTmTare4dmFYou7neiTNSN9k2lZry4maXTjU8WoSWLezqX3PBqnvQxJt
Ldxmi09vl4WnzOiaH3pqjpGH+lYYdym/M77oD0bBtryIdzNFxE1T4fIkGcCZwqHYzk68gZ3WbwfY
eCglHcVeygdh6AT3No+R3NCCsZqbjnAv1ObTB6/02XIY66V+OR8yJjbA5gbvDRvtNZkq6BT2Yz4D
XaDwJu5MedgBW10dsM9Djw7I+bCxYa/mKrcekpzSHGHSBR3mWhglxQZGrzpFGTNgTTo7eWDukLEv
orZFCYG4Gr2Leolx3pxm7WYbsozSdUxawcFzk+oWoQeZwVZs7QAzHirJOIizH16CMMBbON0E6Z6h
vM2bzyv2nyCd+19PPcg6f0f4/PHT/4Dxw39/snn+/if+4/8/zI8QHo+8/zvmh+84jIJv+f8G+Pnr
D/0T8OPKf9gcADTCnqPcpYj/X4Afz/wHIlwQPTZaCpOkUI6Jf2WIuv/ADWVKj9KfNLrPB++/MkTF
PxzIPhxDttDYRbX6fwH8iOUf+ftZJGkyLaocdvuuadum9ccjnvHtyIS1EWfDF89tXRVXf+7VqbAU
4GDvO01lfTI7sF86bU3UDNH8UJOEDmdY3D5/htoc8U/qPdI/2SikMgB2M76x5WdqTAX7DEIKRRn8
sDPzVy6bx8JAFBrm7OVnKKKbJMdgIgdk/wwSz+R8KSiZzL4hTiCABfB5sKq8ehrH/ivOFeesnf4J
C3nwIOvcegUvQkr5aDYnqYkdLIbsgff63rTG+EThHO0cZxH0QXMJV3WHBqeNyQIMZfNgSzjHvrnP
ZBA8CtX1m2nCdxgp1ktE4YXfHNrAbOxhPYe9uZlGkT9XRH0j5XHllvbXPrYhNT9xr/bjbHbRWvsO
LCNpPLMK/2apxnwcGfmeoVbyoqsfThEMzzqzhz2y6W6zoNWKSk4fARNRhmcQj3WsKCUzhxh0OZ7b
Zd2fpoiIptjsn5lzHoLK9S7uArlNwyQ7+r0xY4CGtdxalr6Bw2PB5+NIs0UcXly75/QElZe301G0
Rn8runFX2kH+axKdvnRD4z27s7PupMTj37MSbZLYfCgkm8ShDnHj9kmCPrHpL07rPDtm6O8lbDu6
fZE/sN9eJzpzLvC8D0UToYNtxlMeWiC5Ve/uEDH4N4q33gjqeyR/MxOGLOvFttpIw2rWfHfoygKC
8GY+llAFjxQdyTXT/dPsm/pJMStGON3eAB0AkWVVvTHgVT56wPx6FcfXsDU+0on9btt61Rm+TbJK
qzeIJsVZ9BhRQ7N8GoBCrpUuWoTncGBGmry1HLVk9B1gBpMkxZGWuLYnU9wbDxIg2113r3Oamsl6
6EQ5nP52QPzzKP37fExYf95wNveZy5FgulLhwfrjhnObDpwzyVznwdHgBv0CpY/fX6x2xArbRdfG
7MKjsqLnNgzEMYfpivCCCEI7Hpbdnb/9r18P1qjlX/xbp0NwMPNcoW2lwJB5nAT8/7+NUIwotUoD
xfnZCzAEgs6Nd0qVbLrLBf+U2UezTzLuSaJt3c75yIRpPPqlOte4kSrPqt9hK6NDY+bQphlK2pRm
Lcr8ALDCcHGQyWUsP75qPjegknHw4v0oPYX+HGvDue+wzAqCsrCdJYQkMmRFMgcepu3he6PXb1Ak
XR16p4rwrV3b8QcDh4Ix8BhaBTzqEfUpcsS0gdlVdfMDkI1r3xHLNE36WC1tFoQc0oWdc4j3lVIW
T0lcY/mzzSOdRPbd6Ge1MX1D7x0jvNb2HL8EzMZhSuqzBuS3ZsfYbpNE4OdezLiGCK6OMBPczggd
O5TXjJPzZzkZH4MXTE9ubW1Vbb4hi2cJh94ZAoF9n2t/H/qCzGXWpjvP6zdtXMoXynZSYdd2PJpH
EQxPYynjQ7iQDIIYcL8djkdh6Awh9u8MFfK+irtXUTvc3AzA15Vl9MiLwtuUm9zGdNUoYuOLE8fe
1sq+Zlkb0JTk5OSlHnL+THxj1UxWKbSBfdJ173oZXExtkhzjodqULMiPRosdUJfgfMMlkjZrWNQD
JwM0YuC3YgAAI6d/zHW3BeRGZdgWIDKIc4U5to3jJsIJjcJrpHXe+hq0ctnBzAJ3gpKBxsNDf4O+
yFi3IWBwQcMCGX0CBaEvIbyfc49+0tVNcw4TRiIQlo9CcYF0bf1Vg6ej0SEgNA0chLwhXoO2RbWv
QKRuStAj63i5R2plgK/BdNz403sfRqzdpnjX9rYBcJv1+LmyPeRfkHrWoDBXqVcyiG8wstuhbZ8Z
OL3wPT3M2n+2HWhS8WKuaIRzSxf/WdqN4kZbyEvCs6Q9HIhtSN8Ze3ZEngKmfiHf+mpSgDB6AaPK
X1g2oC/qNl7LwmvPIc1t4VreRfn6MXQo1GPQ0mQNs3iqfM9lWRA91ILWv3VfK7WEN3hTvELs/A1g
bsQsG6BNKcI9fls0GP6z0Rn+OsX1dLUJ7+4yL3limx3S4oDJwwfojX25ya2aIPnO7fejXbGvbV6a
VoxPLrpXbfAEYMkwXSeAATnTxCOeEmJ/S/VsjcJ+mLtdKWbr2Fjyh1FBCR8XeEES+S9MTt4KhSoZ
jsK+ZuCzhe5bXKZ6U9KOCHbD99TG205Gxa2Ma2PjS9Pb+nn0JgWBNb2D4oZHcQIqi0WuxjS3QjJj
rcqa1IJWeNuwyYgz6SOSlFE+kn6B2N71kx1a4xBPLIfCiM4wAFd7qIwGPHX6SE3CupNodzjnZA5P
E9QNtylg9kzf7ZLMBdsK7nHtAXeuAIdE9fQ0RrTYlZ1+eIbdc61x8jCj+Vhalm0fGqjXVP0GDei1
6QjTgm+N+yM37L8gDkWtzmZsjJsleD1OZ7lXgEm6L7UH3VsJln/4TBdJxwr1ESsP+v2N57Tb2JGH
jib+UoRkE4SpofZDaf8oIwC71g8UdgU1Q7bpqmFnK/F7iDKuxcZfqyb8GbFn3X5O43Lfv4dOjZkD
YbHVY37sItBoyxlXJuxua5sio9HWpRwRkE1Anz5JRJlQ1cke6g/wEDGrIASSDb5Js/0oM/KAapfA
czoYdxX3cp9MMT3ipHCcL3eutKfTJJHXlYti0CeLGuaG8i2GXSZS53lUNyb+evd5R7KwZUcaFjet
kZc0FFQ4iRmz192tmAsW7TXSFHuuL7AfwG60U7XlwYHLqmp/ZWARgAMCatQdsHdZ3vxauHf00t7d
dSccDsHQrFgtM1yxusvUbSpeG5OIzDo5lfNBi43SwrcSdp3G2aZfOy+OfPx94bFlnLrWWN8QvxIe
S9n84qeWc8jLjK3arC/EWldVJDc6RtDKlE9e/Sm2mZOHBqE0RnhOXDKQ3JkgkmRQu6nTv4eB+w9P
4LyxXQJK+tz6RcRvfEhGt9raYkRA7AV6pwZ+B1WJj+5U5SzdXbS4XfAz8dARV0lEPHZRfDV9G4Sw
1T3S3baEncBJrFMlz1GHY8woWwg90jtCMkeoYKrFgOBtc0jDO2NwbgXwajNi8IRUxMrSU5NKf8uy
ozi3NpHtjpV+Y7Y57WwHmkyHX+euA+/KZISCLHWaC3rjAYd8y8PoATMV8sZGupvJrLhNOlutSFGc
1xARyc4Q5W2x1l9d17XXTTB861pbwovgJmRWILeEPE/EwLfA2oS3c3sEQop3bG32aKAbnzSJDCXW
AX4KOGELXwkJcNHeNip11AsSGeQi1Bl/7C9GPDx+Igc/fzYQPbe2NWwNHjX5puUR+5yyjVYzBKFK
9RGIMqKAs2BccY0heeg5y0UwHmP2RI9Bg6LZ3Fuu679nJQiyqcc0BFnhwTSZWWH/BlSq3G/g8FJM
WUG3rSfakr5h5Z8H9utUf5S+124BpHv7aDlqOzi/W2dWxHFxKx1FN32xsjm8SJewaLsUCCgklPO4
IfoYMM4hRJG0DkM4Wu6vJOW5nUgIF00vTp1H1ZRS0lK31D+xMa5dBm+30hIvvJwYA3X0a8SDe+8d
dcRLyCc4MsUKguoV+ZKzj+y2X9uj3+6HqoH9vHzsrOej2zyMb8kAEIijyEQDGWTKu7WVcSyYsthW
8jsyrfIQhtPe5Fq1DbN+HEMWKU3Cw2AWP2B8n1UC+NwK5RaE0YmbENRNO4JY5M2d4hiQU2488eiy
HTg9eW3eTY7dg41hDFCcMa/qMNVH5WVfNQ6lcxU5WMWr/Il0bp6A6Gy3SLrIQipLujAGK+wMMJ4h
RL9ZzPRWbD0lnMF6J73Aem203Hr1sIlQtd0z1HmrHhvajhlmfv780uXmzwIZ+04aIQ1YHUxnTHJB
AoAi7jwW4vwNazn3x67FLmWMts85zHdyAD2iUBDn/boF2HX5q4GsIz0/5ekuihTu7Y7nMnJ4BPfz
3G0iqsEN+cvYb2vL3vphNh5CRDQEpMvg0PuQSeow35UDiVbEBpUrWY6g8SenPcwZBlofOZPR9wO/
lfgYkrHsY6RbQCESEzAIp6+fV2UGuY8BeQhDXD1gjivv4UJMIim93Ek1fg/pkNYxASC7ojblbvg0
qKBqJR2lepd0dyiFYsKPwB+c3KgQayTc9jdeGS+vRSseUNNvMGZnjIBJwxnTKcTGMpxAi1vH1m3w
D3RL8IlMjoAmiAnjUgrHgdTp0ioAoaCS0XmJ8DcsliudkZWRffehlN5QO3fa4QRzj4j8CbnANH1s
eufJMlCZu0aKONb7MXbSPNl19MuOiu+0uFgjmkofBPB2hFfuNi6rBHYKeNAhGZydB0Tsg9npOkUN
h2PR1DzkuJX5dWdftxMxA5DrgW8wdatgsW4DebT6Xlz6Tn4XE1VOAOvAmiR+mhLECOllMywgj6Sq
iIjVPrRdOI3UVsoN4YlCFlgVvSTNPHQffZs8eHvwsn3T9P5FfbicbLchF08WgwhD4KhJfdLXzcI9
pqoo3qAOs3bMTbToNQi9cfyQbbq1HovWcTHld/O+GOUN4zx5csaBNR8mDGbuu6im/OBZYZ1+aDGa
t7THLGl7yOpyyEXQZGccORTXvhN8rTK3fk5a+dy6077rqvQSTIO+WLxZWxp8uZEx4/kgzrE0BLFg
bWT/5lOJTlUJfScDDwFi/2jPYtgxdbdWsiF4VIXZY1exyY+QE8keaXXsLHeBh6HGFhwAkI6++0lj
gbudCA2w9Vkk8XQjWTnPXXgjEF6gSloHszaai1DyWnR+cuaFffPHWT8qX2ZsNeDoZ1KZV5Oam3Qs
auvAvreLjC5C3b1lR1TzJIvsN6pcNkkr1mo1asf2Rg2QXMgtsPiNDxiiQ6I8kuluMsgRukpPiP2s
dZiD6ePapP9PryqrST1RXrLJvGX7ZKvrAhv4q5rLpY9jIQ6uqY/XQzl0DkbN8KCldt9mpoXJEAjk
xYR6OsRsoT+/zNG2tu3kwUeivAUPBSigLdauLsyDk9PUxnL4mTBRPw09hTOmJPywofE05F1xHuoG
8vwydovKZfCFyJ5ageGNR5oWDYU4GsXUE7KEbNnH+sE55YQAYOLo/PmjSmQbv4/Sk0fA06YsSubu
blFdqNDcgwUBP0Kv98R8Mn9QXUaHxkEA0biYEHkLyD1j983y4+TOvZLcRzMkx62jeSxlstOBLB+q
ZPAvvmwFjg8xUosaYXqm1Aen5fKwQyTXrJHTAFRNhUfQQovmp3XjH0zebTinefbEAFQcxNSJrQSZ
SGb2Gt6H3tm5/xU9PWK2cLmzcsfb2F3snjpFG9Hrig1vDblvSPJ3Kt0OuNLCv8uqY8EliTuk8Nlg
RdODyGDTBRCW1/1cZeeE2QP2seQJzSAzfFKg4SQjjsTxh+RbZg/DMvQyRuvWjx5iezZL2NOC6CUY
c3Ui+Qy1WmSGL5zS82Uqgp+XwY70s1lp/RxWUMkNkTvHcFL1utZQO3mMx48FkLBIWv3ZLFI6lZqz
ccIGpUT1UcxohSOlemZmPcjsKJP3zvWfezr2naW8+JCGnbGe8Pcek8Q9fn7TsZXs4NZh46vhObu1
wPzCtdIKcaQbfhyohe9lmeKpW4aQpXSSM6tJwsJ8+RNAYQQMlHV95ZOe428nMx/udF+kuRMUIeKR
zJHBnaiX4ckyDKQMbsxrWL3Oup4vQJSSa204CDCp0iolVnZh4MavPHRr17b9Fc9hcYkGjiVtm0hR
DcmDFzHmnjw+glaiSJ/JxqjXk3fsCAm69hZWVp0BsZbxuE7cxIdwQjZKQGIeFTzfEktgLDEFn1Tj
Ni85BQUgsqQ9NPV8c3SDnD/1hyskeR93cRXdDGDlSDdRbVlmXG5I9qk2kDIyexXhpJ17/wlKHUkb
tg38lAOdp605AsIUv3LW0edmSNNNGNEmpT2eLR8ZTx57OHdGKCC2xKZALrw+f36xC3hM8zA8q17q
cz9AZgHi0x0+CxDXAJkR1MC2m1GcLNHyj8/iCI8kAA9jppvKwdJHlWJlsdjM8/ALVtbTqKvzkLPe
5ET9FsBmpXpAvyh5Qu281u3AeOBVRRFv95Z7NBSzHzMeNVd3j0nNUhX+plvXJM2bl1avdWlecVt7
r3lGgle4rGDj4AYpVFyVEWHLMjRL2lAiweQErZLGvc9tGlPvuo+o1uaNt+gTPfIxlBtZ56ouH+oQ
2/BYNV+sUnB/e8PViWD2+WNgH5U9LyySFxT/6BCWPKiFm8ZY/UvrMtDBmMGMFogiaXMLoIpvv5mY
pBZO8W0BuxWhW++85t0AgjY7DiFr6HlJ7sHCjglklaUjZjwQUvu5MJz1lAKsmYvT5z6bD9kAStIf
ga1bl8LoH9scnpUK8i8hidJUnt43tbR4GXjBpZQec6Jh/Chjo0DuIKR/HK7zKT9DsWWmENOr25Vk
3oRPSGWBg/2LcXbHqmbHQdPsUo7xFaU0hNsI9p1WstrTx8kd4dJ0gKmxZZk5vRJxtIoF+U5OYZkv
gYL0CMMPzVFZsGFfPn9Kt2lD8ri3drCkGn2b75Et0QqlfbwDdEbdbL1NGUXYlKW3ninoxdMu3X0g
L3PKemGaEEKVaWNdp9zdiY60S8PDYWyXNPlE8TAzEU3JWhIh8KcTatpC5EhWvI/WkUpwvDc5N7pR
Y6StnRZb6fR7kE51bTiZms4tsL+Fes8qPwDmNagTuqet7WYxLhAv3oQDB2HdQTKHhr6Cn11vDJW7
zAjItesXzEYZWS/OQDszlprAArb6cLZ1RbKohFsVsplnx1rVGZO6BJZSNPHi8I53ptefGj/nXQiY
YlLpRKctQpzgOPTWFzcx51ttO0+fCBdw1G9LHhofLSgHa0EKtgXaSGgvP5O439AP88wiGOcAIMln
oV0hdc0ZcwHoShHoxrgMGFnQZDAZ/q0BCF+MNDCeO5Y7zoIS/RymdH71hbXHEyzEfjv3aU/cD9Sv
DFwTHBB4eW8O/q5jwLu0smpKK9spflp1dCL8od91Ft0FIDJ9UlWL0TUsD95s0g3o3DyEgR9TYon7
VEF3dDLoB1Qz+3TEGK2xVe0dm/kO8/dum1UhCbolymDD+UgGlswgMXDMS50/9mSoYY48UXnZuxSW
3tYElbH+fPWxAGgLUMBfFd/Cth8+vFa9FJwcc84iKvav1tTnj+YcbDrXSqFKVR5tpiAjTQ42o8x8
2ObpkmHXg56J5EtbCojhdhudwd/hNAVTc+I6/TIyzoqYgn5O7i2uaw23/ma10VPj0Gh7M9LhljYX
0n6IEmyBlXkumVEzvYOPt6OvB+PcFQ2p3Etr2lmc4Tqm2nJjKF8yHWDLsv8Kgvc4apyDNhE9YhJm
4j2XoPS1Fx0QR/snr6fw4/hixuWEzzkywJVVWQFtTFCuHKsLn5sJXsYw4IhCYlKe9fJFRfqamkG7
/yxaQjk+6qIxdl4KYk5y6bTCnUnwBPm5A6cU87rd6hyX0P+ZCZCl6TnJUfFTw5PZBddVdskd480p
Ckz+dRisBQi+W7GgXUKO6rYVjwlhBaSG/XaNFseW7j8svFhMM2y6p0rP26HFqZw2gT4zJr370ANO
Y1JWlwbUmDmVwWmOnQ/TCKp9UZTEPsHpfmyG6J3n//eiauG2cXKxL6k0DgbCNvAmgEsIx/TFmSuy
uBANzzHizDr1QP+xN12VFi+01r31Hs7tj6Sh+aYqAq8SOwF4BmDsY9INW4+YLDJLXAQfouE5DnDG
rqdqA1kte5nN7FRJNzu2RoTvcezY//qsWJOyUK+UQIdeI44e+t7fzqnpX7HhMp+RKH+6wcIw6c4v
jUvRj9wEBILul3BaNMNx9lGXwxL8JV8q+2fjmg5eAW3e57hCGhlBp5ZRtksKq8BUwhTMIlnFUbm/
s+qSYYcYrLOQxavpcjl71sxGs/NdMNnzl7TCwWKpL1aRAGuMiS/Vfqa2YoCukk0UKJgJ9xnLwJPZ
ADJkrmnhBnKKlnUkW1oIn/Y9cHir09Qc34fK/+0nZChWTN0ubj/uTI7SL0TiPAUxs5skL8PtPPBg
4SNC6FNGzR0IFSWKunB3iCv5Zx1o5hYuUE5VS2ovQhOYdkEeuljTPYeIP8gQc+KWu3jEJkecxBfk
KmgnsWluREocb7lYDvtU1wzjAF15LRUmcZZ4Ff2q/Fp2qXv2fBhin/+XZyZ7UXPNGDO/OEZBFiHL
x3U500/Y0GldC4tcRpMW47+o1HTH3YO3zgjR76eEqjoTpgj8KXtu9SUC0SQdQnWvfvitMqYW6qFv
H32XoQk9Ub1hhVVebbXgnj1q+S4Pm5UmDu9dFT8nyMTs2gqG4D6UzjCqcHh3IeAV8hbO40DHaFTu
I+0bQ1hWgHM9AUDOZvuaO+0uHfyY9Hjomiz9TL0Za6hlaLxY2UwcXDPu77qqG5RhmXUxxW/pAXBa
1toJArKTl3Qv5IPUz+7wbjry7nQYrhqOEWTvcBBRJG3qaIaNUlvt8+hU3plhzt2Y5p9k0rZPgbVl
gO9tlI2tpZ0lI0YR/wYm4WzqyvqWS3Oh1IIDNr1ktxltgr8mzyCDMZiCdTtaD3YT7QhEhIQUBw+x
6p5tiV+L5mPbdz7Z5FzmjmP8hF+E19ogeI9JYryp8DMVRnNt6W15L3GsGwfTdPRpbLh9QlOc6W8i
3jaDQsROdm6eNQAgD7XfP+okbpEAxLySPvuJ0DVg97BeVimOmIlvy91xIzLzo4Xms2b57q5HiLsr
KKqsD4wUjWu5sEF2RZSWHyRYS24ZShebRPAS66MzVBczS/xrGDrgQZcfwbC8AOf1jq0zdubGSkl1
QN/xBbr+6xAwJVCWz0qsCgNW+3z5/NHnF2MGftQDocrHOrgFOcHFYxv+rCwrIbM8rcIb2RzHpugn
BCrLr3XLrw1NDzXV5jnBtpVQZceB7lXo0lxZVGC3zy+mtIIdwQU8JJZf8+eJyMeWDQnK1RgwoRvf
KP2Jlggy4izzGCXZv37980cC2AQ1Qe2sXL0zI4NxCmir+KSc4mJ7Lh1aUS3+aI7YSk9LDQnCxciN
DWnN5AcErl4HfQeXhIHwpgKszYwlMU+eB2hk8rh7RFKtTTM99EYSU37lxUbOFdR1DzGnGZF8aLiF
2JrSH54TRpMXADIQ5bwnB+LqegJjdcDQiSOZeR+z+HvGOwtVaNhiP7+B+3PXlu98AA4qAVlFr4VZ
/s6H6M3C+Uvnf2Ke3LKUmGieCZlQLXm8tRUxfq/tsyDre5NBwHKL9qSLjPX0ALD+q+P03wTLP0z1
4jBUeylqwln0eyoUa7Ww2dWBc/EmhsX0dlRtDiSGMA+eGvaoidLdKsB0Q3oC1xnw50ZDUy0cdBoG
cupQhesiMb/lo9eswo9OfCcvtaCTsk/FMOptXplsbfog20I6vlkyx9TdO+Yq71JIarHK0JnIBay8
2NPGB7smmth2vs4iPU3o6lYzyGNYBvoxdVJWvGV9U3O/o23tyCKrTWZruJpZRxOM4gM0plhlEh2q
7tFnJL52W6jKYdrd4IanY/huqVKjW6E+iCkajdZmjtemFw2YetEwfAUGyKM8bzh2qy0PjTWjY7Vy
G/5OM126wuaQGGD/8+J7iogS0KxVkCUMYtLwcQTrLa8D65nAsayn++h9T0YPS2kRLoU0aZ6ecMR6
8BLGNju2VtTDGW4oidlGss+jybF+zoP/Sp03r2Svnr1SE+AY/Rwh74GOBNdgAnyJwBISHvFjjqqF
KJuk+9AdnlKY1kXmP/5P9s6kuW0k2tL/pffoAJBIDIteNAnOFEWNtrRByGUb8zwkgF/fH+gX3VXy
63K8/QtHMCS5yqRIIPPmved8h9lxvTYxyCJJH+ut3QQnUzjcBaG3aXF6rJHfTJtFvQh2jcxHsBxW
ZCjg1YCQ0u8pTv/d2IZLQ08UK3rHsS9LHOChmHwRFDu7Ii90Um250fvuyH/9pEjCXGt9fTKTyVsB
XCV5MbOeIpNEWsNu9U2FcYU9GmegbL6YEDJHqUCaa/UPiROWsn1rpjppxx2mSw9bpwuLsij4BAqj
gGFSP5qNrLf5LLduwCBJaM4DLlMmCiHa+yEiuXMIK2wN0XecVde+oftoARMSsM03uuwQXsU/HMvg
g8TbybASAhDM8t6D1NAFJJsETrMzZXHf0uDBAG8zpc/dbZfq7wwl33hf4+peLMnLkc1FVRL1sNFB
K1u9tmFqzR5T0kapSPzMQgjApcbnEyyh030Ay8lM8Xp27Z4zZ8GUTTKEwQbLycXESKf2pVZmWzUl
19ZezqSpJDe49jyfDhobjlkSFS7a5glxO+6bYQswBvpgXDI3tFq/AHjozznCpIztUIUNA3o7WVUj
W0Xo1OewidNNjQA4xdWzIpAzrwnJQFO3iZE3bRK3Qu2aPpQuGJpAZvN61siQixnrTL2Gc3YomJUV
9Lc8g8xWIvw4ws41OlyCUpWnf+uydBUbNaV9SiRwHuhkylbfp6QU67yiaT/bOILy4KX0zH2W00tp
jCb0Gbg/9XDEV802L62/cnJG5nz6QNn0kbKiYdcGbxEhqMlaOFcq0N/riZYPHYxVPYrXXiHghaHZ
E3o+F9vAhDDrON1dmTOqJePiDjVyTvZM6cul3rSU7A6xPeCOp4jXXZXuhuq9QfKyBgeJW2xunyYV
IygvUFISvQNqiA/V1m0YpemBg92XJEm/GZEi94zFuGhAt8cq2umu9zyNp1oEbyYrkd8xjoIebj3q
tOsjl+ay5XLyJfugJNsFob/5V1WGrz13XeKZkqQJ+KHktL/nXv7DGVqycMtTMLhkcTVvMKVCfxYD
o4b5XDbkzNMcohnRjH6fd3I7kBpvtEtmqhbEdzqfBVD8zs8s5uZVUp7pl35HHfAeloM62J37c5i9
H1BsjE2dkUrYuPof/H03i8k/xWmOI/hjEHfoCQzt/xSn1WUuSISrgmOPcT2e3C+VvaCRC6RXkQrF
DiA3AUpwR1j7SRBf4gtT7S7loO/3Dp15K7VbxJJ2tAupjv5dO2c4vynnHEdKdL02Il8H4s8/Xxy+
nciJmCUck9YVh2Zpf9le3G2dyNrQoqefn3l3HlbDpaNFjI0bOdsZSLbNYBaQC979OeCIkhvnrkeJ
ak6Pf3iBn9yRposj0nZ4eR5KQ1PXP0n7hqi0+9YLgyOxVSkE7oZqooi26Rxru5oXTlqFGldjsGRA
Zgp9k71G+19e/v1l/KYx5lU4um7wORoQqz77HYA3tlqI9BBmLMbVirz7Mrb9MpfvpU3RmS0fZhUh
JsG4+gd54ycXF2+AqxMB4qFz1g3E0p/UljVU9gp1sH3EXm1cWsaFSRy7GwlHZT0vv3Fok4fTOqX7
SzOP4J1E2f9E52kun/0/L1wXi59pcOXqeKjcT95NgyC/sshyyQgqru+RfR07pZF60hp70gR3kwLt
aLTjczG7PwkBbnzXuk63ai8n3TLQ4p+kaKb+5A3037AhMoPvT1nSDHdSlh+5TRGP1uFP8lTxyfK1
vGFCd3UXU6fFJfNZnjrltHw8KmOoGQ39FW0+qqVNUzJ08FPgYldB4hXSjD0CPWsW9Tow5+yMALdB
ATpMxEZwdjbLc5gyc9ewizQAjfap2TxUXdWder3a9A36PUdoO+bGiMjn77ly+51qEwYOjCZW0D76
M0Z1tHKODe67TVBPJKTGpfkdhbfx/F+9Ol2J1Q+tHu5hhoyfPqiysGrCxlP72NM3Jm3BY0sT9aYe
+q+toBKMGxrAhpN8aWzSmv79uX+X3vLcmCtx2DH7RBL8zwUEIJBC/d7aR0O3N6B32i0izR7DT+A7
S9v035/t9+XKlQCfXSltz2PZ+vRsdidMUOz8pmQs/lBl9YLGG7Ig3f3UyH+OVfDj35/PXJaXT/eA
9Cyhk5PJZUVP4J+/XlrnkBLiUh7TIMBLhMeFknhntCQilP3S7FhGBHFJ2z/UHqslbi0wBbttCbXw
NvKqG8c6iLB6vIlG88pLCOXkVKUCXyultcXiv567UN6HLU5oEr3/sHyYvy+gri2XRZSTmOCrT29Z
EQ/gLwlNgF+mOUSe0r6HN3Y18PkeR8cb93hyvwoGYbbHhA5BVb/y8pEe2yJHVEQfrqpi1wakvmbW
5DHOsO9crXo14yp8nouXQNbz7t/f9N8XW8KfFw4vbzv7/ef33DMVrrJKmkdaDTT4JdMOictvjwLw
YGAP9ovF6EArPMz1078/9c0T++nz5kp2sMyy1lr25/3QoXnLc+fmkVzXfF0XM9myLsqdoUlPBjkG
q6CBiWt0brWyko5Z16KpbRbIKRq/4Q9Xu7FcXb+9GtYzfPPStqVYVui/6doHPS4EcVIGeVI169Wi
HpoXzc+V6y/azdULp3JuOOpDjby9P9zZzu+3todLRyKocxjY/L6sMOty9SLSj5Wuv9ETrFCOiOmr
dHe5yB5nWEoXIXNaoMEywtFxclHnMySJ7HcnNvc4HI1vjeHs576U9wOQec75sdFUeCBRM4R4xbcx
g8v70TJA3FBiVIF1vJEu0qGGVyTBCpmDvutkYQOmY+RWoam9hHG4EfRZVhhG5DavIZO0k02YWpl5
fmLlj4Po9n3tFSeGEsvSICdSqAJWsL1VoZoltQNMXmQi/Wop073GYC8zivdEDx/NGUxw4jEoVEaw
D7u1y4VCllU4Yps17Z0aITCElXY2BCkAoxJ7DYSU0vL0sdEo3Chqz+2gZuZiHsPOlhNV0utkBrqD
ey6c7KkL02vfLhzuqDD+cLn8Jxs2iGaOrB7bHgeI22L2t8uliDk9TlogjyGRKKc5lTuUBt+SqHUf
hk4/uSEyjHRCMwATcDW15J8USfHcj4E86HPDcJkWbFijKzb7bAd2nz4BWkaGJRUQ2Vq+SJKTVjgU
zD+8cPn7He/pDqss5bHnCvd2Jf7thYfZgGyFGvB4k4lKNCazNv0kkEN+y/Pm3dWmY5ZJ5y6dZ4Jp
ooyZdNFfO29hd1Rsp0hocuqvBR1BLlUWr+k+C9SDzbhm2CkOaVjSV4RuxbRqMzDl21kBwN2uYtbQ
MtYyvK8iUcjrDS23TiJjkm8jUz8aY3W9VVawRbxzfkWswMJIxtEmM2N6yMyWT1YuHqBMVX7W/IV7
sTz5YxYzKWTJ3Nd08Bo1eVvt3RUVppQcnzs6LH4/qnvBO3yfByNpg7jB9mWHzkua6u0PS9rvdh1P
Z49mFTGAjOg3RMff3ly9bqN5cNnCiEz1aPZcWqcjehP+yxrenliFXQ51cFGNwmUtj1m9mKQjRBGp
B0ipSf+wuhu/bam24N3HN8yhA+PO59cD0p7BZTPNRz5edXBaJBWOA0Rcby6xRSehe0i7gjhoGBPm
qFekDqBULxwGb3FUtucem+ofKt3fV31ekot1ULdtj93ycwHlziaabJqHRzOKBTJTe0WPnoEh84Y0
MmjPLAleDsiQO/r902GBaOf6YIJed8SfkAW/1fvLa0FrbOhiKV7lpzU/x51TtYE+Aew08AXiTji0
Xb2LGQOuVM+HFpiEp4TMPf3O1gyIHrw2TVX3YZrB1avzK3P9gP+nt/ya0y6HSTK+53F+/8N19fvu
ZC9sCQ4lmJs4IHw+mmUiike4xOqoNaa3wi2pH/JQP6OOJZeKseOeBqxiiWmD+yDwiMDZ1SW3thfn
0VmLHwXRxmvlyJcobJpDM8T9qmnc/AzW8y4CmKz6x6oe8zXL3aXzuuqJFSI/MbHEcIQN3uxZhsu0
rfzJSpvNXHpvQdH9ILEr3xHTFGw1vcvRWVXwmKMCQbhMLJqLi7A6qoN8O7gQqzha7wRKfat15EHW
gmjzKXc2nVm3qwqz0EkChDVRpm2t3nV2fUsq3mA4xZ5mgUAeZHtbEqpiH1zkdM89DZxohmg1ywB5
o0aGlCWL0ygYC98eqg5GwDCV1q9Y+JKBHupX0Z1n3JK4Q8gomSckCAPkX8d8MSbK+SQNX3ITCEXL
ETeMs41mdcYBB+fPRkcPMojZXdN7uYNF1q0JDPHub4so8W/pSXeHp6nu3/RyxhuhbRRKq3NsaI/t
QikJR7QUpE/chdUXBv4JngPPO9rNtL+dpOOg+TkWKNgTD699xU6wLubQuBhZzB6XB/vWkuMfao7f
L35pcNLHb+xJQQD9UpL8ba2KCxwyqLmANqWC01qzvtXQldq4eIC3Ws0AAUTqHy7k5Y76R5VlS4Pb
3nIshhSO+FxvkhJldsMYNUfIgt0WFuVd1g/eKSECFhAhwZyzK3ZdB4B1UWXlmHl+6RVkb7vnf38t
5qcDDmkvlFomOyFmMKn/dk8VWD+MupGkcSAdrB23OHMTsQVLGrbIfnfYN6yDHQWEafaTv/g1ZuJO
DrJ0vNck1bYRSa9N4aq7OC6+UYjQODa1dYXQcdRyaiePUf4cPQjGf36JMpuAtWZLZsKmHEfzTyu9
+7m9BPnLtIVtC34XU3BGXfamv32eVsak0kK0fYzGOvZdLTLIaJL6ESwVfe3b91gWjePtq5RIEDgm
8UE5sFGSDif06vYl2Dq+zNw8205Cex3HdD7eHmKqeCTuxKlmjfRvP5JaSfOQ1gVxCN18NMeUgULX
7QVCOIYgtfDTFAPFPQD4pp4ZpiS2OMYyIegkqsb/+6WOMkULaTzjHBcQi9xpI+32Z+5NGrmzMC9k
S1psk7eBJHSnhHtDVsZGZSLfWzLdJ6ASjvAbA+JASH8hwmLOR7dYdcuXE2YhBhLHYnm4feWRdACU
u9B5xJ1MsSr0h0J2mGUgEHYBAP4sqMM9Z9FsP9rWznR1ZDZj9FT3bFqsYijm6ue8yxEaa+wCkTnv
nOglykO5c2rsbMwS0Itrdrwym+j55sz8Zb9CL4jlLgTVN+IH6ifGMlVm1Vct/jC65hiIvL7MVkQB
3sArFti0VnpLjHW+cB1GtCQmw43HxBiM5yICao2WBbRNyqggY8BqTFZz8vAE7civS9eEt7lnJxc+
vedgW1kwGpd1dFLV1UpCwmDC1N1mVhftO4xit1fJDPyuYPZ+gAMbr3WnkE9dCoTYS7kaOL4wmUci
5AM16s6aKPtzgviJwwXk5sG05nXT0WvqiuEaBLX+nIQ6SUJohxvLC0DOQ/uuuYd0rRbsS22l+RFM
GdR+1l1YhNl9DURzVaYosGxl24ebXYdtSyMhktGV1pAGkXUF9vYJuzxuLdAmNCnHIkK8KrRiF41Q
VsOW47QH2nPbtn/hnYV9pYxnZaVildahhgeUlvxUyvyMymVRO8mzTFGehfgodh0i1x3OLWMVd5yf
vBpqGmzGZwRj5gaECvGgIJbLlCSRzo015j/hKz2ie6xWtKEMa+9mkXEwc2sfcthHoz6bG6hnxylW
RHis0qI2vha5fLWK/KvbhghL4R+uJ1zx0ASbrTY4ck82G1a+sITvjsW/inD1NYP5BeEstXORwewB
SLRvo43iSZO+Ga+8zFVnY4//1aHUU2SHbvNY1qjUMZI93oyp0yLLHWvvGY4zQ7mllykp/c6wue5L
A/5yoRFt5CrkVUMWf0EJW+8Gl8vo5i4OUNherYEJkxbb8V9N9KGHs73zWgP8cIS+b9LB9hcJ2XAk
p+PHAfZOCrn5MKOMeVZoxFdpnEWIk/g2q/s7jDwGq61uoxuhu+D0ClFLJMZr3FD1iyFpt3nsJvu2
1s+e1Iq9GPA9JxnmxRHD38YisgwXdgCzMBM8/dw8TWbm+LokXVtLMXvZgNQTdt61mzLyLA/WZFdP
kBnCddXUPcMTi9i6mQlrkS36I6y3fsedr2M5RUCQ7aHlkU+kwmXrJVvT63QkkE10plkSHayEVagl
SIP+Uq9tG0HcAuwmHQKLzO5AWdLMcaiflMuG7zCh9kqBQg9nwUntpvRHlSIVRdtXnfU4XpQpGE4y
hJVnr3jgpNKdafVmGxqQ3rp2ErF1S4uMHa0MyY9vqTLtsH6mrl2XbmE9UDFhWfHau6LrjYsnCN9M
60eMOzlY2p41pm3nzB86j4aKNaoTv390tAtzHeuk4iWymK4oqCKugHk1KKfeSityr1rYGvcVN1PN
cXYdIsY8xvjglwauOg61Rv4pfuKQIVmvfy2rkZ5coZ5TkwBZhZne76rwHgGx+5Smf7ExMGFthXvs
ck49nCTr0MS2iZjXgp59J4dgQAh1JVuqfaYtb2z1ehIQ8IrsSNr4KR+PYEAdrCXdRzaRfRXnIlyH
RIf7DbKkU1m6j60+St7Sj6gPDx4+mWPqIYKbEL9vY8baKzsDGS6bIX/J05e+FesRt9UpRk2+H4bq
yJQxIfaELQ7WIeDuokLX6FiUlRVLyqNGeFhFdIljlN49cecOgHe92cEPe7AKWn1dxY1fVoXlazqe
tB6F+SHOC/0QTvkLWz4LFRpV3m2dRp/X9hiS0LetqYk9LEikqmcMg3dhT4pVWKrbNJVEwu+0FtpT
hXQ6XvXeTqsr7mZdXmDw/0xD25+Iu1ihC8AlLUeAYqimipB5N8LZ8jQRh1bWgW8X1ntQT4Dlemlu
O1dSNwNZQ3XPx5BUut9CemACrHB+abswwyiAW2y+MJKk0abPHgkKubeNsC1vcMXku2AGL595Rnpq
9Duz18WFYwtaNfg096ohWylA1roQhsTGpWe/G7vGLx3TPSOgI3hZkt6BdItotpa3vsumbVmn40GK
Gs/58k8zFI7XxkJrQbrjcnOMT6B4GQmzhLqsQU+1GQLpDPsR8cTVkkI+ke2+yp22uM5TWewUgRrr
ubExnAwpFp+gdwl+0Y0N7ySIQEfipZzaxTISnzvCkJi+jsmH7r3aROvFvfNmw9toJXQzPE2kX41q
eEKltr5pf8s0ZswSyY/csVEVJll08LRuQyq6dZcX1rRphubKkRIKd713B28+GLpvUUpxMBq/I+fA
fZi3DzAU25VeGnJv9c4lS8OLSY/73mynt8mqAnI4s7PZ6t7ebHJ9PQuktiH2xHVPsjQRR2pDSre9
bzFPrODukUFKxGYTWfHanmgzdO0QcWq2D3laG35ZW0+3sUwPfOtgaw2o56R4FzoKjm6wz11Rn6xF
bD2GAphNeib6rTmYac84OQgxWg+dhTBPjeQkzTsjrxQsqnIXh5FxloN9mt3se90l3iVAFiRo8Oy6
ubnWoyDsPgxAcgZzDxk2IPfkVExedUFfhqTYqrQDk2cgL3rjbUgWghFXQ+oIIQhMyWPpudGdxD5h
TIZ7rhvbd4nJ8ptAfdyc5TD2Vm6dR5tmbs812OqV9CDIeB0R6MswpFtCwvoh9evaICAeaetmjOkR
lTSiAWpxcTi6OoB3jnw3Nx4quiNJ/5cOIxExAuku3iFGU7KKgipFoIfh3iqw3tsV1ne1WBhxiOIT
bgSDuugb0uJxX3XiiqK18KekqRAB9AHpDx46eazRa6N2m3OAPXMXm/IjDoS4k3O7GJVACevZ12BU
1pZ5KJmjwEPXDl6fWC+6U+PYT15WrVMr0Y5BDrbOLjmBppV6KkSrn3or9BmiTutusgqaxe3ewPZr
Upo/0tt7zidTJ2YGvYoK0kMWZ5Lx9jBsJkdEF+QkWzVjbwZQ4pyNvsN4AvuMeEdpbDBlZEfagjkH
Znm1tfiVZbw5KppH9zObsUDeehBuxALSpZd+lt49rRM7RkAZMxFEYMnYr26Hd7p/pBY93AAnpF+P
11sdimh6m3kiOlPvC5ZxJN1a3TUbjTufULJZR10YoinsuThny7esrj8g8mj9ULjDg+apgz6G+l3X
EzLphVB7K0lKMHHc94lugWrLM0wzM8I7mAUIVdr4G+lV82FUPY5VL39sjJQNLdee9NAiE0oQZe5Y
CeITqTCDx8HBG+vqsVgSGg3NXnbOcB9UPNdI9O8g2qc6H19tQwWPdIvQQ1WpeT9gsqY9BGBmSlrE
fKmb79uUUwveJqx5w3yKW32+N3vAA02utPdJZPc4kXpbc34GpEw3aKs+OA9rfmN255h4MoIS6IJ2
qXFo0oL6xuLaIDWoxNRyaCucR4PdqrPAH7q3a/cbdAAT59ip7piSzcGUE7hYVxtLegLjBnSnXyLg
FjgB4lHGqZiLVnY9qSMcn5damkQvVsUDauzyEEfuyCigf3BF7nwobjBvxhbUZ21xDBFHPlZQrRtW
k0McutiPxz7BoB4sewZHrREKX2J9tWuNerBokSRXbWX4HZK1Y1vV8YEwjGtYk/BuWaQf2xFqm9Fe
qTIZruFgcc8lrbg4M7tyg/R7iiM4jsK69+SIB0QBl5/wUntx5j27Ao8j8r67vrZOlZqaB9lW7cMw
oIgcKuD7y/nhdt0qNOFr1cBwaSEG73pHEOylGuNCoo33yu7jbeSEHh6jz3aqABIM6GMhlPaN76np
MGuc8zhhv5K1A8GZIIc1YdfFjk/my9gUkhkdq22QENXroQ4tmjx8WJAyVYM4fkpHC0CTGJ/yBdKp
0mFvZxi7aRu6T5n7FswSAAqh6gr8yi+uCLc1EdszuaS3cUFvYnviasO8WAaMEcG3R61VbZKCtEwa
Z2iuivGQ60usdmOBqBlICcJrvCl76oGsFgAusnTeeZmCbpCV1pmtZoIPYSJAqoqftDK8DVMVc92C
el5r5jgR3IgrIhil2CaI9O5EKbaIedJTzrAJDCbwYcD/x5EhiyubK/8c4t9kQsKcptWu85BqjHpH
XOQ0dbsy0J+AySeniYb0rb01t9FfxcAM18P5usr7IDljsWZpNu1nRvDPqpgujYary6KCm4o2wfFI
ypvWRs2+bPB6GjuNGLB1t7CM2kS+xmT0rOoWJHmwuJqw6rf3FfjKXQENFwWFe2IhGXb4q92tSfPL
J2zww+x6AZJsINAvQ7mzGsJlDSsm7UVHvhxKTgbEzfmZa14Ylo1vGYkEybTNs8ymtB1BiCvk7WFV
cN4inER1XXo0OiJnu6w8uXX6Lexq4t7CEUeHxRSsFMzDboikDv3sBtlWtOpSbx3TgrrAxNkWYIwf
REIhGSTNtynyiF4K0GW5MeztIMf7aTJ3seORtHQGDKch7MQxjyUNs1L2R8rh+Czz0w1MP9aR2mIC
8IB7xxoScDAnNkNWGfEeFqio1vQtsJuN6tA7hOzEAbHGCC73o2n+dJpJ3uW6S9A3vojWwpNST4na
R8gySYsT7xaK443NiYJD0zCvB96/vdO8KhIUSfBgW++VeryBoKiNdG58b0Wm2C/MBFJz4xJM8Wqo
o+ZOk/1zjWpx3Xbk4lUktnFgJzEFln12Rws5UOV4VnI8upwhjhUIsB5l3QbFbwpVy25OTmLeG8pt
Hzmfc3kuBtk8vgxufnRTz7rHl3sqe+LUAGWFV/r3/kBG/cYBQO53DrJKIsjrc1NX/Tpr6nuj6qcv
/RZN+arSyQFrEaJbuNacYW4vTi9P4RDxyYOH2AayfFcN/+HNeijVXPhjX9ynWIV8I0R9WeOqWKVu
91r34nnAhozNaAJ2Yq2dJAATBoNozcr/LdciPGiZWd8pnvPgKfmqld47tcqqttxsh62WMpemBtGB
BQaaLLmrW0Jel1NmU0y/GqVZZYtD4Rjb1mD0Okv2Ln3pWnpDdqnNiIK3z54C8cMAxoU9vJ4oq+Re
r0vzixt8QFH8RjweyehkGG0iM8MfaXDsH03hbrBZGn7QdqR9Rfk+xB2TzqLdWAPsmMiL7nAOfrd6
CjmHxsDKNmq5CjocQQimcauZzyn01pVh9Pb3mVDwdzJXw7uSZIE5d41nL7NXbWi/iUEO92acHRrd
yU5JnT+GDQcvIpPgvgTjg5pIv24dUL1dShI6eHT3EHfmqe3DadMqIT8GEt822iQPRG0S0UDGJZd8
abfjgU616WsxHuNbBVeyuhox04sY1TG/koegDQijM5A0hF9wN+vOz8igH4UrE6M3AOa9Iuxy1aJY
jRzOr6Vi2fFa8bXlWl9F4dQdxDyMOKu0YuPp04ZlgnSRTp3MiRHoYMBkZazJuomADPjT6CeBLjA4
0JUYEyvzwRCLbTBxbQ49OuOixM5Cpq2eJ0+evdgrW4SDqH13bm1pPvq3ai20oKNyDkj+DJI7XGNq
FQZzAXoHi9A8jz8cGzjfrCceHUHi8PAKLgt6+71K4mYPSwTr+TB/03ZweXD8eBdSj9TRVqZajyIa
/Bu+C6oA7KQR2X5oEuGmTJq1N9Ekg+L0aNO8XKUSoIsMx53lNHRhOda5RdXuCIrkHs04TrEF2QN6
XnC49KuGdGOGJbmAXfrRdzbJWqh/Vo0t2Luomw5R2T2ozhPE3jpsKZN+a5rSyVt+pjfT2ciN0Bey
GLahGt6I6O62qiMXKE1tep+O02ygyXPQGxeLSqcQ2kStTvglO37fQZIoy4FA0umtFvjCuCaxoQK1
G7NcfbVb8xBbuJ4d/YKJluip6lCMjMwmgENAV9bATccrEk9n5TRMSvVmM/amOAQssr1rt6dZ1x9m
NzUuqgEQ0jcajm2luHc4iLrLYSfrgm+NgprgNj1Xcw1kw5VtudI9lRwJ1grXs2vvYMcnJ+j1Gcco
hZy+rHfMT8Shwh60miFm7IMZY5UR1O/8HeYXs990cWycW1VfTDXaB4Id9+ht26t3LO/XEFtsukUV
3SlcLYck1Vu/NSrXN+32qcrM9jFrEoskho5WopZfm4utpPUg0/DcuOVfupu5m2qw6p2LOIFGhUs6
YSeN55qt6rBgo8sGZrqE5aZIvFEBGwIG8wOS5ukxzsBbpJO76Dfiu+Qxq115svvM8Fk+ro49gQtQ
dbg2E5boOZrsM5Uokdz0kH3RwPBIoJ0+oFllSFcDMJa2arkb0+le4HLDOExQGD5I8aC5LLaW2ZKA
DWRmXRE8vOasLBlFLFduDRUGq2+/A34KoEsWIYPw1loDu4bRUKlok4+ms02Nnn1NM2lXe7H9pqbv
boQ7S6sCjpjmmF30Jv8IvOK9lzRNpuy5Jfv8xRxm3KboH8F6VCdTDt8585NAWeAhEah/79mtfMs2
i3MLqGQrcG2vaGvDVAitx0bKzczC+VSyGE2Re5QUTdtotL5V0O1f0Rt8dY1qA+a3+SHpd4bpi1u4
4tz3enRnsSAbaMqIQ2J84NJu2cti/qHiMsLakDG5EoP1GgRvnIieczpGj2WYCj+OoO33mc4kI562
cxRhMFVxuqegP6uCdrqWBNNTU+ncPuQS4PGue1JklQR5R08qssP2AY/Xq0kJdCeqs2aSKGcUgHGP
U5T2TIPq11T2rV+nTU3AIpshOY/jfV2X+oMyiq/46arrVLY/ix4amakS8gqV5nyZJ3Mh1M3apZzw
fqRqJsWWo9e+7b2EAkprL+F47aEglTsnC3zhJIiCabGtIZCwVtkLqEB2dXpuUE8fg5iQpGwyjzMW
Gfw8yGQPKDlpdHmZvorM4kkl45eg1MZtBEKXpCt1EktrxJ6GgWqbw1xeNtMFHd10MVnKfG0c6er2
00vah9Z1mPiHVxYvra4V1W7WMYTu6+EpwrK5twdC02/fTlXQP+negcxp/T4ro13plMZLGKmNY+r5
W8N0ZZeBqdg2pdG9OHV+oPD3Bxu3+2oT4FXmeoRQAypS+zCIm1VAT14jDxu467kbIgFk1qXnfEZG
5uXy4HTQpzjFu3Z3KqMe+DDPjQMkXS0j6QS/A/i63t7sHvnz48d1WA0r/O/8Yb/eoLXcwQs5yYt5
Jenyi/2dbrBJshQMdIHBH5ILYyO/o4Igp5J4e19uPFZh6ADTHrxxc1YuWeNP6NhJv0vIUoduY/mb
zWVzebvgLFt9uCtjHazGzbgxt/JImME1vg6v7lfxE+wNVW9lAxaknbPGI8q3yWPdbXrJ6GOTEkDz
bWRctdcP5Fhe1dV8bt8aROv4TPBEObCf1jSug9bHCaZ1217t6OXjXkUJgoNEv0TTksZYRc9RX22J
M6pxSzGo7Cu32gNCHHZB0ltY8UlDTMSkHVxVXLDdlRe3j95UmY/cqPaGubX4llIIrChnNdCgqbMP
i/KcpYP6IP7YXPejVt5NSO6uvdJf57DYtmrIvvBFgjKJ6NQij7MvdJLXskGCQIROjbfcsr6IwaZj
llBuJsVJYPgoeBFPXwjBWuGxmbbXTvk4Mo/XFHBV8HR1HnBTEuNMqG871cfbQ21V9bEG9/nrW4dE
eXKvcP0kZtIcHahtx6Bum+Pt29tXacul0ef52WCcdmTyddaic07ndlsvseNeZZfMy/nq07cN05H9
LAc/WTJ/y3wJeonCmkeDedl2zNzH29/MAVj9WDZ0iI2ccOBEnB0GhNvbX96igushLI/LK1DK1P72
86pwaMLhwSmUkR9vDyFpw9zcPPy/n92+AmuzLPvs2aRpsEPynIRMOOAeg3pe3166jEk+tpjprkOj
wobTV0dScwmT67KmPemV2e9K8G6zlP/xr7dtXPx6nk8/S2oATkaTEeSWZy9zUUfbxjExMrUREbps
aBChtLo43tKUW2ydWZHMO3SMJkuPGeEQYlBtZvrfH24/C50mo6VXnrTlXb89MI+ld0qqAY+jPYK7
0ZBICJ1Vf1jSyamDSvIyXBIgGO//0g7+N9n/eap+/K//8fE9jxl+cMCM/+r+DumH/4pa+P8P9v/f
2Uebfvz+f/wH1d8wvf/pMeBA7+YImGT/h7LzWHKc59L0rUzMnh30ZitvUyZ9bRjlPnrvefXzEKq/
lJVd3V/MBkEcgJQyJZHAOa+ZkPTdz6rGccxS/2uS05aBXgOtYg3/W9TfUv5Lm8gVIGVsShiQQ/7v
//kl6m8wBAOBUU2zdMAe+v+PqL9m/Yl8nt6PgisNatQKov6y/ZnEYVvtkCSNrP8cq/qfsh+8gz8a
bJ0bpI9A7I5fg5Cao1KHP4q0UXF5VLRLGZKMUSyLXEqJSbrf9RfPb6GbNUm/hE2QPZZlW10aqlGu
HYMnmxqEssmFwnJZs1eiW+T6sTHsM8UQhCvr1qnhHsrt7jZZsoddo/fYDo9eDAU9zldaQJZvBGBc
xTgP/G6svM2Otg9smTyh5MxZ/6Jz9ntYHIk54qhtLemA+uI9DCD2pbSSBh0RqVtU1KbfYkt5QEeu
+QmNdj8oTfM+kMRbtD0+XTHZg10ka8hoGnXwqMstOSdLbZfWCAQwlbPymKhuceRelbMKdZ/vIREX
zT1W2PGyooC7E3EK7NWhay7gK0zITpT89unUUELsyeFxxDct3jhl8t/ithpBi8zyyVh4mi2aWz/r
I8bEhQK725Zx12zAExGDrjadlZI5TA34CBYSc7Myq6qL13l4sZIWmSexnuwltqQZDtcIYkYDuf//
dijkkyjqxFuEEvHnFtAoM016khOApMYuiwbYr+T/plExUBeZtwZ7wyYLJaCJwFm8ByPcIRddmZ3u
ePYbltTCF8pxgV/06FBaTtM/YIY9zLrByt8VJXDmaalXe5vn9QtyHnOry4v3XjXTjaWVHrxWpkFz
uGSZrl2t0Ow+nF6Qa55LGB+uc7I6FpI8SBziDnS+dd0g0h/wNi8A3pstchmypAIwP5mmiqlmg7J8
S3V2UUDqP4nasDEViGER7P1G0ff3eOOnuE2r3kWERNOMo3MiH4iaEbWA2zV8nHJmmddjMpWGHQRK
mlY22sOYtKARe75fnwbElHusCpIRrx6I0bkVWvtK09H+ropX0WtGnZ26OPzc96WYoWbSMosncfG0
0bXFfSap7OlBNema3YNBPSxBSmEFP/ldiUaO63VpSRYQqaa+NrlCASsNLgXaUD9apcLizk++arjf
zOLc8Z6HCnxSwG7lpOb+uDZ7Jdm7iK3srYBMgoF9296Tqbs/+zAeyyXqj9ID23isBfGh3fTtEJxv
TZxiTx0ruw+haVCysbFm/+os7wNB6wTnH+Rt/V/nThMTgLPk0WN9HqoZOq11gYKo4jy1/EFX0egq
nzNpAn15jwXueHBCSTsmTV9fSz1uDrIt3U5ykezYWmAAIN2r+sFpxvQAWlZ0gnAkk/vhkHI0yXgn
xwOt1H6NdNNpIWq0eHz4LrK5AKABr8s+xh2QcUgJIpPDfU+IWtRTHBAzcdcGQZMOkb6+zWtG138Q
40kl/6A8i9+pX+NlRAWnYmd9tRbi+NaQ2qEwP1hzNsrKVcQQt38pI7c8UKdXrr2XpIfait7uJ9V+
iT7unxd1bxfIvPZUeIrGx+inZzuul6OsNpjG0LuFogYSSGe1c9GN8ek9O4Oa3Ofe4wYVgFUiSe1c
4ze9S0b4EqPeuscOtSUyPUby3WZnJiF1JNdmsZCaJMLZOmaC8eup8O8TjHCR5Yb3L6wLIPx/AF9h
N0G4UBUTjxB4YRPY/E90ZlaZCkJX+EACSm2QetLlQ6+VCoZrTmuurNgw10VSP0uqwmY70XPym8GY
rfPpf97YEoYyAM1E2U1pjWyLQIQ+K6dBEfM9pZ5ZYOF2YxcYRyVBblwvyaOlYfgtHtHHYKm/zkfv
a6TyDY0pY1zyIV2Jnmi6FkfJJgHBw3iXBwfZH4Nz7XfSk1FT+JYdpzmIQfxNuwkFXVKGYK4Mh74y
M8qnoZ2eoI5IO20cJETo5PB1jIuz5yfhD0UO3gCDKs+ZGWirNIis1VTWT3x04fIulM9BqGNuH2sB
q/BWOWLYCOsfLv+zkqIE4Fd9RJoF5QQUuaMdPMh6Ul/Wr1JDA763nXHXcsmNhlOXXHcyegfRE9Ns
5GAWMdpzK3Sc9ett2rZRwI34qpacM7vS170ZSmunDqxnFCFOZum131wvIuGkOuMZeZVx30COBi3Q
Z9/ch86CeokwiLUYsT7pL6Sj/4UIrX6yfuNLY0HANPBasQ0TKrSgu3+A9FLS6JOsKr0fnSUrixhi
3JV6yHjRvGUktFmLFpzhWBdn0wbvgxRhvdTCPnmS86Q+WGnjzTov7PcaRqdzadRR4ZjUrVmLggVL
IDQUE3zqPiCOREzME91Psfu5nwb+NvkeY4VJYa23gCCo6TIPdOOY65G0xczFXUet3p4TVJzmvi7p
b4PVPDpap/+DmARVY8373viJUqYzSg4HarnazsA+fQd7kLya6JObA+dmTdHboYiatVGtYZkcbtOn
E0XcITcKHrGJDx1CFZtCxQg9d5P8BK4K6fFIc97sDIVFJXN/BgBLlbbIt4ljYj0z6bXF6Cgvu7CF
TtAmdGvsF1DF4LCPi1OYm1T/pnkiNLgmgnJJyGMOXVMeDca3voicQ63xW8NG118CctKW1IyjixfR
yDnGWVXGqqDUs+iiofBzsUnvYaGBSqKIiXmI3kubBIu9meiKpkP2cteEw9s9pPdtcrTQdtT4ly9U
ks4bXiWkJh1pzxEwlaQ3TQB2NLpWdEsXG+dZOi0d7gPiSMSQLgEB8LfhpmQ322PShHT7fy4ojmrV
q8qZWWlfgaeWB0wNfuoxgoC93RgvFqBgT0NPVxm97hFnmCVeWHB7ZSnDlxeMn1L7yjfT0jeuZ6uv
Fnj2ld968bZDVvGRh8t3MUGN0MUxjOrRMYJiqw+6DFhPk17Lxl7read8c8iczTXV6U4mCmkHnj7Y
LkwD8dpLo7U3qmh1QMCZoEoexn2pfxxMlfodfiNbtPi9B5bGAMDd+kxGVT4Wk4igkkkOXjUgrcSg
aFqpPA+lIh9F7z6j0AJOn876fQ0xA4UZ93aNOsTmtFMTFShZQXod6Vt7dzsMM8XeSZpN9MNhfx67
QVpbKEkuUSyXXtzWHxds48AQ+7b0AuUJgLvN00CMmoh2SJYtPfoRqvuomsJXZFabjsW/UBE+USOR
UeNBZ+iwC/GAdUz2tX8+6lw/6gMJgtRP0KDtOVPbfNaFbvUtj/x9G5Vo5kYPYArR/2u99hDWlvps
N5m+q0Pp4MewoOegJOSFm8fZSjzd7ChG13Lw4x3OnFh1h3VHttqKgGNFiFZ92Lqfb1yUj5Zbgtd+
p6hMb1/TIOLiwKfAj+Sv+PPtD3FSOKPZuz+kjgKrk2Yv/ZCybbWp82k5lQ6UyRampulvocyOFZgJ
Gwo2zJSvk+3o5vqbZmvBJsgomYqu22Q/MIQsz5otSRfL8B5vZ5PQWoG/99fi2riRXpBWBoBIkulL
0I/VzktyMlGlCqhCHN76tVXtxVFkFBiQCB3bOkMGKBsga2cZCJoTOeF5ZZAUCkmXjq7ebCPbaEsk
riJ7H8SWdWvCvuoQeJ766PAVizFHBqtNpGEunn66iyFUXdtvuoJAV69m/dYhp/nIb+iHmFDy655Z
smRfxxGvBhcm2qqiyAFEAoktslRfq8qPVlHPLc4Ya/V5dGR5lVa5tpRb82MXeLY3CzXM8CaSVIiN
PBJZHInGJ/01A+/c4Mb+x0Awesm/OK4J/7JPHz97Xqh2BhoEpiPGPzxzFc0bZKcPzR9tZZfmg0EO
0SMDf+wT+VQFwXDVKIVcNctBci9Q/ZUxdcUAtIglxOXhNg1PXnfre3GD6F1MspM89UyqVfsCPt29
RKXv7OUmeWkz273oCG5dBiWP1oaHWFEbZ1Y4R4kbDDQuFWtxhpg4InTK/dXYizNEHHT7dFURwG3E
FlcVPXGGuGqi+Or8fhV/oIgQUvNZi3kB/qSFV600rTB2SlRH+vx2OPXFkWg62zd2ncn6H/lHDuHh
LahGUBWKovRfuGk3/vSfHwOJL+Ajmk4+QyN99uevUA3SOMoDQ/0R51Tm8FiIThSyrhjWxjsL7spJ
NO0k5RgGWjjPyNuvREzMFUclBtrLTnFaCK6ccR/oi67etv7w9ik+9GX0kGO7+Of0aHp1QMeHOsPL
8n4ZMa2SQtwPYk26vbqI3Ro4C+DMasCcv9/vrzPScaPWCT+dPwfSyouOyBt/OOH+YlBV13aqoJPy
+80Fep3sUA4gSZxC4seFkgYkUTy79T8figmuqTDh8+GH03wtA4r93y42XbyGarUAT+BQ1O6toynH
9lEcWVBH9aY/GmHzGPTeo1CtLTKUgO2O7L/h1wPaVyh6H8QIBFf7ILoD+alV3aEKG4U4MjqS3z1X
qvJKJdS7koHqHyygoZPtmPweJ2C4lDZSDqNnp09UrNGMIc5mGs0XZCI2iR8o76p5RWG5fDPJUm1z
BSMxMesvV1XS4pf57f8o5DM5tH4gOPL0MDTTNhQDDSrZ4jny6ekhIU9tZbGlffc0aW+WWWwjeQ3W
L0rAQd76TuD756rQq1kP8W5zC9qFnR8BWyyteohQFPU1/zzKIyB/iKngHDkFFKg7LzMAjazjwlNB
kWqR8nRYaJIZ4m9KTDRm7JjrKpBztK8ZAAIUnqxS9SD0AAn9N5kYiOSf/2QN5TVVhsyt8tTkDv7n
TxUTNyXqWjX5QZqH77SJVcesaVT7GCHNDP8p2oteFqqAhXFViJfkmOu5CH4YwVusd+PiKEL1IOOm
rqu2w6Jb7xb3yf2I+5ToVnmEmGvoAlJ1m7XccacGtL4OlL5+QKzUvmCIy4rPsuaOlToXEUrrtNrB
GkQxP7XtC1KQ9iUfsVBNYCUC3KEr5kWTuL5smg2wb2LdxEJhBbK1gXnuU6Uz9uLo3ogYynzpiocS
bI9pnqUWMciO6VA0n877MGxE3QBpm+174Oqfr//ptL9dqqgQsx/wefnLOwMRb+1i/kfgUnpo3Lgu
HcRREFQvbWRIAJ3+iKOw8muGmKuVrPkd5ApYjJE5v5//aV4HBHJedibk0D8vkEFDaWfiRSovbRY2
73b+ISiuiJqfggeQ9eA3hr53IwC2JOUg0zt7r4rKaiXVxMWg3UdBOcMszrjNu59BvvHiQr5Y30P3
08Q1fX0duI/ks+WDzXtZylLdvdSq8a5Nyf6oh/JAZuWr2U5C2JRi1y652nPvxcvStIsv9mCPi3go
2VM1BS6UlWUsJN013x1SUyLRYcZUuyVfjh97tYs2VhHWG4hxiy4u3JOKm3huW/mLVOFInMf1e+Jm
xQtOO/kBuMBAlpkupnwWzA1qx7e5CVzkssG5NppGu3KL/2USZAUspaY7a31YYpSED0KOicNjl5HE
R/3E+iE776HdY35RgGlFIWy82sVob9sQYFgZadMaphmvuU5Z1AxLaSNioK7HM+LGtxNEiPIGQEi/
aBb4041XcSXX0y5OjteqmNFCykVkaURf0C26OZgy8uJDSZX6do/vDcASmKM2m0EpSF6gaC4aMXp/
FtwHIp6mhkom/h7qxEXuj5D7K91jYrby+/LuRtmKlYo3jqxcaizz0LFhTXPrT2uYQTGo4iioEIsp
U+i+4FH+sv4R8+7LoU+Xu5/LvwCFCNHXkR75l+WRECP6Y3WEUtNkA27Kqm1QWZxuyR8WqSCiqhIt
2+q7Xnpb1QzyA6KH6grvpZ996YyYERW4PNwOPee1ziUL9rUrf/ck9ynjLv6i+Jq8BNjt7FE7xaze
znWIy/AlygiBbatRTCydzPY49przZCYqIEnZfkMLNUWsfeIdW77zVuvN19ytzHOcefEF6s47af3L
/74fm2qgn56o0PMd6O0sB2UFivuff6viRLbaq3L63QxxmivDHruZyAUY6Ztn0ZNlW12jCqhAkRyK
dJ6Y2QWB//woRpPOLHexmkA3dCw0wIrQn0fgAPb9ULh7cZRr3amFtbAWPSqeYDvFoWhgBCzMcZB3
nWe4FCVMd4cNZLmvo1pet1ldn9DmYJFBFuLJxmRt3jg56OQyxdCgsiVe1wi8g2fSkEmV9uJIxEZd
hQZuuet76D5NzG2i1qsgJ3MuNAiuFQTtgzcEuPdJobGy7CBdIXYvvdQDNLFYdys4tnR1TXmVJMc4
iZ6Mx2I/1i9OL6NMW4yXSkrDzf/+MSmfy8isfBy+kCwPZFbzqDt8+pxcSZH7HD/db4Fk5Osmlb5o
aA1dRAM/MaZAE555m1jSsvuXj9CbNg1WGRcUAdJL2XjJKZqkmKXCRf0cX89zYEObboOBqvJXo5Pc
k7iWMl3V1htKCXqJ199/XsMI+ExtlpjieiIuBeWzh3EVqInx0uQwyyJcc/eNayj7LKxHXDFM9RqH
iT+H7NV97Wplk0CM+MeOYQHFpv1V7dBnByDvPQ7hiJ6Ikrp7ObKQv0U/BSxf9nAvB+mwF5cNwssf
S0SleZ30Nw6iRDQ4aXOMgQH/7aSgqRHHDTjBmk4QUyS7b47Tq9R+rIBwA/D44RUMqTijQ9XN8yKr
rwngvGMZoOwTyfVVhPhRoLKM9d1SdJXWyVakUbweqfzBMg8oM/1MoaydOy1wLr1mP3b8qt4mzNwK
T72CX1VjvhV+c2xbJ3yE0xOfyg5tBXBs5lub9CimDna8TV34PWEUB5ACMoTthnhlol95vDe+bP7q
lnX/jHEhOXbEmVttTx77V6O6uraP4Uph/YGi/TY2kKWeYmLKUCfa3kfOax3J5ArKMGte1e+l1Wqv
cl0Mx6SQKVxPXUnKezjZg4nudKC9ljwgZ10L0vPXOZlX6FfQ8eba7/ziwdYKHVtAO/5emcdRzuUv
AWyTzpSQTS+b7NEcSG/IECYxah7wrJL0ndXVwzPgh01CzeULBhnKUtKiZJsBOXoLgSGI+YmvIOAa
5ijQTKc7xmw6+R1JwhSEWdb8m5qRosqfdx/86ixD7DscW7VvVagPzwXD63KoO2X2za7Yw2nQKGAy
0BSj38/rRA5XIgbYCQAWvo+b0uY5cZ/n25A73dg9FJ1WwzdBkbOxemXtDY3z2nrdEovf8Sv8ObQF
ZNs76Jk77DTsET0ECs6pYfJAwvHMgiByFiGE9p11a8AHuMfEgDGikC/H7dF1ObMo0dEsk0xZIW7C
ZjDRgF1QLuj2im/rFJ7BkYiu5+X4Q6Kb0+FdPh2KqAlk251/mCAO85yaTxj2W9Grp6vdZk9nO2WJ
Ww/iGXu8vkmUSm7+iG8M0goA2zekgGWIBwjMp6NV48KOSn9YZbAVpwYyoH8Y8rRAml3HxOh3TBwJ
+5n/MYbBYrRHU+I+S0ylRgbzWW7RT8ormRJkYy0lqZDDuR5bGGKarrrFSAkzyWkrg6gxdrgKEJUp
NFhxdpKSEa1xeiJUtcA+KUwAFVPd8KzC5sDdB2RANkHeyxhJaE8rVhBnhnc/8Pcqyyk8jSOdsh8q
rWIaH4wxS+0owKrS1a5tqV9FHDRMtywHy9uKrsoOByjpu4EgAAAmeIVZtA+RbJm1g+8/1VPTKhTg
nfrxFvEThNDiPt/hRW2cojTJ9+gp7dW+KfkIaDC0HKGpgoUf8bx6rHxP3pUhhGkx6oOaXOaY3Wwl
Fg6LIfSCB2Aq5Q7NhGxdp1GDtKDszNiwut+6op4Hte7+NM3ilZp2+dpVnbFAQDF4KHxcgTHggLjg
BU2KWkvERkkcWil7pluDhixEnamvITixxhtvEq7yEbdRDd2mCuVsEMGN5HXupdXMlhIkR6jtpC0V
RwOcExRfCj9yknZbADA7G1QOtiYmxDjcG48uGt2PpHAf8CdT3mELAW2t8QfXx8kuAs/Ls4/CLlaY
0lb0ijyzzuLIhn3o4DPxYMfAZjO7X0UYyINznm68NnbWm1oN3sV9FwVy59eA6CdjvxiHXN1/uj8H
hnbF9MGAZBTkPKMSKEBO1mF6FGa4farBM06KDly1xH/XM/OHFcn59z4bdrCsXGRXuosUjeAu0YXg
bbTug2jswkRtxTWXstUa2m1AkgwX42nlLRg1itliQGoQH4Ost3ZSB2XBYaSBmY0mBl27jkeg51O/
rMxqU1j5+TZvCt1GRZ+fB5IhUyPm8RU7i0v1VXwKSjxiFB+d+TGU20fRwA13gH1dzYwKlBsW+MWa
UbkWY3gmZMdcaZ9FD/R6+1iU4TcDR5Y5AqV49NqGexIN5hTVwgaGsrzHGjOSTp3rrLykMg/3uBVZ
0x6u/ckrSSdVLtiBcS9P8HVE+kIExWQZJbVtGWLPbWX1FiBI/DZozqY2EmpfJJXPTRN+E+Ew0KN1
lNTNSnTbieUQcjM7malrPzm1tBDx2rayHVX0aIGQf/wWQduEqBl0K1vx2PaZmfIlk3KHXCo3grQf
nHOO29CMDGr51Y0mQX7Z9y5gn4AtwCfn/eKIpg9tsOhdqd6LJkKkKkcj/D99jJwx94PagTYKsUQM
e2He7CNTrfdKbsXbBg++ZYEG2NnCBRj2qRT8wDvb6use1kmCUgPE+VMWVigfOw3PsCi2Xvqkv4iZ
gSq/hJ1jPxsKhAkpdrE39eVP1/JstGwiMz9b3YgRa6ygcyIO9T7SgH5P0V5HFjVHP0RG3xGy0vcG
ofJZ5Zjt1vLM4rlIFJR74w5LMRJ1z7Ib1LBcInPFsrV8zgabf6RfKUsx6iRY742uIS/EqGWXyIOh
xTEX3Qrxvh3iPBJ4b85FlyY9NC3rFNFN+cCsWDevHpr9JKpa/6fjgM5yO/y4ZJdfg21bX0I8g9F4
tdPHsaqkpeEqLt/5FqAwXJVNp8zVZq7EkfVQDLhLYWymPukpBkm1lQ9fKzRKm1KTvkSqvqUk5j2Z
FaovozYsyXFi05pJ0btrVhhFSqH/lMlBuzTQGphDm0i3lGAHjDt5wgxYsk6NQr3vdiS6jWKB356a
+xSoF/1SgbEFYMFD+jsNlzLwzr1oyHzXe90PKXXVE4WqTmxpLZWQ/rRJuVM0mZME2zatv95D4miU
SmWFDbSykZKkXgS6NnxJVOcEECd6qq2g2Iu4N8VDWTpJ0fDYo9yw74DsLEoPUXl/8LMHEsoZtACO
ZKvMcE8efo0OU1fExKgTA4Xp3HJ80ys/n6sDkiw4dlRHlJmw5s6r4ltbwrnLzeQdcfJyValJC++i
UB9zzfuqjqyAgYtufKcu4beE5YM4Usl+4aloI2KushGZSTbDYsQ2Q8p5nlFyOyZ2HxAnIy5bzDRr
SNdiQMRuVzDU4NFiibaGD3VweIyB0A1O4OuoWRc2TsdTd6jQ1xJdl1T9zJTyQ1f27i7DSGtf5x2c
P8WKzmPeduRjZd4622UoxH1zrmpMYSPolqS4Q+0Zj9+CDF1izMo/u2gEdNAao/wAacrO+BIXifYk
q1nw3mp6P8eBVLvodWyu+qLW9xmU7j3cGoTMbDm/ANfQ5mNhkg5GlHTNLzc+tY7+kgbo62hTT4SC
SUMsthosnRps3FODUjj/FoYTHxdxW5n+sWVxtHPTvypdO65rE9EJIM3Nu5/EwMnM5kkJWozB5Tib
q0nRvtcWBkF9E/THAEPIx1rVjw4md+8qcnKrPlABj0yng9+BGJiGl0IK16JwT4LC3olivWgsP8X1
YSrji4FMVPjvc5Du8xepUSwVqdEfVT1cYSdZv8b8PvcJcKs5onT1a6h1+arzJfs2ymeH/nyBsaQY
lfERTbXEftLrwj2nBbi+cJCPmeyGQLEyFyOgKjxmJvXrqSdCosGbaehNvMYACp5Hycm3Ueyc5Qil
zUJNsi2skOpFTQx9VieltRfdWO2/1kNnPIhe6qobWS7Cq+jZ0tLDKPpRTswA+YpioeWmeaiGzjxM
Nbp2htrEr74IBl3vzuDpY3D+e6IY+NRtLMQBXSRIP8X/Nvdv16wLaqBy1/isQ2Lj1KhesMGOs0at
xIZNHLNungd6mCzl6HUwISnXqL9ouhYgG1VUpyKIpffKwcl51DTvCtfUXLWdPOyHOCcPnXXKSsGu
foOOS7TplTTZQ7QCxMNd5AvyJKfSk/InEcc56Vc8VeKTwTrpqrZf6yTw0cwh7ZbnffmtNooHK+wx
MoWUstFT9mDVYA8vJfkHMUEy4+nur/enAMG6gzk2Ob8Pr/qWGsGsB5v2JZFMHYNxO9spftxdUW5E
IGK6th2GPzw1yR97r4J+3ljxCsmlHm4gvtPTBK3EyL6vx5xipG495Bqg6nQa6GIYURmKFpQ2Q8iB
YMEFIFw0Av8toOLi6D7wad6nrphcwESc22aPWM4EML9f4NP17q+hsqAHmTfmi8CUo5WRDT1qcUP9
jmlw1jbRl8rUgMCi0QBowI6+kOTBgNYayIVqSHNABF2KaUlWHxySKE+uGQe7VJNkxP+Gct93VrkP
5Kja37vtFItsqWGBMx2K/m3i71PusTxDpDyLSnfxt8k+LJRNaSDLq2TZLIg0vgWqozw1Vfjdz430
qE+9ckDRJeqMcVNLLgrFAY8sf5bViTUXCSX+PcbCMAP3Q8rJ7oN9EZj+LclkO2Tewip4vWWQ7ifc
+qHk7atpMkr88oKftL+TWnlOvatB0EDFdlUcTTFJD4t/dC2fA4JwDpppsS2ZGtG9N5kH8L1Wft4j
n2aNem9gwxDjNsd2MS+z6hpNW6QBLBFwvrrZia5SS9gWD5GD9EqaPpmlnYK7kt7DjpJqMVnJIkKv
HCUlknF3cNL3uCh3PnKNP4beetFMr3tJPdNY6mWl7sPEwvo6KBAriqELd3ki7dD/AKHt4oSYaqZ0
MvX2V9Pruj3r2LWsTSX2zmKglrr6JDcr0RkQG4X7PZTdiqTdrpp8JmqvnGmeHP1U6l3uO/E/beD/
RGGPWo8UsSvwx/HoT1LTJebj69Hu8ivQRBQaeEB/i1H7EyexRjrXuWO+yZUeLhyY06fGBEiu9fpS
CUq0zGAQ+9JYfytauMEgnoMCs8Ae54wHc0L14UK7HTC/u+hSjD+unqrf6lE6+XXkPivow64NGflI
aujls2671yo18y89utA4tGZXK2rTq2zZLBQKDeH3qSsGJCTTEzgZDyIkWQnVe8pitfbKbhncg5L/
UKLqtUxcyC5WVa80x+vxIIjGE1vDHhedPv2uI2AyRsWPpC0o2aIfd4ldqdjy1qu1Q/n4ya9D2P/T
FDwG1vDyu3eoHObCKywXQ1UU5Doed4umHet3o0024nVJiPNFZY16zY3SXFap2z0gPfmrQURM3ide
C53iP3HH7kOSSSEI/4Jt06RT+Wvyfc7QUS7IBsWdNZFxCVw5XId94b+w1JMXeQ/Z+ta1KxubNv4I
0R2VEI1KN0ZPd5psRAhNtJXs7Emm0a3BNxRKVB7FaFC7bySkrQdupcEL2+CHvLea8+1ClJ29xIuu
4kRFQ36qq5NLM0wS+9PDOwE20CFePhMPbRFrkO48NKV5vIdEHJBcV5BNrk1vy4YvrK962fhIzato
zrbAR4shLrZZPH4HODxuGrlKTlnBD6XINEqRgwKfNqqcHwMlV3XAmYzfXvXQkEn+EqRGOpfHorm6
7rQRxHLuABE83TskL9a5ktYXsuoy8hlRiNwFVpami+RGUIC1zh0jvIrGaeKtDBLq4dYLKvK0prQ1
xzi6TbAlY1xrYdvMrTqbeY26k4yoRzCGxkX4CgWj6XBw3toxXI2V575kruXvuwpSmR6NzkuAaSZm
fhaOflPX6VxrztcLHvbULbX4R57q9oM41YhbFC1Jl5H4yFEXNW6TTDtXD7kWYS8xnZN5ZrxJk9Rb
yrW3dHWWJiMaFIcOe3AF6SirQGQ/VmZaWNkKu8KgOshhBitNDGXOJOwxzYdkzkeQDChjeXGC8NIk
WIRdTLsLteQiepnh1ac/47LaDbiFTXNRaOnEXA1Dvds0MKsfriHiItQHQ3cgVYWdZ7IUmyGqWEhc
NVSULTUJXnsMikU8kXFdwKW63GJZHbz+OV/E2zLLnkqPLYepufsGN9q9OFIT4OVqDFdHikiW94M0
brICRYbb93b68hooNh7GrtiLkG3Zzll8ZUt3V1Ph2xZ5IaHbVXavYmX3t+WdiKm18TOvFJ910R/r
yfvysInQSmyNBkdf842kSfdOBrxFECN0ltbURZvrRH6UhVAcqkevotQj4njP8MUuR55tmHs+tazz
S/Ybnqo9S34S7PUcRW/kv6T3SJW+YJtrXDRHw6HRQcFYxE2bhRxb85yEltMu1aw1d53suDu+eiS6
f/M2KgXPlDga6o0AurLekM6uWvAth50juB95KJersUMrRsQSC422MUSdQinaJdAM9Vz2pfEYxrhQ
Gk5ZrPn3Go8kzeV9YWrRZKCiP4opv0/ogXOyVQ6BaDpy8tTjxDiqVnDBmAH+R8k9MUvCp1DqRqRj
rV1rjqTt0rp3HxIrcaEZYc5hqNmOqv8ujeNJfwqRoTGvj8JZWTTqtPGKDOvN7dpqK0LhtEHD0jWG
WsGNEsRnRIGGEp40utJslLzBWaRZo+w0tz/euiJ/qEf5MchNdSd65ahyQ7XtAg6Yu2YRhLT01ADp
fNV6s4BWgNr0GCnjksW7tSynbuOyYtFz6Yse1fhfezlaE44ynMXcLEAEKxwb6XY1LZjyzqiNwCUt
pEdNbdXH8XvfySbqx0Mmz0w9aHdIyhgrp3TQqQ5fUtAq/8guXBXHqN88P/cWFtaHZoAtsxombK+D
qKaIoZtIpYbVpUz18qKg4C1CadqyH59m1H1tIY7JoJg2hWxX2cHtyDfsAIHQQQe2D5aZ+eUiUIJH
uZSzDQuaEXDdBHsQw7eZhTKiZ6ZpSCHfzxSTDM/7EXW4jPak1a7w9i+Jrg9vo8xWn/RRuxJd+AJf
Ym5e5wrvVzFLqcmp2TWw84CN4tSwpuHLOLYAh3/HUizJt1RIC2iMNVJNMnqyqC6TjgxZlnZVsHd7
VBhEVzRj5qWUleJsVmQ5S2ERRHXJRyZ2OicCkYKt7XQozvx/nJ3HkuQ6k6yfiGbUYptaq6os0Rta
S2qt+fT3I7JP55me/46NzYZGRABgShKI8HCvV+Q3c0jLzWIDlWV18wqf+lvdan8AFOJEbb/JsQwY
oNSqc+3CZuQpPJ7czgRa2EpfSE20P9RQZS+uXBMYn3eJlzTeumlh7o8Dsv12WvpHYnUsqNpmvGid
3C3ViZC2pYIhiQ35YqSydoc58BBNLeHrqLgRPnnqOfnyMlIevv8+TviUCQP9Z5zuxKDJ/QgKtAiO
Hg09iEs6uM0WlHm35jGQv2SaU82yCdxjSt5MJyYYmjBiJIH+rQMlhGBqol6kEaqlDqYKuOsI8BWs
zfJR+9Z401cuE8to2yA6ATNFE3lyKBoSTQo7prLjT1NW/kTMX/MDLSwehdPccdide08K3nyFsIna
KdlGqSPpAKQHYVhPN3bwdEHrOHE7irPezDauhFq0liUTDGbq8vSKs+cwX89l6snc8MRyfdYXmvnh
WeqwzqOoX/dO7H70CayoqZ585TFVL1UlgXOK2/MrH9PF5MY383w3nhXh2L66pQ9UK2rkFeoB7auE
vimR8yqdC28rV9QjEo7QUsutCXpBhdRo0c2gvPaVOnkCwbI+7p8zVRZ49WyamP4w6GnlvnSj5pCg
PooybYjcg2hWMCFSClYfWtuEQ1ecPjpOxkgK3xR+SWthfx7g9ryCPaPUPi/fuO1Xv8op5kBlww+W
vLCxQKb6mpuWB4C2yQ9VH8h7tLvhOpX6U1Ra/bW1kuHaxyVLIoACwiQORg9flF81Z9Eigt1fH14x
wC9ZIbRoDj/nKB1u33HR755zBOg07x2/fBOmhFvJSck7QEJTKTAAdbhHp3Lhejo8m4nkvQdQUCKg
OlUUCwe4fhlVl6l6WLTFAWLUCAx5MRcT/D3rv9ph4N0KVbcpSDdgOQJEvFBgLnnTVWAYZq3A1OLV
yhvsahBvOz08MqMSb4cpuO6pIJX8NMhWceond99yxjWEN6gPm2l8D9NCRd8DltWhk+M7Ysn+wYR8
c/Zo+lQpqU52F61CAsvqFGU9H52ogOBJg5Z2OnsepMAmRSLaIbks+9Gz8ppiH9Z1OAvyRoFTqnl1
HajZE6/u7kEVVruytyNIGGmGphHvUzU1ZoWc9PfMh4rB1XXqQSev1Uv2oe1jZBBMo4OH1DaOUEp8
T6dWSrjjFIbDm/DVRaydnSC/iIGR52oXhNj2whfrgXEtLGklfFmeWzeYhebC56Q88er0p3D1uh/d
Fe5GXghlYRjBFpnor6JfOjSzsCQiKq5tdTqSz7298JsKjobGRKkQttQIoZQL1QLZffTrdzlzqpPw
IdDLViLso4Nw8jdP5olThjvhlawgW+isqDeimbXECdK+l1c6sgxmmdv7FPntY/5fDxDOt3KnHIR5
bCDy4jE9/u4WKgReoXBAfTxQq4XoA98AfcZ6HDfw/19/N8VA4RejwyaUV6jdTnIl8DPkZifvWA4Q
c+KRDaTHiLWD1tj9XCKZvqhdzeGrmoyoobmgMEUnOwBXLCMcFHTqeHwexom+WIX1bwfCb6tMLeEU
9mgg/k2FuFOuob7yZ8KYKlSxQwDLNI/BWRAsq7KZFjTSrzYH3UbKF9xqp0SLrDfjgzj4HjDp9oE3
F0e7qZOHKynSWzBAq/OvPuJUksLkYPFhZ9bQQ2U5tHM18PJdoYfVW1DwdO8R2SAeQ7NUi9sYyeFF
tPQmXoxaO7ywemGrkR0ir4CqoSyyhauSIA9GCQ03BKyufhENqyFIvEXohH44Z6mDXHqbZatI5zcH
/zOZdk8mb/ZoK6Vz9hN7PCS6ql/FPHbOAzzVLuM0XxYG9ckYoHOcLiFMFFyNSAfUv4TpYR9jOEt8
vZqLFyFsKLZR1tt6zdJvlWylwO7Lqol7ZAQ59tkbqRbVXe0o2GTLadcl7BIUFL4ia5Cv0VUvus6Y
8Uk9bM9uYtSfvsKe2ENxUFR+9wjbD19caNEkJZM/+sCqN30DiVZIbZ+we645ftjlWG8MuWhWjl4g
BdAa/kEvEMCti0KHrKltb4iIdDdf2fh2rV+FhRWKuiHOKc2sceLhDVMZ7TJoBreSZ7U3iG71i8Lm
8+EFEETxUYAClxjsJ9HPFmDtwkSe463pi22fJupVa+KIwkK4JtmkvShIdNz9r8JYBXbzUrYWyRcG
pD3higzWMeEzWe+fHWl4Fz6PcO1RVSsUnupAvdmt8eaN5Q8V7qfXsPDMl9xcVRIiZHOmu0uOKx31
yWfGlYWYR1ZvRNfW1pDdKSsI9SZvMrrO4c886lCJeWCSrC9dQOlwpahnTUgFTLulPNVelLDTjsXU
8uSaWFDdd0spY7PkIMZ1mvoLZzb1kCvj7/7EbzuEnHC62lierEE/W4kPaCl2Yduze3tn5kh15l2u
33hI6TfoCpBbH5AiqUvfuKWK6p3httsIp+jmK72+qDzC8c9RRveSUax2FWPUXGvWYzQY8+egXilv
tquGRzHGlTJ7Z08X1qdr/nVh0fTC8BCVwd00W+VcGmW1kCPfhcIv/eWU2vjT114zSYupvKbyWLHV
8bMOkCzqRw3wEY+ZFZJZ4z6CzHmfSGyCMhCS18AakCdH2PTNzaGGTVvoH/rkpZoOpddRgSGBkEmz
OHlBlLI6qYFxEC3Rwyoq6MAceCfFKKdNwkM5ON8s3TIyps3YMkdFA1LL6rZUA+czNfIjuH17dZtY
7RlERI/4ozgGruMdFflT9HiYKL2MTqINM/QSZJy8VyaTsJsjm5M0LPqFnDXtOdOg4QzjqPgcK61c
FLIy7KpKc9+78tWepOHGTnY3KEw0SyOICmKQMSUiKFtyC5XkeeHkOcoFHHS3hllw9POtsGmKQsCX
bRBSwKiJuNnNJQgLuiNrIZjHJ3rlED1QplAcja7Vztp0MFKjnXdGjaDl1KyUSDtDJqGdLd+6snFR
d09ToTX6KVCuasW6YCaG50DF+cMnc/7RFJj8GM3IOIiDZDuEusRp1hacZjqKBgm7o/mzU9U3v7uT
7zVYgf7T9L1m25OZ3epu+J37xs8esh7inuN4UFw/4B+ctS8U/Fqk82X3a2paa0XVpF9Gi0CnJxff
BpTMZohoGS8wRTpLqNXNQ6hVyi6AT2mCVXtXKBd2oeGB0zIWWl9Zn36c2CslNPq1MjUlknewJBnv
tuZa27BVPLSZSLJnPpQU8ehqGwPFq3fHS++UGBoXtU/D15HsqjBXkQ+3PASdc9H0NNdZJC3aTf/T
IC1H+QD2TdBbBKdzxf9m+oa6yOta498weGcv9WY08g/2lZ+6DKqm1Q3jVhTuQZiRHWg3Q1lWCHjE
xQe05/0s7zuTBHMfvJGJeYyGfJswopU0F5TYdj3JmE9CMTB4gBNaxfngfWqDf3E7MHkSt9EzYfwC
Sh3ssN3Axd6rU3DT8z+LcdWFRv6BAq7JQmOEQzjrkftqdWUJ3vIgu8ROWnaMx1ZRg7k0ZbdL5LLg
c9HCI8jZ6JXHy16kucvAb1ejXRtrkRyn2mvekeV5q0G974e89Baim0YtDFVgZXrWYfK4Itf1IaYt
siiB59IDyjRdpVnCB1p8VjF8VJaJOofIrLej+0lmuyP2WVXcUcdiJiYdcwl+SdAB22r4ZrRyiFa0
NryEka9tcnKT2dpXbX+TUgF0GA3yCFFTO2u59nXKGuq2PtUtJQx92O0JrioKvzxhy4JjjRZaNrUM
vW1XrIejrWQO0r7MM3i0usR5DYpBOhtODK8urQgRlNeJ82Rq2G3XID+U1FPYgtoaCtYOWUmeHl55
7+aiNc2vK/M/4Of8nreG9MN1qznJCrS2axY6dlcO3+EZgbs2gO0b7phgAhhBhCz37bIL+vJllHo0
ZShUfDRbKpMvjuwvBkWpCW9roDVTChaWvgY1LUz+LSxr+4gb+S3oOxpdUiwiDZID4YNhvD/6ekGR
Jk6/iugRKT8iZ4gOESUFK65LUiuCGzxHtPM4Fol+zhtYdwUITO2LX6k8JPAHkFSzWOAuhF1p+1XK
pv9dKasclRgDzFuvmRCaEnKtqq/8i/tl7FNOzq31l+r6A7WIRQyFC3xHi0obuANHKC8qvbUTB8o3
AGSKUzpymg2mtSumw9/+f3V9jtfqpv09XhjF8Ie7rIkXFKl6hccT1Yo8ar9aMrAQJAQmYgK7gFsC
oLZ/DhzJ/6p6qTorWt15LQsqvkHCyGfC48raoWIWBray2kthhSShbMa7MjHcK5RT7Ro6dFbMfe1e
ha1rUmnOb1lbtalMYDhu+R2iZLVK87FYN0CeP4bS/GrDsHQpKWF4SRNt7XODYLfajAifmyCRue+Z
y6YnSASKoTm4atXZR0Tpgo3jdwtjIAGZgv241YAkNrKvZhtwN9LN7/gP5ayb7lqkQLiqVQm5Nbd8
H/O+n6mmER2NqSk50qyws+AO5Q8Q09a6CXOd9s42yhN/4bJWeOcZ7wLK19qN8NqO8YuyXKR/Jqcw
iSZ6knudiv9733fjxukie6l3jfJJROzYIJL2oqaKd7T86jXqbWuWyW04gRy4uKqEK1QGnaU6NcHY
lZvSTSNKM2lSmCDtJGTfJoKr4K4FuXdSfOL6kvGZZv67bAzGa1Wl6gqsWLas+ABeNXdC0lqlP28r
yXi1SU6c9Dy8xx2SL2rd9Sup1A6NYTUv7YTwTCGoAeAbRvthAonCJuVBhy1HoAfwin4hsnIlC8Cr
aMHlDx9EAuTSLpwrIOF8B87OvPhAAfjdVv13BV0ju02TL64e+kvW9ixvUJU8NTn8vKJHDquclIXf
a6JW88omH++i2w4zqqUuRgfapqqxZp00nswiOLhllX5YIdLMvhw1O0Nzk49Oh1qbx9Adren21OU+
OQQ+iI82NlwEGgx1DYPsxFFPfATSL/jDJx7+rPWXccHPPFApLbZ0TYLdWut2fc5jhv+/8ap6yKZp
RZ5f9dgPN4kmSUenU34f5Li4GXBybJ/2GuRlrPf1dkg7BM74jX0i4HFuwDj/ciEzRpYr/p4GRPTM
ErATNYjRqm3YJ8q9jK7UyIVlNTFvdY4qI2py3jcrV1ehagy/NM/dDURjvlQqkgTy4DkHwwi9mRSV
zUym2Pgt0NJwBzXPMBfN0jeRkUfvAUwPXjWCkcNPXGMFPq18I3GbLSzFsjfD5DVVAkamXhDcmbws
hqjiRVfxJBGceBvBvKKkE13FTHlDDUJWda/AdIbXAWEVMUbVVDjZ88w8N33/FUBX88u1t7pcVz9J
BiezPlLyu0k5zbJCrOmYKAT3DT9J1wNxXmL+VNGjLJZ9jexyQ41e/SspjG1HoOVLCA/xPA3KERml
gBJnKal3ae4PR12OMgg+GvWuTalam9LNn2YzZ/1X/+IW8CMxI/mtjpFGBBOd8YujJj6mFHXdw9xw
MRwQwGporYyKzxEYf7uT0ldAo0qwLay63MNWUxHTGizkA0Kkn/fiIFzPpqkGgKpseMv+NSaNqapQ
Ckfa8PjITuV0qMCcLJSyaxdwTmYn4ktA2IRbqezoX56APR0rdvoIL1Utd4edRN1vM5tn8eNgZB6r
o65eFV0MXnVydIULMCOt1E8Is9xtI5plGNqwEAJYnbrIxgjve+S2JF+UYE9GvMxm4nTwlOl0TCuU
atrTw1O0brBvWxdOX3H6r/6+fR4IsMCoX60CoiPvo6ylR3KKQMqmZlB71UbTuDkobuu9y0gELAia
jBvh5UldzMas6Y7CS1Id5i5JfjGGoniZpuxrRXoTUwbNWM9EU0zZkf1aiKbH8uYxpWjCDrE29MLa
8B+Ud1VNtMqjHAuSMpTenjZxJrR+ja7sk4dHGP/q859sLFg2lVMfyfDolNbf6zyhPFpr7UvjWfbF
ppYrNrPx8LTrfY86agxmQvRgf2tf4gmVWBOJJUP1z1C15KNBvKqbiX79TtdIynJ/jpAYbexjOZ0p
dvj7TNjYKv32/tXvP3kBJdiP+bLYO7qwuUaRau3qngpCmIiokEVHTdfn4hRRKlYd4vTRQfQlmQdn
s91Wj6HCVorx4vRfg0iXWLtcMWq0Aq2EQgGp3AQtQN0kLr3LmHgeNRsKy8oSmE6ROiQf/ziGyPJO
FJPPRben3YngmOV+AdyeULU9E+5aV4+girv9s58UqsGuCoaP3jAQaXIdeWVVcr9TI6fftQbqszPR
Rrdv2AVy5urLp1/PU/yiqzA++j/aqu6p4AIBgcL6NAvlc2qn41cvQ5BVjtN65wfQvatK/SHsLvoB
xjD0FSLyKcu8WPW8a1Ip0iW1YVDjx14vysqUWHb4yNaRekSXxeshnR2L2tyDsnz0FkNYXDrnKH8V
DXJ/jOoMaeWQ4joKmzhoMdhiILzcVWTfnbV2NQVPpyrZWVelOkGeyOGflaIX3UWUpnrDHdHl+prL
anGN8+hNz/PhAwYB2AlXhZ/L9/peulZ7r9xW41yN2vYusM6/z00N4snEG8+Uadvz0MzUVaflKvsr
iKKALP0stcY6IGfTvwYlCE1fZvcUoGPzylLX2zSswBfCK1VZfKxG55twotWlsETag0uIm3kwlitF
887a0IJo1AvnKA5JQ5J7Zrgoa7US0gOP9tMvzqyi2ch6rO6aJpKbdS0F7iJPia46Yd7ujZZYBYIO
UrMXbWsyirO/bHasQl9CZJKFmAahhqqD97G14FC3lndu7O73wbCgC+7DsVj95aBgAJ6rwpaRfvln
BPE9D/m7NDzye5n/ZRdzun72MsBcsRWt3lS7Q+kSSJ5qg0SNz6h02dZAU/ZZ9iPsBps0StGehUT0
2Wr0e5oeZzbVQ8/phE3M+aevMP01u+p7e8Usqo3ej5FENTPUFYbbbNDJRrsBBq+BNF2XZdvWjqZT
2uIshSl1psXBAbkS7j6Wq52g8NJPujp6cAgNC6WV8pM5uBARKwFaciGizIDuJ6/O+qFrnVk18kMB
q8y7K4fgfVD5GaV6myxFM0WMagGVSbEFNxy+a0r4U52gTcIZGTf+JdadPu6FBOOlUKTgHSyjszNb
6AxFJ68vSm5XhQq6gfn5W8dz8JDVXnTuffdYko6+2qZJPo3fhDBXiVFCS4u8kxik6uzlpC8P6EOe
fhZo8lwEpIE1Cooh6ScVPPHliXQAg/6XJVM+w6iNLoCFqwde4v8/z+M6lfHxnKPrKRajXHnXpAOY
AgLN/r6U3cFEC1ACGjYdqGysF+kYc59I84ZyRakJDwkFqwdxVgvjOJpsztXaZ+c2dRL+oFLr3/0f
vcSAKCGjDtUZ0Ny/JhHux6DQ8qMDEm3siPaR01TrtnFeCfBKe1/vjfIoToMu9aiwwjjwh+SmQVED
aD+rBWNHoSO/g8AlGhK60j4gOjLL0lPv/KhtN1xMYUQkOqako8hE/uekpHABCCj2oqek+au6K9Od
7vTQhVCgWqgTmrRkf/5gYHu0/7gruZO6059mH8BTPRPcbApsQBVKH/28K4xo3yshQlpPJrdaQzp4
ukBokGU5/Wk+ZoDPp4c8Juko6hy7q/JpGoZ2FYfSVJtjqPvA7X3uXq1fSdvAKhO+u0a7plWsX9F3
p2JEQtn1aXO4By+qyCLxOk0lHJlVoiepkmF82mTZ/HCisd6LmYSd++qiAj9OGREjNSULL5JVPq4n
TKWtp6Rnm5sYE1oU3LY1ylHssSjez3vAfdyvWtdpWaEW4SyFsAMNKbULOcolOsyiw+B6CykP+503
DcxFJ3HqeiQeldCuls+FWDmt7J7N/8WC7X/uUiH3MQPQ1az6lo3PCL4B9any7AJnhm14OpjdxRvQ
3Wt4zBsA07AVmfVGBFbfipYVleU51ZTibDnFj94oQFX/MYkeg6rFIEnGfDMYUBFHbS4dYVkNZq7f
Du/ImU7yOG6NFGdiLuNcco9O3SobXaninQqB86GyR2+tZXV5kXSjW4RJkNzHsWDT3Br2W9z07V5q
ZPBRJEhsYJocvKRPDnmxV9LAOajIGINlafXfTtFDVYfwoKv+TGZjLMdGeMmmxGIYhNbJNlHNnFri
IHEX2MVa/aMdPHRarDro1rlTVFQsuOaiMmN9V3kUm3uBL631YbRfW6lk05qq+9oAU0hK++IEJ8sw
IugfOUQ8ja811L2JbdVn0XrYPWfHXlBCPgZsCLV21RfXDIyd6CHHcXy1IV9GhqozNrrlIRtHgQaQ
hKr018/Z5QQi0C4lcf60ZVUsLUctThZiGjFhUzTDmrQ672h6UcZ06NOo3ua+n6EDPb0ER9ZYG5jK
q16Ngzc3YaY4+nW7fr7mxtTSS0b49L++u64fIJBJAM1PL1t0h4f98e6epj/v8PkKQt0mJRJ65uZx
yZTtBkAVlg/Pa4aWBetZSgbuedU2kNwlpXC/36GYsETF8/EOH58WkrZQ/U7v7jG3anisd3h3oreY
X7zDChqx54vspneY1I/v7/GxdDlF4FH/+92J0bJl7CTPBhU1fRBidJakX0K1NHbP6S3SjkgTSeEC
GF7xAu5oqneV82NuNvaNVNlLpVrOJ8U3cOylLgBL5N3eMyWd56aUnDJkXpcO+roWGoJnbkzGS6oS
kfNHl7tMEJH1jHX1ICnaV+EUhwIwhmY4w6N/2VI0XxMAXYl8aBf6zcHOox/P/o5C/JBnPgtOW140
GtLw6ORA0570/aIKbeXme5l6g1HqYPe1dAyn1lBY3c4P+WiFU3QzXSjrWW378GDSxa196ChsKI+n
OcRBrfN+mbRW/i+bG1Urx7Sq8+MqSCkT83eRLJrmEKNqHUnc0cyTnWj2ylCdADc/WmJUX0NnVJgF
dKR/Xq+vdqAPFPsiTCGEDxsYJLL58/XCGf4rk+MKKVleYFyH/tFSq8c1hQlud+KgfeST7fvnxWif
kdc2j48EsH++lsMEGL/2pXeOmpump0pSKGAdvOAszow4oXQKEeKNaFpGDJN7oYJACPQ6XPzV24nk
fltS7ficQPQQB67gIrb2uMLTbEZ5SDH+P1d4OuKi+X2VjCIU+ONZD8ktHMmynyyBMhPaZtGxUg1J
o6Tei7Ys5yGzHp1+T9bZJt1eFifHQSqhl/36qoEuWJDPMV8l3/bmrZb2H0bV+TOl14ZvYVYfS7t1
fzkjuZrU71kTtmSVWZp5M7R0WZ/I/ndLV37Wlid9IL9pw5fVpHeVup5FAr/qldIltqaaJp94ucra
9Ftrb0mtvXVSu9z2Er9cLbOEDAsrL8X9zp9rOADVyptZJY6oF+9qrU22wtNrzlRxlJJLnqltMhwe
VktzZj0PgiWIipSvoOZbTufoBBHvl5R41SgsT+ZFOqWzlWsaVfqtgH9oHVT5NiiVgJip451lBzwI
+GIJAko0/SI1qY9jZcq3UK7uwm5PknvhWNY7bq0KNZXaIs0t6RM8q7JyVBd1tGl43x0ztYF0t9P9
LX8NpNgnMzvEfVf08mt4NUY0030U7WrIXx3qLFcsEwlCkvGN912vI7dZ5TU1ytPpqMJaYRvKrlO8
jPiivwjsNl+OQ5rcHZP0GQJlzty2zPieS8gqmBn4DtFsG0quwkz+JVqjVNswpDtHMRLOF+MGS/oc
bmSexdPBTjcgS+pX0eiQf4a5vb6KsUk43nUvkE+ixTuBiRi984PoGneAABtC9VvCB9Jrwv5zy18h
lxGOrQJi9Ry0XgnmspVqyzEIftvGhHouGK4rgMIGYT/RMezVf9xTR7MZkfVCkfFf9tyYAg2tHHEj
Hd8i1FaAVRfxeysNKvT/PPlFU8uJeWqh7u08QFrvrAHeZKMIL5Srj28NEtDTGCV14rOWt/yOadlq
SD2TqbASmIbEtkE6X3JBCUzeQeHm2FmjfRTekfw3OCTvPoCuuhpafSrrOHnXFTvYj3VQEo5nUNai
kG6CsViJQUYuS6B8AzYPKKzsYe93V95UMSkOodDlcYIk2ceTZI8wamAJiY5CBTN6ZfkSEtYaoka9
NpFWwrYcRMuMT3glnB06z2fSjo+WMJVN56EhOPAXmoY7pLT3Sm2Q8epzEpDQgt6lxgvZJjATgWBn
G1JcAIL5l2JU32B2APYTTGXiupVfIr0w1qY7TjVzPSSAEo9sp0F9tFZ1B11OJ/9aWZRPKVMaXWkQ
iwK69N10CyRgk0y+575JqkVXVQLZurPpYIjaOhKKzGqQB0u4ZLN7FbM140fZfSe+tnjMVKTRNu9a
/WukU6lgUhj+0tREveo4SI6anJG5i3pvE8iWe/YtLVvYSpS8B6b0I7Es42fcXx/zIHp1lZBS+WyM
rgZ81UpXB9aHhYvO7j7t0X5D1uo1QA/ita1Qgoos6ucmU1jp44yqDZDVk7NAR3OFsny5FF7ujdGh
RSmXxxPeHD7l13r/nIt83BTViuqD8FtOkiwbix+Z9Jk6Tfs6IPxYQOD83hg2WrZuoCFDSVPLDQup
5qaAuruu3tmJIeUU9ZRPCG+Cxj28rS+Km5Q3Sqse5t5M/H2aTejoqVeMiOqS8pF+jQSvse+kOp7p
htQdJ36KhVz53Vw3x/4obOIAFKE/xtNhDGtzgaQTXaYRHdS9A9hVPKKtyhCWPt3CJrzQwYGeSs29
XMXhvOlG91SZnnWsM6ufD9pofyUEt/N6d3zLRwQcMrcq1tRkBh+ePqItEdtfJQqaF6k66oegVcJL
SvqGsl7V+pqGw7uC+ATKhCiIuGkHrrELLs+DVbvHioXOnmLGwkbl2Im2o4Tqs+gSB9bvzl4A67Iu
p8fIpKppZhKqmxVGXfH/F212F6si4eMJjHS4VBCa7cYOKI+oDmiH+Hs5wqwkKgdqWkB6fNicqCoY
nOC7bDbBSVQHTL566vl/GCdm0Y1+aytlcJZHSgWkikS8a0TOzTc652ZXwEds8yosg0zQB5qceiF8
wmba9ap36vEsWrERRZuqg7nMRwQunZtudYG0tj+G02SZq9qrEcx3oBrmzUdjBdrihI2JVps3NRvt
a2wBc8EnLJVpSEuXevZFnKGADMA4XGoUgBwVUNl2WYbzMIzKNyVLf58JG2VWzcvQ53MwFMEXp/ul
mVn5YeVmurUocFsKs+sFe8dqdJK93K2QjoHKIOmCL+Eof6dkv72iTZudBm2wZqJ/lWpQRWRWd3I0
Obm6qv5T2A0nd1kHFCa0NfzPHLs4CDv31hruzKTZhkbifYQ6yfnp5UidFK9jKNjWosmrM/68uq6z
+2U2vQoYZvZFY/1+dS1LqXmnuqsKFpWw6LKfhaWcichmH2OYGQsz6uWjWzvFvsgge5zkee9jC0SB
MEr2k2rweVT3+rnR1GTR6JoL1aWHCMh09jwkjTSszTY6OGbzb7voq8v6m6fb/r1t9b0Sm+qH2xfw
kKWRfyyUhvJ42c2WauJa770an93AVn6EWnYDFZe8ax5vqyszaR9qY3eEnYLKUd2vPsHKbz2W0T8U
N/+CNJd+l0spXdk5wXctqOVT543BRJrpfonQxxZdoUNC0cnJq1fkb6VVqzfeTqaU/Qx7VD9XlYE/
8aC3kI8PLqi2Ube2Wuhs2GCgyQ1Z0PuYlvWsG4f4i5EH3/Kkcr8RSThlEHT8LNRxKXPb92dOe4T0
BKHYxoT+hoqRGaUfKz1Lyp+OL18QU2u+aW3wc2x9YyOZTreSUR55cQHvZfkLdBHZS1sWbEAHV1kJ
Wzvq5ZnCsU2addmjB3SF7J5jnTAGCnNDFtz8NHTOeWCAYp7OqMSvFk2cBcsaofdk6cMwxjfg7EuV
pDSPV/aNRhHdHt7apS4ptOtgGVmQF5HubpjnnyEPG5/qY4iY31cyZRn2Qb2K7VaahVIsnV27U/fx
AFAu8rLyaxu+gT+2vsVl486h3laOfGHmUYd2eF5Ojmb4nlCH/DU0kXH3SvYBCHVHl1zuoFeLQuvb
qOdUZDT+R95F7SqwQ3kr5YZ8s0MfyaipR9+arxo1mPcg1b0N/KA24D2zvDeJ8iI6QEmUzGDyA3JW
VeValQKVj4B8EVBM4HXVhwUmeyPFCarICMFYTeS/wfivbmPd6ZZ2LxtfzKFZBFY6vLtlr29sFd0Q
YS/lb3UfxJ8Ncm7rBvjRWnEC80uMnO0XzSai0MeytS6aLv4c4m/CF1HjvGJbrW2QbBnfB61aCLti
sFENUfkm5tX7bwSUN+ISxHesRSAFa82MpXlp+EidsZfYi7N8aj5twqH75X/r0umOTj1Foy/+GtuD
tN/BY4+iJRR/4lCG4JSLINf+ZUuTLjvzIhAU9jS0iP50Rs0eZsBQs2GdNn78ZVdrSm59rz7+ZXe9
LD02IP7byBzmFVXL867r3lOjKq/FVJxow+Gz/2Oi6r26Ik7zMJFlKwkiURUrsa319UFZ5CjqXb3M
0Ja13kN40jrOKtf0/Oiw09tQFdvv5Zrvk7S4u/VMJ98nmY/SNyyfR8OFUaeOcjIYEip+EVzIFz+s
4ARwS+8lUVoYYkMWo6Eqn4ABZOfS1OSVqbTuLE0Nl43147OQhw0cCexMTTM9C5s4c2PH2FEZdBIt
zQk9qIwSv/h/rJ3XktvI0q2fCBHw5pbek+2luUFIIwneezz9/6EoCT0dM3vPjnNuKlCVWQU2mySq
Mleuda5ISAVxl17vY2GZICGYyPHKHwb5iWJw71CPJQBWVx8Kznr+EgB09yCsRlwXKytAHlR0tcju
TvmQfc3KRH6q9LK5QLZ4ij0X1l41DMjoGtFOdHVd6RZpHrp3a9CNW92J3Eeyp95zrTYr4WWP7F9K
nX28TLUiwC+4ZgZjJE/YueHJL/X6NdDRIh406JgtIoWj3jZr0W3q6Bu18cPNTtroIeXsadQxIFFH
19a5WdTwXjIpQa0qI2OykzP0XS3TqB5LmyiwHgfnRkYQMaqN4Nzy8Bc20XhdXa4b1S/XpqmMMUDo
5qYbpozoNnuiFInmq2gUvYhWcmEiaKdl6X0sqMeEaiXPRwXUBM44OYsxcUUFZ7mTJ9n3ecyVfHcF
24uyAHmYj+s27smNTBw8idMkh5Cipm1M/8Y86OzapuEHynlxVM39EcQHHhj297Bwf6hNL78mpTQC
S6r8a51V9g5+9ACuRVO/dAr1u7mWF69KmAfkN4r2O1heQ9OcH1oZPofPaSnrPKEG897UiQVDXZs8
FFGGpOlfx9vJ+GGM2AaKK4hUG/6PwvAq9eKAZ6YkQx7XOsCCczZqCtjI8DuiEgOsLsNwFFdzYxlK
slWihipq5N2cqfHZh1D1OF2GWvncqmSIZ6E3Ma5K1OmLsbvzbz9hnZ37UinWsay7O4lqtC1iqwNo
IzN4UxVJgjtQNvZh5QVvfpR8CUynuvLgDt70KQseV6+ea/WEhpMnMWUsKvVAyrBbCqeYEyzIL6o9
iMLyTBl4bIwdlUVGb2kvZqgrqyQaqmusqPFOkYsE/IJmnoowjjd+2SuPFkViy45yks/daD0SZJ+A
/Gy/SFotXCrZA5dtiK9r5ZJyx/pRr3iCJIUinxS4ag+pLXm7sZDHa+6nw2pAyPS16zgl55/4zUlO
upGTAgirbkGAS45WwFvjkzeVUjkNpZAL0RcNkLwQhEMzotEY/bKINYS78LnPEX1VgrG1az8PlZ48
+BP1tdJ32alPC6jYGAqnIRAIxjns6q0YEk2nq82VWMFCzJnHxZU6sWDfx/C4u/5eH2qw7X1BOSFO
l0TV1fbRqBf+8hhIG9cYK4BYmrM1CGwdxyIsDnXWOYTgG/9sV5q2ARMX3dAisVccXIanbDBqEsZa
MT1zc8SZNG9lN9Sd6ZGuHGFsgcQgmdhClLKONmIwVFK7uF/aHgzNLtG04SgPKhA0hfN05jXVU9vF
IMF1l2B1IidbuekgRuxzfT8kZbFPp8hkCCPjZnTK+JZLIpStes+6nCVLU66KT+gI+/CEElpsISal
mjNlqzxs3ekQtQBYuG67AqoxN7O2lj0sjAnw0RZScOAAjt7b1LX8xl1QLyGdwjhpX3+7NRboQrun
YibztZ9ubmW6iJbh5rCaGBermZMbuJb3buxCTHACY3yK6rrcSqi083YN6lNgmuWDzy+4WftGsXRV
igJaGAkOpROrT5aZqrvMM6jkn5xtxG2eUkp7Jlc9T5CeB+u2E66KXMeHRgKuLbq6VSN46RTqrrNI
CUEbJD8lPsyahmNEr7nHqacZVfNTHbIZ5t+vfIlGqCT8WvkmpS17rhiibWIVC5swV7jwyi3HDERX
wdOsqygpHiSp0pdVQ6l5GbZwNDUJoUOSAF8oIj9nfkPcIrR3XpnZP8jPvbh9WHzOEyNfWlKhP2qg
5DY1PKpnM4y0fTMk2g7Zm/YiVoTqJ4WUy4U1u+39L2XG7pRn1xQ7vq9YJKB3phX11smXw0RSqAOL
2oszzt+dgj6MkRErDn5CaHs0dj5FimGm9yl6M0OyTuAfgqVb0vLkIajz7KVoipes09TL4LbpC68y
A9xoEJGZjKOUQXVna+VBWK2mCuHvNNqdsJL1KGB3ck30OZlLGNbYVMS6+6q5gKEpwL9r8Wc7kE/G
pEFiWhxPPNf5lOrmRDcaNBcnrABmtorL8bymICwq2kWlWfX3ceN6Uv69jOMegAiUWHLefaa0wzm5
UvmzqZtqWMdZrC0+GD50zbLitEVxpBgfgwzuEAcJwWTUnZNfE4aGfJ1Da2hwwi+C/hs7MgiZ++4H
zIevCIr7n5wEnmDqirprGPfGrqIuh1oXO78mJIRX0GybW1MfnCWPN972qWkoMDiaig2PXK8hLy4G
M1RREZYeIjLThsvzawwWge7pp66q3GfX66YvilojzEg3aZ1yXTYGkheTMyoB5nbUdOg2pq7fOPA4
I4Z8X8rKnebiS82LmDpyKn6E8GhpTa5m3XRLtj7BJuY8QV2kN0arPObgmWlSr701CT8/1YpzQ+8v
gCT3KD8EkA4Yqzwauu9yrjylZBm/uK1ZLVTLdF5RMBuWaO4mT3IjB2uIp49OYsET6A9wtoZjtu9B
4sB8okjZsi7bA1sNGzw7VsXS461k2PEqi9z0KZmagcwCmYYHMSK73smxxr2M6ez7pnNWlcwY0e2m
fFo23WQFRKiTV8JeDkSEsxa+4qpxzyFx+WWh9/Yi9eXnyKL6yoSSYTuQftqYblouBbOQIA4KpwLY
Ossn6XhgrfJYoWkVq6+Wzp9nR+pV9GRC6CCvn9FUrW4KnMOHMkvLlZdaxuehzb5ZiZE85E4lXaCH
JultdHyP0HmYopEPZJOrr4nffDN4zz7zcGnQvgQWEGpNsISx+YbafHfJKGJaB7YNktixkMxUumpf
epRbu/BNDmjnILcjjye+LX8oIz+Q6ICgeFe33sZ0QFjC9xZ8c/jHaKWk7CIllHYEAL8OJcTmiQ4B
eQEf+s9aFhgiUzW33vRBd7dInaRbs8ibB9/Mz7E7qMiQaRz9y+RPuYbZhaCzf7PC4qGT/HDf94F5
hMQbRsipMeKrl3/JCr/2Fl5HvWgWtD86dSNr8rYPCueTn7ndutbk8mhzgLh6vMRl2LDJ0mBw2KC6
rV/LsfGWHbFIqoWKEKZox48WdRNZlH3KV01pxi/KJLEKeUq6cK085xM1bDLZfvPh2v1q2wHMKh0F
ZzxQwq1Zwoziykb35pjAtUrdb//0jGFbegWJu0Z7blPdoUpPevDMdFfrkC0MFqQjQ6Qu6xqR6S7x
7W0EJ/kx66t+Z9rSwR2zdK0MznGMq3YhE/QgENP0mzbQzE3mNp98K61ReLeDRZUOwVd4mW62UVjf
c748UDmjAQsN+saR6voA9evBob75gsMkZk6FwiUdwKVHwEB6zw8fRANBmXKUIljpp6FIkqAVS2xj
TW5HOXfWoJzlLv/U2/mtMFOi8Vn5TPl4fIXYWX7JJAUCL8W6qGFenQejvHUhUJ48CcNj4HwP5SY9
yZBOOGE/7D0LBhTg/Zl+ki5uQ6WibyafO1AZW7DpUDNNXWkwr1Nk69FU2+7SmDWF6xKgNl0Kg1Up
N/5RdZqzUjc2nPUT4nACJvoOV2wRvkW5D0ZqgL5AjIuGYizw9MJF9B2/+oNNfwqL9vDSoy10LeLw
pVay6kKglW/S2JHh66r2VbbTcEGRRbItg/abTSbkAZlg7dz3FqWNuh8s2W1kJ64ehBHS+O6h7S3g
ymP0lbA+Hp1iDHsniPLFvR+oVr8YKjUGVJe267y3i9dCC5s1Mpj5VnRNzeTx4yjwy3oj9W9OPiy7
mjJQomxaerxfWpxaj65Opd9yAlUcI09/JBUsLf0O2UXfOaTVcCuG0LjaCajWrl7rjvaNc12xkMP6
a6cb7W2sE9JOGTSfZfB5LPkehpK6HJqw+tHpT51twfIT+c6pIM20gIWqXfURxTNNiBR5IDXuDqE4
Ak58nW8JTJ63dLoiDX1L1LigiJMhYWwzCqW6jt9K0ZVVPblISvk1AtWTofv1XEZyyzMIWijRtQJv
PA82wTKec89gPrvHpMmWlEGYz3kmJ4sAmACJ8/69tto4deNI46nrm1/+TlpNeAiDw+Nhrw3c/beC
mwVT9hDEPwo3tw99Afej3aBvQ9VNsgt0Kqyoz6QyuYSbjCP3sNFyrbiOdmlRbCk3xHC8m1MX2S5j
q35MbfJyPl//Hc8QknMZVAoQHo5XSJmztRsE8mMzRhYqQ538nMcPZckGdJLrfWjbMNy1OorwoefU
1yGYki9OXH5W3fQsF3zTo7hHbR04E1EubWlaSK5rjaHvGneUd2Clo2WRqfFaMaxir5isBrh7emR0
BZlp9qVULa9VuTS/23nypAzIBFWZLCNbI607I8x/cMq7+PwWfvZaXmHnRxkUTUGzK4f6YvNV2kaq
3W17wx5usmV7Kzig1TeZBKVqJuGP1DyTyQI6zpf5Zva19dny4TktWqV6JMHUbIq4zsC6lGCjCWOx
56puWaU3y7Syoq9F1i/9rIy/y36JCEIaxC8m0MBNC/XJcRw1WFoMsLy+0ynk9IezWuv2s+04Cj/Z
G6JcxZfANyjvtOXi4OqdBZ6w+654ET+UtgUU36hMgPBNeISKOFwTuRkuiWPmi9YwvoZK7j1Tijjs
FIhTt5CeOi+c0aGKTL0/obEAQJgmw+OQ6B1lP6W8KdO2eYMX9SA8ArMeqVojPqd2VbZt+monW168
hxPC3CvkH078LyNSf7V5hXrCWQUQ+a+bnqD7oAbDKSXsu+gDx302dJ1wUNkfJuxJp8EQXPSgBfs6
PgcA9aioKet1aSBT7fFerkwUP/c8XKTXJhz9hd3apL8na9XYKM4Y+rMsQz5K4oFNUc2DtARSoelt
t28aotejraSfndj63oE0vRVOqN8yzf+GWHtKAbSzyMFRL6njg2HBkc09IlLDtm+j9NFTp8h11lR/
mpBnJUGjfOeU872QA+ulgPpprSjRZ3so8xV5T+eWTA2YZZhUyR3tXFNSJfg9KmU1lmCWfLd0bsLR
cUyg+SFJ7Hksl3qT6C8/LNMqwi0mrnSz72vfF4tNxHWaa992BJslz1/bWZ6eJa9CgGCMIX5qtfgE
6uIPC8DkOdCMdeZXT1BQB0t1VE9j5Rz1hDiu5djKOUfUfTkOvrIy6rrfOXGl7tEhGa751AS7dCDk
Asog2OWeE6x0s1HfzAE+/bLvf1AMN/odJ3ZorV5K4u2LqnaydQdBEj+XsTceyCAsfV0yEIrKtZ08
AGKLC1MhVuNZOzeS0iUfeb6vSvzJd1RoYGxEYDQ5H04jxarLRCMdHZpav+qMiAi9PFiU1DVNu4jq
5gmyoGQnxuaGqrBfLpWtduvO6rQFu5GzTqrgza46wjCWHrxObJSrNjG0W+T4zsanONtNjC0ZqfFE
gVG68wwUbzq1gPEnqM9dqSVPMCqwr0ZlD+yV3u/FmJIAfYFdFjioZN84CljfFZUw1DjJkdmPnsYu
GbWJL7IkDQdfz8YDeGzeHZcMRkBR/6kBe8RGMPokVaQdOopw1y0EzLuk6O0HGXlP2VJbDj0ozVP3
Sqw04IzjB80y9pLgBGY43QcjAQsbmMeqsEZ1pfmOC7lL9+gRDXcMkxT+GErmuQah6FKv9iBlXvbA
XnqqdkY2YjTZNXmgd19MhAAQlPXZ5EHE9YLKF0H0SH/m82OC0VnC8J7e7GZSUm5eLIqRb0Q+k3tT
kJdeFTCErYfJSxjConIvdf6n6CB0Kq9JmEYryyrHGwxTzkJT6p4sizbe7mOyYW7V2NbBv+IiDJwW
9KsBRHIaybswWsoGAu611JSn3rGKU9PEP69iqBZg6IaGEdJrQMrC537JLxGfq1huNzFPwnNpoGcs
yUa+TRTHpaqSho+Bs29qi/h9Op6N0uQBkIQPdSFFfP35WWQHa6H0CkM3wiaUkJSG9SDGajsj0FhB
WxraKsekyiVJR1QX1N92lNN0lRXDpYEO6CbDbLDUXN978HnVW0JzMdnCDtZ8b7zZgIlOfOmqTlnB
K6jzmHb1o5OrybYO9c+t30Znv/1GELy8xM2QbxzbhS0mQIGociHdFFdwKkOTIy7nprYufdEPhE6R
H+lN2URowoKvWoo/u7Ci/GEgb7EwdKl+5fdeWdah6z0VdolSW1i6V1PmQxFEkPYE0dFs0OZVG4NH
y9QVTQepB1WQTtZnC2FSe+LWabeSuli9adVjoE/kTJS7I8/DG3znbpIJx+2pCiN9MVJUwqlXnUJ9
CLgJgiXRFL7CtsA3m43iydqdwKmsG8RIexV+oYnCSfh16FrBF22eogwegTz04lVjKfqhDqjXdwBz
PSu+WT1ynF7IfZI9w/y4BiYpPUwbdbeplDctdopTmQTuvWvkSbIMhy7cQOCCxkra9tIa8VJpGwPT
faz07E9KJ8CIpV134LsWLDoyVQ9GFoGXc+JxazgugKtSevXRtnrshmSpN2X17A1D+Zwl9i2HTPiS
e1L57GidsWyHoeEXlq5tK+6WFEW4cmv3YmR5d27zwb2kyMvDzxm+eUlY7gPZzync8KI3MyI2SRwy
2AlrRB01GHlSZcLqSghXpZH0JNu6/MjzYyeGe6tNT7GfgWzioAlAcvQhbyCDaWhVvKIewnwx4ggC
bxXucCqqzJekIvYN0Exe2VPXGGRlm2c83qXIMl4SqpSAhCrxWsxVndbbwvDdrO9zG5DDPO01GH5x
ZodXbbLR9eBJY6mo7QNI26n/El0Vkco1zPzyRjinHZh0HdrRu1X2opTQjZ9v73P73l1B+CNvhbNG
McWq9G33bo3NqllZlNnvhLMcdICe2ikNK+47+tJSr+toC250Z1hOe229wdokwZif7OiYEaF7Ru2r
VeTueaqkeU7K/pX8nHPOYBbYwfAAu77Wd9emjveUtDtHS5NgYxFjtfKlGKnMug+1WhdddJAKrpyr
AdSlqX4kO3KwO7u7Cv+0DOIV5+cAwXbUTay0Y4sXkCeWwxjZOnIXidL/meZG+yXPfRVhdM24Upce
7gJ4o2rSYbfGiF4aGakw00nVAzH1dhk6vfdWEjreaPAcbIRVqZD9qIsYdZHJmulA+qqsvXmBrb02
X6oi8Xaqn0Fa3hG2CxOzXFVSUW5BM/Pcsr1xODjIVBjr0LB+XcbTpa4khbp85/DuUk+UfBNN1V6e
8YiguPdq8udRtDysJGiAXjU+bQ9ujBDR1JOMTr+G3vAoeuGYZpcCdJ7ogbEyThoKPYtgYkwfS0ie
7L6H73xaFYFObTOxa61CU9Kugyv/bHRpb0mdd52H2fDnh9gFTDk5zeOxDueiPwTm8oMh80J5UbjJ
sJ2dhQvxCM46Jlzzv2/nthwYjVJRXhAm2FDfPXy2R9NdjbXTnQYllc+ySrirUQEOhpyR/QGyiWDS
ERJNMckKiatYMyYeDIRhRwtFITGm/L6KsynJ3CJP+8EgnIUV1l5EP6aVxTQ0fz14FCCyWI+AqO+r
VsSWgT2RlGoWIJlX0TCmh6wKfjbUBqYHIt/pQVzNhtlvNnzw+xcu8/LAzSC8F+vP80R39pnv9C9c
Piw1z/3HV/mPd5tfwezyYfnKk369/H+807zM7PJhmdnlf3s//nGZ/3wnMU28H0o7oO/oB49iaH4Z
c/cfb/GPLrPhw1v+vy81/xkflvq7V/rB5e/u9mHs/+Mr/cel/vMrtT2/ZHeoZYj2DmztgulrKJr/
0H9niiqfWSk5wvuse7/Ro+x9/z7h3bS/vYMYFEvdV/lv/vNd51ctd6jQrGfL+5X+23r/7f4cZjh6
d3rI7ny+433Vj+/D+9H/1/ve7/j+LxF3r4fxZhRdu5n/2vlVfRibux9f6D9OEYZ3L31eQlji6V/+
YUwY/sXYv3D535eynRLq3FL7MkhGcGykdmJIBGx2jH83whINQ3FQtZsYFiPiqhITZl/TLcOjMJck
kPZOjCyb1nmPmdboS68yqK2qDekhC2II1Or+mVMwRLZTL86pJGzBt0x2MWcMdPNA9v2HsItxF56o
zVjCiCXGRFP1sGWYOiCwGrL9E3TRV0g94mthS/G+sx0EnzvqfG0zujcwVMbnPIWBdPLSogglOWEN
LAk4myef7mPCrEb69xYAFZGzBmoZsVTu99Q556q8vju6sEquKiOw4Uk2qC/JRiR2ONmDw0RMdeNH
aLna8N0Y1M93xVUnaEDePqS6Z+oOgVVcCyUurorSaFtPL4Cui9mtVg07twDZ8G621TsAk9PmM+SC
rCgmVmaOLJFRP8xriaX9TqsIanrH+3pBUjSnMI2h5f11S+GW9l1/VtlY3N30kSOape4cuewpYkYv
yJsU6u9i9dAjU6L+Tri+kam/Godua/B/OwLK9U5+NWnZuwaTxKCYPpsLcCKO5OiHpGtAVdh5QdFp
CtNHZu3zwvLvHUcJHNAw03gOHBeCK4JX9xlicJ4mWWO0JOlRr9/NuXtWQ7nu4iQ9fpw4KoO/b0Lp
4cNaomtk5plIt7FXKgOt+hihtVHuvEvQJN5FXAH28tBtLb2tC2SWvDbW2SD8OmeMziOVpZPrPPO+
kNY+2nYUEzcN9INoRkJnB5SR9YO4QjBt2CdSshDG5Leb6Lq67qUUnDAjozgasVlp0Toy8DLUxnyI
x5pCvbSSpFzEaIuY3BpMrbYUhrt1chdX3SgT8la9k/CdPcg4mRsph9IDvMZP39kaKf4TIkMqAdu/
GLUx03e6an+Zx03whCp8WmlGlseVt8Iy38xBwxBUXQeFyfSqf7+uezelVI9SQ3stXoRheSrvSJnA
sGW7B9EYWYZi/b2dR7vIZDSjJoRo4eSbgGxB+HpA+W6MO+ndAnqREzCIu1i6L3if9G7BsofrVYKh
YaXCjH7UpyYM8+YouuJqbj6MUacHbSwHseVs+J8WmKfd76H2ziaD2i7l4FP2p4QjIgrIanLzZT+9
hUbK6SpEUEIYiLdFaFAjUjuJU8JLax8oBRjTheiDPf05aBn+M0IL8kaMgx5zDvOM2bcUwpZiGTF3
9vnQzb2eagyn3o9y9FlqUjIZuQGTmx5GTwEAtb1tETSQ+YS9Fa22Ex4UcDmcuR3/Zk0w9jSjui43
4xJIlQWF/wQnaSc4STMA6snH3CT1OF2KwXqyiKvZR0yp+o3VI980u4rhv+sGAqIyrxTL48Vt6+Fh
dIybXifdc8GB+5Drarkeyjj94ukGKSUAVoTOBkjephSUHLmfCgPgalRAvxbWtbuQ6mEvwMYChSya
urLdpWE4yXoeE7DllKq6dQJ+aykMd3iy67jhVrP56L8DPXt1G+1hXvx6d2yo4q4CGHMRuHIPTuE4
B06ueroQl6KBi90AQlChaX8fLamC7gvV2GizJ2SnLjKckw95I2Rip0ZMt4s6AGBJWCA3qx7G0BRC
dXn0amRzgupS5vA+iyvR5ENCtW2qg+pwq5+G6PdV7AFygMlZ3wpnWdOQg458OFFrq7r2afwauo4F
+XAM5FSKB3RDfo2FpLKuwuBPV/80nvTpa/x7jah9JmyZn2onj85w/0fnprRWlUPoE1Kvn0PCOBbd
CJ6kUvI9JLQnebSHbiF8qg4ENXlPlOFTJ6I+cForaesq2IrLuDG+24Gabd+NiVuFP3J4wU/iWiJk
2vdaAtGd7hySqelNBUbKuS+u0AlGl8Ssdh/HpdY5/N1Yb/juQUL0CU33yee+qhgVfTFHNO1A6clS
WIpikHdklVvDVG667uevNfFmXwbIbsa+/kLUozab/NXzUhkF9Q5cv5y9KkjIX43OfBIzwtyOz2XO
pjHXidaaDT80OiXXRz/13aO4Srr8j8GzzY3odUPhHr0KSDIP918u4e+reawDZorAiIv6xGSdDffJ
Yh2x4ofb1VTrrNI6mTjx/zJvdv45N5BRobCCjewH2bYYde9BkktY6Asn/kT07rPR68oPxLUdQyf1
a3vhU2xF9WenjUjphK3/6Ic2v5lGKB3N2oyPH9ZpIP06+l0J3w0f4pMiV9a+k3LiT9AOLGrEc04B
8hLDuYEVcNOGQC/BIpjlWxhJzjqGrWthESgnYZpE607Lm1MzNSTr3jfzmHBRZGUdlba0n8fFhLkr
3MRYmmvmbowctNr+sqSRj+/vMM/XQtIRdZLcXMOgECpG3MGClXwrurGcJxcniS8AbKN82aSoWXg+
alu+VsPz1aPApWhBv4BUqyNx/pcmQ68XvVcDbu+FMIWdAo+1uMy9BBXYgrDau0G3yMy11oWg3Jyq
2QRKpEwlB/6TaBodAgm07h9EzysgwJk9usmtwyOwxl8e7JrAPyrIeytFWq1IO3rnUpAkFXXMtt3N
+rUYhDrTPw+CECmenMTgP/vMc2afaqJdEoYw1LydDFYPBqFce4ErJHKV/KWtUKL71fllKaRC2qRU
R1EMM/3uaV62DqFyWIqfwflXMRtgxvUnwzx2/x2dDPrgEkifflZFMy81G+Zp81Kzc4ZgE/HaJOV3
vR6fqPXvFzYZ98MYoRejJpZHrpWSothym2JZwVXiN+pjPxkhxrCXjQIyW/j2kmkcg2rSu820tiCt
EhztUg2uwhrk/EfSBBpz0bXIzF90rz8iHCQ/lcO6pT6mAkkHZGGSO7czbeU2pr9PEbo4JRYsXJyJ
8mglLiEWH6qFnYHspAy13NRD2leLQpN/ut7t81Rx1QUTB8PAWUV0ibJTzdQDwouk7NGm2vji1pry
PJD0XGqRpe9BTSnPfmnZsN17LorTOVRhst4tzSn7aiD5uje04s9ilG2Oq9MYmEYPEFhT7scpDysa
3VP0fVDXf4peM+VshW9A6c7f+k5rztPFlVhXyaRyD0tXfOyjrqB+nf2Uwvtw1UsAM2KsVajWrB3X
2Y5FJl1y6nTXQ92iNtd7+bKvEuUwiiauADhlk5zgQgy8M032DK6Pg5e0P6+EyztvLQo+pZlc7kDv
lAdVhljyt9qgkBwU3SzIjqRF/KMYqoUqYZWQOjPldKLg/6VPKJxLk8o5qVeBHiNZ+G5Gr+RHw7S8
430BYZlXGVPorle/X8bQViTKRy9eGkH+nVRq/kQGqniSpPgPcv3tSZ96imz0OyCTSFlNHnmhFk9Z
0KygPh9vwl8pRoSIe0qkhFEyzOpBrQndT9PFJNeNFQBHaH3fb2DHyTlJDWr7tTxfdoRKFmbkZEfh
DIpg3KsDlULi/ihEyPvBJi0JcbXVam9NVWpnSwIeK7qWB6nyWFOVI7qFY1ULWY+sc+pJ8tvPOW2r
aGcpgWfcLRztbZ7DJja8qSpqfz6cloEVf03A4FyzqSGFqVx9NTHW/aReOo8JQ6Jn6CREqPyIrmiE
i68HTz3oxMM8JK6oGe1NgjPzOuQO7YObQvn7+3Z3T5Vac7d3wLpOL0E0vaXDoJ76286V6qPB2TOH
bUCtj2pf7szOG3a2UtfQ0zIUq6ZG1Yroi0sxep8jppsVSUSguEW19kfwz02d/c2ETKbmMwqkndJw
hBBN3HouqKupX8mSeh+k3OWneXb8MDZOMxqzcX5OFmZdi9WtAi7/49JG7NgJ2p5/WTan9GWnDfA3
wgsSryIUZz4pjdPxpNUR6TS97JNiv0CKbL1CbVaeqxDJQKuP00+pO+Rr26O8nCM2RM+lvLAyWVk5
EzIfKej0aEzITXElxkaA6MCKJ4tost9XogtNGmbHiKHl6aYHb9btZfbMJ3ipm5viJ+1NVQx31XUo
3sxjplx45yp3t2Koo+gSltmJ0lUb7H4vBkUTQgyxNQF0TDzXzW1uzKewdrMb6EyLo6JBEWdWlQ6A
e25YhKZ8TgzQbJSYrkLoNXc52erXpuIdqkIDyeFJiZn6X6qr3aY+6lO3q0GwUiHsnoTVtP0v3eAM
FzEVBOw1KdXiJmy2nm8b3YwfhS2Q6gUInPhZcRTnpUN+GIYXx5SeA5jybgA2q2PmgkidegnUBver
xokRIVDaai8MveGVN6e0mx1MWuxHJufZ0PjSXlb0BsEL3IQvODZv03gAU2ZfsToickXk+/fZd5tf
AseQNGUteZ67cTofHoLYy66ikQ2kocYaAV3RRdD4p6HKK6hpZNnbzM7pZEVyolv5UQ713O9Vol7J
rp6vOuuuyREI+m0QM4yOqF0oWZAx6dLGhGl7z33MfaqgGjORU8qTwB6yXGgFC1rLuT+bES6E8FL0
h7oudpVO8bIfjduM/D8sT157czWVz9t0pUXnEA3AKznlnyOhm3VT1Id/kHCYDG1el1QwACYlWrx2
pZg6/dCBJxAC2n3n1NZtmBqqclEBLomOxUpg3fzEsG6G4lrbuo+sxTymK5JyosLpKIbEVOELjc2i
TlUfjCKrCaPiecH9NvPYfBunpeK4hZvm6PhWu6cwm+L0OB/fTLbcq0RviEdOXRs2Ksr29Ye+laqn
SLe2nqyOYE1a7xiDMF0Goqtb0TpuvGonrEHRfwndKVUPOuel4NMrvOBWgfieAyGiFSxdVEq6gZYj
2IruGBagKBXfOYuuUoL4lNK3VPObC0+q+D4JfRaYh2FqWAuvXDOkRVmC5xfd1IKwU0VwWy/42Jp5
htICdED7KrfSLT+62hPJBn7JIRL4FpjQb0OI/xWOwH5pIfV9/eCrwxOAFgu+aYzKO9vHFcW7zqqW
R+3YTo24Ek2AFNXRKny3gAMdiwTcatFqUQ3hJt2orB41pw7fuqh2wuc8beq3XG6+K02wsa2ieMg7
WX2mLB14ZFmxUwx87bkH7bHyjM7dCmvwf6Sdx5LbTLBmnwgRQMFv6cmmaa9ubRBqGXjv8fRzUNQv
Srq6M4vRogKVZUixSaAqK/N8Bvt9VEt0AjDoPKL8fRd7hEnFc+cKH+I9KeAH2SjHR+XXxGE3JC1B
Eb37lQLheu6tFID9J8Dyqmmqq4Sf2qMsSL5SzeCxN7vikWTOCV+SCuxy8uJk6SRsVzPDAIz6q3/T
5Vs9MM2zsMV3L0WQbOi15NLn3ClZTkLHJxrx0s6FbBiyzNr7Q/rSWOV/pnlAljnFqbKi5bV/a/mH
KJhOrUSUzvB5eXUrmn/YxtT8f/W7DYsivv+50gwrI/FjYqU9iDujQcbwnHMq6kBADKKQV13BOclC
1v9qJhY03AWhd5T26wxyyF/9brbf+hSwOjb8Hr5railYZPDCv73SbYi8+vvdZAa+oYFl3eJ/7Shn
vM0t++mBYq5L7iqQutEIWPYOVGm+tXGxMWe2tKyDNgkJHiag8WbrBx0No9/q88BWGuWYW1E5dnQo
il55IHDQfOrq7KuSm/1R1nC5ig17M3PV8b15QjhkF8b5cMxaR0Mlh0yN0YoE+qaZuEibLLrMBHLp
iHwtq4UyEbtbdtMeny3f/7YKXomGDslQ01q0AvNsY7hje4rj2iVPJfQPykx+ZVIc1wQIBVPlE4Pu
Bxd5ZQqeNrnWQkf+swGVMbzHnvlJ2q0pjcBQzF205Efdc5Ak50hzJwAOMQhuc4qFgiy5odeJZd9q
5MDA+5ogTHKXNkl+Zw/RQ2iY6Tb6ZZL20qqCYvH35UBGO1Y+6Oto2f5bp1+zSdv/PmXhuf/N3hT+
liAnZ631bnaqk7ADtECmQUGOySK0uuB7RpgnSUQ/+Mu86bCxPk1a3qw8zUkueQ5JELif2I1WqV0s
1mgrq2uLJan7LocPzXQMDMKzN1VAKpFd28PqN6O8lIXuE6DeNbpHuBYx28R2i+l4ax5B3LeL1uNj
Qjf5y60hBA+LEhual2qaP/K05XYMjlTWyJQw7up8epc1WfSFMX9p+mot6jF/lDY1BARTTQ4/bkwe
otkc1YZr2WbMJvAnYjsperu82dK0cRZjR7D6baIh/vA0tMuvs5IOdiBNLlrIOaQtc2HLeskQbaSN
xVG4LEXY7OCMXPJiROIDmaXHzrWGE9zMUzTXSJMvH0co/BugadNKVmWBD/87gfIR3km6JbXpXjxO
vOUgaWrItt5CNuiWFWBo8oSHkUgyD2nGoRCXhOh4o5jCczPXpF0ElnHH2uEga446GUQpirHc2khu
LaTxWtSquHgCqTC9hTQnbUGv6mdjjBZ1WkVry1XKc1iYnM6C5t0ltqaf+X87BDzb2ktncYCidkbw
bSy0ZQoMhWTuzjhkRph/CUoSVx2oVMCOFGUdT6V9NCCUHNxaNbY2TpH7jnzIFQgW9ZOZhx+ccFU/
7GiLooa/4T5TbW2y5+5bV1jLvPSxWW3rLnLW5se2cQ+y1VJiiPfJyFccrVFrpxILuU+QuFnporKO
pM1/B6kQkEChIek9m27FzWbBaN/laku+OT2kXRnGooNl/d8wcjf/f6b716tK2/wO2XeJtU+kfDUf
XzZz0c4nr7Ig2WgVEfB7vJlkD1+M2qYVKn/Qua+0yfGySiLoI/Hu5l7WbvOSJZPBAtnmpEsdWsLK
Z5nl9LnsEpJF7c+g7N1LzQnbWGflLhdqeM76huxfU7ce8AahPOV6wJXQIV0gi2F+Hsz2qY/5BitD
vTR7zjjZ5d9d+aq/oVbl5eimYl2VBqkyM1lV6CaFvJoL2WWa6azt7LUOp/THJIrxwh0NzPUQdB8k
qxxK0io/+cCNtuSXd7sy9CJkbNQPk+/YLnNs8Du5nb8OJCBtXWca17JaD023Rqgp28qqN/XRSjX1
aC+rrpjhVwhd3I3cKl99SFakG4HeKlVVOaH/TFxzBn6tVB3xMmjZz2o1+1tl1Y1dDxRZ97NVVtP7
wliPvvq9myYX8qulojqUGMT6NllMdHTPDsbSUCzhP7NKlU49yZos0iCdQRbie9TrWboe7L2wcPTj
NtBJh1H169W8WCcxpuw5BCLRTDYYIjOurfzUDFKU5t5JZYp1IXrYs7+a3dLUi5Wc8TotmbWLMfOU
dYNUzLJLuvxgxik6gcjFribizz9UEwiDcD8rU2+uJy0ID23lZE96rH8g4pluC98nTqf185MsHG9o
jr1zkZWxLst2dWvUFV9bmhUSS0Nb9juAhq9eVpJM6FZi4QpbOTezYAinAf4lS6AtmZr+m70oM99Y
9A7wybBp8RvQTY6CQNvtpw6lS44vovdWwKi0TOdL0/s86OICTnxHXkbbNx3MiNz9Aiboi1Z01ZOh
j/GBpZK2BvHcf4lZHie6+8XAU8dJbaESCyu0R2Nyvstx7AN4fJN28jCQ8ch5RGvw3A3NK5JMHZ4M
zdI+k1GKdichInu5dZRFylYosAseU/NuUhZhSdqn2pQIhGe2A2m4mOxT4VoruQl1olmuLfOXmteo
lzqO1Etee+9V6Gt7WZOFbIxib9GTG3e62XUhjGNb6FOJVKVau6/WpE8nywvHRaciKjgBmVu7YnC2
spoq5ksn8iVqrGhizNgaQ4sCPjURHOVVPAVpvZCXvu/E9eLWpDoNm5ZKIzKcIb91/HmJ7N/CaCwX
muM0HKO58PHCZKtK79/s3Gq3sgH1LQ/pkzD/ZBkZGYdFFdT8rXuih+RlMGN3olnUYn7gHK/FTPK5
1q+dWo7cNLS+AGLNMdMyKrqG56ax/QxsNEbhUiu4itFzncSumbV7asLleapH+q5JhXhRO+9nK+i7
6DD2KMOxTnAW5NL5H5Mdb6vIMH5A2N/XUYuTD0gD20dvb9V2fi8d+Ykop4XqZ8GdrPpaEKxLFTSZ
E9sv9TChjxRPny3PKTZJM+B8dO3qbbbnpRg/kzILlpWvMMc7y5IIqUOuDuGb4cTAjN36uR2hQKZh
912anbQPtoU+LMx0Z7FHO0DuhtQ8Xxl/Vkdl6Gf5Qpqvl9fuAeFWSIcDz/015q95rr015AWyxW1O
37UfbPIgtlVm90fFz3sE75GyMnvt0qJlbiDmi022xurQH2WRV9mzMvj2Nq4jyztJG2gQYmhEUS3k
CIJMQtzT86xlNsU7jfOfAvFXtL7JSSqSfhP/SubiD2hPC9lqhtF7Xqvtbmo0QVbDPCIMGk6CCisk
S+9XR5kFBtLHIsDsC9vYOAZt2bGgKViEVA2HGFuliq1NAc8M2rXQ1JXvNz+KAle+kpToBJL3QmZF
9VPsnf8rV23/s0EKwF9tMyHjrwYns0l+vU0je0uV+Ktw/J/z/2uam+0qH/9rRGZCVuG3y7sJ53cT
zvLQsvftvZqBePSNTF9oSl2u8DHk9yiMZff2fEV8AQlM1kVaZDEFqMhVvWX/1tVNmpH90O465NcM
Qzmm3Ma8di1HyqkNR+3OI74saTLSLkDxwjRwI4dBtJki03cXGs/VU+H0a01W5bi0SHKOM1Vjo/qk
jZPm17XHkIjQ2zuTr06+r80Nf+q2twa3abu7Gqfj9W0Y6iwCpqxQbrYfUtxOrYujVJil85DUrnEi
7uUg29TZlPc2oA59ZHU0V2VDU7T9utJcdyUi1uFLdnDeoqZ9VoO2r334o14s4D1HOQt3hfYBNZtb
O7F/zR6qy8l24p0Ttua5MfOE52vKEahWq4ToQDY4R5NhnuWV41f63m+ap2s/OcTvk2+Zl027lH86
jm9G2Pwkdk2thwtrnlX2u001x4WOdpEfri+pwcoIycpa9fNpY9+1Pil4RbGTVbTOEQI2SUWSVScF
9VG1TwgGOHfoS9jX4q+qbJC2zo3CTTEGEeRBYv/0qE8W6NtUD2jMVQ9hxJmXUQgyvvqx4mOmIM/k
d5vszFOwWSU9tA5Zlf3k2CZi7WHgYL6O/Wu+ug6abVGTi62hen5n5N3Pwm3tu55FAynwkJZIpvqv
YZYsLxFCAMdpRnVebWCXw5wAM1hqpb+SM/x2KaeVvWWLB0GEHxrSSJOKeBTim0hiFima8E3kHkmZ
xsnWm6ilF32qrq51slCd47XX6PoQLKzg47cWUw7K5/FQz9l+kyfIMjxhvWJUnnI3kVXI+orCjAsF
GWZO/QD6CO0QD0V4DMlzhT6vH6I02fj4OHeRTVrVVJTmgTNba+cb/aOi92RZQ0Ve6FPXbNhAjZ9j
vAjkn45vwoeJwDek2VRJd7VnVjVd7X0qfrPL/hPhJNf+RtIqJ1QVQbIM4JP6sjxXs7puErM9boox
PEyz9m5vIy2gIaC3qWexXZ2Ny45fVLCSrT5o1qNnxTyg5rFlNlr3qhLu2rkvGgfOwfG9VxCm00Nt
dfqirqD2wIJbQOzWv+haizyG34XgzA1SXEUtFknkxucuLJInFJcuJTTxd8Ksso3l1wqANbd4d8lk
xn9UkOyHRjsH/qgmpidSNKsT6GoEhEpEgHqnupp8KwBQxEl+ddIqBV9aSni27Cz7yAZZlUVhk8fu
+Sjy+MHMfLl1lFfKjHTO+6+36aVZTnKz9UH4ubXfkyGfNpVe+9qmnCySFhW2ayuESMsl99GaZdTc
ZEZxeRxanbt46kbJBgdSuvgfo4ilig66q6+uk8j5rp2MuPukKXq1i/QoPN8KKyeKuh+XNwt4pPAM
xxKthCk0n3FJ+ntpu3WRV3XhTEtP05TVrUEbHYbhNfW3ZpeSdzi/2NUoL/OKyA7oTSs9MX5/F7qN
K64t2i9OFfcH3xu7g6vaPwtpk1XZcKv+1iUqlWTxW/3XNMrkGUsPWS0EjZjwNvh/ncue+ylNEezQ
bN6D9pi24WAHi2pGaDWQ/UEBOMWqUFz9Lgtc0FsStRUDjTrFnO8sRzPE2etVo4rKJWPUnD/KOIk7
2QX8QAhZCQEm3y/M3ZDYNqvHSnnve21P5hw0bjUYOPya2eWzvZzK73oMqSOMAnEuGuNQB+2mV7pD
VJv5R5A6NU9JXXkJI6NcDbXS31uqGW5t2Bp3DtITyzYZC6TtBPD7pvmS1nb0oheKfZ+TSJyBe3vx
OI95zv2DbJIF6AdCmtUa3UB6s654qGtjgebu1xKt4OcYcVuUK5SlrJmIGT3bAz8yJ25XI2vtla0v
LCWMn/yg7Z7iIY1WTuo12yS1uic1z6MTd8BX2SiLwfc+O6wWj7IGjsPe1ga5m5GKW2jJZM48mWsH
Pyeb6qTd4gg+jW3Dgd+Us4aZIT4dhGxiTuYq5JO13YhtmUADCkOl5yH8nxKPFMbRkhqws0l86a2h
rIsvyLzYIJbxAihpwCnTEN/LSCuiDC9lk8b3Mghrbqvnmmzzo+hSq4m6GBtWHbbZFBwXxuqCWP3i
0c6N/JG1NMkS2ZRtZVU26Dl5wlFkn6WpNrvqKBr7+dp/HuQrs1yqz6YnGbsoWfZG8xG5fnsnu3CS
4VyayVreBmhqs1S5SR5rzVjENovguAg7E1Rw4u3dVLlEla+wWSLw84xkWXdO+5rzfzUhacUD5bnV
bXIW0Ciqtp6n6XyIXr0szYAjsvlhmogYtnGE7M9ck4VszOcet27/d9vYocI31CT3xso6txzohOyp
HXAj6zFKnbthCMoLGiXlEpXW9Ov/u0fKHMOfc7RaiSaJnvu7Mk6ap3pU3jze4zGfa1XWBrupH7Sl
ohj1k54PzVOcvAkjiR+lxURjBCVDs9/ItnB07bMxwEny6+YhiQRhzaVxZm+KMnfadR89j+zAVKK3
xnb1Te3q4T6PVevccjOwese7q3jMVaTrcjlMrrJ2CgIgUX13wGFOiC1NjXgZQS9dq6KzxEvbefZv
1Vur7PyvsRm+vx3M23QSzVEWrgr5gIduDsrxP5u8UluIF7iCPU5BsjnAc0yR1VUhS66uxnaOJo1a
e5da+nSYCujYEsreooDEM8l+7rRJ2Y1dS6h+JsJ3tdSXQD+DDwInCQcLnRdhR0gkFsTgxB1gVz08
m70izjEEGZKb+JkcU79YXxutqLH3lq9+Ckhp4KjHe81rbhGuNbXbDgGbVe5O+nMZGPUdxx/dQlYF
cPD7sI4R6amUdqnrnzRRtE+yrQKwECtlcJY1rRiLpXOeQm7l9zBwnLsxVuIlAQDIi4zWeOrKSV8i
txR82Lq9YaVkfuqaAqqIgJBljUrwWsyCYHMHOTKehUmqAaKTHMnSOvyYSnOTjbb5qe/7YtvF68AH
/T0RMVx9C0t0DsdGU16trv+ozCq+yJoqXuu2UV8IqWsfOFw7JUmO8nfrcZIpEn8pqyLr0y2hwNaa
OL23lPz4fVlZ2USUvTLtCqKuRYJrSJ0LMxhgTv26GlJIGWwG+o1skIVWJNa1nw3w4w5o2PI2Pqk5
REH+qK0hQHjBxs5Q0Rqclp1xNcZnt1UFd8xEe4TU3C/jonb40Cd/UduVAY5LH5aF4+d3VluWzvUy
9Yr8TnNMXNB2AZFR+drq0LlxuOVIDQ2EgY88pXK9Rxanbfon4c2a4akRfU08b4nrsf2RRt29AYzq
fRr5wRh6Wdw3blzsut7CR6il4qxHpboKNA7sYXZ/kYNGZ19AIfpum326CNSsesk6hNYr2+sWlY8C
OOeDHURRfnP1aFS7JrbaZ3wSs9YYse2ytcoDn0Me46tstHPffeKDkU2yQO78Ff1u9yRrulU7S93p
iTibpwZd/M+5ZGOpTM6fc4UInhi65p6MebCcKxLPfpIaK+l268w2Qd0obH76636rd4PiLNMW4lA9
r60bAftjggezgxVhPidaZG/KLovXzbzW7qIK9K3CHbibq+qgT2e81pz7UlO0QjwN8YMcKCezzWKP
gkfPM492BIJKsrVS907OperDv1/Jfyn8kEeP7nvXwheNSehoEIebtqvbhWxxu/Jns6xe+6hpre2J
89jfBkcFOwsfftBCG3VuoxUxbnfCQtuMMFbOAhPur7PJm7HnaqCNIbJMXF57pyHBtYoWHSYQeaqj
vZtqQJhx03qb3s/Hz/oEe+o/c1tC2pVm1f6n+Y/ecpJs9un90Vuagyj65uawjQfV6XbsnMxtDI3+
2Rj9r51VjV+BhDwqAIheDRGZJFeZKpmbFdufdpoWsgeYxU3fuWRzekFBQHv7SY+0YalzAn9iNQl5
VVWa/CTrLXHj/cyFcvuvLK2R7cqNH5lfnNGVcd57UaF2VOLVtvGnbis4Owe7bpVj17liPeV9/QzY
vIcrVw9f80qfbzzGDxxDW6jDizZzp+eOwBb4JCoxXvOnZlaEe/zDjobaqTEK9dl3YMH2pvmzf4hQ
1K3/zT737+b+nk1/Ob/8QP/sf3tdn3n+6i/fz5/9/zG/fP/V/P7tMV8PHKA86675PdDb/msLBXqK
E/RhnAWZdCHAfzPb4TIQX9FP/zZEhn0Actux4DTNHfSgaOM53vgZXhsotkr5ZAuYx+VsR7x4/AyR
Z2n8smck2l3tc//JMbod3pNmkSK4clcbcVUtklSx7spetxHw6MRKtshCNtyq8qqqdYb81ZxH7aEN
hmF3s49ab+IpC9QnVJfhMqWxeC+6+sXhVPUHvN1UseGNtVO/G9CoWQ5gWDZJ4Vag/SjQ06qOsiqv
ZKH0HJf7RlNDQuGRpJCiVUzNSRZx4TancC5k1TMHcwnipVndbJXR4seWdV+Zoo1u+NNCjpNDZMNY
QJUlp7MC72+r792kI/VW+S+5Y4bHrre1q32MQJwMiYWcpooiCXsD49z14F/iJD2UdouKekI019bN
EO6G3a4ccfSSN2eTijzpM/8um56GkO2Nm7Pdsscn1EGmJwftAlJKO8QXZxtpNyPCriw4Qos0P0vc
k9w2PjWDCwKXsAzIx25VLv3BIaMgEWfZaoVznhVRYmtND6anFhDXvBtmMdksdVV336Jg/KTBJfyR
xPc2JEN/YVnER0xzniBY/XWbsG4ROWEHndp+FmS49VuU54IzCKh5i6n3SPlC4hp2qh0QGaABdlPL
4iBrA66Ri7wqL3VXDtdrhWfsyhQJn9lAIBA5/GQNpT6p5yWZiacqK4Z8W3UjS2aAeksOJ4eTSdpW
BgsK0o/efXh1vhyK0YB3WyhrX03DQ6z102NtRiBnAcvtBtV0104T1BtnQDFWU/zhtYln4GOTBXsR
tcPr6ETagg1ghg4DrVMZ80RBAM9IwwGVkpInxq8CEcifVfZH0UFxS3j0sIDOpEF1L7XdLlmLcGoS
adw2Yh9NnLlKnj3Quy5bRYPOf0m3Z7pmTiwxLvi1VdTirVBmDfE6di8cuFV3BtElaEMpHfmSQbBh
8mZRNmRHZI4jHmTB4v6iqxooQx922dUOdsBQivuayO2HPCExJRQT2O3/hhhh2eM3DN5upglI507V
cWjfpuGcFGEbnozXoTVgymUytdlK8xBCrgjGOcWT0D+B4i99tfmUm8I/O8A8F9KsxgIFDcN606Ba
ct7vbJBgJ24qxqG4UsQcrqxm+yquXGXVRhV7pDwzNlOnpRcn9rNrkSJ1gjA0CGyLUJRzTmTlVtXR
YTPrdrykfmeRfaPZn0E0bwrDz7/nffOWV9rwathqv1ZEVB9ReOuPeZOXq160zXNXpt6KI/JwV2vh
9Ip/gTAavyL5otfG18BpPyvEmpAmSE31TdY3af9kZI3xrBI7xZ93es1Q5rkPJvdRdirnrww5D9rC
DiEti6zdKuoQb0oDfh+5L8OL3rlHhefuF8uBg6kPBOeEIaqTpGTCpRv65ks5kkKX24nzMEAWu+s1
4gBGIrW/lDjfdNcuPkHeT3a+7YfbujGb9/nISHZApRcG7ph1h6oT4kmE5WuL33Xr4wvYVTP4tXE1
7XmOONrElR0eEP0lCRKY1RKxL/ExKD9KoYzfCCjl7ke++GPg2uFOL0J959Se+tD4sL0Bj03fiB8C
oKV8rXwnIe6mFve+jWx13dlIzhLqkOV1dOfOBGlZeOOkHon9STfjHFpxs12vHCDTTsMX6tpizh0D
jY/Y1g2M9q95+GwshFCRVyuLbDj4k41r8e9LWZeFMIzhoJJG8j87qY2icuzs98PBjEpmIYAxIEYI
VIJKkJkeat3Zr0LzoaiG7j5yv0SGjqx6kgbZ0R+9R9lmu435EBSduqsyYlJ7UgqiZWwGxrrLLY0z
rLnuQ5ldcmvOwb7R3TVgPBbONi2h/I2F0HZTxZE0yew262CNE596Iv4bAcuuva/rkLB/tT/LGsDb
9r6wHDzMWSzW0iaLmaeAVoF2RsiEqaSt8cRbqinN4drDfBOpf8BDMcES7cjdyom1QDtmjn8shf3A
6X10SVQXkZnAeUj10n7IUrM5oKkdLmTVtwdxQU0RF17nTF9qrT8MgkgXxY2nXaMYxoZFh/pOACL4
U2VfD8oDnqfuYbDL+OCYwl34nv/DKOJ5yTdrWJtPVsnapOHcbDFAUH4RcZSsaq+sef0EIQCiBE92
zYLFtklZV9PKuWsDtebENu8u3ixXACJ2fGpbogRHQ0nffB/ZZtsGVGdZ0AXI834ovDr+QMXPX3Sp
gbBHD1ItdmqBGEREaIbdpc/gYtHCaiP7ocXxtx4Hwg9JG9c2TVmTjUHgwc7KhH7Xsejd+x0fo6PO
9wjVanbG1Mcn0r+5FVlDfEFqkcciu4CHcRYzKf1iekLeTMU9giDbYDsm7JVBe0M/ISbjkB+1Dci2
Cezym6GO+yKbIfyeScZwOyFxkAbjwuo0+2WykMcN24pNtV+RIS3ilVv71RsRSChD6DnwYd2u3opk
wV7IfxtVKz+CEkmWsldik/OtJw6yI/MgkC8rJ8nAooq6O5u1V/GbtiqkUEvl1QlckiJdvBO56J5M
X1mq4zEwz11ShGjWDNlBIKH0VS+yb6ZqRu+qRvhiGDnoymoW565JMhEoa4G6SP3qLOV6BNB+23LK
Ql+ofd1dnDmNTGbSyoxbYjE7cPjdozOn40pTH/vQWZJOHFwnKZ4mchcPiEx3i7KKu91ATNwGeST1
EjdhCL9CO8sakbIEpswF5MJmG8Mn5gnpG9G61HuxUIrUegTHIhbjYHmfu7a8oALh+AsetdYMtOVV
T2EWkzlSZuEm03OelL0eKwRHJWi6isgmMaOxT7ip9Gnlk3DFOrE9Xqtl54lNYwJkcjiW5s8QRRsn
1lT1oMY1OltgRheJ8MqTLNL58Kbikx+uxjjbQa8xjrJRTQ3oI/jI1qWJmEfiEBXSGH50TvR0Yymg
70fiwPgZ58Z91Ln6fZB35ZkEQ6iu/5nq+aqBMOkNo313sw+xYiytuis2Whj7cKIR7Nxdp+OOSOzO
aF6nkhMjOdoe66r/odUTbP0hyL+n57p3mu9KbLYLwynHJ6eaXP6nRn9gZ+uu+ib/YAVgoaLBEXKn
ZgEnYaTYyeqt4Vrl8Cp26+z0l30wWnUVwdVeyW63Is9xYRjZvbQYTlo4q2HU2qUw3Gw9eAdV+N2j
LAKHj9YTnbqXVUjlGsRfSDxD3T0qfAsfwVxmW99xUJefR0kbNE2y17XIPch+fUPiSzx5m+uAuVsu
gmxTT964kqP6yugeq0p9RZI0P0rT4KA129XRWQ4idi9HbSTYFZxQnLUeR9yooVypVz3OWLD83D3F
u+Kn/sawdP+AW1l71CbwrrLHYNcfeLfUp1p1qn1l1v3Ga9AKVvNoX+eFqSPyIrxz2ZDv37rmESoJ
CFe0BFamMUOqkCZcgYGt9vgtnTeLh0tY2MZrEGrRsScGbVl4lvOmBzW3QrWK2GXn5qvpIX+SOsGy
yYmY1zQn3teprh2JTwu3URT1l7xpijW0UfURb721NOo6ei3LUIMvk8Klt8bPCoIQX+su2hexrvNs
c8Zt6E0eeSUUbcDN2c1Gwe4Gb7zlAdZPxnfPTJxlM7nTXRl39kuYWOugmLDDX9lqE9xUM9OH90zg
le7Aunp4IlAh1zkCmYePOWFhQTEUl7aYqgcv6L/I4YUjrFVqgmUXnF7HYXrC2azvXZdQ87YYurNu
29k6QG332Sw1kxTWLPxSW6hHyy1P1e/Drrd+ADl4Ma04fw/zvFyqtSYes2H0N3LGnq3HdUYbbutZ
SXvEpwYrfy6HwSS0Xwu/mEF3ErFgE8WMGVEV3zROvMavs/aMLgLn3Qp1/h69pR/1NDCegp4wjD6x
33udUBYF+sDegCL9pPoJu0gABVOhZgh6ZdcoOj8z2jvuHO1SRtER1doux+zDc8oQASrPWVZaJXa+
S7XvEmBJfY9qMv4aYqgbYxsqSITL1iFmhxYQkr2UrXpJUrtNaiHafuad4gpnBbPY/0iCNQ9/7aNs
tQbRrlQ9mmGdXEbFyOZUteF5jjArcrGvamt8Ya9fHHwRBWsZWPanPZztMhDtT3vBeuFfdtlfGYqK
E8nU3KlJ5G9SVwuQoNejl6DTlW0bwz+wvSh+6YVSHCyB+KVszbVEYd8x8kSaW11XoKY+JKdJmw9x
mvpDhnsYSpcc+h5MwS36Q9o47+Q4/lf0hzIYyUHaZICIbKhNzgVqgkNtHdCxi0LbyZl0jpGVSLyX
Dnf2WlhInhTvDYrXr9UM0McJCOFs7pp8N+NNmxPVKD0FxtgaZ3kl5iuA/pdBmZKDNN3seWY12/7X
KNnAgfjPoV5j/jZKBNO3aqqNndC06NKmsb3KSfdZmQWUdWmThU9qw04ULqpWJPFc6qprWeCS+0ee
l7Hsprjjf/hrCOpgW7dsnbtrPzmX55E02cyJK78ZFdWzVvZEvENr1qGy6oy82lWAbheJWwcIbs6v
EPMKcm45z3X0/ApG0dmr1NPwO+mt+2BNGpl22lB9c/XvRR4NH2aR6Us+hvTC0bJ5CBAI2wjkdi+B
FptopNX2WklddpZal71aakd2Tina3TBXM7MCvRw71UG2AnPoCGUK+uOohtmr2aaf3ai3zuR0Z69G
xFaeX9WhCfjaqAmvWk9q8U4MH3ijwIjOkeKmT2QOXaTddPKcCA2ShicUld7tvliNrpW9Ivtu3BV9
+HO4l4IYC6Gon3Ur+edwn6CWd2vKr8OBsBt3vu2KpZ3qRGPoobeMXbw9sT6yF3Da6FPdvrlAjV6a
qlbu/YSD9NSJPrV64Bxw8TRo2hTxp4Fd60a1a6Kl+JssXMWqt2L0UJjTq+A8NKizD/Chd/WIRJLi
j92qCQrzdQqtH0WCOkWZPJCazBJ7TsIgX2MRWfnZ0Y3hKJV2pR7vbOL7jhyH+Z9E7y9TVaJZ2KeR
Rwhr1e6rpHyMoFOrW3ICmt+qaMe0e6SiHstWzc9BXJFh6LnpSjcMCIhzkabt5wRcyn7sSoQDxyZK
LxrE8WVk2+1GVmU/dW5IR8EhYqVn1wmqoVq5ekIUXqePz4OHFyHS6zcUCEtOyEdzRTTS7FAAuA2T
OzkNPNRezSZZxGbcvBm6pR68wVGWcpTvi3aZmshEy1b1bQTv94ajJTymCUpq5Hg3rN6jdDXWXnGo
Q9Va4dYMNl3CExzGQGeRx8gOzDaulzmg7pqA3CPxQ3hJOk7/46BO9/qMyVmx9nYWTV/xfIdRtsT7
GP0fzs5ryW1kW9OvcmJfD2LgEubEnLmgZ5FFsry5QUgtNbz3ePr5kNTukqp3qCOmL9DpAJYIIpG5
1m+enCYGmYVX6ve0BqnnWd8iYAiEje3pwciwoR0G0z+YAj4bUhHhWrHh3Isqx69oItxMNh19RPG1
ZxYmNegjbYltwnbwCnsPd9s61aFbrtwx0V8rXZzlB5lhsIvhQmINx4u0UCegBrkXnWXJqstvihLY
JAJ/aS+rxsXAHnfxlNDnblDYcHaq6I6dVfdHWWqz6EfJ7oVyUEOg4gz4aP40FHf0/trbdrOuilUQ
mIxJm8VtkO5crKyuabOeG3Rb6tGr7CxmuEgeLsbESR5l8stWzC8slbJb2YV/QLbS8bfYyk6WIMn1
WmXoKjfpQDo5iHX/gomdWGHUBLQphM0u27y5RNx9rag66WJcCq/tpafXu47s7UKO+DghCZGWcu2h
BKX574uEKX+KEyLyM3+MbJdnxZ1jrtwYO3LZ8dPV+UDzHEZqccdWon2qM+c2HDuQIHPN0dInRQ3d
k6zZdf7NS2dNjjHtnmwc3fGaLKajmKsFeOZFaTo90AnOVBGtWeq+29209dQ9xV0wLlN88vbyXCLe
WEtG5rST5w4qE/bYB+b2+jdoKIx4Ha4J8lyHJNemNdRkI3v72BNAH2d/vRILziq1sFDs+uLZs6Ld
pOr2u2Uq1ioB/AB5KCge4Q9eru2ocqxi9vNHdciae8fUv8h2eZ1wrFHndJvpYmVwr7tmct6H1tSY
bZvqHISxe7J0YRGG0NAQbNJhVQ/YSpZO0F9gYfYXZabnV7wmJ9UFcvZXu9BFsCJxKVihMUJ2+ELD
rCJDgWVu8gtVcRF2Hc8ZZiUH2ZaacbRgxhSrct9EgL81VvHr0tXHfUxi87HPp7um6vEJaogFjnbd
PVo2ZEQcAo79XLs2BaiZVGjOyloEXw0v86Q/yOroRdnaT4Jx48VgEJ22tTaZZO6ogdcuirmIefzG
rLpgXsLQ1s7sHg1cb7FqogAQzozD1aZ4m7rTTVbYylvDlCpSVuRsrXeIjPLrAhH51qTuDhO1/ImX
RH1AIXZ22KUdjaA/RlxvVO1B9FkerMZLUJbaIWSZfTDgyTgtEXKdSXsh+qG6z5TM3QVjNGyHKBkf
U334g9C/9UdkMY+gl/CSF2aycUBe3BBMDy9I4CInY8XWH052b6lD+7XRsfi1PSs5uRqggLoG9arY
qXlAG6FeeKx7mOaoyoMX9+ZhDswA958bfyq6stVoy3RDfhjNx7m/EVq8dOetJsv7JYYE3pH4tems
elsNV6Gi2Ks2bewTDt4te56IpyUoyl1nGDb4Gjp8UQMY7cQASZHJeicbyWg5124RBJBNXKtbDCh1
rVoNvRPVsKZ7vHPFdjaWwsJrbFJm4+E75i4VNg3RdO+7bDgRWTnJmjyB7KG6GuatqqoUbcrCtl2W
SV1d5BCPd9h+yjVrYaAGfC/mg68jvuFnsbuXVaPzk1Og7mA8X6DcE9avngXqC/4C4vy9yp/8Fvhx
jF1SmD+ocFfWaorFQIEqy972pmDPbsk/JW6IHxKxl4fAL5UFD37z3pXJjyvq5ED+fcUa3aytO2Xq
GqtQfWdqMZoWVeW9IsT8vbKM6hLAJMDu0X2WzaOhEl5JJ3frzKMK29gKPdQe2W1PmL7rgntNe4c+
7moAy32DM1X9mqUr+f8wOfaDZbDlhU5n5wVc7GT4uYq7pbIgCWUt03HCaKk3q2OkQDjdjHOxm62A
5KHWShvvEMYUCKA0C9n4McZAuXcrilRdhhlhR+kMrOnjLmtIVEU8kwsBRvNptBOdPNAED9jP/XVf
Nc5zY82/oPwFYzH35Pfhn9caoM1dzWpvFZht/jKWacPU6mV731PCleN53UYpwV3rLk5dacebyuu7
LT/Z/DVD9KSdA7cmFJhVXMTYfyJEeyd8O15gbTZ9aUGS8gZLkzs9jhPSpz5sxb+kGmVJCi5eVRmv
PWy0WeV6m49xXdSny9BKjWWGN1/fZv1lnA9J6RBH94vvbYoGiKzJdsMPYZGWI2tR9Jevw9ykKs+F
eJWjPpqbkQWO0PN099FRFgSwIhsAo7ya/Lxa7TTwrkYWfyl6f20yNZySesDnqh3D+wwsz1K3QKGO
FQCGPsjLd01rnjG9DL9nBtlQvWXWdbVt1moFW0DTv9GdGlMpRXw3xsB4dcsxIIKTDo96Hw+rrCjN
S4cEzEavo/q21WGU6L05Ezr7bvWBl++CoV06hQtFj4QZGZY+qG9ldw0fFGeY/nvNBnFbEg5GiieP
sYnL76bWwkdHA8aVKQWx91jH/A2jSe522Ny04PFeYebJ4RFxln3c1cGyqvt8xyyF7GIdmatgnnDl
oWmiIrjWY1Fl1cKoYZL/67/+9//9P38M/+1/zy+EUvw8+6+sTS95mDX1//zLcv71X8W1ef/tf/5l
2hqrTfLDrqG6ui00U6X/jy/3IaDD//mX9r8cVsa9h6Pt10RjdTNkzE/yIBykFXWl3vt5NdwqwjD7
lZZrw62WR6fazZr9x1jZrhb6Ez9UYveOx30RpQrxbLAf8URJdiSQk5WstprQDxXmO3zl9IJM8M6G
Fx1lra89+xHaO3ija6/ByhLJy7PsyPUBalWZo2vmINRldsm6bYzi1XdCZ+9MSbOSVbQGs2XlpNFx
MIvitV2BqE5fY4NkUDJpyVIOUuOuW7mEQvdmFj5lTnaamqG6aKZX7Fw/7xaakUMfl41Z6UBXC7yj
rBFSrS6VpozrrHbjlVOm1SW3uy+/vy/ye/98XxxkPh3H1HTHtvVf78tYoIZCaLb52qCcA6YuvyvG
qrvrlfxJmsIbGZiibBLWRlrMR536LEexm0jYTLMj8LXsezFzZuRBdFqLp0/8HWhedcctpz2K25u/
Rok5UvJXk+pbJqq8arss/Gh4TtCtmDzSBbIGNhgySvgcNEl7n00OZF7G+IpXnyJhEhW5/P7LsOy/
/UhtzdF113A0XXMMdf4R//Qj1QE9Th1bxa9TVTcbzWzTjcnacE8YM3mK+vzsmJH6JXNSEiytCIln
B9E5cBNlITsKx3xCW9d7gG4c3XSpO67jocRmr2oeMB/FsnJKgvuuiZL9tRrMqQOZP1AJyG5bJcJ4
JkhaOJh/9cgcw4iee9xjVfaRcZAlXTHs249z5VkfF/1pMOfLz5UjPtq9ATgr0oH83oFyHIps9A82
TPP8Wg8MbCz5tray15qHfIxDIC+4nuHKMz66kyjNrCWm8/4/zCK6Pk8Tv/5cXcPWDKHb8+bZMaxf
71CtajV65pC7OyUsN32qurgHof/juBAqCTOwL8Ua7RR5VXcsGheSfpc3r3athwcj6bK7UETZnZbg
/pn0rrmXbddDB/PDDwoMSedxsg1x25TYRdduZbUdreyuL3SHIGrSbEb54Z5XkNTNy24NJcRDBgOa
cmwaWbMYKgVdZiOmWIKoJ0Tq1MvY1oqjmxTwYH4qNggO76LJu3hqDdo9yvjG+0TseDat4zSU8Xbo
jfCcR4m+Bjba30U8ESuMGONHvyNExS7de1aKHorZMClvSRB8VVTA54ruHNGbnh7hYt1XptbsJoBR
hDnb+KIT67zIElyZb1wAZca/mvIGkcOoSZ9Ndxqc6wlF6cPMTMGFfpzfdNAKPcJwocLTmM+Cb5OV
l/EXwioQk21Elny1tJem6PH51QW037kU2xNS7bJYT6F7bZRVgObmTfOniMn9+kuw2vEcDkzWbhMA
YZYHP96ZzqjsSW7GKFgrtbHUnAALAEj0RyTwvWOiNN2BeDMEeGqy3fIr1tA/FQE1r1Fjn24+xuQu
i7aVrFu69TUy/Xrr5c0+VIvgKVDbYiWIvR/zyXROLvnhpTEHu9t0NpRMxCuvmHxD9tDcY8hNftRr
yVdW1niF6Utk/uD5WPQ5UDlnIP/YucRZa+BGshPwbXTuK/j+wpuKpVml42JUI+yv5sFG45JmzcJ3
MN7NcXJ79QRa8schyzCgYa9rb9mnTvqi7lL1FGnA8pBt38hxlvZdHZvgbDexcztmWLMPnhW8uz2s
j3gUbDe6WlzsAR03NzfC96rLIR55TgI+xlQeSDOdzM7znojJdAs3uiFHNJ4Ur1L9dYd3JGlNYGRu
WZwNBd4AkrRYZ6dTeZBtGVhOtC614kyk4qkv0I6o2IH6a7Z4BHbAdu5GRIr9dSFYtCkZuAh5njxF
ltwggkiT8K/5uNbkIAif8LCskyDhi43Alq3NyQtWNsvltdbovLlRjT/BcsgPwqusc23r1nmMQNP9
/s1hGp/nJcPQVc10NdUwNRjc5q/z0lB5aeP3tvgyeN7amH0UtPlA5K1l209JIG7ngU37d2PpDMGq
Ij3+U5sc3YIOO8S5YqI2Mp8t67IUDMjKq1NK8mkykBZs2g3R74QtpBWfqoBpTx66IYvwy5BlZBVU
FSEeRsm6X7mwivzuIM+R7dchQIie0LPyUdSpNXWRiww+m4HR9e+/J7mc+GX+NizbcB1hOa6mm45c
Jv70hhVlhLuxYhVfFDPKljZRoW1eFniLAmR66wQKdujaPeeO0x6IJ6NfMLc7EUqJaiGmczIp3sUX
5re+sEZ8atm/sJyob4Q+qC9RWSxke+AZ4Y5oaLGRVS3DIhQExyNRO+NoBkN1vWypFSzIGzU9TSJI
N4mu9RgvJOFGd3yHuTe2X3rkjeIZFPupPfWXZtHm7/4YO+seY6B9gu7iS6jmV4BxhFbptR038/Yl
IZ4sgb6fxme0S8CwGyoROg6HsHLyhzkvuSqy0NzIqjI2+RlW6i4m3lUgvKzD8A66fB+1efGAQTYZ
lqb+Po6Ktv793XL+th7iXWuTCBPcL6GTxvj1V12VteGQxQy+dEGLE7SWv0xW7d1FaWmf+rzqF41o
+7ehDcAP+K4FW9nRntDI2WCJ3b+Jbki2TquHW2GmzboOQLoY4EsO2nxwyKwdZFWWZFsgdHI1tn0T
6XF2Yb2DpIvKY1PihXxBLBC72IHJpS/V4uhpY38sMMt4akZxDqpoOiNKlD+5uvhOvqO5lbVgDlI2
RVAfZDVtw35ZuXa/r+YzS5+tmj8Z9lb2huDG10Za1Rvf1dObYIacgYFsj93MJ7Jm7fh22dR9fQS1
B9RStsi+j1FlryMj7rBbyGqUptqo/8akb835vVS3yI8R27znPVbs4qgmmJKohDBilaFG3M1D68bf
2R7kzNod7VsbKbdpIczcvs0r81TlYtyXc4fsle1aY9n/cOPljf35MdWJUQpNtQ3VZLOmfV4I90hR
d73rG++j7ler3CpA1Aqlvx5ifvCokbjPeRVZG7YU0a1VOtZdOiG8ayOwKGvkwZOz6EzgoGyBZ1Op
bp17ZrjIanA1Y4+UmTygFZWdHJu5329MhcUonuMOqlOEWoZTx5J4//sf9d+mal0YKj9nQ4UJaxiG
9mkJGZuidAwt0t5tzXupITXfNswyPx2GHnU++I4aC7nJXqSIS9+CGulXZua5lzLV803M9h4jJTRI
RZZ7N6UTWjcqEJpdl0zTrdcN1abAmvkC/axf9MbYHIpQIxZvFvUO0DUooWRaO17q7U3wezeyVKgR
BN+5Lfur9J96P9o+xpFYi//hlfa3h18XrqU7mukYwp03759eaSzgJvbsY/Uepen3LDsTnvduhyiy
TuGM5ZH4HKGn8QrFI7H6aJOluHX0o4bB1vWEEo2ahSxG0wwiNspxIy8gB8sOlGzm6Id3GElajz+g
3h0KA2UwBmitOP3tFf4ti+pQz1JNY7LuiYGCO4AwqgPogRum12db6pjMbXbYarfXIaC+rlVjHuKj
ubJAa3ZEBrbOLlWdPuqOMG+k2RBOxNnFV0WzE4joQsCiKg9ybJ7G17EpeH9nIcqg3fnKsOkjvYbu
67Taoh3KW5DyznugJtjTO4DxiJDYbGLFq9n47rvV280S5gLqIlrvXKoEMVZ97kBsiHBwHmRnkDX+
uZg8RDfnjmxkjdd4I2bgIshv20Gdw0N0RFPxYgKI/P1jYsvn4Jc5wGJN4wJstW0HEKLxOTKAZGWi
oWX7bg0gx8s6JPiFu8A6Unr7uTS9fiXq2toFc1XpwXCrRpPdyl5e3bj3EhUeCyEeM5aYsnm0wE7x
cvuKGqj93GrgP5zcVJey09WxYfF4VDjMvU5+F/T9I+5E5UmUwr4VfqgvW5SVvwJzh1FljK9TXYD6
wzVln4V+8Vgp1Ysc0ClZvbDasblD7jE+BP6UrBNvUL404UIOyPXMXRVuMB68InPxifd49c+Xxk/v
kX2A9cgqxtgNhoIbmSReOqlF2M/vub/IHG1VLarvxvkA/edHW5WZ1Z08IJXyc5sc/HGuEnX1ddxH
mx6hlMSa4pdrfb5+aYMKYjupkz1/sG31FMAJeUsM7IXicsj2ea3Yr32Ebnxtv3UNHLqkUyvUmjzr
zS6xA4eyyAK+A1eCwQgiZ7RDr4SaUGfWpcsGNK8TqKGuW+67gsQfQiEJj4nhYxcN3T+CPleN/YGF
Rx88u3nz4OhgX/S8fnYhCNxOZuM8AGcz1r2LuFuIG/HD6FcdNnf4HkVIVyxZuIAwH9qzHDtMOHgl
leLBWmWsr5EMq/IpWcje6yFvlqYbTXcJG8ejGDRjq/8llCL1Tj7Jn3yIrGCkPW2xYr58NMkTPp3/
qfrpci2MvlUpdGshz5UyKx/XS7Ecu1ELLI1yu1l3fW5cRKE1JDj4WGMuDXOb7FULV7+Wfj8uRzN8
46rk2LwZ425JuLss+rn3ZLSWee0gNq0dXYmQl73OPFqWisEHnMK4mBzRZECCmFiLgaJWozt5yL0G
MQMvTJczmuba1ghz2tvZDBeex7XzQW1a+C2xfv44NbJb5aRP7bKPRn2NutGT6bjjna1O9VLru3or
q/IwZFq76Dsn3XdNMd3JNi0FHqxAepI12V6M7j53ivH2o6kVEfr5bXTJDNFcRPbd00gV1wmORoRa
x1dsvb6Tb/QvrqKZ94MWnJrRHl5FaRmgaVBvwiHl51F9zEwDtfI0pgW4fBiDy2g00nKZ+CcPabN7
V1WGh9qPiDaQMtz63TQ86OVoHGf+oeN2WUl8Eg8ocC4gBRnb5YoDGYWXkxY/6Lwj0OUf79guFw/q
kLZrS+v1tayObhzeZWO5lLXriLHUlqavK1sYy4QYfWIJCHvZ1cbwTOMQ6h2rvz7bYRNp74Rp9fVe
dshD0gP73LjCmLWs+mohR8uexlZvg6Qo7zUX8eyyEf1tbDvayWsBJAEiLb8mCJClyDq+5GmabTP0
FHdCzYsnrL/u5ID3UPftm8CulRA1OngdbmPeDo4zEHsahzMU2PQEGWBxHaGxkjkosXn8GCGH+UWG
i5rVgEw2VYfFcuUQRQiwJh/EMH9nSXXQfETkg5RqYjUsebLeWKPWUKKsSUDHHrz0q4GAThlbwzeM
igAWY6l5300+8jhpY+28SB2Zex37OiThmXMt+w+LpLJkV1yyLB33vI9TFCteWphemPQNCADW+Y+D
O1c/2orU5DbORMsNCDd3EZDLfcWqbymVA9LKRndPBYgZlbl9DlRey1IxYBqTezst9WPR8y1PRY/i
M6qN75MzU5Y0ZTilKiE9EzMR3WSTCvJ7WTRa+Q5vCPRR4OZwadr2DWqulWTl+wTIf+vVU7GV1US/
KQYPeNgwlrtpNOuNPBlJyGUOz+2lVxTknbx4XMv2oA53TaSJp2JSu5ukN8VKXkar7JOaEC70sh7p
gBbdyURYJmxBb3gzsTFelLY0KJrGO4zc32W75oPdBt8tjQ2G13g4BPNwvVHUnYth31qOKlRxNmuL
lC8I6FvDKhQUO/vhbRQNEgDlIsZvbdnHjniy1NZeDE09vTZ+HeP2FI5fROTDW6/0b0aU7UiT+IAw
lT9zuJERAZ1zyY49WJDm3vR5Wn2P/fROGTrjbvLDDMa0GC4ZsPklhAlvE8f6rO2rtN5u1Juctd4Q
1GsvShYV+olnVyiZtzA0GIIVX+kmznxU8qM3PVBddlhlpdx6vabcDjY6YLFeHmTTR7ssqb3X849i
wfmpwwwMZT3xYdtqsHDomuKzk4TI9piK9zRmRgKi2VUubl74d+xwnIUBhYNMLG2W32cnoQd3pCiP
kWr0B2PQzLPa+OKMX0g8y7KtZZM8pABtsGkZ2htSkUSwW5YMrqoFT30M4BboSwyKpA2fUOqwz3FX
Ml/RaXnx8OAb3/MyDJ8KVa9WzpjieeQOze0wHwo9Qt4hq3aqlzW3qmNzmEuyUw4rTaNYCkh8a9n2
aVyZDNheWo+QdrRjpavToXfTEgOdOnqcBtLgPuCL7yG+GY3pfe9EEC48pKfIt/rT2gcxdj0JAl+5
iRJtIYBKH2wd4VgNRlqHYKXR7RSzuVyrqMqbx7FGHWZhr034dk9NhoFBVfCYRCKtnkqIgmuMwYKt
41vlU2YgZ8msbuMWQ1UvTYxEnRzRy7ka2ra9C9CSXsqq03blDQvM6FpFUdE9wEsEfzQPTidLvdUL
/1uiP3rxpH4BCv5HBETzbahLb+FXwn5MKr1e5Y4V3MH+yzdRP6i3g1IOBPlH9SYZuUmJVSCxgp/P
0lL19gLDNt6p/Le3tLE5QcoTK78aNTbZ3TdNC/o/eTSUKkn+jFjZLWKsEZ7LcAzWVQFE+E8n09NV
bCU8AWpkuce+1HfYLPIAFKb1nJWZcVN443iZa2VT8E35QfYECjhZKJoxIWKqpk+2bwKJ9pXqRva6
WobmIrr2QOLp1buhR+XOnTayStY42vYE9NbTmKVP6FGZi7RV4qOb18FZ17U/mQy7lzBI810Bz2Zt
IUz54ueuRtivUFFlodftgqMeNPl9kzGDCB9hm7nZLs3qAJtZTqjdS4Pe7boYanUre/mxoHKfVAn4
LC7Z96sKmNKziYze2e7Nnz4XUmC6lucY7bDRsWe01K6+x3EsB5pcYtkVW+HJR2px5VRp/YJc+gvM
JH6fUb8k4+1+dSYPoNZ8koB7sh0CgVX4fFLggNQysDV+mYLkepLl9EunKpyvfp8iUGFH9b0/f1Kq
Bz9/EiC4+iWr/BdL8ZXvadn99EmweneTYi2YSwUo0TkZL1P08lClzeYfNnlzrCOXyfprVp40mm6q
FoEzAEh/j/O0mVcEigqfwo4CA+HPNj7oVaY/p3r0NvlRfUb4T38OjBgEa109DiVLn370VnIQXGxs
jYFaX08JmvEmMkEVyeoMmNyiQmdw47iEMyj9Cm0SYyeviEQkKIsiJkk3945hdI6xoLlo7MpviP6E
pzz3sl2Q4LPAag3hDzGFR99N8kUQsaXMwwF2aTrgjJVYj3KEP7yg+dY9yP4A2xE+uznJWqjxKkpH
NbkZ3eDZqV0LwRSD3bhqbb3KUGYgoXOEWwo9aK7WShbt4jiKwBtRdZNyQF7TtXeyajYWzNCi0Q+B
Mz4wET/rjpXd23GX3cdsOUBiksnoCp6FpR/x8IZZepC9IEba29/fQc34nHmYM6GuqwpiNRYsIfEp
nBXZzCZl7fTs8IZxS4BwMsjeTkyMXoo4VoOZdnTbCtU8WFXGj4p/K0Q7j0SzNYqLl33VVSe6L6o8
vi8xsd47sWhII0YQy120RFWEibe1GirrMS+6V7XjxdymRnP2awe1lWLaJ4revU5dP+0mAYwzQBzu
tTRQ3pgIgZ0sE4cc8OHX06GHNHun5tHp56sVLQxZ17HK2x57kucReLY8vS6m/KYgi44BF8PKGU6R
mWl1TEGfvjg/PtN16/jguJm5lKN8gaCfxux4kNdAE4mk5rhSnGhYDkQCLzoKc5cC8wWf6e300eQK
MDHGgGibbJMHDyuejYm67vVU5Jy1o1laLyomukcff8VdbqTovc2lj7b/VPr9ODtyf1zP/av06Spx
6Iot0Glyrepd3SneNgrCcMkGbZp3adOdlgbJRrRdvvpo87V2WnWtZqzlabKjM/VyaaZ2t/1os4WD
YNqolxvRT9/AgSOPWWuCJ89X98IgjDWJHqXqOnTu0X/Pl1YWtG96Jx7BjwWAcJQ1DRCYVKc8GWVX
v//+9/23hL9hsEcgrWbBQidsK/t/ShhlFpucUG+CN4RqwvjGsne1kT1C8Gq+W067FWOtvau+I5aB
bhvnEk39fRVM1hayf37MUb9f5AAHFyCs+JHPBwVZ/5UVgwSVVb1uTr//k43PWRPDdoVtENy0DMd0
TPEpcGZpqh8GZKXep3FYRe5UAxHhYCYFns+23ezYJseLXvV+tKmDjcU3fnYLPTW7NzurD1D7gJtr
UKxII0CeStP+zQevv0hFqt72aIY9KGN6tlK1fysqbpCOpcwuDVbQpgs/02/HpiK0OZj4a+cJL3nL
dTRsE+mRJXmQA0Eq9PhWhfk/QDUM59PExD/csS1ElC3bJCtKnvHX5BEsepAY2Ww/YDFhiqTMj+Rn
/NnIm6I9H1Ldz49eAeecAPb+U7usyhEfY2VbInK0WhMTr7/5Ip/GfVQ/zs1diDuwmiI0Yc3+3kDc
/BAI9w3iADGQ2hwxaLB9sXHMmt55CEzQ5QBz/iKbQGsNe2bSCW1aOuVFehUbp9oJzR1ydMO9WpQ9
YhoXEeVcUun4bfpVi2rLfIK8iOKVwQL4hH+QF4FhNp5irONkp6jbeO0VvSkTJYeEGCFLTmAM8XyQ
paY28wUyy+36U0eWotW+kAMtHpWlriEkW7WFjZxePC0DI+we7cQaT3wh923aoe41H8rhDcZU/HDt
twiNskiuj7IPEIueZc0xT/C8scoGLVc/0PBsMNRjopU/SrJNHuK599Ng2SZ768a098JHnaaf/OKg
ui3BhzG5E1pREBf/90F2Tg6C95vcHIuDrH90qxGSxiQNBpK0Ln67yqRsjPnNq80HFfxKpLXpyZnf
w8Bo4tupyc799TUMSH6DWWsLTmHund18kODMyCSCqpAX6cpUvRPtRvbJUWE6VXtUV0cWKvO7/D99
qtaN+9Azf3xqlA7q0hkEkI10mlDQxaAxQXLvrQbxAyutcM8QN52zrPb6qLzpPVF8AwGGYzfo2TnN
mi/4CxsnVOXNkyxZnskOEJcMqyxMtokTIBzZEbHPx0aiLtey+nGQZ1Toun40qSQfFq0WI5PS9Mot
QCDE2PTM2QSqpdzKto9DYPnB0i/C5IbocXxAwwsHwLkkD7XijflCFslVJRu0Uc9RGyTHyM9QwHKK
bO1wG1ZVVFTrFJkNVCXQgybINUB8a//0yxz9jL7LHuqGuHU/6ur6Wq3b9s7FNkg3TC9fiqwi9FIW
HX50DA7cvj1l0XQk+JPc+uTwkD0VzsJrTONlGHRr3Yp62spqjjngwpzG+FwGtf9csWLR3MR8Saax
g7D8y1lWd0khybDcbCLiAnr9laf5ZgTc9+JZebXNe7Y/eR4UKFqG93IASm/jwg486zKEbncQRY6E
8OAWX0GDzhdwCsVZZQCnDggL6Zd2NKeF7AAqdkekpHnqPL9AXQZB2TgDvR46+o0cIEo0qRWCLp2D
n2qxjFPP7B57l02rh0YbO+dqM5NwvgwrhBMBWcUQ2FgyGzsv1M1nswaaNXdHTgya22K/kvaVtXYC
MdzM4GJ4X0jPKYFyKKXi3KCuMhvxLEnM8It4H9RFCi/XbQ5D7v8gbOhD9418QnGHB9p4qsqS9BQQ
zLfanNZa2Chn9BbG+9ElrlSAId3FmT7c66gs3rXmUfbJlkqzC9BJgbWUVWIXd6ZpWjd4Kgb7OjSM
Taxq+euY1Rv5XVhD2y2DZqpPaVKSwhuFuH69CDGvsizP3jSDhxpXHnU/BEP5IDB8kmdmWowEWiHg
JNQAlRTTd9fuMAbvcDWuN0L3ENnrHTQ6Dbw6zmpSZkurQhhB6ZC8zEy0TesSnhzk1tK9FkZZwEno
Wvira1T/f8b8/SO4Tla31bws+PgIxdfFP7yW9b+/lXGmMlRArqZtWO7nt7IQfuOmVjs8mebknOOk
PWPfUb5pLf6YHRotW1nNkO2wKp2AWUVmcNm3hCDHfuXlvtLFfD12scwQxIMkqERA4v9dUkzbZZUx
RltZuvaW1j+kJpEp+XXbOq+sSEtaNga5QIiMz3se9g51WYChfjSrHuFNVHfVytB2tokYpyx9tLn/
oU2Oc/MzrqGLUUnJSqEZk+xDgtM33VQSeUxc76bTi/2YTZGx1QbP3owtb55rHXeaDXrGaKIMyVvX
NsnKqCv7pnQRFBX1Q2QrCasyK9uHQZgyPVONxu4b7ovaBSqTAekv/CZHEQFI14aDk5msVt6jDaTl
pQBWuelqp7JOyZCVaM2FxYvesv6ogwb/x7kaFvnKN7zq0U8n847njzXfDNAZbZyXchfHzYCdnhN7
yTZAyenck+U92t6wkbUxbt2zLP0/xs5ruXEsy9qv0lH36IE3EX/PBQAS9HKU0twgUkoJ3h14PP3/
gVndNZk1UTURGQrRJkWCOPvsvda3RG/LUMbI08ss8NPu7UrJLL5A0Ar3f9z59ni6VFt5feiP+94e
m/esxrcrh4nU8STScMlqShhEidxQq4z1J1rAFkqAOj/c/pLUcR6ZXOo0b5PheehKOrz8RSZ5BR6e
8gniVmkZX+oi+RanS/GWLOkXXVQ6Zf8UcoDaKEAJh7yud0hYJ54To+FUNzpI5tZy6cevtxpKnTM+
WWXuW0/XeBF/FFZC6evQ+6OUglBK5gLuuGDp9WJrJ0uzpx63r4yJHzQt0b7VRphBTIy0i6bF9SVq
Whah9YY+Xi41X6xnRy6jvZWIYduMnHDa9O12O6PneLPkRNLrnbxmM4TjRqP8v+Q5dcWoOPU31Uk/
4fIawPqpxoFBruTfrudd91LigT+vLNVg7K02sGpH+hwDr7ndISc/aqOOmjjAV0+vZUKDZn1COdKF
Z8+LfcY9rN219cBIZr2hDxn4QrKSHtSwDY9LUTS+WRjOfTricIFL+tKKqgVfVkfPBnuDOlLmT4Nl
1adZ6PCT5nL+hM0j2XaJVqLI59akBqwqEf10ud0q8DxZevkJytJ0EcQmsCXhXlmyLMEcScCQ+mT5
1KV95snE3xxvD7KcaNODbrtK7SjdWyVJsrf/GN/L3nLiwb89iNDF3O9C29yDNGvPIoXNsswLwo52
3TUlqfb8x0Vyon6/2NShONJa+p8Xb7cmgpbD7bHdmq6UNBEt3YLZo6Mz+Dfi8JBEg/H7ryx9w5pP
3YQHBRu3tPnTbbdHSKGx0TJTRhOyz8owND43UytAdgCcQ6hKyz5jQDOo5j6vVjRdWMvkSlnpsZ5D
4ylb7Mcf1+eOSdcNJbHdTeED1fT77fqWksQrWoAAmJby+6KrOzdepSbSTFxLEdv6nbk04wWdLHkQ
KVjdoUdYA5x3Y5WddfjxK3k11uF2OWQYExC7CSOHRRYYjn4uZzCWbUNUz4/rmsY8J/IiHf6HuGa9
LlIeZiTtIScLyldUbkOavIoxerTSMHkfxiYgqbiK3bp4LQgIT926v2NnbMRulaUQLaLlvZ3DO1PY
4yvpO98XUSlf1EWfoIIBuJtoe7tQ4sHshpYFUjBnB4GBzWEdkkN4moNNk2v99Xan22+t1pEVZduF
d7tOElhmXCnmOYrbczBBSAL4nR+3m/94nD0SPRbHS7UZwmJyHTDneE2zaCOZjX5hjyvjZlWUfemk
/RmNFpg4I26fpJha2V7E8BVS3F0YoVZ0JT8qh+GHuylZTU03Z9PNxRRFhXKMF5Q/q/+pm4mmMLWi
cgcxWQjQ+EGzD5tITWadE6UUIphZVZ7+HoLacIji9rOy5rPdfjirk7iPijMB8dLxdtXtrmYMFDKE
c+r/cV8rJnlQMeJdngrDV9U5ulOLbiG9ypxJpsv1c5fKw0Z1qvJKLpaK91aLXrUJCUxLDe0OWe1n
YH3eqilbCXyK/uwkwA9vzyQi5fdnqtaAVs2U1MCUhHGmtVUZSXy21ws5Zei5GJccsNvYJNvWktZc
BG6xcj3Fh0g+p4cSkq5J2u34pThN62+p0hSnqBbdriKB8Mdv8X+u++XWKmrHjYyVH3WAfHDojeK+
WX+NTVk+SAY/bhdvPwzNLs3NjztBNjRUgja4q52ZilcpdXI/gN7MbS3/hORHPdh63/qqidUZXgZk
sJjuAHa14t7ONXJY1xvgodX+6PT2oYli50XkvZeb+kRGChaJchzm7e0iuq89SXLGlWyflHExBrAc
+nZPnitvNdV3lbThV0LbE6+oVkCZpIltmSflCSwvWmawu0GzRMOD4iyzF8e41+Wc4YO2dpiitdfU
jYm+t0vx6Y+rbr/Zzaj7yZpmKBP4o2SFfSKR3GbTj28O0pzhqevF23W3H0tN5eLiOSQi0gbOBzHo
QdAA8xTmYYB0a1AKt8vLenlqI1RMt8us4v++HBXiky6XML9K+bOMfrgQcvnBBhFoZ2mwX0JoEGe6
+YhW2NzGdp0cTauIzr29DpykTjz3VQn9ArLve/+a51n1UapoSIVQ7WeJ0x7Cgbw7R6NQD5VVZEHe
9M0ju04QH0WTvw4Ebt4epQz1XTRztkK4F3qcWoO/7vypxs/2JKaEumOpMm1hxzA0mcPp554XPcp4
sOU6fDOqFX+waNGxoNeHB+ZDbaP2tciWzWejB3OdErDuZcl5VonGU1psxZKhJHe9Ou1JQiLyrwk1
KrLqkqSi3feOr1l1EhR1FT/G5WOedXeVFukHWTK0A90CAl2qOveSoUcBo2PKYNek+5U8Q/2acplT
B0+HgxbG57b/pOiS7ncz/Db6dl2A/YR2siaw1HQxsRbKwVzFN5aMewqg9GdVAa5Vap/Td5Sz2v1S
PRNG56D0gWCsMt8kOcouT7ISKkEh+mfJWQgqihhg4rU3dkxTCw9jpXS00ieaHlC91bG9M2aSuMIB
O1ICRfooyRYjdwipbklO67ZAmeqPIflUdpx7oaFUW6xu8nYMc227GG+9rpb7gVbLxqI/7hmATLd0
wCfPEjW1t9HvwyXJd3hx0cos6IYyo3JB9GLoJENNSnjJbcWMJzNgOBeNO8nJ8jQCjU4l0hvnmDUf
ey9METWzNuiYpA3Cu3o7a7bqZvHI6D7rGl8GyEbyAywZaVS/ZRXIvsEsm00ZhaUrSU3hF5FaP6ao
AZEUqGcg1uq5wwuWKUlPIkPsQbiZDgiOnSMJhoDPW4xkzAzjpwzTpJdPKi1Hct0QITZiD4fPh4fJ
MD/t9gsce2ANtWtOdAzSpX8r5EY7IZ95jWItsGJqJrOp0tINh7k50A2Puqg4FZr+MqWmdog62fIz
A3wvVUvkpYrTkR1ptsxYruzqihNm/uLUcJKeY6CvPY4MkYb1U6zXV8PoioORMKoO9SPt6zuwWOZn
zr372CbcndxxOy7PlWamn4SUB4o1joRaJa1XMY580BHTDUJ389hC/VDHBMCRoIdTNnWHYejOvXlY
kEFsVprnllDfc5/byzmuEKhIFlNxLGynOiRlVsa5trUm3TjUTfpSFeF4DmeashnMDFsR4a6f1Qeb
/ajLKdnegy0FCq1OT0oq+svth2pBTpyakgi+WCC6amTtqM0tUjnNOtVMY+9GlCj+bMbg+y1iaBHb
emO4uJ18jhrbeMGm6dpxfGzoYh+kQpr2szN8KfCPn3V1Qhut8TFqCFw9VSNYmB094kb0k/4gACSE
i60GE5WsX6iWl0jamzw2GzVRWV7maTrLZXHf4V0knR59LSZ58Biz1vlZ2ROEXsQbGhZOkEdW5QNR
9s0p+maq2vA3pzXl554BZzWsAJqhGIjBsSj8yXRJZ82pMvxo3wvwWgcIgOYR/YhPqnlKRFAOnYno
kNAtcam6NA9DcrhzArZVG7+gYXt/fZJ1lJ82/7dXQ0o4wFbHURh9/uokn5CcqwOH93eHmhgKRy+I
k67eBzteLTRz5y+6k7lmCjfEnuwPTcre+q6bTv3oLPtKt4NGtqigaWLtqFSmQyjFyJ+6xNoqcQPl
fIFt2A/xZxRJ8qVd4kvWWgpSgyE5F72aBz25EMbmthknOPGTVCWhq9bpNembJ86pziaqx4J8rdwI
hKx9SnJiB1MdhphuZjDM1nZ32js9bxdInL4x5Y0SDfuiaFUvNuTBmyNFkBxlYWpZLwrTzDftaB0j
jEikEBRuMZFNCDbyw+mSODCS7otaLoD+6uqxsnXnoEbKYUykJ0hV6UvGMeQqtvNaVKDrtLmXj6hE
9F0ZcTqrpDwNjFAVxzTaiFVl2/cfxqzfcXTiyRL5Zh6hmYow60+q3HUoPB0iBOT62DV9d84LwoHN
qOo96LmZm8l2QtdCuQflLzFNSMjNbOfl468/f+VPayxH4no8ok7XVcuyf1ljK7idVmNE5ffSkqf7
QTg1YU+hPnpMGZ7aWKVIr+nxquvRWTdV/GDY6d/4Y5SfG1C3Y9CwDIzi9NEIRfpVGw+br7Qc4ZTf
EeKpn6oZhSFpStYgYVHrLIk2BDZ+qGqbOuSd1Qej/iBJxgpiajySg7KTImfZIUN30ifDjI+e1e6v
3yb1T1+TdViKqIPvisYM8tfBqSJZ7YRPdvmuVPkbMWjdCblDDo6tiJB1gla5TXPVTJxRRgRsWaJ9
PCvThh4weuGxsreJob5C8u/PE+mysFRm6Zhjwk/nUvbHcVBPy0iO5l+/bOWX3h5vLahuGSelrSrO
Ojz8Rc+gZOy/EAJZ3xPB90POjG9OP6o+SX1QNcKo2ZeWiaZk6V6MeEO3ew9tXPta2dOetQ4XLMF9
rNr1eJGG2qVd6Rxaa87d1AbmD/3fUzisqB1t5Zo0iryZ42oHUEn2uzY6KjawhpDMP7MtfAJHzP0U
La1Pq9EORpvm2NjlgEkKAjZJM1q52PmnUJrKrTWCL44Z7h4b9JabJgxBl0TJcLLMmQEIc1c8vmR4
9lXauk06v5Y6w8AYC6GXSXO/maPJ2laGHbNxqwa/TYcG++DsbKNe28aVIR60sSsw5efWZiLoahvq
esoS7lDeGdFIO2zpMIhpjS/0qPPCmkrPSb/hpIvb5lXSdePc5BRkkkTerWKTtNngf3etNJlpHoVX
vGXOftSTj55CCZvPrdic5j3M2npXtx3yW9oUAUusQgbhPoGy+yZr5OBC1NDEQBBV1cV7cx1O6exP
iYtMiGSM9X07RtNmhPnlOaZRPjlgzHfO0L8bsAcLqgBV2Sk4yO7rltLuDsUOGyIZoekhnE+OWme7
uBkVdx70ZKG9UHpGk3szWeH3miWRw9oAfxxlJy5dWv3SQ1J+LnUm/kQ3KMWRgEqKqVLxo/EDOnfx
1Fa6udOHdvE6erayodxDhF9zgbDfVUvX/s1K9YuD5sehrMOTsOhXO3DqfnFQ9XLo8L20wu+mSGLK
j6F0M0tythmSna0iJz1T2mG4mKYxXPRIIRAzjY5Vjmeec8t20oenYU3ow+p3LfhQ/vqbpv6s/bq9
OhroOHwUleG9pf9i7lRkNRdFU6fvE2GKpGAQ0zvK1QPHSUXM+zzuVIvgsZrRiVfTbt3mSutqI+Lk
G3m/XgBZpTM5HFq+1RSz3aJRoNOXdMVDJZfORl5idbus25MyGxM+/lzb6IVBbF4Vf+o45fzNn/On
853FcMFwEBwopmr9CTCjqeOyZNOYvY9Jf4dsWHlSHOTuAoWxF7JS+nMv8vsOGho6icFT1BlHmmIr
XmdwwpY0Ur3bVqm+TnaPgjazNESQ6fBkjVensl/naK6vETP/vxOLOL9WM7zxmsokRtNsR+dE8vOO
0VSStmiJLHiXIsA3C0jFsbKeuzylVABfujUndXJjKaz2eHYYDyGLfYI2fG/lzqFUTGN/20wNsnaW
2gm9XrlXR9Kyqp79jkI+hRuhrrS6sT1rSr1PaRwGih2twBKMNRDTnIMYF9nVwjYgGuhtRin2Rcts
hCudOKdFKAJ6w9m1GARtM06mXT99+utP7hcF2+1AtHU2b7ZsqGhdnV/0MkvRQ06YsvTdLtR242Rm
xAoeYvtu7QctqbOjOSnmBq/U+ywRFNVPB2lujWMxiQ3uJQDEY3zWJlmcjCKu4Vsrny2C6+81W9qT
WDhInf6C2Zc0SMwaPurFxG3afPBoqsA+SaPmspTh117uOUeHbKrwuT6H+HqOoodF/td/K8fPnz5v
9D8ULarNQWoq5i/nBDEWRmtHZfmeG4bso6QdL7iBHYK2h8jaJ5SZd0WS+ehkyrOzRE96F3+EzaJ6
mawa21x3ovPtR+XQ2oXcA+zBQFmJ3Srt++yBM2+4r+32CxHM00mi3Wt3xSaRxIVA5QlQBe1R3I0X
ndd2rwMcSji2do4ekWmfS/r9xLjvkpVfEmvPOp2TZkmOA1SD0tFco7axu8rac2P2m5AZvZbpypFQ
crT83SBD2iUlrEc3U2KPry2WRvpeuzBKY68nNMRto3IdfrDFWh6NonRn3ZQINSlApWDQuQP7UJ66
lXoUFU5DhD1AcLQ0vDCjl16kOW98RhR36Berizpdu25Jdmw5I/r0JqbuoqxJGR5yDyG46i3aMyUh
Es92fO/N/ug0giwfFh9g4C5Dxewup4x2FwStm5TEE7dYOfymIYgqbsoLNbtztM0qOTLEqtwu042d
EofTYbbnjynpVaYOpXII10TXUC3f474BdUEf0yU0YDrVpHSEDbmUHWy/iTP71qDqwiJHw0MG7rO2
QnVj7cANg+USPXOcBgFULM1fTF2Qabkm8Ko2PTc0Q3hjlGMbz+1ZHz4Y0Hd3OcWQC0ZkD+ttDPRQ
ZC8I/Q+hoEdcza92LkUnzuDNdoqgegukdW46w46gNy4fjfUHDmmXhNb6FIX1K4yid4EPfKdUxgWw
s/6o9/20s6CpjnBp79QESeVkFG9lL866CZW+s6P7kZyte2CpXqsUjyRHVB9WxNJuXujtW59KZTHd
mdHDsZTVy2Qo6tOsxMFs19n9yB4T5tnc7Tgt0d8e45EIoRgnLXq9nZnQ+gdPSm1RF84mpTI5onif
z1FPq2qxnfY+Iv/sbyp660+7CstUDM1gMbQcBb3hL+fhgWRKjjq9fzeJj/GyeKaKK/Bl2U7POZQK
6M62Gw7IdquS5V67aQTwxFQiPyaYMTCT5a2YEiPIM4DzqQF4/CtdD8sFk+Xss3TtULFzYjk/kRCJ
GQQUHqe46Iw3w83MciT9JTRdVcMmHY2z7SvRDL6/GOeT3H7N8nKnIfp8BBFQESBY9mcYJMY2rZSP
GzUH10hAdom2NyZmQODLsi9FO+Q+1jFWkT5mG8L/NRaJscUTowaYB/CGRkl1HIFqZWveZ9mK/qlP
VcVbhmvB5Avu2pRu5BKEUryU75ON0sichi6IQgZK2XoIhyK5DOkwnxPTuO+WWvzYw/zXT9S49kaR
e6vAiiEG6365+N/XquDf/1sf85/7/PyI/z4nb0wkq4/uL+8VvFeXb8V7++udfnpm/vffX53/rfv2
04VN2SXd/NC/i/nxve3z7t/0u/We/9cb//F+e5brXL//67dv34uk9JO2E8lb99vvN626/FWKz47z
P3y99X/4/eb1T/jXb5f38R+HdwHU43952Pu3tvvXb5Kl/dORVdNydB2xBNQs47d/AAu83WT806BS
ojRFwYxk/Ld/lJXoYjB9yj81k3rbxvvP1hrs9W//aAku5SbN/ifCEUuWuUVG0Emx++834Hf8349P
7n/HAfKtWhe6P6wHhs6EgR6GzSaPlVBXft3Gq40oIbYbYtcSNSXiWUKv15Zu5Ey07QWJj22U6G4p
tI4vYnyF1RcCZSiKQwvfss/C5ho53WMfkZ2KFC47caavvWTsOjcTa9YoMn8vzat02xJlCojD/KoX
BLaGiQxFYzK2CtuIQ2iYe0Vus33jmHVAh3ssxNFpq9mtCuSdFbwQX+kGPJr9yhRX59R1Em1+ar6F
SvoKrAVDra5m2GIsKENIwyvOxWqFTnok8+2Yg6SiCY6UK08lQpZHQgf7vL63y6672EN+tevlPBu4
ZsUUgUDMSaSR5RfM0xIuAifx4mn+QOHgD5HXN6jaVKy9ngnnuNPbxm16qjYgJXdD4oRXBmhv0ph+
bTSnCipyO+8b/Kx101X7Lh9sfD7u0s/ZwSKqxiVuLvXOgtljpWrpORWgQltZtL7dVsQaThWpXIh9
9kIvr+misF8kMGtjwJ8O9WbxGU4WgYjGZ4rqYleOgR2OZUDlSfiImY9utB75M1hpr6rkwyBFnyHr
FW4rnKuAN4N/9FqxDXaLEfZ53ELQQEAACD0wa7EteoQaIPccr2ZXtkmH8GooFukHY1Nvyt6gbFW5
JOQOs4HiMaXjat5EX7BNxNJbkgTWql/1hLxH4CIIN1NWGjIo+qZL3bbDomLn9KJT+DUWiBer5snR
URxzzfzClroMNCg0I3VzJSe8b8UAi18M+LujzNULGS3m+ojRpCGchrh1CAYkvyzlumKqWr8z2vuu
m3eyyttBe8rxyL1KvEGP/EW84B7mQ4n3c8fr1LSKuBpH32H7fCljzNcGqAI7tTQKDEs8dQabsiQ8
K4vF7CLrTuPIJESf1dGfDWAxmjKg28lGPEnTRgLIH8wDb++AW8uaHh0hzG06s6agnJ9tJ19dh91m
GflqkKUZJIp2Gtok2WjhLlsam/yFQxUvL+rEoSb0POAYxjZFAJGHEQQ+9qErUtALKGO0ePQQPdpB
5BTLdsFfXCq5CwY08dWqtX26smSHa9Idov3P5XJH39U65k3CgKbLL5qxTJ7R0k+Z2FRmDpKrho7l
JoYNYZqf61QZnnrpk6Es6fqhLgedjEO/MaUgFTh1po43CfbiZ0Cm0kFj4+eKOTL3ulalG/AsZLyr
1UtjZVsras1gSvBSTxUfAWYCY18p4iniUDghqqw9mdw7JUwFahjZK4QyBGbRPVRIt4NQhX0w6W3q
UqMupFujZWWO7AvAfviGCEUgMZrIpCyowmrNuoB5WHPwFDT8hsmTVMbioqhPUNJwE8e2l2uT482F
SDZdbzKwc3baQh/fVr8qncFYlRNJIvKnGeHziZdiedH9XBAOXttl+2RrxJjNgsmrBdYs7Odqa/OR
+thB381qHQHZMgeLwd06dSSTVzKdIESot0zjNUfXRHrfgF4ij1sPfzOnxVbDGzGg4dFrAtnGyp3K
0fGGIn9NBnSaxZx+RwWa4lRvrmQI5YSQ5Z23yHy8qUCnyKfQ+1bLCE2Uk7RFJzhIuBD0j8iukm04
8jmDZdzNk3JYLIGlM3FySmLs3bUVZ1vbGp7yXIncXKuXDQMhzc8r+0UyRw5RW1kesnIzjtJ7JmfP
0bLWRORcasWA3KVt5U1pkWFYvQOa29UhxiZVJgIoTl4lgktcM86xeNXq3mRL76pV9kq/aZOM0XYc
qK1lS2J61CmDZ9R8gYSa3VVdgxA2DvmeTkXlGz1xiMl0zIWFc3G90xTZBe9QuYuWAuFCkzsBljUf
CcEMFzDVNynIMbf8qmoqTNS4p/CfG4ZcUXG1+3LZjhodLfR6LnmM0h6SEPFKiW67wmr6c6Y4F7sg
JHQcw9SnMA+3fWkR+ZiMoJOqtvXHJHpPpXrX9+tJNfkeER0U1ZgHJUmGVqRUm9aeu00p4W4ZzbWZ
Men4fHRpk0U0NHTMz15ZRZdMxnlnloaxJer1I7Ek9WSS6hYspfmlrWXz1Citus1Jt3cnLZQviEPB
jBftRhRa5s5mrpzCZGFHpw05U9quuceX47VlLu0iUT9kll7f0QdPTmUeBYRRaLKrtp3PDPZh6uVh
P3LjyY6aQ6GI7EG0teWmrCpSJTV4dqQQTOl8cYhEX4fB0P4S+/skMa2U1BCBYzwFTa9+LGoKdrLg
jyhVZEWEWrbnpi2Jack4NXV8PUsVAZeRJNqmYXDZVtMXOXLmLVmO62FAB6jD2ZXipyFa3NPXdau3
S1qm7UWfp474eO43N5zrrAP5FHzvK/MSm33q0miQ3TB+ZbUfvHR9uqlAtSe+QVqhoZkRJ28Pk+wu
ckNoj5hwu1bJo0NS1SHqzz04lIDSjD84iZ+RWMXboiOVKZKZEN6+jEsPZqbuVF+M4Waq4sk3bNhY
kKjoXE7stKfFox/yJSdqAUSAc0HSOW8d8aICf/FGR27dOSIYUHCqkXlajuKM6fF06Ut5VemEbzb9
d4ZPduJpo83Ujj2Yq+i0ZXk/3QI99U5D6t4hYje1/smarEAnHthDUrKSWIxvi2pfWYaIfe200Z1R
TqHNm6YN2ryJnTK846yReh/fFg2KVvlgYQaZOF/Sfpa2wuwvRarsyF7I3aSjfaEU4oumdRwYnG2z
sD61CqwE5mWDt8zKaxGC+Ncd9RRSFq5LGXzl7qAmE9l9FEjG2Fj+xGoOdyz3LVkNStw9B3AhFc36
0qeHXrt2Im2T9AuBKs2mTCdCHPv46ujtRZuTeDs6cMZxCk8o2bA2LJU0+3mtf6olBtJwkIlnJIVw
P9l3YqEnVikG2Ab1QOqT13KSozaR1lMncWGO2m/yek+0Bbt4yY9n+chaSCccMqe7oupO0mzygfbj
5MlmQz/UdkbgwhMZ2lVS3YkWtB8uBedxtrs3e9GfzDpE7WWkW9Gm9mNRPlXdzIxVTYhUUJLxOMIi
Z4MKk9Q+FKyNAKaIViM72tkJOdeCqNsmcopqM7ESvN8NHOZs4YxKeosuap8Y+vEqbM05ZY32PSXm
4SmrTjNOa3yth7SNhuvtx1inzzNqrMstaEKfoPuy4A70dpp8Q0tv2UZLKAe1SCsPgZ9vrHHUnV6X
D5LEQs/UH4acoXAOTHgjMKPvQxj27lzJLNpGeGVJrC56GMrbaIibDX4FizRd1dpnupV7dpoR6bB0
FhQU1Th3zfLFZPqygbApbdp+VB6plV2nKIyrbMwGCs5sK5dK+/DjKtChHORyeZzn2jVignqziC9H
iweCNHRmWS1m+WBGSLTRcpqAfQyWQJH4+ip5mNK54U9AFflmzHHmo7tFtdRJ/BVvLQZCX0XVdC6R
/LhRjS3cKfByGG46WAuokUNCFChfVwTNI4GNfYR8dFgNBdhsrWrZSHxu7omAEPtRIeAPEdnwnDPj
cStNzB78oO2EXmK2sjurH0MPx9OhHkXqlZES7VoDtuwydleS4D2nadsXc0osT2R7s3Rw1gDgpuCv
Qz8sk5c8msVORw7j0tSIdyxxyZbpHWEnlfJplIWrx8g1c5UdQNhXn/FH5qSXsJTEg7rr1EAs4O0j
8hPTvgkq51gWTTCxau0Vp3weXWkKaNvyFsQ7ozeDwuQdUigXdqVQe/qJJE+Dwi8UoGeNM9D3ZLFz
iUmSEZlt0rq3tnFi69tUxwQJCOdKby7fjgkYm4XuGD7yaCug4RwaVXnF1jT4hd4Rxq0h6EBRd+z5
3nSljW6UoJJt6Uk0mBz49oyKlvRzss7qwXNO64m12dDRk4DlQnEGS0FLkdRVGY9L+rUlwueBWsQi
4U0O7IyGsnY1oX0dUUikPo5KzR9gOgvVupY0i+6apQyM2HilOO8AzzoyH3XPVHd8bbNae+B0cxSN
GXsZ+mzPtNG5O0okTuymaGjL1D2qthskHHsFQirHyj6KGDLRZPIVMJvsCfFuoMJ7tKlNXBjubI41
+90w+W7I7CYL0gt8fBA7GxSRVIwPUyIXu0nlq0tnM4m12dU/R4Z+Jk2hDQbTrJhxij2dpQXphtz6
yA2fjFj5bNd8IkWW0WMvLFezIx3JUHQul4lyccifwmo4SSL8Sj/U9pOpfRrKUPjt3H1HAn9eRiTq
Hd1Xb7DUz3bDBjWrzWizTDWRpzEQsmSwvs71wC52Uvs93uNlY+jRvSl1ve/kBdAEopa8xGQXgYxR
PoGcrPnrIialBK+fkmVggidZeyJT8yjSHhtqE5ZBMlshD6KTTT5gM5GzsAxBk4S124Dcq+PvljUa
QZdXlZfbKuQNk+aixSv2kcsNXoiKyy06Iji8KWebpsdsbxngbjDtMazsw+csIpNzyMR+Wgjfxcfg
HMWUclNcU1FK83VgGB4yBfVtqJe7cCh8eqL10YlqGoO0acdK/2Kr2poYp150GGC7rIruZkT/+7bt
zqGMwwn9reXrulp7nWMVd+Ni3jUTmz5Hqb5RHrxllpq5CvsHmAXWVC07a8FAabXXKINkSgkn/FGX
ajfP+s6LDIWvvC69GKUhBQyrIBA1nC7QE7HiE/ENVNqkammUTZopnCRbMkbA55G+TMBcgBx0BVfF
hXejxC9o1aBzZydDvJpW3x31uD9rjY3RoKdsUM34Uqo9Tga9aPYOKBL214u978d+8mkt0XkMKant
RtpVKlVeBpFVas4x69GeIzLkCFXOIW0snznJvic03i2VccCQU/Md7Z1nxD8N2jTpvUzr10Wasj0n
YNNT+cbSdKUKG7sVCEjL3y0c+Wo0b7agAR8ufbm7CVMWo6BI4MXJZRlUrSmCoe89k42MvsD1Q6yN
cEZxDpNTVavgWd1mMUt51FM16iuIq9TpNas9NkuRf6mSoJ7NykNSDuY78lX7ce7hH+qyVW1yYZOf
FDOpk+PM7asQk9wCAqHTqbMX4pmnYVM3OLLn9pjDT/WowhSZNiEKJlg8EGQ6v9HZ4OWtEyxOHFGn
rPr9VjlnDGQfLu08BWxcX1i5PgZkB66TOQ8NkYBuKvduCn8JyTO2Sw3qjj/Z5a6tHLz/API9Sdaf
CgEY39IpyfHYKN7/Z+9MtttGtjX9KrVqjlyBNoBBDS4BgiQoUrIky7ImWLZso+97PH19oLPSznOr
Ttad3wkWJVESCQIRe//7b7QZSY4QByRNB1UFQWv7koJh/Q6rUuFOTN5CCvAteulAOfJl7KvOxQa4
9j5g+fRmjhl5AWWEC0ZOM8E8i1VjNd5H+vAhHdo9JlCdK+KvhlqoO8YYijdgo+na1ZzvSRP0157S
kNZvXxVR4Y/DPflCT31bwUyakWhTCnmp0fX7QjUf1pkAmhRjKDeG45cgk94NlAa7oczCwMwKfCzk
2ypF+zm7Lw1huiQZkb5lDT3D5/e4B5bqojdV5w841PmHUqngTtXR3oFEIMvR9kYG3+tI92pp1qbp
SFffbkraEuCsfbs4e6gehk9HicHdStGkd8KdZkUhSSv9usa0zJoAilmq9EzkpuMWQ1hs+BowWh0+
L+aKP0VSfLp1cSl5mJ6iX0M2s8MabexcnLgMzvOtlbC7kL9KxRg3H/tWzP5cScwXohmG0IdJA7ZR
qkFxu5xUIOKAGRwTyZOiXqSaaA8YkxA5RGlDMh1XEW43tGcm4cDcvqg29Q1DE2ur43jKLYPVH0yu
PCHTJ4antdEsrMIaT4i1v6bKSHs/icCI6ZFLrYJ6Upxk/qSo5msLZcYVkpa4bHKwMM2LNqhyGVvi
YUUUHdfCenJ6MrIzSEK7CPnmMTKa5wWTXzK3iodwadi24ybn+i5qL6nD+5zG6TISP890IXpH4w4B
pMufDGy3z1qK5ak13cHJwySqi7BgpvGGmcblVs6ALg7TmkdSpz4NqPyB1heCfWrEQLN9rqwhxh2k
mfyBWBIEuLkbF4xcjHp+Slasu7lGutQp76Kl3DhB5vkGy//3BOMfJhiqYzL4/n8PMP6jzb6U3Zfu
9/HFz9/5c3phO39YhmlA/SE87c8hxZ/TC8f4g7m5Y1kaM0nTplv+a36hW3+YYrMsVqFT/Dnz+D/z
C/0Poao822YUss0c7P/K/EIjD+bv8wuVEQgsRDzHVdUkOPtfB/lN0mhGrQ2bbYVt49BhOF5UdOc4
MV9yQyYnfM+jPaPOd331ZedacGROltPi5MfwcgB2PUbW8mSjRsAOICZ70m53pEhDmVWij46qXyrA
8ZO+DvNe07GXjhMKDdgPYmFirRWjR7AHOaCD/ITedj44GMjHTE7x8wSmhYe1mHK9eLENhwResr3L
1cX04QqCMSIFqDP1K/NlXBS7O1EmSK0LQfcuUyAAVcejsZI/slG3njrKjEkzPNSn8X1uhse860MP
/vFGDcLyK53xGEU7t+NjmbEyg84ql/iBJU07bcPnrHjDaz3+WNerdbYbe4HyOuGziL8B/mvrQ5qk
qpeRiOt1H2Kgvzv8etadQP/B2cicY4VpU5Klp6RKkweqAUY8jFMqLZ3vzereUe3KR0mY7h1RsK8Z
lgNCH85uNFTfS1N+D6WeH5j9v5LsDXN2KomlWM+0BRjGVKWg4BzD3VUdoa5XQ1A7Ia5ObXfpRqxu
NaS/Ml1epkJ7KhRL98oi/uSgD94zYDXIf1GQjet966/TD6gO930bPuRpFnqNyMTBGGN4oCNkyrYo
jtmQYMA0bUaDwrlnaNe5mBfvpkEjedJQP4VVBipcipbCNPTDKAEpsRo/NEe/aNC5G3RNmBGYF1O1
2Z6iQ+rYwVjpjV/HObhkDpalM0SiiAOmFGWDs92CBCUyneeacnDXtG17SCY0w1ZNauZUvlUie6xo
CGRXv1G+wIoh0/FKRQZToxertzpEAi5Od9VA6xy2YIrVOCfssnyjpiPqI/rYpQdZrp4Wle8p1Gl4
v4/M30qbgQtEZcAqc36L7UqgglKROmD+Xgj1fiJmYrFq9diTMy9gd/h5ywQay7tvSpN8dFCvOZg5
53YVMIvfPBvlF2NGAmyDNFoDn25jVl9AwVNm5RkYj61QTRK1eERtcSmqhZZ7DcOzSIm0C7M9fm3b
2IHKYW6Mz6JOvq9aWzCnwCNLrw1/on7uDbfI8xodBY7j6aKkvNzoy6hF5ikLH5QUFqNTLK+prh21
wjpgMOlNDXU6rFHnURbjUVe+m7gZP3az+T4mOd67ZXRMy+5bGENvgPEXc0K1D91kP+VQBvYvFSEB
fsmrBnnEWlrkkzsP1kObIbevXLVzEk+RbO1Nlp5HwqNQERCbGcbvGWqhHcNd1o+adlrT34zUhPqO
mt2tHMtXa5jIalZ5rblRnXDCnMrHypqYbKyjRQ2cvMQwa0uLYnnmho61/KUWxucqly6aNhgv0c6p
aVY3Wfh04T2hOL2oGECl3HHQTkh1165hKwFeTSiZpaMmu3kkzTyf2oOGyYgC82rM5QdDcfZGNLlL
M6THGfRpN3cUhGubUCcX79qIsGUpiocGVtKe4I3nSEG0EmkT1vpEUBXllurd3LhRqCimcvqh6CvA
X958Nge04qu615U2DWzFeOsIPboabXsKPzfWPMW7ObYCI0V80SfDMZnp8hmy/CD5CGp4ziA4erRr
6mgGycqToQVSk9/yMrX9IgXLT4qcW4dYzYrqaC+ihpBPwGt0ZmTwkC0zO9FrZusk8hg1l7lhQ/Id
W9CdVX6eyuVxnsG9uSmnEyZLu3QK9UtqKyXvBoBF5wLVR3ShWg9CsaGY2lqFRxlXQBrrJsImA5y1
DIyzSOa3CeN3T5gtTo3yq5FcWrP9lplThFgSZFfi5Vh1OZEbMN8PfGqzswLMD+m9TufgLxkCICvq
Wq8IUwWH1WindsI5pYDlODPibZOR+NNuiqh+XWiOMkaB+GHscuwKkElEjIWqyMY7zQIazYkQdTIC
sJpcjm49jMhjHfs8IPnFcVXxukwZ/TTUXCxvx1q5LAKsQU8ShGkz4s5atQJZoFderC4/zCZXRjUj
zO0usR1pRH3QYdh5m/gziplDvyx7FRYDF3QMbTvGqCSf4sjvm+IlNEvBZja7PY63jC/BV2YQDhxO
UqDGhP8Qt7mvFZryZVZzjbxBkmbJExMESZFkMNefk0Tad87UX+emavZzN78qQ46VyPCq9GUHZECU
S0UzFItydeuY6Z2pZhYwwH0bRcaZxYBFuWRQnGgTEooWEwmLFQ+GUDtncOQJ2kHVS3Gvmy92Fb0w
vJT7ZgQWTkGzPCya9F0aVrWfLDaxnsM1R7lzINosYnyjYAUWEVSZTB/Tql1fVvvYwZj3Bj0h1jHb
j/qEgCMdjhpgvt+XpCFa49FegLiMubkvR+ajphNEetd4KBUuVqWwI1pJENoYMJYcsjo5TgnQ/aw6
L6MVf0Sp7RP1skuYGgoYJTtQoTv09bzUIeKTXeGTImECiWDZxaIoP+CPzH/VTM5ODtzYvDQ22wuW
tqFXrzyxXhlIjBktYKjBAV6eMH65t+CP7hQWEhhEiQI0ZACpgapbTQ+GES4flsJ6ixoUVu08nVZI
AGf47d5cIelpxeKGLTcybctBrYf4EqbWXbIU/V1njm4vMBotQ5xdkubLgvQu1c5lKBkw1sYPR6+5
8he/iuPuY4zzJ5ARay7htfPkYJyXOICSSLg1xNAX6HZo6/Fam/VLuOpHxHoWVFKdDpYTmgzOEX/O
707/qUhNw22xI3PFBFW9x3JwzouTSoe/V+TyYN4zpkVRid2zJTIoDhMb9KRgH8RixhC1RkiG2jwb
suSgbdlBZIaxthhfIbtkHm7dryNWNO6S4wY95Ja3vkrRvy2VQaB1aD9UVG/nvFjgzm+x7WbmvKlp
U/sNw3/u3OwZ0onjym3XxiC1OdlCOEHKCZT4Cu2ZjYeeXnSvq6KLA7K+i8T2kWc+N4R3+6L4rjUZ
ZLbFPBAZcGLU8QUOSOV1NTtpmUUEdUkWqy7p0iP27/iYOR+Qy4D351SCibF8WvBKYECMb0q50u2J
piPfRTAq4g5bICZrJ3gnXB6AP26IctDTYpU2vZlPK8TCfdozeDOqEKx8TdwKK2EXjNU5UQUOpH+e
Zp1PPVsULlFUopAedM8Zk+GuBrWChKFiQkX2uYeL9XFwHBpzvd7yNuMvOdifm1Wtj5zlyr4072UF
1h0B43JFcoHmZfhJM3bWOjyPM41u2E3igvQijFPpj2Vaebi3v5py46NYhJ3Z3fyz5sqg0YBKcqrT
jqs2DDoFmXMNFdvM8ecjza/WZXqaEASQ7YYL/ErI0L5Fv6CqhC2npp54GFAZXlgzg4zvnQnmj94v
vKRGPK55fezD9jFOyMYzV9UG+FkZtLGAdz0Qmv6pG/rlpBKX5aclCD7Bz5QSk/SUkTHZNDjjMe+R
8kAwYkTFVKWYLQe9aZSfcGGEUvGaU7sc8PjsGWwQ3CBX+aZiHD8w6fHaMvqarMNeG8Nup6Z2yQSg
ZHfL5/My4J280HK4hTb+UDvmXRgXVnupsygvE4od9C5b2WZQblJqhojix2rSr9OPSa+/LLHlN5V+
KTSA8CRHuMX8/LUBxhqy3vCMtA9q5KMsbiDdTYK8vnLcjfqMiNyH9yVPmooVPvAeyqR4fcQKdfby
ok19IvoCs5ufM/xYvblm9mL2BrDObOt0HQ2zfwF+aMnssatY3k0lfVrlaEIpw+TL6SnBscL9kghx
X1KsbLsh6jPHTXL4zLPVCLc8yW8AG3tTEPtC7gj3CRIHexInKyeEsPi2xo6yM0cQUGwpznSuwH7T
yUzIAKrK1k+q7p1a6Y1Kr5zx4qwqY9hje+SZmZDAT0O3J4uJmVOkQtWKmHOQr+jGiglb1Gr242Yv
zWUdFqidBG2LJ5MFNENsZnjWZQgrSClT+L5aU+XjQ74bZKkDLhaW23V+3tsK+Uy46mK/FY/St1W9
cBcyx3dF3t8bRgMfabRZ4nAHJJPunHEDniCq3CNkM3G37T8hfi12SHffim5CT6TUF32F5FDge70z
TShODOjOMMSdD9CwLkrsDKdZIpqNcKwVA8IQvYUlU+s/MPd4GhuWUku9oPmmRYRMjEG9s88zcR91
vkhkD9m5uyutzfqo1YFvMFEZlxZGQnhSMpEc7EZ/ibBQgho3VYzHSZ5hD13pwnZyPFva/RhRS0RC
C/RythhoiWS/9KsXmco7Ts1QQrZ8qtHYd1lR7ysuZJ+xpNcq3SFLlK/ppOL0YDLpCtFk7UydmoRm
R90P6FF9TUSBse9p5vsFUTMqy13XAElR1LKfq7G6iynE3AxnNci0xa4pM+RSqARdttMfti2vcSd9
2OjOocrq2SUY43NiaJ9UEfZPjlQeRYk2DEEWAgCs+6OPsuSTy5Jw8iNa9nKhN2keDTzRXWcdVxb+
0PIipjCaqL+omYa3d5I5vtVRZaVrCcY6YDdZZc+OHO+gBLXHajCeFQczn7pdGHLvjEE8p6kOl4SJ
UjO0lR+r8VkMCWPEYh1cx25eloVJ/rL0NYM186vSmR8xreFj114ds0i9OG3Z9yijdBWNtbpRelI4
lXW1+GQ7eGNuBVlGxtjQoceJAVpxx8GQtPrc4zQI0UWMvja9TUlcnSuWgoSkNfxvtScb1mgu0KIb
yP1AW/eJZTHGEQ/Qk6Q3rgi8hsybzT7bE9MVw/Z7L6P4U2o35h081cuqIMxjv5zVH47SvkVDGNi9
8I12bQ7wrhNYK9NeK3RMQdThztlmrQpjICvGM0zlNe4GzUZ6gAodCCI8Rd1Dmb1N/UJe5tRBuprS
qxTTt6H8oU2O41X4Bu8E44fQzGAdTZO5xw+eWZ9Reit57B7jbb+0ZhVBVTruuuoqrSn8EKJAieXc
BpkGSaZRESoN9kUk857uTdkXisYdauMYFG5q9w6/EBwYwQcE7ekykKoJz6zK+zvmECtrKhhVF6NW
tMWzBnHiZOvrpwLhoZKFbpGyuFQhA4eiZ+RLxWOlauqNk8I+GkEUae36Gm51SRTSN+l5eVFN+Ky9
vaisp+IFktTHVudOs/oXq7FXX7e096mK+EbKtWw0d9MmrRrwfbxgQLc3tehS1MXzKFiiEvKvBGlv
blSkTzOiv10ZA8vA4I2ecjJ26MUWJv9AQ329TFxOQoPrkLxmmugeGVnh2VROX1bzMHVpfcLt+dWC
nHfpnR6cN35eUcDxibKAJXgxMIKsgm7gs/758PZ1WnzLBrs6KUmfHhtl3ddtz7azHVTLPljccxAc
+CqPtCpo1LI/2Eb4oIkeSp8UpzAukV4TUOnjWwAjF5E5fvinrjDUU6gWvAUoNytXEw+n3D70YG+H
GL5k1GbD8dZMMr9yGHHOuhuTJUf8VYMX4PSj1CEox6rV7iMtfuik9jJ0beTVeHIgC6B0GMeFLJXB
fJ/wU4jN4esECwWCGjYLnVmiS8FJSgxWC8QxYfmRMGorBoa7SoMZTx+175acT5ayAliYAyuaau45
0+VeLWy6Zshx2+3KCJKUEeVJSLwQhJge9FBelAlWNv3s4JG/dSIuCBBIhdIbQiLq+uUxVNAjtN1+
FHn/qDCiYynaxtjWxbCLIJvyN2uarhCNJ69SBNyF6KrJc5sYHyfdzg5rMpBFGkPTqrm0a7vYODar
K8RborK044dAeFhuQ3mytcccSbHXy/oz28NZFX3QpIhtixTXMfg72AzjumiRVnNoa9XxZG5fs976
7NTaa+0Uj01dI2+sx/dhdprdVJ2TitmZYanDIW1wkEBOoXHRs6ysJGPtLA/jtkQ8DE57UZeRyV0l
IQNyCzFSrGGHdFe5CP1o5uXTquwpyT6MpgJTtIcZ0cvxtdBjV+rMjaaiyIJpGk55gvtPo/tEwLuZ
NOMckuGKi16eocLSr4au3ZHxiVH3aNTB5OjIpoZ48JjE1IH210EvyzrQt6fcvoeQo0PpNjMiWsMq
mCCr7TVbea8LkmWYTN53XEqH21dhU3zsChvyJ6gJCrnOw7Ju2GzHq8DCbTAwhK2xyDDIy7HowF9H
D/pAzG0dlA4UkHyyPQzDX/Vc8PpWp2DT235IJOLidYbFSrW9LGVep0Oy0vutUl0BQvhePzIVpymK
0aNFsJbG7K0y1g9kevLPTJvwpu1QZFHFSfnra5UPirCLeKMUVPwNDks5c95+3s/a0QBOx/EhOvd6
6vhN5LXaXG3h9GTCjLMl/TZsL1GnpaubbGAO3WZz6u1Pt5tRlyBa2ghrZnvvtz+pRkTi/fzr2//G
UBiAFFrocGZ2i2dzWRxu75hxJn5Ft/Nw+7qMHYxbteXR1Ievzqidhxj4ZOr4dM0BQW3cJAV77TwR
Rm1QTtGPMd3mFdGMRVNgOLDjMCo8KNXIi9xe6W0VuX2J6Ht1ybaK3HY7AbeX3ur5a8NuxRYzdAGs
NHewRgORuNEfy7Da25LlN0Z1SWc+fOi70PBnMyVecC6KKIe3yoKrOE7pN6XzyKSiDMbFQDlXjQdq
MNaEAsr9EWtGYCmzCJZiVg661aHZQLd1Fhgin9V24zHOTBYdUroDEaFe71tpecW6kD0Q4ygV3P4P
w3F6mXxVWTiyPpDYFgSmAv9e6bQjSgdLuICLS33cKozb+pvFWh84ZUfm1+0jrIH8GyhQURajgUs5
3B7dDrcrjvCCHyupXGjBCUkGWQFgtkV+/Hmr3O6X7aBZCwtmLaW7dH0VDLWdMF3fFnuHXyb7pZNe
DfeBK1+HS0tk3i4d9M29Zm9k1YnkmZgOw/xeRIMWFLl5tUEKfByYxuB2IK+82ps9t7wk1TXQ68bm
mtdn6aZOC24UdhF4N6tNvwZJR6lOc1W5Qx4esjlNzjMbG1oUup7bzXg71Nv1fHsUI/E89sQ6KW2Z
oSJwkjqIGqv6eVi3S+N9wFQYqudQQaetZz0YrI+ixEno9jlouV3++YmA5tia8q6MJq2glXxtYEje
0eqtd52BcbSJ+/whEuvHWTOlZybF/aLY+oVUN/3SwKccFG3xuy5+ESYt3Yxhzc+fqa1yMFPLPsFj
Me/yUBt3qyL2Now2rwCRuMMG+2XNE+twewIZUt1ZI2X39jO1mO46K/wxGT1rRqMccH5dDngGkYY4
RaOB4qQdDzo3Gha/ZXEdDahVudMdGZH76thWLFChGV8aEwzCnAem6tn2rqraA716AlsAwd1Ms7Xt
RYuWGVetQBMqKDQu8Uxbqox8qRjrVwe/hibVh7teGuexK5FOFBfsDYEvSrXEgehHNajxnaV1YEgA
brs1XrJT0qZHO7KEn/Z0z9O0QAbhEldRLjfaZWwHCaOEgYKR5Xdx1qzHocEblARzv6fF2klb+dxE
km4qBeWsirMdlnZFvnzYePVsfhAOMgV1Lt7qBbTHFPkrZJxpb9ZcDASMvidtgdF1BerQjelhQDft
irsE+dE+tpI71dTq80CG404jsdOz1C6lPYkj5pqo9lxsRorzr4PEbhuaGGm/ZXiHFc/m2eZ8ALhF
KYvVVH4uVNLJhrWnBolGFzoNHom4b5iLpgV2p2iUQjwyEDArqmYdhcgLPPHt/OdB2oCcjklxNsjv
8yITLzaRMBMrtKuWSAvgBanIXHnUbIfbo18/iLtaC+awRDDNxNS9/UCQyIZ0yiy8X8+7/ZXbkw01
eenA1/1GKFYwGpoVaNh0lLvbQ6hdynExoJQo5hS0AhkPT/h1aKdK/vyybHE6rYi8cdVRp0SbZYDM
S5DFsu0k4ORBFAo7IO8m8+HlHFvCSXIqwgVHz93U4Bw5tv1XwBWDP6DiUDQdnCmMsQXljnFqfc9W
wOfC8hjpSiDYOE81qyr8xT4oFCMHlJ8sV0bZdFYxPDHSicjHgmJSDafT5qTj9kpW+SarwA63p3cz
Ftze3aekz7+DrriV1b/qVcPtZfeYc3bPSUaPm9nOpymzQ8QrWNhzVwG34sQext/gSIe7WeYxPPKa
0Vu717rCumGYgZ7lb+p0SfGMNjOQtBGPT0/R8vdZNM1e55TlbffuSGbedo87t/6cOq/GAjCemEaK
k8/ykS1b20mn19xlAumq2idJfM4OzzmQk54+u5AFGuYDXsrPschXFzDDdGmPYM3DtulScmSxTij1
gU2WFQ+iJgYPNWfBBG4r0we7g2SSx9uELX4ei7ekGJEziXt9USrXFsV9pSnCq4uQmKztZq/2wsj3
rIMwvMsZdKihWEAJoaaSiDnoNFd781xoLe76LcVIy7FRpy7Yqn5dr39IBR2iJo9Wkz7oC8l8mmQr
XfP+KzvD5Nvafa7MAXP8B0S8hymNX5uFGZuTP/cMTrmwuGOsXTuVz60kgjFMsshdK64AVsqD4xA7
R+uAI3GY3mMrdj+CLpYzmoQKx9OurkCM0QC1e9EZZ8miiDWEqW3WtjXBEJnGYP+56xNImrr2sLIA
cgeH+5YG19Wajam7igu2Np97Mj3TpNlXTQElHikbHswYIyORiv2qbK7QnC6x8qBoNU6bjLyd/EMT
ev0A1bgPy6sFQ1HFXCCenW+jLK8N0ivEUckXiBv7edgPtT6yo5GkaWdu1ul7HEkxE1D1s+K0rrJE
ONwirkReMIAZ2ONBBfKrUmVnIAI0De0OIBCJtC0uUzgehonyUxd7phB3wOeGNl/zH8QVHfHX/Bia
7Tv5RRcbS+Fsis6dFr20lvqkWnehNL8RCpBhkbQD/3uaMfyhuUEmOjvpeVE2Er+Fc/A66irOqxxu
j26HgbTc82KzlhZx+lavKkYHkpINBUfsQ0L4pJlhtUs3m6DZiWMm6zFELpYAZg4QH6cB6nGXfhia
o2NTvc2L0wZ4eHUBDvXYLd2+7jq5eklF1T1pvYNcc5jdFIRxmIwt/o6Vd4oy/XNM7bHL+4WVklpN
3/pMsAo+zB60NGi3gxbD+4rrJeXu7FrYb/I6KKmX6FoTkL/UBiq8ZIZCpQ2gQFl4O2Dp8aEjHcOv
e6DjXbIVc4sNcxqh41drFUiWCpoYuXUc4whBOZTLIa7JOlkcmF+E0lD4bD+c79OuyFGH0cIga6sD
fHGp0AoxwokGanaLJoV6kpSYdXKvlLFGIig5bztZcg9naosViCX44BnQ7WA5uGOJypQlGBlbbE4a
OBgG0QTRlEx0rSmItkNByxOIN32rt/tVebJL3kmpbFve7UltwcAgtko31tI26DCgDmjWOnJxt4e4
mCONb/dqlod7nDw+aVPP2ymSlmrRvL2pn9UjwyBjgJWh5FIfzqjHqDyHAih+q1D1DkvGEU4wQ92/
vi5V8ySmqD84/cS099e/T7cXwmCPSTdri+CCKDIY7laDZYCjiDa4fe/26HZQNKKPuPWpjxxkHPog
j7PEWipfP+vwKulcyxdzVJMze4EKBAfIVGGaEZSVDrF3GDBpTYCEx21YSPlr4Y2CApNDJOF7LonJ
EMhS2Y22Q7Ryw0YIAEqw4eB2MOMtsUJBdXt7h91alV5OyQMSkCIkihRgLDVN/KTWP+YKy+J+zucJ
g8Wq9epWsE4Po8IFQK1N70W7kcAn78gb284z38w7qw+m3nn6b7Le/4/dgImT4r8j67lf8uRH1ZbJ
l9/pej9/60+6HtOpPxiyqdJ0LEOHD4d9wZ90PVUz/jDQ+uOTZ2FGR9TgX3Q9Q4OTZ5OeideUxAVJ
6L/sBrQ/MPizDaBIG3MqGxfI/4LdgPZ3lyUT0wILBh++LlIXuqEZWB7Uv6WIEQJe1Q0qtSsxwwiH
KsHSRYDoKOr5gGhl/FghajoNRmJ7TWJSqkCygC+S1IckHJ7GEJOKQuTvUVHdjazalBblNbFij5Yv
NbXyvhCOEoTG8pYoNhZEbT6eNlU3yv+P05aeXKakJzu9bfm/fRB/+ir8j3IoHqqk7Lv/9T/Nf3FR
2N4Y8WgUb9KAzq9ZG0vxtzdmlEudOfEwXiNq9MPkwBvpjffVaIlw66PyDkVD7JE0TEoHMevuMHT2
XYvq+lrHxvcek/+zM4/3lVXPF03dbEYGpacUGa1LS66AmNrhQSYE+MKdzo7qDNzd2mF+Ce3w24it
11HMcIvkoD7Lomox1epGEnfr8ZxgcXCwsHnuq3g6t2icsftBV1k20ylignrWhyk9Z303uLPs5GFZ
8FoH/g7PKMsfQgX1Ybf59YPGAdNLIz4TuVsqOEPhTf9krbV+LI2F6MwIusi/P6cW1+rvzhS3c2pJ
i0hMctzAtP7FYNJIZGxbiAKvqI576Olx4jsjU7mol9EzIXyIhtcluIXp6ImSHMo6feur6ZttRGjq
nUY7d3hrYigADIwf87Gv+oE5MVzoJsXooTWf2P2zR6RAO0609tFhjEJGsUnGQz8Cl1kTMMRYnqNZ
7CMDJyqSkKE6J2J6ZmiNj5BFRULhSsEHeeeQx9SVUitQ0M1Y7DSQUTxuOpU20c7vYWkwUR771GtU
YvpwDlCfdcm5dNYHO7aKlwUb91EWExPzOkaIXN0v4xBgNp25ybL20MPMxyyx12Ma98WL1l8bc2ju
dKZ1t93y12F0EvyRljT5Jxu9/3zzSkMXkqvc4h7GnvHv17hkwg9FL++umIVn0Yq5MIlNnDr4TG2M
FAXCUXIeGctdZgwgDlkb760Q+x4txqYUehgm49ehN+h3+3Kvxwr7q0fxLl7+4br5l8tGYpyi2lIn
SVVsh+2y+u1WNMUcGTUeV1ehKV2QZuaFFB1zb8abQHYh5+nf/zsIy3+/TLf/h8OLwECOqpkg97//
P+DsZUVAXF09kgnie0X93vQZoIKimXu1VY0rKcPUPfrqPDXcUDsBO9hyhursCNKYB0M8ykd9caKX
XhcFhYfOcia/olCgZEyUlwpchDjUsMbdgPoJE0J5qdaCok+T5NCI0PoHQ8LbWvWbI4zg7GmYmGmG
bljWtpv8/Q1JqROYTSTM1TT0N/rK+CxxHsLJRW1ZrqLGjawMdrE0x30Hu+xOZyU6tyuSzdRqHhOi
671R4Amq8kv6wmrY1erD7ZAZzncGNghIE27BRV0xZhZrdJ7Xsne7uPU1Zpt3I1JkHz7r5E8DxOaw
mYLGbguXxhAHAwXUQSSN4XetzK+4OjZIjVL5ySFjGg/+YCHfGlPpQdLo5Pbgoba6WfFTAHc+lsA2
9gnZzMQkd9Xewb9AxXtYlbXuKsSi9Z2Ir5ulCQMi2NZDkqh3th2qu3rJVpieeXcOq3KCytSX/2BB
aP7nC4mgRrZHMAgo9VjY//28C2ugdDZD6HoI+bCngoFuTh9ss32dSLU4xyNF20RGB/Sc5Vum2ul3
vVAJxK2mL00mVaY2hnUfKwRxZZNCuKgmw0cotDMpMzx3RNGoK8u3YciuRqafAI9S8uVtzF9gKN+j
3VgemhzqXGvmrETQUr8YaiihoD7iT2d6AAVQVMZV0ocuD2kNELhmK8IZw1FOUak+TdpGxtYaEOrV
RjTeiPKomKLxS2M2jgkRD4pSTsd5pWs1rDK/QuxE4dl+HrO5vgfWaF8M+aHVuvmT3Zk9llz/4C2G
JfB26f7t0tYZz+jSgmaEtS3poH8/xaAfiWjhh136AoeJRs3VM92dehYdgMguSlR0VpZ9vP3gdpjt
MFRcZXtOizK58X/9jhoyvsFs67dv/fYUUxKJQaYuv/jrr41dkSLPXGqkYdvfvf04hDP+58Ofz1wt
RXExXDA2tEpn2syrVKa2OAHc+L/94u0HP//l7QUiHQh9iJovP78HwYlX8OufL07GhxHKQZy6GID6
//aefj37z7+rfisiG73v7TX89Wb+5W39fE235/z8p0Nd3CMnUNsR0Gfzuau23789ITRaW/l55m8/
uR2W2+m/PTS4ZbPmGrPHH4Df/jdX57XkKhJt2y/KCLx5lfcq716I2qbxJCaxX38HVN/TJ84LIakk
lYQgyVxrzjGnLeX4izCDc6wb/sFmtd20105n6IOjaG4RugQ7NfsJIa6Yb8RT/0MlJ92N6nUU/T+d
pOvbpuaFsO9/tEEhdBjjF5WiPQNes4nS4VeZI5JN2g6lOXWg9TBQgNXK16B1b0mD6ZNFDm69ung3
YqarxDpfi1aDD6OHe7T1Zy745arVM/S2hdiaBo7DCLHPqlQ1DdaKaUIaGDfDQEs+Do+94HIewtaN
6WKq3mkp08Ux5upAgKSleu5ZyGWDmuRojQCpgmG07XiPGGPZWkv+Mjub1jTFzW0en1CUrhukN++s
yG5O/KdKultHuOo1NsWRn03tUqcmo8a4owobt2nSu1RPMAhjCx8hA4k9zAs8JL6H6tGUT5HZckFy
uh2n75eVfXk5rEZ7RMUToz2yiTvZV1ZUrhMrXcG79/lUZcKbeetS1FQo0/Ii08rZNnEEBsDSP6Zh
AnBqnlLTvYWIP85CaTmIhXGLPwgkLJ10YCHGhbzFiofTjzTQgMp0VG6z4U9il8+GVbcgC4ynJKyv
fgU0k37m0xRa7OCm3JP0Fu3p4QBVecGrEGwIt1xL8p2KtvtN0uKmBoi4V3qGUpwe5N20vlJVYk0s
TWTNQKgjcyBfol4Pwin2tAX0s0R7bOiINcYYv8xBVDD2I8c5ccU+p62g2BVlpCHg97Wx7q46l18v
GX7HVfaElU9cDY9RUlKfLd1hF+pCO44uXmcxcIAVHq25QF3yVoKd7+zjEGGhtuh61qE66AkpGk1U
XSp73DtjFxxbOueM6gV7GlE4bYXEQDxBqs7UJsxucobi1H3V8VmvJrwfK8RheTZQnjOadutOkkgE
UwPq1hnHGsAMthsBqcAY/nH79JQNb5ad/HFku6NG0VG0g1pBpeni2e4JTwqtg77ydlXfYnPqfplu
dKH0nq0FTBKu8yBW9EuBOx6HopeUoCItqN96PxoryL6B0M8qs0m4iKp7X1pok1uUyE33UFdOvVGs
9CZNEnlb4hyWjkMUeHkTNtwO7EXdKm4oWruhv+to6J78QN92SfFiduUetH24aWRZ4z61MNLHhMWN
A74aZTG0JlP2ZyJokCaD6nEHracSxEZJiB2z7u7W5goCT68RF062U00ihjY6ZLlq9Q5+HwKiiECe
1AtPPQrlInF/AUy7M2BldEvSt5HwWVZ25XgoDPM0Eny2RRt4wutir8FjcJI64SMyWVzX+KCi4DvH
Wb8xmWzsQvSSrNbp0o+ogpxwvHUvbpLdzR5TAwMi0kywQBOJByQZY+W2h+TWNpaBh9WqV4ndvFSo
s3f6pIOSpUQ5zEjLAePoxPxy5fjylcnWLkn8194JEyKKJGD7Jj8qo/rkGKJFjlzrYFJHpSiHALvq
6fNOlf0pPPYfqPZ0W5apsbPmDIUc/f1qSC9gBuotxh99hRyNwBifMFcH7tKs8lobokJB73t/e/gd
az5hARTQPbMc+mXD7ZTzno5tZ9paHszY2GT0c0Li66w9SzEkdRMGXWsiNCG5DujV113oagyQ2SZB
ZrLRxtE6kzybUEq3N1NiJY+4cbedMTYPDXYiYKTHFlE8P4BZ7x2nhK+Ho4QUWt/fTeCfBgUBpVXp
FxgccB4GpgAnpTPxHiHhIRFpxj3NcbBDWm/8Vt1G+0FWwjgOQYPSunQaHKmDvomcRwVmZ2tCc0Mh
DnhgLNuV79Oa1rDcEuhj7i0K8W5ViXN3JwjNOOflmm6J/Rwjjg8ZD/Hy0CCwgpyeZp0/IwdmBqos
pB1GdAiyoNjr9heK4IvR0pAH0fFiGx4BkfzCEyx3bwaWjYGfbhqScYzKhXGjaC8YUh92nfnNCdbt
szZ+TRk41yPomlVqVPuIWfWUUrAte0vfDGm4z/ELDAQjbsa6pXOTcLd2y7cq1Z5W8P0+C3rSFJDR
XfqJjlTF+air4RYxdJb5tG9RKOxcF027tAAM5LYHNyCjgYbEfmXFYj9QQV7B4B8poXjFVovh2Js6
M2jTfNYFaY4xhvBVaYhoM0r10gpTzDq6agMHxd35yicXEG4xhYkHNxmek26a436vWhf8xWL+V2+b
CIHVcLCnKV/r+vABWQbJVUS7LrYQaJF9aGOCbK8VQqqN1bczQABdmV28OzWqpYmDfNWRsuPUc3qn
XR0JMWvQgzDAUP+0fiN9OwBt1j8MW3TYGK3+3IW+uCGf1tbLM5bNcjed5rhaJxrOAbrc7fKy+fU6
O+a3h+cRX+UknhT9gEOJqngfpiHBJEr7Z3mPph+viEba94rr6Q6SoYGOyIXRJ7JiPc3vUXiP8N8w
jCdpvJG2Ht2IbG8uWWsi8/Jr8dnlNAnmj+1OOTYGruGPhhgk7ogs3xOMIM8JSB1sSdk3/a76j0Hg
nRM36kNYaD+RFUiw/mSVCi0aNvDZ8y8BUHh5Krs+W7VpSHkk6kZWbz2qt2mqHyERequfd+toKTbZ
b8MFl4UZSbvDp1UnL8J2pFNqeQ1K/8Oe/y8i+msHnvmDwJOGyIQwuvStsq9hyiWjtPzxawqzba87
1Z/Bpcszgtd8ZspzHlg1b8eg8w9dp+uPWhuQAjw/TbPeTau0fo0NQjUTKOed0Ab9ZDeq2gHQid9c
w3tbnonj/5bkkfHeht6wjQkoOueiCW9ztBZyT93vxFeBkUJWOLm8MK5XmmMmz9Aaxd4YUfG6yhGP
VmXo6NH5LhYAo1orml+4YLCbTF50b13pnxyUNLuOVh0reO9l2UF6Vj1wuareM5veGedBf67Sqr7Z
bp+QBmbU33LOyJrfFVoRNkIp7acS2M/BmdnLRRtXTxl+g5/d7TPbhU0UfAvQfcgChQWZzUnPQmRi
W3nSfgv86Hl5t7ANnxD2UjaoNG9bl7Y85xx3t9rMqeQ7rfWtMv/fHenRbyimonvSg6lBFBGVB71X
2hOcme7nH/ckhpWt56/akPewG9rKrT6CBtMIY8QNQeidlsvfvfUupsz47oJI21Rdrc0R9OpmUB38
eUIhzrVpZb+SGNSMgGFz6aC53UY+4zoYzeI31p+s7qGMOVjPLKuX19HqTUgEerRZ/kWOr4wDTnOQ
wmYeFMjAcZtr35KPDL/U/eWhz10+St1SXVWuf/XA/V5xJ5HpRCgJ9hczuwTdYXkWUz57rfhfNwnU
jqQtnqD5ifc9iqfl8zgBcIlihFGbZpa6+I1tbuAcNN8dEsOfDxQhQ5HSD25jqScXrXJ9QGy29+Xy
Yy3PoA5B8iuApTuDp32ORiPZKjmqL4iPP9/anhE3LDr1e8Zy+gx5ptxGjHifOAJ/vjaiQIgOZhE9
hJ6dn/N5aJoX959OLHkq+35S/DyGHzQPaWh6J6yBxna0suiTWKPd8l0Cco0B5TiHOBExa4NqOnUx
wRAcTBhpoRMu76OEra8q10kf7bFGusU1d+c4IvnoQrwU828UDZQSkJEPj40hQhqNExpIJODvTA+I
CeEZaUhAScwp8ThVpXU0sLLDxnbWreHKN4k0zh6m4Tv2Uh9lzBif8aEYTxix0cumwzcnj0Y9wAnu
XsRsX4soabjzCwjIuFCXtF8zA0CqBsBpF0SI0fXmvLzQsBOsTNQ1TlzPIZtoUbNzvOJ1+WMpvYgC
auncetvDZYj65Oddk3R66nutfUlq8mXIM7G2eL/Hb1DdBmPht6Jxt8PdSuBDplWvBgW+5eNrDmG8
lLVMAraD4a5nsb1aPias0S9lu+lz25jmKZakDi2Pg5NlEan6z3KUzE5Qeh36wTbeJtc6LB8RzxNm
w3DUL4mKzQdCd9TPOzp482Zlh/cYJ45x7kbG6uUtMfdtDOAcH96gdFAq9bTXfCf90GJrs7wlir9x
42HbI8+vDh7ViDfJd1ikCa/xH8pCV2QvVPpD2cTmBQyMIBeP7z6U0ZEyz/QmC5v1mU4YDnDZ6bPU
mNq34/RAm6NdORZm7qGsDQhEVv7cIon6+VQIp5BDyP6uoR4hbZS+wPKHhlzmNHSL125yyqPyU9a4
Q5t+I8pZPm2LzWxbNbF9jDIJbwAE7CU25NPP3mnaYl2HZcNYHrg30l7paM+HRa23rz2F0WdX77PT
gOv55wfMxNngQv/lhVW7M82CQ2aQzqtXxyxP+ZJCFzpKTQ6xNiTrZjns6JpbX0ay14zo99Bx6Q71
FA2IZQDRYUpA0rG7ItcRFS7AhWOdOF80ThHbmHZ1lWTPrvSCuDfHku61TB0bpiqG26rruKq2TxC4
JbniCIV7MAfopvR9r83ZRz4hDcz8vHuipqcRrtlVYrrXvNLfF6xgucT8csZUYPq1pq3ZO/TVG3JD
kZiMG9ovX65X0p7RY+zKvSdfpecfY9RGK9IKTEhHHhZT1oBIRd2ra7KqDq2WVnxM420yumeRWV+U
MQ5Z4tlvrUH2oGF03aF1lLGLXM7Rxi6RpyKJO0HNrM5B5ZY/mxAtBgxcP51/tOKEUAxtwnJzmHWo
LcraeqiivRcH+em/x//v85YnLxtzFuP/3G2tiBCs6by8bHmD5fGpq/kfy83/HmQY99fSta1ViwuD
tRP6z1PaIYWw0Bd1AkDu5DUjSNJYYvEQ2bZLi7fCxXAfx6yAIqGmvfTUWxx9IMT3mRDn2aZ2EEDg
SihP1bxJW425btkx5ydA56TjQaTnHbNzNdIKvQnbIbuIQNlvV2njUfi6Osk6U6sJfOy2a8mepfOY
kNx5dy3cHMsTulksliJCJyKezXIrPWsUpw4m5LgUCIHdRM1JaX+lEHyhaBY/L5sRxfNk+9GKboyx
wzmNgjgft3HVfcRNKM/QalERoZJwMc5YdnXPXfPihnWzX3YPZ1kDiQETnUxrjMNoH1dJ1b0uX47q
KPJu+BxaOZcc5XQCQpQq3lWwUtlBwn3VO+DYYNNetCQa1k3KC1BJsK90TZvWidIvsS7Fbnls+WvR
MEV3TPSdQM836MLXkYsVqSjcDROFEOnKevlgEUKzjZw9rRLq7ZzOKEJ+tD3TsZcGZ+7KbMRDlAfd
VhrENGFeyuc4ElLhAFAiy/E8VDrlaDYnGXLhBSoCXA5KxQnCXLqheoWcYT4+ft7drpEWL/fzGXCe
DHaLqk4dQVAfGlqGh0lvi23IUEWLRctYLLftxrEpOSRxhnJ1csWamO1m3an6sbWKdq9FNFKTNhv2
RuNeHDEi+YpTN1jRhaYhUvpiN9X9W2zFO1dW3kGGvn9isWjBFj9FGsoSLImogbqBImQXO2vbG8gL
mZUy5Sy+0BNj3OqR6aDcD373TfMncYN87bV1SnvNvFnk8u5r6dyzCYW9MfRvi2J8UYY3oipOy62a
zhklftEXOxVhPob4NwGHNN+m2HeuQYb4t3UfhKyi82QAkIf5BkqOl16bvuvWYNGsXV0J1ulYrreJ
G6NRwpYN4JoAgdYhBSYwYMN16bi39c7fAjpvbyKekiP6lDdlt9NZJWZ2LhqrfJrGKt3EEMOvtiPN
XWIKQsXayIZq5bu7AHrbqcNNewoGtfKhRK7iIWBpzKVh7Y+CgF1TFnevhT5cUSDGzkciYhWvtPEl
tPrgISWbB5RohtobXeITgbLAZKRZnuqWmm0aJfFJH+lwJHY1rbJe1w+L/yKyfAjHpQswDmnUjwOk
rWS2b8z0nMwaq2WDovPBbzSd5axx8eYBLEoY7v7bkN9brHuJXE5zxW84ga+a76k1EzASSmX75kRQ
U9OBZgMFERdT9kkTnPJu92V7qb4bB+MhmuVfbmOzBPeSQ2Sy0NlWzPw5rzv0VBHOj87Q631vyks+
68v+20gHjcCE0QJuvvwVRLkP8HpETOV4P5+/n+VRQwdzsS276EdRv8jqKTmh93HffNkNx4YT9KRU
co+LjNgjY1Cn5SHiW/+91SGco6tgv02zySEbBjSvoc5pCNW+OZHuJbaaO3yEKT1xqjUPuR5rnIlh
ucnaAK1X1szgnOU4dzGhMhoKf+wW74EKJ+3Ye+l4tvPhkuJBhecWMDmadfv4qtqfzXJXQ8MCjW/+
i0b53JG9PPbzN1k2uSls+KvFXOyKghNJuwHkAfjtOQSlla5FJmBbeZOd9rL4JKKAj7BsPHw9P7eC
/7nFm5nEI9PLTxOFeG2WXy23rCH433eXP2ilCwLBKQ//2QDM2RWQYvMJLSPByomQbNnkFeNYMAvJ
/nvMS4HqJBGZxKJCLxeA+2YSTrhN5LkIgU3ntQ2diRaoOZLizkvTWaQWmZNc23kF/d7CUzZhTFsC
T0kByQCKg/vb0HWjNOoxthuI3UpUXyU5cb18s7qJQo2lPQYK80NOXua515GsqpHxIpx7sEIhZc3q
uVHKFXHZOMzW4UHE+c8uaWfpn76Ys+ejYvk6ac05FLBc18ShMD1SyeP0W2vt5Gx34aYa9f7QzuPU
Mmy1nJ2oxHH4elrwQHmthSliZtsw6oeTbVnDCaFLQDegL4gMRPCWJHl4TDFFsURi0M5dTjVyzvN/
7/sgw8OgzY5GnxQbQjmitZWb6Br98tTWxTYzA67Fs6NFtQZG2swNi10UtBD7Ud4tRpRlOFhu/Z/H
QocD0VcVHVeOi1ZhlS5RG1yTKU+2WQSOb06kvtAr9PHr4xYAZO4BJg+HvZtriu4uizFDwkMu0mqn
DYl3Hxz4xyxzv+nBQNDwLZvCtJr4NdCQ95WAVYxDtB1A6kx1yONmeHDcKb2YqHhOQdXsYsybX1CQ
rzEtVoKE6uHsdTBS0+fI9oenopn8W4HGQJqiw4pFQ9CM6C1ZtMTh1OjNfozD8U7SBzAaBTEn8BzA
Xcigqm1j9LRpsg4PJDICTAtyn6dO9EDuYI5A3CAXJiJbdVsm83LFtW8oXvpHgwrvFme9htCx7x9B
yrGMwlKNxHPcGYBAH/K6oErsmA8B3Me14dO6qWM0phRfPgDQIOSt5tE6GYw15l2yW9GJwRIxwYAa
WXpxy3CiO4P5sMtD/yXrkj+1FpTX5R61eKaAEkNThu9s3fi29T4UECGFq3+1lnDAp+qoL4w8fodE
sV0ed8uOLgIwjKNjpvVbndd7KRP7ye/lJ9xtAwaPSU2pUs7BGBHAGJP9UuJgeLfo8x9LvJEYx4rm
XeqTvRnCgqbQ/Fcv1UAwZDhAS7xdTR6Cb8v0SBw1ybXZxUj/jmX8xHTe/1VZOr+HOW0hfqR7TVMR
pZxdnPcQvm6pkzT3ZWOSkY54YgAoVIGTYLKofytRIx7I7Rc81S0LAyYejZ2NDy3tdtYebxVo+TdC
tmNyY9IrjZQWDnZkPACKJAg1njB5xoM8kDzDqYN/+9Sk1vgYZbVYGzY27HEa4W+MnWJXN1ios2Rc
dYmGzK2cgpM7MQJl7Vgftcg2DgQT/CWTXoMXWpZvfpfS24gbim0gYDfA8MKt51ndjnmDWmlcK391
4bOfdoewNLW3wYtPzZACnifj/cU1huxYDF29RsFFPZlw6EbYfAh8CIkOYgyo24Tsb1BXRMw4tFEI
r+DBcSn0VfNYV/gEB10Gf8Gz57Oc1WUG2bTHvq7Kt5oGB3rr7G5NCaIv/J6OX+CYNYwXSM7qxYkZ
GvD6xqNKjvXQNveCb+G4Y35QpiqIfedMjx3PPMf4u0daXSOv4VfjUlcQz5a1V9OoAeZwT3cR7Qmt
onPj4s03QxwcwRTdD2LIrHd3yKB9y/xX71NnC7okvHXZ8FmBc77QFqX2bZuEA3q2QbAyG0gDFzuh
jp5rFmwtVn1ro+Ig85NMPaB9WrdIK7BF1P0mDpzxkeyX8thFdNsCM90EErFIMdLQNgLmnkFXmB8G
xcpVNGhrt9SjXx5slTlBhb52+4nuytkMTWOfAj+UL75P2QKv+Vc4lxIoVZYXGkTt2s3hoJWpTfZE
PY6/vczZelM0ffp+hyIqi/JN6JntptSIcxPWqJ5VDngRx1T8ewjjjVe6zl+RVEO6Ex3IHqZn3kmW
BACZFLgQQIa73IvyE1r9BWvBumh41/3QfK1sLaaByIXAiDTj1YaA/HN3+SsdTpqkNlNFSTzgszMw
OA+j9WGZzbSvQKzs8JVYH1U9fHQ14TEQaP9pbG26dRFs9c7P7iNigLOX+ExwLSrANsipO1XLfO3U
Ib3SeKRuQnlXc377Oe17JB7RixXQCKBLMh5CzXOfJl2b2zCyWlnm1L9AMLdD6x9Ndb8kzeT3ohi7
DeKd/J6FsyLeL8QKPD99HFBiHyDZd2gTk1crJlEjlcQpDan3bZDUWXlG9bd3JK2ZAHvKJA8UfwDQ
NalLcqTNsCwzSqR2GqzSMWxOo+s4L8HUh7Co4RYKdwLV4wqQbkPX3+OMiIs4nI4WGOWrNblQu5Py
rWRkzxPrtXOc/jnnnC9MS91jEcJ8Hz39yEGEK8P25LbW0hyoRKtOo+XY57JTz7LKXvSKPLHEnL4y
Q0ZArgzWNdhenhrR6BvSeEkxmcrundd8pLUFEbPixKhpFa8rHAvrkSDCDZESLNEg8L1PcoBQ1Kwx
qjgfJh3+vDgOFYhDs2r2WRhpu8oKWgqm0cGklHSgzERkhdMTv94RPMD1lSwYaLbbyKAuYwZZc6cr
zIKxA21mpYHaysJwn+vR8kFCFM4pSyH/WHDKTyqFokj1aNqbmX1NUi36jEI4K1MmfkW6oEeXDKxd
w1FsRkbk383wx8LGgt/cBNEiLLku6k6/NUn7NpCtsvJkbl+Stvmqa/KRsrDEvzPXNx2vtr+9T4yS
4b4BqvTS6+QX+irX4S9A0WY0zZj5FubrNLnfSalvRCTVygHfup0CIyQNAytFkyTJvpkozHmyUsfO
NmEXETh/DJWX7WmLcBHTQsIOB0VdIZbunu6XvFqtDzHTEtcEkfaWfnH5VNZmvcNNaKz//QWVkW2w
3JDi3AyQ2FOos3GyQ42M27SPMuj5817RzOcqjc2jlmbluQzo4+o6JL7OHp6iaRA3XeEene/ZDkBQ
rikwQAuFBIQ8zxXNrQ1pNOafdJJ/alu3djm//jYEMcwywv3ukcRCe2YqtsaYUt2UopFRVdNrMyC8
0L3Y+vS71yJKxovTeyOCykZcTc3KiaRoZimRdsZO8/83tdy7ov1LJ+OhTwKEhcJkahFPw1nI8ZJF
evIai9E9C+Rzq6hI/Dv8Bf/OWTki/taxSaLZ+jvYGWyEiNgY2lTJM1Syum68U41n+kQszHNjhhyF
TUOF1DGmmyzSa2HjrWiw4KynQEU7olynnRFVYA/mxXSTt+ocZMaxJz7sOdMFApg4fmhxzUFCAhPK
EOVK75b1LKvK+RuifxJ4xphgVf026V9JTmuvFC+8W6PcnHVFZ7/VUbTP/XFaDQHxxDSNy81UAY6K
C16r7MqHlZG/plr/HrOoejMGyLZEzW2HoCo/587jdxxVBYSo3tmOzcgMLaeBwLfJrlaJwZ2QWP8k
+lHt7bL4TYX3rrLYeIR6SL4T5bFN2YDhaD0IenaPy1c5zYls9ubN0ailh3lEJhinCTZf8HdxNTym
o/1LK3NnXsL3j0js87PF1B5+2YzykA2ZSxR4UzN4DXH2ctHOot/BPKMUw8FBALuVMZhOgo3Nyl3V
Xdf98riw4MmMttSLMuRBOpzbbu7fB2JDtEr7KgJSzRoZc6mDvmJPEiQY498uKtLkYjfms+XSZXFi
Md0NASW4R4R9IEcxILJ7zr7mlMh7mkBtnf9DjYaumu7mwFiYLRlO/FR5ZQyDPJEH2+v6dWEyYE+O
nZ2tmQ+Jnc09Ci2Th8YjdTboW+Rik+inVWwM5sGKrE3pyuwdICMlFur1hSLthGKu/0vjYqFFYf5c
usm9dhttY3WOf48NU+1JAOvOo4xDzMKhs9dBYd2Nll6W033msgpp3uakD7v6vvEV17A4/LBDl5w7
J0D1LTZSL5trnJjbTMNxAjajKx4M6CVQAFP6TzpLIb42H8p8DdVEJmQRPpaEHmz56NmWApb+hLdM
e+IErgHwKTqjlsXCz6ovi1Qc/1q9FXGTAmbuAHv4UYCDTSNhwsRwRwBwfTYrVZ/LmKu8rMdjiACf
QDCS5HXfgLxWZJCe+Mu59ob6zFr5hlPtOAaqfx3q7FqlrXlkblJsCKynzJdE5plpFle35jNSOESH
1q7OWiquWWSkNy8leU1gQ75S+YK3lWnRJc2yvZWr5qxDv9K1XDwE4aQDS+BUxl3vvNcpPcqifVPh
Ls7i/KY8M7uJatKPWGAflofyVEdOmxtro8zGW2mkL6SjuC8dICzkpf57F9fOY1y9d8MeK2v5lMSS
ArBDXk43yGZbWunWk9RJXGC+keSEKScMpDUYd8FUJ7f3Bu2KL9Oh45tI+wu/WfWUzL7hJs+dXzMA
z5Rh+JyORDabChtNGH8lbQesgwihmWcwvCt0SUkB1T7PrewohNU8pzYHLO2PgwfaiSBjO6T0l5sV
apfimb1BUYq40zNKmFU4/lLtvNw1v8hhDlFqBMEBOMlwikm2GDvmObIm54O5TP2tkBV3GkRhm9gN
IB3DhPGDPZEA1nzHeEJyM3oKGkzu8M6cBSElML6WVBgD6vYja4hi0xeAPx3p1AebAsZcOwivyyYe
wHnYBbFZfqjWtaXcl2WTUtodjZqUx3x47zHi7qokTPazZz4MgfNpvdBOQdRm1ybgcmwVKGB0+NOA
/CLtlAbkEeU5BGcqVQ/KDD6ELTD7NR1TK4aCpGX56rVediOYbmS4S1pwr5YDNbuZHcPUwASyrS7b
k34M44C2z4uaaNT4rAS6Sqy4Sum3oBQQb4TFWj3OAYSlEgaY+5CESLcVCxo/FeMpbhuSXMq6PBsi
ZaESamjIe8s8KkR7hdL169iwzIQyXDE3Eckeka3NMcm6beizx9ax1DXp/EvoDKDUWonILKfhLBC1
uC7abFVW+Umj8E086z5NO/NkwV+5uh49KoqY/pPXqLWfhV+N6fpvrXTLU8Z0BI2oDN6mwS52byzy
C9wtWXFHYLIlrqa/RHtdI5QljKr01Y7iTadr/bUy5m5g3uiwXi33CIfwQ68j/Y6O5Yzhjoi51img
r+kn8gcSGjJVuI3HoaRYkcS/hvGkkn3vGcFL1Y/9izGlLEPSP/Sx1FXYYfPICjinvwcodQgE5YVc
Ssw+SXV1exqvWtObaLOIUcKo4QIacWOCY8Z6xeBBqqHyayYYbJwmpThmDmecQfnFTgFMMAfSgQUN
lM8kYW5ur9kvkVL3sLDyb9/wTMRfCFLq8LkkeXLdtan8LMqQBo5r/zVps5McRaKYaTOLt/19VXjJ
KbelfqVMpV1zWi1X5Hh4L2txUQVhapSlPl1yG7aViuKzDIN3RU34QAePch/Ld2rOD3GNjaky85dA
Ge2jCYqe8He69MxDc63WvluI76tM0DNudQ1xG13To+25lIyq3HzTPBOj6Cgo/6c0rw0HuQBQiOy5
z3VK9V7zJ56yV7dEpgPZemL52pQ7mtpgg3s6yUZAnlznPedueY1IsKVoZZ8GsNYQesdDbDPSrSh6
MHvTQnNnUNW5Dx0cv0Y1704jrfvyENBYbwt8rzzYpaRmyFUzi7Vgy2U1Xauyp6qJzPIyGvZvi5LW
mpCO97yahlMA7P4htsKBELcy3PlYAOnctIiI6CYntofuf9CyN1Z8N6xKIDbjNj3QjyEUHuElmUWG
SeUjdC6JUd1dJBDKg5rWY9d6UtQzcDSKV3eOOmkg52FNA3gpTHi/bXxG4Fw+OTYn0xx5YgjLprSV
0RQZKU4WFFUP3kwaxNtIBlAmX40p4+SboHHjTNlaFvzxzNNfnTiuDmGIgb7XJVoGSDx0xRAj1nGw
lXOsODTCfzcgBP0TnJicBNSi/M6B5p+XjYD5Bhuo7Ci5EFmKHJsygqyeEfvrj24r04MW4/suw8zJ
wWLGFQIIGIPT4FmPY0LvoFaPybyZqYnCQoHkArhXdFU3un6Oei391AukjeOod1tnnPSTYrZCqdtM
UHECc1cOibZmnpDeabX6NvMqe10PpXGPYSWtcfupQycoG4696PfNOEDepJKKgafwTgVYqp0eV8+t
43oY/UePiKco2TTJVMG/lvlqSht5iQWZd03yYs3jbggufd/lff2CNISFfAPGQqjmT+4gM7HGaNqU
/VCeiI5IWGE1+QGV+skvZxVM8d0EeXgdQXMgBh3bex9zYgbaq9m1hEalSK/SyhBHoYdP4yTc2yBb
52VUnO8xRrGfdXUXjdOajjQ1ajRwqv7yq276HBzWoHZgJrvlLgIRsj8nNOKUCFaaLKKTMejWvTRH
sjj1yVoXdvlhNsp86Ps/fa+3D1MTYmWQqIFaSrBX1pK7FNs2dqoRkGPmVxsPdYlNjup7Yg3dLu01
7WjE7QMnGp18Q+uIl0Mv6tSBu9fnQzWSpGnhiTj1XQWXqZsb2DNAalg2w42qT3VStFYlhngXwnPQ
npzU0G4wGtUGGsZbDspwjdDY/HTA5uST6TwCH/UQSR2lNJ0/1v9j7zyWI0e2NP0usx5cgxZjNpvQ
QQbJoE7GBkYySWjhUA7g6edzZHVX3azue633s6gsimAEhMP9+PlVFMEr7tPxQXriRHUQHHBug25b
ZekzcGBwmyg6uW81V05Dbe3j9PdAPitMbXp6mRWTrAiYipTfC1O4kFbd78tpBOM3y5+JiNjyJO0t
Xu/2inExHA0aKlcezguWbQYP8KbTtZHF9mH5FrLXsPGQ5p6JuD2NdQlnbWisdebzrFiafgObudrS
KXXXeKLpN5U+4DwsTWb0lCXRsKL2cezfMH5MHkyvbR+xndtrkflWurr+nLhcikgr//hq+Zk2YLJC
ZO3e6zTok4iuHq08uKGNMrzNEy2uehogNhmNcgvBMjCqmDIMOEiIUXsgxGi60Bh9tGRDZI7A1XjI
MwQALoTlnrT0O6c1EzyAZ4tAi8F5tn0VTqS8ZDglgLEkrd77zn/GNf0+4VHfx85Mf1Hvzv2M/ASY
hW17F7rz2olH/0OpZM3Ug6EdY0qc63CedPxej3Tjwie7hTtt4uvvxfl4a+mIzeKkVcqBKj8issXO
QjfCq2yXEz92SvOh3PhdH753pPd5fe3+GFIHt8vO/Sk9Or9Gn8N8MSFgiVzXHmgh4+M9l9kbxMXX
CHDyupx5C8lu/Oh20BOqQIvumT+h22NdCAE1cehRAhXkYowfl3+0qVLJYoF3ZcqC+DIvmEmF85LT
8k/SA3CI2HpfOrgxPEtDi3By7PsvkynyKKJzx+x1yLSxP6T0X8HTB38busDMFolTFUgb9GoDFWQi
MNWcjWIPEwu1VVgA6g4dIdkQd9jg2TS2O6/b66lG/8nWnL0L9nVwaPuuswYYT8QBWyCQyYP/gQYt
uO9ocKlkKVwjKq/dMqVhwubQUMZ7xVHtYWFLc7VoWP9/PNK/iUcy0eojD/7v85Fu3pspfy9//tVw
4Y8/+sNxwXP+oSPW1F1Xt3X0xrr7n44LXvAPG26XFTiOjizYxOygrNjw/N//ZQX/8EzLMDyfWs9F
iohOsa365VfeP3AYtgzPdTzb0z28GP4HhgvGbxp6Ph8+pK77Oobs9OTt3zTbpd6nTRGz9NVzLzf9
gPttb6umr64c2xFqjGZGKkrorIXy7htGGdLcZCfvC3Zpk/szgCZvkzC8Qtn3b/SYxm9qTHVwHp4S
umNymj67nX9WY8JEjjttdqcDyltsMm1bdbjKtdPJu4l24soumpfJJve4wF+o8OJV7Vrtr6H/Of6f
6Ks6/9J+/tW5Qd2Fv0pC1UH4AXfDRphuG+bvLgOd0+qDYM7D2FAkeyhY+krUEivlmovihU+1A5oc
ERXXuF8faVXicjNYbNFe9YxDzEPkJYHB9N8yX5Jeg0AJzrSeX/LuQiBkuA5ajhnEN/83cnzTcf5+
6IarmwHdZd/kPALzn69f3+NkO0xedwAJ2oRBj74mr7emZR3yMCI9coQx6BcJ8u1U30R642wQuQ7u
/JbonGWn5Wc5SkQj6lrPGUIuWEi4mXdUYqZ9oGuCkagsntmLPYGCNldQhOY19GQuknVIi+7aI3xw
zY7jvgsGidIB37xRZJh39QIZkUkfVPjJAT0IArWD4TX2qhh7c6tbQIVThaF1nWek/NUPpq0Mnm2y
MN0Z0/04ldvJ09hHRjSVdQJJKYJ8+ilj0mxDHZOEIIQrZAwYHPomGjmEAniHl0e7rx+jCNurMaq3
JEizOBQud6ZscS93/DXcoUPWcPI5xla0l+uLR3egGx382odin2IuQqvSobsXSPx2YoF+S11J9eqG
mthNz5jUsiuY+2SfahENrRoqeWuHE8VFdF0rLFHTg03cusiG8h8RnLlDTGt0nSMkWxFk9A1gRvJA
MRQr2p3x3gz7SyTtH5U/Y0yhBnho4lGUJ8g3tMDCQ5zOjUwwMS+ya8+tP3HbzjYWPkzAQzQRY+eO
P8cWGE4Q20oh6V1Na1TWKhSrngncfrF7UgMSTzuEgTKkq+ADpihb27k+E4sb4H8IvcNP3T1mFPkK
IWW6bmFXwwjw8Z5HpyPaad/JWl8FEiFoTWwhpMBihcXfl+uxkeygB65s30CoBDVgeUpJLvzW6Pi3
Ph/C4wB//UnYxHr6nnxtkZ47GEvX2FnRxrg0cPUsYXnrsAieestQyyJ5Jp7dEgiLKCTSD2gFeCab
6FoO7g7keFyNVvo6Otll+Q3dy2I9SImBqv04Ce550BfrnqQGOIqzuc18oirioUHfqjUrstafbfb3
mym1XzSoCoI0UgIlhkNml9XGz8p1J7h2Xs1jDfL0DbfgNKb5s0mUq6s5cBj7irgCPyA7EeOTDNHn
bAKvet1drnJFcIZjY5NoMTQzcRsigFqXOA9IBCybzo5gIRA9jWf0uJKVwbQMj3c5gyjBG6Qqp0db
jpiqBIzUtAE+1YfknKn7Pg/2tyRjxm7kyUrlk5wLJJlUHjLi1hGdQPWHoqxmWmq0NnugDo1RJI5a
7B1LiV9b6GKyZQHE+1Z9bsVoYuTgbwInvAHa4AqTHr+xM7HtKzUwBhIVghn8zYP4Q8FSAcDI+S0d
8P42dbNcj/FwR2vfB3/k9dEWkrjYm55T70KBqCLQpjvkRC+pYzhUYtaHaVClClxmdnj4PDcNqZGD
/Ir6BlPZXLOOqZQv5eS0tIscCLqway0dGm0aQu6CJ4/JWUBiS5kUz11B6Zfk/GFRTrSicYSm+8Qt
9VXEiZrGK91paXBi86izsVp3Es0TmzzUzAwlbrMXR3K1TH4CxtlaC827SHuxdf+zd2yeQBuLHkEi
X4MOoct3SJZfeoOZzYfAuFruTd0zPqogv0yzHqKo31dWuhetifE0knB6iUS+QxaCseWC+Bm1gakB
oTIFSwRJZOaWxOhVP5ETlo48zund4MkODi3Lr53xaC93pO+YmCVCUeCxL9oID83IHDFhsuZDvlC0
C/ge9BDqfp1HnF0ZziSF4sc65rx7LLN9gcgbU3RFzUm/q3oZpi7juOOi1FVhr7yGYJ/nWcY/bUJp
iEq/GBaRKssHUaXwRMO56i1zKxjse8rtl9YXd1bK8rIME9YGE8e86GE2sb6HSIetM3RbI3hPZXwF
ivBjGSKzZDbL9ei7rfx1QfDtKpkjoi4GyOTJQyw5QlK0LkHeoCs0sm9TZwGqFeLDpnFcGSbMlsHI
7xwHP94hcbYtpMLVqFYvyyUmgryPKrgLkXyubQx5YTFvArVWaMW06QzzM7J0FHEJucpq7FthwURg
5+hEKy4oent+SZN7hZqpzQ0g55E4ATUww4nFO4myb5JgdGDVkqQW9mvV3H50Kuc6IDlYDP3jMoqs
gGnFjuZ3K87umsYH42CV0E1up1ADvM3QUNtzQZMKW/1exBlcRah7/cyAbRjbTcpMRjvjYuZBvh6j
bNcM7lvJrQtMJhWyAdWcM9Ntdg2oruVVKWhFL7+rC2iFkfgsY6JRhFJ4GhgsXkmx9YsFksZCNuCa
ap16o0HUmBm9uOqTp4r4tD67K6zyUrOsosOZVukQgkBwV5xCq5E/kG1B1CXZtSQdMMnzvAeD2HU5
+a9RxLqTinRjAH4ZNJ3oMqU/7ZDXoIIDf9WVAy95eD1uVsLh286MThVLHyKsTYMfyVofkVwlgUde
DLO3YTPZAcZ9pYh5Woe7CGSfgipaBIE4zwNnvxn84rLUAdrIuB91lknuCXtsk/m+vJ2iipgHWrkb
i661YFFJM4sHvs2+s7p/q23vjJ5q7VTdaapIOFBmrXOafZfjk0kA6HoU4UUbGVyTV6vS+TRUY7Vl
qWUZdPdFNIYwZ5nIzLk4lkRixVQtG3XNLJ3EwqQ5LCei1bSJkN3nGqsQ2238PBr/Ey5aEvTrPx4L
rmlimnto8QMaeS7urxLEoPU2iAKDBuYxHI0otbAdQMoUbAHyaivc05bcxTGPeSTF49DNL4F7NfJA
Z5F9aynTodorVzbSKRQz5MQMgTjYuKVB3/c3TcNA6kM2syBkoZPdNBaCPO0nmxLslhF18ssu25PZ
fo1Ok2fQHl8j8rVh63A4RsxNymquTlPVlyBithMWf4gRBQE+KyvG2kddi7bX0WYXIZMP1Pq15kkc
oqmvLMw+Nil5yiMO7MsjayIkjqBirzsV+aJFvJntTT8jn1xtQjaCVcdWZE0hhnKPMPKA2KRVhr42
mwXZ0aEqdekaIBzAP22EFoIEUubfi0TGCRg/VUKAhhZ8s9/YOXUQE6MEDliadOUOqHWIvfCiezQX
yGT0hlBoVcePdrsruvyp1oDgrYmTLKvogJDh2JrMypqDkXqmVzvVxQ0KricuOtwzqJMKocLOjf6q
WTBgyrb4bPv+wRSoBkXCY26BbNWp80pPGF7mfGv2b62a2NPUwLSt8tb22E/7Xr4AULorMZBsyqMz
24L+6dhf8wgSoWx2dwDrJfyi+NtXn18MGTakxKPoUm5p4p77Jr+kaXmutY98TJCNh8FdlS7raHXu
YMYcPJ8h4maXvM/9TVmxDmkNVNiUfJ4UpeoWC4LrKQGZs0cdQwvGamsVMLgrSsSsuizDD1s2rCg1
lJa0fWfxXszRlofyxlOT6lLPVSN506oMSsw3qPbhepmMU8N/WmqQZRJPWxZXI4V4bKEM62mvrPSs
uRC2tFW3Es+850C1TEqDR4RG4xOet+exbC8p2a0uUKg33o7xswX3JZopM4KI1bkgVXcVttnnUvt6
iJu2ocYabmnXxUANXtuiIoWvr1fYzH/rNeNeFdx5m70FbG9WxkAJ6eohuFrynRjZJQ4b5ku3wE7X
XksUIJUNB6E5A+Pvqp5k1BIHB+QRpMqOWWdDOM8uuHME7LAyxQGHIVWoaoNuILD6GwpnthYNwtTW
uWQFC6k9uY95kN2XZK9TAuQXr7Xlym0wL1Z7d4OMO/+JoLynEYrApu/c625yLsvqqEB1NnC9aspe
CRUeDkTSYY14tvFzSVqqmsqbf1KgbOD0UeIU4ZMZccrq3EcZn4JoOONDynpS2NSfLQ9VlX5TJbIN
Yd1zbKCuiRMy1BIA/nii80ERIE5N68IFofgnfOjdLL/6hElirtzrMjfP2b7Wsq9l7HuuTLACSCA/
qFfkycamVgYBo4op+/axEM2Nh1nFqs6w5ymTH6pecGzovD6bbtJcVin6Bwj1XBtfzjeJBq3TGSHN
dZdMsGAut3mO7zOs3riT0bwDQThHhn/Q7PwkCTzYiB4QliS5VYPiL7FqSE64mu/q9lOxBqbEYLJO
v9UWaUNPhQntUc7Mdss4VuuwsO2DPnFYBSHyRVacB+mDytxP+phQHFIiTWb/Ral5sV2337WDtSuc
/LuzYDQREbOdGrXPlTGeKdEQw+5FK6HRFY8z+0jwcq0XyQ12HNdazY2wKzxYXGI6NE28WYnz3On+
exwEt15enXOX54t0LLnK3fxn6XjDPmXk7u4ynSlGDE8JgksmJTnsbYRnPPa62qUklamvQ7mesRJz
sMaZA2KWPGJZgnCNdRZxTaqoVD0AeLEwZfDpX9tG9GvTWUU7t4gJnZ8pCI06ecmc8IcHI6ontWVD
BDD4lhs+uyyQyDE0pRFjkZxDePpFleyFTTtTmNMeevSprwOCU0I4d1hBYPYbWXdlHnxjGDCt6Oxu
MO/LdsGHCVdtHw48NcQn7sAFk/XYlycW6xPK/mxHtsDRjGAjBc3Mw46YaJUoZ/DKmN71hpukxrnn
DUcxpFgguSRV+EX3yMNIKJ3SYnReDew15igKqkpLV/g8Exwyzh5yLx+jj0VWklkIK+S5zOMKJ+vC
N3aB5uK7hDDvz39qlQShL+kn0oQFQrwlPFYlJEJkgeTAcw5YjGL6gORukYEsBxGaFCuHJRVl+SGC
8Zgn1Ui2pkpugeB1J4bI/RViMVCIXXlOh1eThaN9tgR59Eo5sfyjgxomuR//ElMsP/r1Er+QAQi4
ypdYfqq1MYYjmLmwA8ZEL4Nmu/rzbZav/nzxn78YlP30ElWx/Gz5dvnqz5/hysQ7//nDP1/z3/7s
t3dNCqQ6A52aP07vV1rJ8CscRR3A8kbL4bWeh695l+Fu8p9HFuo5QqypomuoNS3Caf4i6wK7+OtF
CX5WOGUerUpMV5APlJZGy9q1DnFtazQWcbNLkos1yLC9/pXnouI7Is+972sfJzWl+UJ4b5IWO+5F
V/ZXenzp6fbvuJYSzDmq12NLTHYeA8r1ng0kgXjdveK4navlh8s/QhBVZ0WYpy+JAnTBInZx2Qw3
neyCCH3u1fIV06mHV4m+BqczDo7Rnjvg9t2SpaA1xC3ENGRQ4g/3mPUMO0gk5rZtxCdB1RAB2XAc
4S6v27Fn9+UVW9coxNbIC3Kp9XTPc1teNTpbkUKTOLlA+6mIqQxREgFZZJiQ2iRGEZiOU7Qb/Oyn
bTpZV00ziU2U+u06CgdsZ+ti67gFKZNpgnkDW/lj4Mw6Lv5hthcEjUxhqGoQrd5hbGdDi3fakGZK
qcEmbE2EecRBYnlCAdGy6xycpzQb7usBFbPRlre4FbXQZYPbUCfSMnmOIAjIvNOgzfeE90m/QA09
hwfL13aThomqK09Jm5Dg6rmfbZidawvjMMM3oKcNM1uanHZnBme5d2YEOWF0N+rJvdUDCmrYkyDS
O8y9+dj7WXYtYUGz0PklknL/y5zsTx8hMeRJFa4ri59BC9LYiu5TkIM3DuN2xFGAChHbzqQ7w+i8
bWsVn4CQLYontisuE69wJKCT7R+BCW7KDkyvxSSntORISOjPnECrh7ZVBiI2DoF14W0F8guakD6p
ht6BkLj8ODpkLncoEprcqu7GwoN9ZVABThEx7A3S8K42skORBnsoleUKQkdGb8crN2YTP4zg4BQt
mX2NLgW4MC+SFcA8UtgWKiUR6cg+sMQicN2MsQIpB6sGJ1B2dCpaL7DwzIvQ4IzFdDsUmnHwcIXZ
SAFnrce5DG4Vnxe9CYEQ1G6Ha2gX1boarIlU8mbT1iTx0b1FfzBcDLsJ6cAMGxk8mgltaEl9bMoB
jkAmT3VHyGRX+zo6e3GoLR+Jsssmsw67nxwB+xUjDFAX1tcOuc3l4LIbSSCT0NLwV9q0t/X4Kgt0
fxOpYPUAWWiRZMc5SjryLszqNpu909ARo1JT4WfVO/04SLtQi6GlOMeAzFZr6CDNt/UnW0NEKebF
ZmncZ1RiOCnrW6ybsJXD12BIGz5KJFvaqfEujmBFYKx9u3ABE+UTAEmJS4hYRx8O+GNtPFnZO6ft
xKp3jIvv4CMG2elOl8itW0hJRmuQ2GTJF7eLz7QRnt3Q3/fkchOBKM6VG0AH8p7CkJaIEkSw479r
4dk+aa3+wcaVloqbXvda9WrEfbwOvB7Ph5FeFsEzuV1jYYK337EMxEcuU+xf0JXPk9WTd+feeh02
1pkEfe4a6eCthxmV9UFr6COeUzwYyYLIEeglpEnc4o3T78CWrVtDJizGNeEJ4Qk+C/MM7Oxy1O7b
Ins3+pqGbBsxbEOaNsZtqaysO5d2VeTCZS11ydI8DIdGeK/QP/I70/F3qjtXunN7JCL8qwiK7aD2
vLM5naCTnqpiHrdhkIhVOo8NKY7uucFM9CB6CzvS+Kmri5sgHYm471XvMTDw6RpuplTia8DEbSUZ
kHsw86CiE3JS/+i3EZT52gRXn5NtX8frdrCJ+OAAYqfd4yetn0oUHTemnI4pke3HrsjOsstq5k4D
Czs3bq7vyYVxHrWE3VmKpWIYh2e9C2g2RXm+JTHrxbGdZxUHh003MhQS3HsCEU1JjmdwppIjQpnI
3sRxplXpE8DXvofzDUGeTxhw7ZnqnhKJa9pM768KXz3AvbXnmK/dQL9XOIfOta6Coboq0C9Ygxas
VIxdViGRhgr2WBcY2AIFhdOhS6pdoXIdoIfXBVhfnCgS6vCE2THECu+sw7VYZyxivjPeo9X9tFCB
Qt64nQowg36CJqdg90JZehKwjakqQgIpqFXs/hOLAHoTApFAVwSnXjgfmLKChtFhpLUOUqJtcHkC
JbudW/OmruonJLN4Mpl3YFuwIrtjOBQfAQiho4a0gbfdafC1+NRV1lYjNltGIat0cerqitXyjQjd
7ehp56Ru7nzbuoFN+DRpTBtBVUFq3NiD+RGblMGmaA6lbrzIyLz3XLGLYEA4iDRoazkIcgzK8jZO
bsdWXGcpvlh1f7CH7kpdc0wxicwzfxhjfTby6GQm8s506R84Ho32uSIJCYJmkhf3np6fkANdeR1L
bEpKb4Zzg4GaLotpU9lEgbS592Cx58JGsj/nM0698bhNm+ZF063rgn5Eadsv6taot0o8eRDMbD6d
MbO5Sf0fNkJCduz4czbDGwLNz1F4T+3GDkh2HkfvOed29GP9NvEM4V60hUbmhBj0tS6ZJtEmzB0Q
rxgNZe4hz3evoJdeBUa/IVODdDNbwpI0VrZt7Hxa4P3YHbXxMk5DtbFoncLdgikfbewxeqef8jA9
TFHOnlEnKYSOpx3a0SofIpzoIN8UIBRMS90+zwVb1WsUK/AxuPBTzsyWEGPiF+/lHMEwOvs0dfK2
OTqpuGgpgg6swt9bZjI8/bBv9At7Mxvk/4Lc36DE3jc33Wie8IphDUzRVBkiexid6Yue2CulyoZE
yc8mQa3FMCxZrtb0D45TZaCiL65J2jsQekFftL2eZxHuXCMblAnk/USDw5NOzA4bYXJjk9acpWKd
G97Znkp93bOVpClaEFIDBUS3HTJ2BJzB5gpWliZtfA58b4vNMXV1tJlcEsKdJLyIUXzVGEC5XUvo
NZz7DT7HotAcHM/0Q1qXzAZlp1CmetP540ebiQ+3ZdUvbQahDuWaNXXr1afCGLcGXW4fJVRceaex
ld/xUBd7aIPr1kFKFJZkDmdO9CY1xhqWjwCrlAdjILdYSEWbwndIDuy7hoCvGLWKK46alz5bE/sj
UZj7YrTZXsRlDTONLVXR5C+YcnnXrkHnONUe6HDfu5plEf3JQu+O9GjNjDs/4ZKSGg8TRZLqvGQb
+A80lNkOxt66UnG4KfQZZFH2ntnv0zDCFyfCv7+rh7e+tKId/aVxBTXnUgGgxqhVkWJUWBQSciBX
XcmaDlfqZMtijzQY4NEmkbF6HUzGiEyL1z6gcZpZ2PCUCQHCLu02FtcbrAgY87J/I1cbXiPSSHw4
0NhAfMBtWXuOcptrkotnbZhu3CRGJ9NtPNMbV9OMc1In++vUJNjWRbo6mXd41eorT49qILxkC1oG
n3sevjGezlcbB6xrhfPUk3CCsyz8Z5uenJV92LOy27ZuXI+u1FSwF86K5D4dxV6G9sE267ehvzM6
vD+MD4F5rvpvghdBvb7uydHJCKhyneFRB31f+bXcGZ2zAuNVRKKSZhdWOII8JF3incef+azd5h+/
S5BN25T3TU4bPQV38ot1ywDR+QiXt1fvplQFojb2Q/zeDOhy//hTM66ZjSCLqJcEYFcj9E8+rnKC
g3qLHm0WYsP15CEc5u2o5NW3Jkx7K0GPdlbvGwkCsPm/enHIZ/QYGKxCI2Mm5Khg5b/MWb9Osie/
2jSQOWt6Z0jAYXyauMe6m5qvLS3dLl+r3/FfTcxgwMiBCrhafk6RaqBeblIaFvoHxOMK6rwVL/+v
gXfZVUDHUSIg/i7CyZOYQl5SGx6cYJJGeBwDPistg5tmaA9Iy+322rTvmIfQj4Hfd/q3OjB4uxkQ
JW3eRKJnQTRhDbuOvzDS64BvhyKghYMn6riv0e6rV6jPq+P6KiaERx2r04p8OxfhxcI4Un143fTb
Wp0AwLWVjUew5BFJlXo7dVzqYzV1OmXx69x5D+HsiVLaqr+OfR2WfEZWMB0TXtrIcK0ujzo9dQn/
41TRTG7MkWqOvpnA6MG1qOAA1qrR3jJ/o3pgtPGzFgRs8vAe4Gv1mgq8X0cqwrYFs8IrjKx2bfbr
5UgM9oSNrkPeLgugEpod1voU7ZiMxd5O/Sji11XrH9RL6i7ZzD07FL1hpcXTj7fSoSgWBkdD031q
mg9ZlWf1luo1QXWbz3fqFeqYyuorvv2Pg4r4oTrgqHKO6qP4iBs5pMzU8zZtjeXj1Nu5sj/wNlaD
vD6dHoL5IGOSRLHpdUslUvmhV4BYflmeR5PGIuT0qw6Z9qZMU3KY4IMPJkhHZCXfhEE8QQBep1Iz
kF+5hMyg4mO5nzA2AaGpu/Sb5fZJGxmuhSN2c1w8RakZXOuFfuhBzE3YeySHYHXX0YvWS4YiIWU3
aRiOe+gI3zVhmeOo8o2x09iVyHRd6YiDA4eecz2J6D2locdiY6Luzz8KpDMA7t7dQoOwBQN1KG5Z
JGmWKVDEFk92hXQbt+h207RTxUa+LY/lTKBIER+tqHyshhKVir+oFtk3SQKl0JK21XCv/isCtAq1
ookpKlgLachM23mH0adHaMzMIrKWcfyth0O1S7xPTakvG2d67cJmAKmhRQ2FHD8lKjYHb6ut1XjP
1py+WaWnorOadc6GQcasEPVlcrrHLKIemh2a7K4J2mRNrBnK0hknbfTyznFSC1aTEj4WCbqUJOYw
d0X609LuhjPMK6uEeK9NUxQnTeGVhkJgaNjlyH3AYxKyEzU7OQQNgRH0WBneNIWnAg1Nj2A8zaub
COOClasgM4ivYt2W2afdJO22itg9mpLjL78qvwKstfI3+BNbXVN5sID7R4mjml4AIJmJnq3RJoiu
fi1rozxJO0s3YZ2ssMLczQZAS+f3FeFk+mOd09MGTLuEFXY0M3oPrHQFz1yYHIRSaizgJLXzofTo
HZQxjW7MhGOi/Kw9IlGQ2JxlGBk+TtITGcBVuYOxeq3XuX2sG/26QUfErxILk3vATIdgsqWFnx8L
rL5/Ma8qqGIrvZbw/4ZdMrZ0SkN62bi45GtpwHvLq8copEhdBrrvYUbYE+rQGIGzxfim3xXsZCZv
SPZYfuH0VdQtFRa4c6+GfK15LvtxJ9054uROjnWcYESvegjiMqNu1DCoLp1J3sAI3gCrOHe6dxVU
2ssc4q5OyCnJo8iJ1TMm8PpbuZmW4M2BSHawcagk6w7+l8B4GqVTOlrV7U+2gmpf6cFj5GGF5qbo
YGWJLUsiN23kY4zKuJC6+5KPfoNRMo3THpOjIaBumZO7sKqmfYKSYe2lztrBeWgFI+wJrwoMVJmj
CU7rRqwEFZNhXzriCS8hfxNDUya9NbyCZo4EdDiS0Y3J1Sthg8gj6W64YzPvSiMu93L8pOKstlM6
mXs4Ddddi5HPaP7QDcCJWOYn9oEOrthztutlebbi6hO8O17BvAkgE9dXfSjOGCOf0OR/+/lNEFAa
ibxRtiZ0ndWzECL0hwAxPsN16de1yxxgZO7KHNhEGDrOpsbRiOgTjjHsrQIfdVdR+n7BqQpQXFhS
RcXxUOSt2zm5uNLCVjV48HIoIp2kPOpSqsGWoUTbJg5iXckidTBFCdQ1UOjlyVXvp1D4q9MCGjQ5
uBzlx4UoRsBfxWpQ3+HnfnZmBz1otgfsAbjhAe5r87brrRcnZQNXanv0gXh6kxGjfGhwwCZ3HMxH
9hkWVCACVY8LfrXLwvOo4/7cQPKfcX5GTEtVpj5EgkSXofGa19WlzZ3HLIYHpFheLB1Uj4BlM+FE
pAhO+8JVPkB+vgsL/UvhZwsxBxUqhnlufu1Y8CboFd9EUwhOyx7NjrONn5zYe9BFUvtcPCwMKK3+
tUizi2kUZwtlCXB+/KZJchNbQG2zT71dLj2eZ7wWO0I0nZAFH+1ff8IP4RYV1mscoUVVbSBngMmT
xA5hrYojAwnlyZjpEZWcISqakT2JlSE2j1iyI4iVQZT8hCBmAarilR3RItMilwehhxPhNvIgeyTi
NkZap0Lzd7VjnuxseMCGPqF1yABxB04iUTcJQSdlBJ7TlUBu6lfWY90GAm/EiUCOfly5SJhWWOPk
x8C17ywkpkimPjHf/dBTMGSyjwg0JFQnId9VBrgoiGhteITLqHVKFDEOW2YDqW6QGzg9JPZkuGYM
hINjUAzMRLzyuLJ7f+eBSRWAc03UvmRjsEdHwKzugWl73XeZ+k+/yFOyfS/rb03eJ9URPdI1El14
sQryI9b6ZjYNzPAY5q1iemaxR4yAQd+kHiDUtA2kkai8KMTOVSD7CHiDw3fyrUBB169fsD96zPAM
7NR+Y5gYvTSCEzx33HvGzQP5bisdbdRuwc56WCJ1Ffxo5PxDjkxA5Btw9kHMJGzUESKOdP8Xgvp/
QWi2IJz/Rmg2XMNlY2Kx8ljwzv+ZFdyYPGhwYLtDWMOhmEjEBhQF+fV9nK9YQR+J5eAGt7QRbeUt
NgfrhbuAd2G9LTVQd0WP0jsmvpGFXXGVRMJoqJrqjHdqTrQxZVEYIEdX3znhqIZ7fuGaiKsYEbkZ
d+4NfsBqNblK85792wAcGSgAT6AiYgNKhAfX7V+fuPN3Ovmv07Y8x+DcA3VhPt8fkjIisc/439C4
qqJOBXI90znkTBzjbNwEHuRRJN9Ua81NVn9XSjFkog1aCd+wVryTUiClPBDs5GAFUK5U8O+IBWcK
hgmwBVn6pgh5F60qwObgwxcDhBN/1ztcvWUVpcG2xmMB4TjLmhkXj0MT8iBAQQ615FuVTbEap5ki
No0I7/7g2iuCQ1nSCgrFdKbKepMNM7aa4QqXgFWolUdfF4hOyZ7+Esl812DZ+m8umvVbqBu0ceIY
Dcu0XB/zruD3i+aTeeMNmtUeCGmAAFeHTzMYpadKogXLHZvHzgQWW8iUCz0C1OVY2bTj1NLChuXk
VciVSkd7HkrtNhLmbiHHzJLSa56ZPDx3qtjG5SpmkCuHDyuu4PE9bdK3X2w223oeTHDcmS2SIjdE
MjnMWXPfDSOLKpbE1S6KaUqrJ/Bfjxnv72PGcpg0UGH4MBn/JkGIepGZQRK1hJ+3JvL8jRb60dqL
WSYKTK4hZiQwt5krdJN84NZHXKtIesQjMDMWigSu2OThFN4RRnjCS4JQbecwu0x1xXBsayiWS8Ew
iul+hGlQqUUlsosLKnaWpSB4KnE7XXsG7RY4EMw/2nVItFYU47iyUIew2IYyx7YirzFSLSRqRA/j
xgjH8ygdYXjk48Ejaiudp4WHhP5N4IZfH11fwC1Ua5sdGwFRG/axUkQsPxpqvPmAgSzaRwlb8H3Q
wP7MLnoI9yiaVJQEiikU/cvqClxVU5DjhLEUyiY2rfC4aYDZRwETa/Ov74ipe3+fwDzLRLRiIcyw
XE//TRbikA2BC4JsDmlFEPlAsbrvfEShpg1np5S37uxaq67zWEoFIkRcEDbNEH+zJiPgwmqqi54n
NfhqxbMqRXkdB8UNziLuWsNgjZyS8vX/sXceu61rW7p+lYPT5wFzaFRHFKloW7bl2CEcmXPm099v
cu2Du1FVQKH6hQ14a8k2TUnknGP84w+NSvNfML/6syi1ykE3+0071IknKeqHPC7fVhy+wz3zxza+
Itj9tVMWjlx6BPhgQ21UZiiwytLGlN0W2+dE79+XvKq8uQ74PMw37ANy9k2wIQmXLS+aMZu0JDLM
I+z6qn68cyxcy5fuJNWd7KeDurWbwjgVymicDOiuaarl+4YxScShz0OOiNkZGp4plINwG4gxlm/B
6vbalKUUXq0SUMTIsMnhziJrBW7M5Jw8HRvxRvkuOPhWbQJ2suAJZthKZ9M6GOiG9i1W/CajRhJF
mtlkv5kT+p3N2mToVIErk2r9vkohpzXSvTyEv0UuUpNxwlTb77WgDPPqgs8eoEOBzHfVWQjiVmMZ
1yVozqIvDqv41Uqag1MGWKrn76I1pYvW3FlgQ6SNvI6O8RrI1TY1eii9yKI3i9PsgCHP9ULF5eAE
Rms8IO4r3wQxiIrf1aWIMs1If/VhQpuMiZkcmTSJcOhjPA/xmfiei/A5bDIk1DBVu+ijDPtPEsg5
VkQPQZ6DVSCJMPJ8ot2UMIrmSlmEs7fc4w2V0onGdXFuTOuaSjB4BatLVJxt1qqCDIKIH4jezghs
CTFBl//w23rRdxQDN52c9/SRTb3HUg8c3rpaEVCHINDpEWOnVAY9xNPOVTEg8pk9wb3Xq2uvwOev
0enaohWmkvVaiJF+22v3dlC+BmIVshb+uNzVz3Gtvq43eNRUERYX032UDDAAqhABTK1esGPEVLDp
FOYqgq5NlprdvNjheDE0icWGvgfvnWRn0JPbUkMpl1P+KQ5tkWLJD1NdPlRxeZmFbqJjlIzSGXET
mz+B9njK6cFVAjzfBgpJhFpNnJJouzsJ4GRQgAKww74ogv5YSvxiMh2ieDz34QdIvyStly1Bk4rS
sHswM8o0+1SZMPyTTotPDW+yvlSQJIridcwXr7YRsqUjg2sm40/YJ2BaAD3NwORxHNP4kqjjYZ7t
cV+qxNrYVm5uxmUIfARpQBZ9+lAWA/uJ7Bg74uAvxGokByk1M2KEZAaA9nge5+XTSGf1McWTQEuH
sxShBcPgse6sJzuqWY6aHGu8DsQphu8pY2ZHnk4HvFUAyHax7hdRS2CjqhHF2zn2FpE8o/VsZ3aS
wfi/z7cl3kCgpB2dqs7grhPEHkiaxd5qDawaYCd1yHpmZL18EthuYVoLq+yopVXtp1JxXJbY3DaT
rG0mablRQc130SBBZCmKw+oEvDjLTVRgDoME5iL1SsXhSIfPl3S36IsMoeu1mmtsQYw6xGmi/Z1U
njUkMIaSnMrj6jBsWe1fjxgbKikex5Iq3y8KFqXQ17C0xBYrMrWr6eAX7nTPYx2b4EtQUca5NnIq
eB52DIN6XGNLIvfgKxKXpFoNJh4j/sfBIp1iK7GOzfK7/qMVz6yPUNQxBG10aLbFnHjs44T8aPbN
Anl9r+uWcwr6JdnZhfYS1056nsIJ24wl3zpKbjCamuVT2JY3Pf3PvhyX29Cykn2WZArKkR66eVbn
p0wqiD8Y4soFRiSnY1AvkOiM3XqW61loFtlGhdb+lgEcFvI/G8gPMSMVe1bcgDbULUfN2OX2sFPD
OTqYWcZ8p07PWZA4roGHniuXOEHIcrevMoBzheGhpynweFsYgic7f6576HWqgYWt1ZgYo1GEBEoJ
n25qpx1is3s97Lr9aNg7SwFSSak7GbRMz04i+0s8bydV/dbGJPUSYYmkC0ukKVK+asjpfo4zwSmq
8M+GIRP6pUkW4DQoB4sAwRMO6eZpVHXLTULGhqzFj0FoP6fxECOyk6Gz4LI75Kbbi7wlTUtO43xv
dDO5SNwuiJcvKhl/NogJ/EGpTfbTI/b9yhHLzoUT6Bd8dPMkUHaQnIZdq2THsMcFTM5NumS82dqj
IWFZ2wcamUkMUdxkVi6ruzQE++SQlAHc4yWLwQgVPPNpC1NEJkeMTflIUKhv12OEUHn3I7IMV7VI
wcvi6DaGIU44KhAozRipVpRmRascVwYwPoEivKWDmSURLtGGwOpWtF8lXGXXgQCnwy9pgOBTUn1e
V61ClH3Qq7+zyHzS8+VprS7yAQ9U5mS7UWWcF3YtcSmwHW3GfTC5s3d7Zplapm4rCz2DUQK0Jzo+
voG3UqNxy453EYKqWTi9NOnnHIanlZ5dqJnpWhTSjOsabkZEa6Mp3cKP8tezXAnTAiJagvwyRVtI
jUclUm4VvYZkQr2+9A7jr/a61knNzPYxhvkOd/KIehZPcgyV12peAfB2jWK5F9vnyiFH/AKrv2Ht
51VgLJk84B8I5bZN30dBDZahnVOmN9elzt8FH1awz00NBjrCJkaJk8jne48RQQblQgoXqDk+MFt2
fUppkyNVI9ScMju3AdhNhwhRS5nDVQji6+yYgCtuerxoSDOkp6whnUl9TWvFM6tIZgkrefO+cvux
Le9iCz/9DIwgT8ed0o/XpYuHQ5Gn5M9p0U2TjaUvt/6q2VoJwlODjKCR6UUHePaeVaMsg0j5q1Uh
nJIWnDPX6G/racFE1cyPSofyNSmFBtVR95NU3zaycw2NhVmleqG7RRtijlcD5m6exRi7ZdyrjKB6
6ZpOIA6miXagmd8HG4ZKJ9eeOteXGneOYjYRmhgYgbCHWoJt3LfWHWyJuzFvNX8Qhp2d1RyyFU0T
ekCCdpugucgZ+A2uwUgiTNBVcgwc3Poy7TETgGYl1DVSAh6Dm8BpjHqKFu1sqPCm6PSHFuUL/49H
sMrZKoINg1A3kevUr0nQAzU+avjBMpBBRRUGP0M0UheLK2KJNLBIyshNolZY+jNUXcGWKaA/sYbs
xXK6XRI3r0jTDiHzFXTF6biVkxElESfdHvIeuoqOISJjeOoiE8GAhvkEEt38vZUkv82kl/UPhEYA
oYf1QStw/k+IPxSiHXzJI1bb+kXUnit+EOhUIrVB2gH1eVs3jymja0Qy1L45oA1el+CxJJ3FjVS5
9mg9ZLN2W0vdTWzBgg4aEarXOFfMzo5DxfzWdHjrHBlX0TghFtK0IciDS/bGdTQyfMCmF1mBD61a
vB3dyMcTGrEKD4EfVECfXXm2vgG34POPQgSW41ffmeaPPTilN5ixc+6EFDUWUqRA1jg1nTnd2iJK
HMKxoht7CL+l8KZEcw5a/SRrwW8lLSm8yXRXIt/ZTha+kkgwL2PBuQZzgkF6hNWvPpREKBdbVh+k
LlPmxVL4qRS8h6JKZcPGjsd6X8b6fV/Ozpuc57+KilhA3LedEt2bdr4fuuonDdKDIgCQHOSX6o0s
6bn5HkBONXGOE/VvRbwl0Y+Y+ZWSA3OooPvIlxJX/aY65JoKXczUZRqN/Shx6ziBbmwladxGg4a4
sa91PEVg62pT8rsiIjZMh1AKWtcCCNzqDN3Xp6Vo3gSD8mjja2tPzi0YlCfqpWjoPXmwyakUUNUq
HSrD9wKvG2/p0wFQ75SKhv3PWhbyQY9l8u5M6YcdRj9FZNag0RVK6h5Tcyso/ImshYhOHpI4/MIW
3QTRp5OG4Umn7aqyp8ERmrtWgtI4kFUoRCuiHxctiTHTXlOT8Uewp67hz8zlTKsg9PWJ9hGnM4JB
ofBY+6MqYtcmZg3xTMctPzjXVTi1KjAUcVHVs/RUqFCThA+QAOBW3FoVVbOFt1zWjahvMFSAV0qW
xUjhlwucWR+L1NW4UVOAyH1PbEiOW/afAcCqz5HROW4C2F+KNUClFV2Hrtpu3JKYd2jwmCT+obwM
BMuhfb43ndt+6XZ5qeIOBffkELcKZCzTZooTZ8d4jgq2lqdeN/kwjFOiYy6rE4KqtVZGBLxJPwbx
H5GudDssJgZZZJsaQlUmdQOot/Y1i1U2pQcdOyJoJKyZ2FTYMVOz4iYq9vrkVxGUVjk2LU/Y+nV8
iqsiVo7JkMkJL0NOO2VK62I3Be1hpNtbTwH/UUY6Qf2mE2q2ETc3pkp3eKmyu7IiJXgXujVWfLxR
rHEtxUE6YjsTzBdlViBgoLroF6c4aBXWX+WMkAixxnEViI7hXjd6WqNui9RTKu7WAefa5KrYzFaa
dSYgljk76HuTl29aJ/lhudy2IzfqqroNLOaVRj2RSvXZO9PVkYTljo72O54wYkvkEd2i+Y2houZ3
uXWuCgi0swWQX82ydiiDT114JSsynrthsF9tOgilnW9U/ZmcVNnNxwFhiUB8sJJG89faxRls+mg5
aA8mltBmHn9LTG18Ysq46XBEyrJLEsMSsqmaSiExXDXLq/IkWuoDK9rV0QmRFSO3eWavs7v5bXGI
KpOX+yFfkg1UeIAxB0N3JSy2tZO8rbDVCjmHUf9pBcvdBG97LK1rVxM6nBWelZrXMRhumtLY2aJ/
7YEqYI2h2RK+DkEolV4uVF5i3GzWiGU5+bWflGT8GkYpxAmqTIF8iMHDeHyD4gCfKLHzJVVzaXum
x0wzfaFAXO+uVJt93GRPdqFCXUqf8NBkmUzqg9PDoSNSJBPlXd2xPK+3XC4mMutQQwyK+uETQ3+C
IiHv7rL5OdPp3TsuLi25xIb8XfTclwQa+gPOZMw0cDsQyDEBHW4rE5u7npidhp8SqbTrCPPPSFpp
SC20XFNoovpFOgcSmZtChrp+hlAtmNUngM4NQ5Kmag69xWyita4MmthZRI1UyqxMvY1cDv71YZpw
yBLDeEmWfgZ9ILdsvAcOY+CAX+Y22uNLRYEAgLFeDVITV956X6wYgsSAhZEPBwSf3M2y9SBqZkib
uIqJycU6wOqMj8DuHlctkYO0eSNBajSWpCXRPpwBEpfnNSfQDvC7ox4Ge+RciTlBCJ8ZLqNGDp8C
QRFaDU+JrN8/IGZHVbCCqtNyDsUFWRFVRtnI5FPDT4Ee9CA1xcWxhbaXhVfJWHyJZ0dCJcF4gO1N
ITTtNbHj2VA+kXJnF1GPaeW0zbGuEXpBvCEE9iUqLYXSc32XsWZ+Gak77QnAZ5V4KU/WggNxmMrM
JVuJXSzdhFQ7StCfZj38FbO+OIKfstS3mD3v1mMZYqq7VExSk6a+0vj/FhJA0yRZBFOR/7sKi3Ox
jrPqA9vtsjberRjQBOtkxZvxRYVwykxCTF3gn5ku0X0NE9zKT9Ae1mO3kAkCZCam/43Nx5I3F+TN
ry3N7VI7T0gfGFyAZcCoV2/SjFAzcQ/VijL61tQgWMHSLBTp6x0KE+FRIyRx5oRNeGaHl1VIawsB
vlDzWtJ3BkixGVVnh7aEMkPcmfaQvQMcyeTH/XE36BloK/PkpRRKxJOLN+N5HXEsOaYElfk4R0/9
j4ER2WbS2XtI8EOX817QUmNdyP2KAe25LrJfzSre4xyTRofAETlU1vm3bvkkO01klnMN47MNuFux
c+ZtcZ6FmUBupYVfTTsdPUCp0zeIi3WOqe07gU6JsoUZWbzFHtNfVYWiniP7EvlojvxVKBBX2oih
YbOmJ0DGNUNt6FOoNaW9ZpWuiSrIwz8f2DjhqhU3FmOfozHpBJowL5OlefR1xM5jhbNcWP6uhAEo
9sxM8S0ftbDbvjcNdvqiUYuXngIlNN/RwuzFW8ZK9yo7sy/amVhoa/U2v0QWO78YfotVL6l6D7Z/
QXMUaptxyr4FBjn21JCrgpv94znESwcnB65rO0UaLKP1EXV6BfTboxNdAuMwmnbsri8hGiZg72LZ
1GVkwgt/XCcYhbg2Jzu4rr4WKTJr9kjYv124L/EESCu5x0ZZfXdm2qWM+youwdPtcHmYJAZnNe5F
fB9vAdqQSkWvGraSCRkYTYuO2pwWoiYVqn7AnpBwavrWtudjcSr0sb2xGSSExFwWa7GCEupSFDY6
2uhXvKPir0VaQ0cmFB2tKv/BpHNd3TI9qzaGkZ4LEOTFKDJ/hfllGlNlWzT5d5/FN6JyWlJKNGpb
P0tiVMWENTImr55lBRgGt2Z4JeNIfMtLTUiGZwF0mKKQMFSIq1m4nNY1oxW69CSB0JSin9ygYzkF
zeQDi3ucLo0ew/Q/sngqm6m3aJ1tsFwFh6XGpMUrp2V2qTZSJBV0u0QwCecLYCLGO0LhgFfyj8zA
g5wnx1UHFpL8F+oo4G5gHXrFAU+hA9OF4NbAYA4uWYIGJF1gYwxfZoKRL5f7uiamZNQR2p746zzE
lFH9ZxYjJUqwtcyUIxsqP0nVJRKIPj8nehQRUlgER2aa7lhL5lZg4KtlgR0bBMvbt6tVARb6uRvN
oLx4PSM2ooZc759IsxBwAPNu8izXvGYJz6L20i3moaTy3E5kUbht3MDis57muq2gcT+tYMKKY0jt
HMIEUh9Xc4wmm2Hbpi1sT/RAQ8oyiu03PbRmHQluuNewB54XNhtTtUO/vS46W3eaoszK7R65xu+s
Y4CUSkhPa8N4jJiAbwpp2U8d1wCxg7yhzqD4mJ32wuYlt8obifxIhDLzhz3+rCr1oE6hlxDQt/Rg
NTZNqlHF5wilro03+wbH5GrnjGqN02n829ERAcNXbjZwE5UBMGTEOqQFNdt13DFUIACrd8MIk3Gm
7zK5tjGuohtiIJ47lmSBrOQleIxS7Ws6I8uB9Ad5+HdtoLulfdS0/nkYJ53gHclN0yzerR5LAeMS
iant2GvbaSRZEVx10440GOT4/qRVeZgzmRKQfDDdElRfAdTDLnub4/yDYBR0EDL2C+Mis9ZB2VIt
yBkSIp249vQKIteYmac4kGcodfp9Lhgf2Tjc1o26MK+Jb3UbDhYZNQBjgjxVhRTvBncl4Kw3sLWE
s0myETH0+CIS6yFjtLxSLjrTpsYxwrNJkeLWDutxsPxYFLZwc1C9FFZR4NBFNSov+Wteo8bAEZRp
kMXxpsTYcodC7EpNbyUPEWnHqh/SnrYBi5KeZa+TQaYIMy08hz+SrnX7mFO2mneNZEw+SopjsZOL
mdjqvBObDEBqg4NKuvQr6bK3Aih81DVVyctqrhKntQhtfxT7Zg0HHeC+P+FQhYxctPAJ0yFL4TZv
w+yr7F/WJXRdz4rkPTZpCrQKLqX+kjnxLojBB8yBXIKpaW4sZq8+bf67FBmeklf3Uf0z2P1HVTNX
txM+s0ylZIth1bmThQBTS8+tLshJLDSrVQjFeEXOnwv++i66uyJ09nY8bgaIOlphAvKEu3o5q0Mk
7AFa8Br4yz6Wq0SIB7tcST9XU45cYoXLBTSNhmDTCNJHGNhXp6MCCzQqMJvlXKBfeKn+rpyOcYmO
eGW/wjgE3Js2K8xZMepx0RPunMGK96sx1Mr0GmtyUNgHVuKAGP6lJiRaO0x/oDxRGQVEaOl1+rMa
CxkmO4pTalt24Jc+0X+SNnsSBkZi25TLBJFGSWp72d5Aovxex3Ww/XZzW70sNnUQrjsV3i7CtwEy
muAM4fdcui2T3UjcfOR/XpFoHtYBsGIxsQOg2eiOc8EL8C6A7uchymCpDeG8d8GjaJ+mifIeG0f4
qUJuNljCwYrqMBcUv17Pb8zUUd2lkH5WcFg1hZx4wmwZqxcmJBBZDT53pYUJXzQ2HGthrjNgBC8z
n0NU1PsD5Dd3vUgZjA6uMZguVuKlGMQ/9BHsWfHuc3HD62EAmXfVGZjwLLhKqBf2a+239m6ldBvn
gbfYzDQzk4RqdJ/ov8h+aiFmaxg0QdGNyRJId11ivigqSzJs089IUGojpfGcVmVESh2iNfYD9v7h
MR6ql06x6y3jHdcxu1u4ZhDhhZWY6NImYYmE3k/f6PGbwHyHPMM6QAL8FPB62V5bHc712t50wmls
HaP2vfpt6EWx7Y3vzJhQFAo7CdHZCHQ0ZgcsWvwYtIkoDNF9ZnzbEvJZQQXRoYYkg3039zL2xQtU
AY3+TDfqI26dLKOF9SFuiCSHmqaiqxFV9EqAS1sqLWuJ3+q7pKGhyMULjUQF0PV30t5s8sILiKrb
2Ep7v/p3pQvbdWz78OZtOkCS8FgjVc+EGo4/a8S9HODfPyOcVhlZuVWPcFM1rwIdX0rrm4TuD+Fo
JXpGBh9PaFr2dVZfhKdIGRvnBdADEJmacdKZnjqP2Ja+oiJEh8lKznLHunIhmea6eh9m4vQd6TzJ
kuzVKRriVrjR4SSS7wKSOMr2BIj5saIsysTKEbU4ysrNUwnOj/A0hgYYa1vxFs5Liu1zMjzYgsxT
krjKAAUSDK2WlhXPmbxO1VcKpWg81zt3Ee56ogdbsScwiqNG9ZLp+Zcm8FPxLtvVcpNX9tGqGNct
5lc+1shkoOjK+e8s3OIs/VuNp3vx8WiGmfoR402We4YBxEiIT0MCZGJmQzbL1POZ6vUDEj42dMZ4
4tsqJdqESmNTi8pKvM1rRSzg9LW/nixu+tWtSPz0jDscbHFK5rUDxIpYRXmcnmaxUIgdHM1R2uG8
108JJIkqwZSNSCUUvCyFkkeUTb6ja3hHl/xGzgush8ak4ManhndiEaW2LeB7vC7vzAm9mmB5Lpga
b5raflh3kgGWD3ZHMqU8830ydVvmAsmbiWFhvuRHPQjxbGOJ6m9S0tXEWrPu/fj93moQjzx4ovrs
Cyu2HjrORg3j3wAfjI0hxyelwtswLqrXrnycNeO6OkiJotcU8VqFc0KBJ+wHtXizhOFLdyu30Vsl
ad/Vve4Te2Fsm4oPVFQV62Yj2ahB59mHEmkHolQVsIp622KWsNGH4ZAU4wGZ1B0U/eeWcLoN6vpr
MT5EOZNkJBHXWlU1BokJS1f6vta3UqFLbh5s4tZ4Kpt6/IPGKSRYUb2jbFRD7Q8L8v8cjf8HR2NH
0eS/Ea62H93HP37IwmAg+5H//Mc/t2RjNPFX94/y9x9umfX5Z/zxd3PjP7//b29j81+ODCnQRuwL
I0sR3rnjT9v9xz8ly/qXsC92LFlbDYyF7fG/zY3tfzlMORzIW8ALRF3yrX+bG9v/smVHU/km9saq
yrf+F+bG/511ryHrmkIfZmimJl753wmfs1KkSjRP8DsdoGnU13jyLGT8hEC79GLQFWSdUYVtQ0r5
IU8dgtdjL0PpWb5V7u8WdUZMfEyYJ/txvIwV6Qd3Xf3KDJXh4+Vvb/N/Q8tV7f/q1itzlqaiabw9
qqP8J1pbaZhmZaNUId5RZlbLEtDCl5ItlXGw/kovfG6H1AtXJfFeyuUHqJmbarmd7WHP0OpTqPEG
XSWOhRwPBH56FtzEuAONmnkQYr+R3UcI7YTAzrmztJ+Wkl9I9aLgjsMIwZ5Q5YVFdRGHw8LKDcRz
/ISQFeKD9SV+ZkgZvVbJVvw5IfAbMQUSGkHxp7oQnZ12FrJC8ZT4EXFIIRlc5YboA8WhRqM6tvRi
cvWlc/R/n1SNtag4J3GC6wmzEEAr9YT6UPyMUDEKlWAwmuhk+Fmka4yqUewgaOVxzeMWWVuAvE3N
sf1B7hYjexM/EyGDaww83flVvq0jkguR9tTiRxHPCU79jJjO7u50pHUq8o0aqV2N5E78to4ET0aK
ZwpNnjhGjEivRqwXwEit+d0aER8dJ9Po7Yi0TxxOxVYBwZ+O8E/8RIoQsOanS6EMFH92RCqoIhkM
UTVqOvb8J52wH34jRVwY8DfW8+KP14gP//1Sxd9rJZSpiBQBdWshWeSV60gYxf+nvSF/EhXoqogc
1xfAcdAFoxbCWYljidcu/rh4DTpiyRoVmngs3kLSz3zxvRZxpYOxUXqVOTV42lieog9rImhiGTpV
APOdENj1CLiFSlCo/4YSStU1MHPEXFwOKOEh9Jt4R4l/ih8W0jwh8BOCPSHVqzNGvcngC1+vvi9O
4nkh/huGYJss70IyKI4rJIRCfSg0guIQwuLTYepR9DFIB39bxVP4r18VskIh9kvHxItjpMU8Ft8T
KsaBCCxeGUdLdTruWOkehaww59fFGYhfGzPfdN4U9vPUDPZDPSP0gbKSDOVHnigM8TRXNy2RCM3l
f1ZDmlkKuw/kdW4DYWySAqZ11BHkTrynbe5lzMScWbuQj/Y8Vmayjek5CxtFZmud2tm6qRvFXUKm
oUlKzare9KQ1bzGHUzDX2I0dOKZq22Q+v6otTp1SjDNOmtgYY8vjVyGkyGQKouPghpGU6JIpmtcO
IdcZeODY3Wcy9idEk/QlbLNUu2MRC/9ww/9vD/0f9lBFtxTtb6v7f9lED98fUfn3XfOv3/hr21QU
hUwAjf8UXaPVEO7+f22b7Jn/UjV2LDYA07bYIv7aNHXnX7IsO7LYUtk8VQWe/l+bpq6wn8LNl1Wy
ixwGpf+rRACY40IA8scI//D9H/80COKTNZnzwjge5b1m/6dtM1UApjCrMG+VOQGGxjlmjOLw0KsL
9RgTXoEswPHBoYovVdwNvhlGD6agaeEoARVzfbh+SQj5giHU2lgjGc1x/bJIUXvEcBpSl3iunBJ4
BrimIXNS4z3k4fq4fiFmGUt5Tf3rn3+ek4p8FwYwA9OQloboy5oGni/rI7WdeFJvbLx2LG4XRZij
VYmFd9v6MKhVBpiDhXlm+UKbwrYgNblXw/s9WYa9N8voEujOBMJf36JCiXdoM/CCo4hx29UCjrSl
6mg69Pydnd9ELZ5HE9NpxclJdBLqLBSPTNDQvrRz+ukU6Omyoh6Okan3x3mMBswfFOyP1PYiGTzV
CFcwnaaWqVdd4ZDBbkEiX+6Fif3Uz87BUuE31nJ50FTc4tKWRD3DsKvjtDBGpDjmYdu0PFS54Y9Q
BrdpLDX79TylCobo+iiOS+sQdH4NWH1cvyhLHe3kMSZFq8WvhIytMIG5CVWjJjHvWAtlKa6OXlZh
TqOYB7v7SOL0FGF+IXetdVCrEXelsTqEIY48ujUd9FB/zPO43pKafexWu7k2Lo7KqOGCNY2MVISz
3P//Ehpp+bd/zsKDbVuMyf1kK72fhmqJVzFf5KIQrsU8Itj3r+dUWzX3GfGE0DiL43rm6xdrtVwT
X4iN2KhTDjs0GbIeogr2d13ChhOmO1XaZ49kBCIpZuUNoaAlbn2vnXG0h9FXP6nGowWS9t0QhDlt
ZsctO7+Qke8zh/CV7cAa75My6dKyQBuaPyBe1vD+YUP0/QOPnH7naG7+DJmBrOTW9Gf5rgMVHlsf
LiWrf6rc1Fzyr8yst8umeSlvEAAkhodVRpuSuQ1Bh4pmudOmR736Lg3fTvcNJohN2m9nPGiI4uuO
ERM2tz5NI637pgdYcJX9PByWT/kJgBdxow7D7YGgTwsojPxZQC7YnPB1MHk2fYcwMWjF6dnSz4zl
B67CwjN/kovDdLCGD76p9U0XbSbUg4/Fo5b45rPZ4wwg3raasN9URC70E7xuMF9sYnitJAI7+5p+
j6w1tJLTprbcJrytnM/qG08m3r47HCfvzWcJPXLodefuERIZ74S1DemT+52O95vjperNbCM53qCl
ua9St33g+eqNosf7SA8QCk7SLSx89vPqDe69VuLEDol+Y0O5hkpGxAZ0ZjdkITgiUZmG3RxfKnzh
KCp/enjezRc7voUZPT12eijh7X3Jtpt2D3gS8u4i1ObXcseVPyicHDwKMq/FN3aHbHZSqXiO0BD6
B5Hnd1GftJe8cRWDNQQdxiYJt+09gDvFATTZ43IYGhT8nsawLPRN7s2Hyt5DUABBYAIDpQFrsOzR
PANndy/Fp/VUPDtedpdg5zp6Vn9ymjdoZ9YeVb7Ep4icPtiVy6a3tkRhtsMXaZxO+mTv4ptsduUL
Xns5LmXO1r5qZwmAyOXFcNnqH/rPdAXlC0+Y+By6g01MB7oT4orVbfZNuHrI7RDskq+83kAaipNt
fqNqrBR7/RlrOyBZyr37tHwczvXzdFHfYYM1r028GR1kkZvhbMP4w7IVwsVRB0gvIVwQLecZGe7X
kDe4Ek4d8jkmfu/NyYsPsumV5N5T0rsWY8UtzGIl9xSvu9ej7fLrHNFLUG76dutZbno0f50vlNWn
9kf/1o7GR/zt3LPuEMpsPoYenZ2hQjF7CrL9NGxUSIXlCWxf200YTbwE26x2yWCfvRE7ADDcu2If
HIa7ufAqtgMT+5ZN+6F+5CVW13ub6yH3KwQ53zX0J+wott/DDQOU4aaaPPNFxwELRao/3JCB66k4
CnpM/Bh6Bq9wDBIvuxnxA7Y29YnUs2t90y2n2GHNcGmV7F/wtflZXryi87TutdXeWDsC3N0xEzW/
9Rz88sGIPB40Zzk5qB+kw5HWyi3Flsvh0GPNi9e8QWwjYOW7C3fwmuJNui8flGjLe95+LNfEVz7L
H4cllJH4fjb9ceLv71FtJK/zk3Fm1MCyOO5CDzcCn3BR0DnjKX6DwUq/tWO1HN+HxF8O1SXp9sqw
aYIdnyWaryC4JSauugZHJdgV3T67SF91LT7fUfL46Ln3iitkY/6gGhOLupnO/XOwHHBdk6lbkXhK
vs3rAK+mUwMmm04GvUq6L9joWHeUY3ZNuCgb+H5e+EF7C2sHsDkqN5qIyNqngWfec3vf5zfJZ8SY
+it86Ji23zFn2SzaD3C2rxpwZogGfy2HJ6I6U2XnPEoQIyWfwwQVDEPU72dLem9n6GsTniDn5kt5
7F6DG0fZWPMlxd0+3IbPI21O+Qz6iPPKHtFSipVmvuuU55n4Mfm+ne4s+TfqefnYBmLux8XsBfrJ
RMeV/QAZkKGnKRv1fnrF08GOXF629bg8BgPmwj8tiyx3b01ymOVr3ELVJmudTQIMzdCGY+gwGmR4
E73PYiGijWCcdKR4bGDKtA6fzDYL3qPhRR8wOz4GdFe/5LAdsmEz+YFwfvJZ/+Udtdkx+gpJn9lc
JU+/D7PXVL9RbwtOt3OXm/HgBq/NEauImK3vJNd+Bhhf7KfwayDNUohSD/AU4h6nEV/N94vsq6VH
v0FiMsM9pbsZRngqKLrcFq13Djn0BuLrcsfJKv2h2+JbGG6e6uIwlT7sJolx/72VktZQnXDQPmrH
5ME8zXv86O+Wu+DJPnJFg82cpFer82qWmFRZNrJbvXIKgDZNe4d1QaSQUXJbtdk2w4uVbi2+LdRH
FeGhcSQgKnjIvPFagsZrPs702UEpfKhMhBnE3W064bSBvZ87nwov9Z8xX+MTNL6V6EuP/EBQuJEx
bMoS52nXbii/hPG8CIY4mQ/OCEZ5YhhUf3ZwzKBdkHwQkeQLu6HcM2OvFY/BjUoDl1yX0u+NG2XY
D9AmsxsTA0vsXSpsdO4LgBzomJKL40z1wEL0JA41bvK7CPE+1e3GOVQ/JUGjT9JFr3eKKaZnieny
KQVMSX7i9J5cIx7Chi8I30m9Cj9MWHS1Z2DKZe6gapLSUtdeop2c9BlvOFV1Readsom/9JfqxnnL
maLc8+zc7IJTdJqkW5tKw7Vf6mrLKT2op2HZzOdpZ3/qL+VWPmcP2HfOYjntfiVr29yGzsH0m11H
HPNO3To7PNDeu3tpN9wvXogY/Ngf2rvxpL3V+3ucIIuf5p0AVYzm7iqOsXjRCZr7ziy3Ub9Nxpt8
m77K+zi4NqUrK6594j2qCxpe2Eab+HFgPBdsVcpVh17hUGC/mT5rl7rDkMeFd13Asvl/dJ3HbuNc
kIWfiAAzqa2YlKMV7I3g1Mw58+nno/8BZjWbhttBlsnLe6tOnYDHmyd+QWB+tPWj653q1sV2d4a+
A5f7Om6plXgXHjW7hnu+7oH2JZtkn+lWdFa3yXl89I/qxvXnl4XttjgL+rI6cHDg2Grl6/qtf9Nh
f2xHGPWF20A9IrJ5Y9yl2/SLN5+CcD7bT7dqQxvQ49A2Gyg7/jeump8k46IJpmWXWUM2s2ym+Ea8
Ci7t2r8Kb8YPC6fypJvYPJC5aHeJdGEmpo1FE6GLD3O6NhQlvJNP6FfSPeHFINY0q6rDGtzTcg+G
bbk1FBfvgRi/i265qzAVXIrY6qJKyj6iM+gOFnZ16ySrVsTY1RHjS6g7befpmNOmbp+6je4qn5iM
5hBJP526POY/nNML2J2pq9wB2wIv/5kcwWsObbPGL1hGqAmCcmxu4ldqT4un6YboVTNXovTE3bve
w8V9QaHBh7Y+dZfqUsl7jAe7i5J7i3hNjGO/bANWfXkaZQtZSnmNv/njS8Xpj/yCUeeJsRYY1p+Y
AjeDg5W8wM8bBxny9OwdsqyPKFH51lx3CmmVXdRmjRtJljgmuWbSMvoYa+t1iI84YWKCMfY8zGgM
jl3ukRsZNS5t0+KfRnkubPhbCvWMVqQKr0bxNWAJ/VNmELCec1C8YrfrEeOMjYZL6JprnkJV2fWT
Uttk4FFzBmaGvFWZVJQDtbnRWrx4FXRum6JFqySZKEX4xyBuZyNgJG6a1cdLSbpNFyxmrk37vx/9
fe7vH1/lqwtRpcIwETclDdO7otVJYX9F+DXJPY4BcUm1T7u8CWaz8b+Peqz//vsoFQTeVzR/JVHr
yMNMZzssxFB0/r6RYXEDo/r/+2m1KFpb0zHoaVD9R/B5YuFZ4lrpyBmVooaUBx9k+sx2/oWySXsc
KlzqRVjDGxg3GUGxK1zt7PqVwfXPSo79vw+Vgj4fQ2Fyok46221jN/mDyL7fUN7GPP57WrSa7ZFg
Hai0nlaRqIIKj5iyZcucjt86myPMXUr/i0HttiK3dd3BpiyW2ZcObWBHxxNB2DiIdBJQSd/hTqCm
NHY5BgSRjTyeZnLfQdQaIL65RLbwoqp+aPfdktzUq35V9iM0oGiL94nGnJEhl+Gkv9ljPAlOQy2K
cpTfQf35MIPla4cAZN++y+80SNOWv/4Q2bBGBKtZAQSex8BuXfW93ZcfdJ1+75iqTbwwToSp6VCP
oWPqHgTk6O/+RjxJH/q1+RJG2//FJY0Lrb7nntG7MzVVB6leJprD6F7+7X6iE01qkVy0L9PWzgON
1oQjxEU7kNk2fMHExx4BB0+r2DU7YuDIf63/CTjIPOPV+EuC7Aemlf27cVZtnUvHvPMQ/VAU0+n1
uvV6r3/RhvswR1DaWgFhwFsuXvlLcRnwYz7YB8wMfGru1RXoFjQ/KGxsOLWdgi2/255rjzsCYlvu
UwelD5JAl9uNDnY8jZinrbRzs/H3zNZJl0F5jDebsYRImcFG+ukZtEZIzinZG4SDW34bc/uysdHL
jFD2aZOU5XRhxv58uUQpNrndyIiiCiZb6ASXvUsqWw4CZGVfuDPQU3WPYNamcakF53uwBvaxcIf3
vxVa8VpfT3gT7V9uNTq1G26UFQN2ha7eY7jCLfjhVUt4hKOVrfD5qq3FVyYthWsTYAhkxSs+cREu
mCrEe7VAMMj5fqF/VrbgKNJWYmO5Rkef/HPJwlgz750IjeZ7rSyNi9hbrBUDt52fYpU8qhcdPjXV
ku+IZTfhIL/BnJBsdeNv8eE7ZwQRIPDwyktAaUjwegwIs+RTem8pHmRINtvFnkhnXO9X7S06atgY
PcqNtDUHLznCpLzCy1Zye/wxLOX86kgMsvwbHtZ+b3FfFk73hQkpCHzwIMpNPOlEDfxAgivoqASL
Dp+/o5pZtcvXVV5Xq+HB3Si9hVsciZYz32Vw+FshOeme7qWdi8BV+KFi604jELMH5y5ZV9KF4vyM
J3yNKbeBD46NDoDE79cKSpimYbW9UiXwrmVTuwOGa+qlBX7i4EQmQfcgnVsIdNc8cKJPAqqZJ5v/
4MApwl5DM07v/k3xR3uqe+iOAMukpdYuq8DBsxXe1owYgBGEFg3ZP9J0ux19pOhb/ce0e3WfAcYK
qhVyTjDDkTx9tg5jrdNzuu2n9pWuGEpNgB6gkxG2Q87Lv2bJm/ZwxfuwLo4hMBOusdIKvTGhYOgr
MojbPOPgYI/sXcGdbvJatI4ihDtn+JIKW4I9/oe31KQrzqvow/wFRYBDc2VhoFfkMQQA4oa3Z1AB
AScES/tikQRPtFaDYJUfCqYOX/V4TpNDEMFlXUbP9pctjnl+aUM6yBNqtW13qg+CTE1ld49CXkUV
myTvC3BirZ+ZrYFyRaf+YwGvBtaqb4FjjdojLkAmoVw44m9SOfXHWLgtF63HdgvtHzQtCFKW+a8G
/0pcI1ymHyZ5B0RaeAKwDxK6fo8Ewzbs+utluqhv1D2WLel9slsvOsIPjdrl9CCx6zJqhzR2yCLE
KSBJzkn8Roha9vBzK4itrvL8fl8PM8zCFqpHh+HF2Qs45KOPcOUrrPwyWl5yNj0aB0AHcIISDHU3
PbpTviGy4ErcG7cT44gzsJY1NA53t/oh0z3H/vpqaByc+0lZKaabYvMVbBahyw6t2PUNuwRsm5fp
qkT9ekvPuAyW+6K/g3pxEr20U7CgVHA4cqovwzEOIGjhVnnw7DKtG/fFUT+NJ2R/OiNYdiVYsBhw
LvWN4io2q2l+uXNYXLiPJQYFt3mniKzgyp3nkRMe7T4xzySnEeQIpWRZfHFq1KMXRWw3DMJadt5t
fov3/cn4UIlHQwdki7+DiubLagmM+Wo1O1ZcMViNpKUXrgkSGrqQp3LKiMXpRRVjLNm7wBFz4ffv
enNjVEc8d2wC5rstilaA8ovB75Y+++UVx7pwNfiqSNxR2RhY5mJgukoxm8cVguZTrUm63oijB4Rl
/nLUmr0Vjp6QPLGd54RiF2Vhhf0e0iuBXc1bf5F/G27zlcdNh93WO0DiYHcRdrMybCNb7h1+oaqi
VVvigQO9LsZwjXzTQ74mDjJAidbyWC+zzwCTWCYBz5rF+Bw/+j1PGhu2CNbFjKxjCrhPopuobfFG
TNbVWrELeMakhWT5mg6VayUoUArd3nCmFU+tYL0iTxUu3bzRK7P1PnX2Nlevdb/iudDzXYK9w1b5
0AaHAIUkdYppDcc3Nr1ycM302LIaf0KH9tglt0byUUWQsvGG3t6oIOdx7iELtkRkIeviOv/N7Cwl
hEuL5Qi9fRnwn5X2lVCnEIWMtUC3D4qVb5zicDM2LAW6So7teC6MhBczc0vFxR9FqW7NC0UFTiGO
7wzftcafo+33HBtV6YT0yQT7ZO7iwPa77B39DqMWx01T3iYLRGpW/yvV14XJeJru8iDeOBQBBVu6
pJ/8jFt/7kVuOIdI2cpDvfln/6b+4H5tHLpt1wBtDksotgzvV4ujNGO/tvQdnfxtPVhdvk6x8yMk
mQMWjqEHLvLCWOiW82BGQHH8dP9L7QV3qGE4xLSUi6/6VnWUvkaMtP3l9DVwKSjnzs2bht/1fXQw
cITu9zrXbCQzHB3TLebrqLDd/lLf9E36GV9QvH6UOfRRl+Ye8QuAftuvpYfm9v8W1cqfLMkNLMY6
Gbbm30W+qj1/RbRSAHpmpTcOyUl1seYkXa2dn936l1q8iyycLKqCycBe+ORIjze1pW7MffGUpKX/
jwHyWLmTeWsa5NEKwSceiA25X0TbbnBBzfiUOgOrIpBlC6aTHuj5EakwcaPak1u4WORT2f2td/x7
yhNAgYfnPDtVtpIIbdxm+Iz+w+2GmizhZbQlGCmVGja5WJtuhp38j10XRlo4WcLR37LKmmv2ozoo
vTNiPlkJy2I3nhvDef1i/c4OrjNIBgeKNhPDj/5XscdNdCov/orV+s2bfJUupFHA0qI4cpPLzWut
Urp5WrzH+iH8MO/lQXWGLQpaN0MsDgFOZnkC6rT/OJbhniVv8o3SS9vGNCWbZCcdtek0jjhn8k0E
vriLC3tUpaxkyWVqTyTeoM1lBnZUvrmDhhGEbjN7aKD6WXZfiy8eTiGlyGOxyD8yLt3Gclnv+/tr
kx15euvb8BgjmwfK5vL9fCRv06661jc2xQj8BPzmLaRMcOS1+j59LR5T7WF65VvpB+eSph6T9hCM
3xw0lP+vnfLxKjE42RIL2xHkjYWoV0Xr4IKUNHzTzgWAzjWWecvLhOW2k98M1uSjW7W/CX3PJjkS
W30Wn7g25usE76ddtlUNwtKYnSzzcAkPoKmYtyzlNdKjvX8qKWpWg6MecyJY6Gqiu+wqDs/OLnSU
Fa4Op8V2WJEX9pQ8c1exJdEsHcZmrhywjKaKRxzpcjdgXMgUUg7VRYBC/UujPLmyR9bzvrFMvqTK
GjtEWkv4ueKMOZuY9NONsfPNpphOVXqscDWzwp3mLTxggv5NDG2aaZHsGqx5TZKtXBOEt0UwvR3d
Cm7FwkvNdY4Q50qMTLY1FRxFLX4BCZ9GZycLWz5Olrlqjc2o3Ao2Vly8ZrRhQ4KFIK8Q01AgIkv8
ljbVpvno37raheEqPwdLx8h0rphbvLdoDo90fRSml1yxpA9YROv8Rse3ZSCwprEwbhA5FvvkUATr
RESBg//f3GrU7yJIK5s+wiaa3MYWPl+r/jn8w4Gpz5fCvnwKjdt+N3dIoot+lZzLBu8TCK9L7W5u
xS+AK61z1IewqSSPCJ17Xzla4wJd5D8RFRLvCjQfeWEhrhplo0P3xFyJQAaAJhhVoQPFtQ0cRFM1
Y7yMbF1L3jUiDT5wygfR0uIO3Ge8jtjJOYZnXsunD6LECIpi3BidFDAGmOSixh8dfxG+KM+wv2qq
i3BuZOmAze9A0r9XNQGO5+bCbStfS6tLAN6I9ITTbI9A5GwjK9S7wk9j4X1xZ+jx8iFCexojNmkV
nhR0RYlNpAZWVi2hHre69YranVj5tMFkr0dY2fB+OKBtwVNXPWbHiDYyG/oTiOI3po+W/0zAx4hO
AZmW5+sfzhG9y+EiEVmAkp+q9kXbSYs3HpNDA/WXB+ZkfmP9xjfTFxC9ZiROvGfXTuh26Pd+0PHy
UDNbPJUHfwtnF2NPt9ikPDyUyhwk/l5zCjf/bO/aV7OLumWKsvhTBEpGV4/fPg6Qy/Rf824O80HF
rE/36k29DfbMWP1/ylvkIdDckK1Cwz9+qP/I9GPYMYXzbJQjJFgRpsGT1q3jy0s4TbT9BPpgj/Ei
Pes0TQdeMWg3w/OVbQciZMib4raB/LdEbG3MeJOjJVJ3CI8Y0kHJxfpYgpQ9LsP5zLpJXyLxzeYK
wz6GlorvvQwYZzbR0lNN3se6nBi6WYyJSI9svcz3cED+m4maFiF9hEOUF5WinPBlZnRP/KSYms6e
P5iyCA7HAopz85Pi+HXQiQLoligDNxQEzAtp/OyOB+A7e0/B1gSb3TJbnDXNC5O7tqqu0sIdTQqY
ZfQNN3s+smyCpT5JTvFJAxHtmGlwcmTA0S8ApZl+rmhcSufFs3iI3Irma+9/yOxjVPeYsTLh4u5R
AcdnEromaX4HE74TZxlmI+x5KH0ux5nT7oNjpO3rbm0gAKIGtTqQGI8t+8CfS2UcPamW02KXDcyI
8hU12uLTuKWKld3jH193WOrpDmG+Y76DBKCoZzP6AGZKz0RxHRifEgKFwxqJOwuve6OHZ6C4eK/m
5Ahe/FHGBx5pXGRIghZ++2/znUNO1uz5QOpWBO6mH9NrPr454VId0iK1bX9QfwkIpcRZG99IX+ek
FLKI1q/XDq9u3dOeis2ayDhheZKgvzPVGd0wc7ACy0Zk68t5r+bmU/a+2WWFMeWSeZmBT+Sy+eYA
xez7Z7zlJm6FFP5c0hTf0nvvDEeB7UhmMoVXSlT2y4XiRMLSUOycPownjXUtLINb6NZXeJ5Ej8Sz
KH4VfJByWp6KG+lWBlmTKsi2I0Vgdu6iW0vRaeyxmnJeObUzGwXFBm/Fbb9icB5PB96xGQuy1lWn
3o/7bK0thRXQEWuByq6wuxu47BjaBQXT1Thp7KVHecPxqN4VF8e3B0ELhbDKa6u7yQgg0DJmuxDQ
GAFN1DkYTE9X/z5dEUe3ygc6jIY3yBiCUdYKHi2DOSxQMOkOhXyeVBn62g/cqXJ6CCnBh37QnXoT
z1RAq3oSgltEt3J+r+HngNmABYP1hSe86nXjiYH5nNbTurphA1lSbkARdNTdbP9zB7lwGGM9W8aU
N+kkrNNj+ZZcONShXupbwY485YeBUUQ/Wi2VNQMH/KxW8VVUj9GmP+rNkt+V/L4e4gPnMKLH+3X5
nnnRRrYnjPGXyidgd/MB/l9scsFqJUveVh+IURxh3dzCK3+OCpfZYcqhrIN1CMGA7RqBxx415j7z
0KUwT4nmCV0Y4G7GCqb4qt54NIc3Fhkbnly62lV5wjMUjjiCSetFg+CIbOt3soSUuw4Y03g98XWZ
SzgWtupGYzPuLn4zZVvFjgkmxKyMI5prT7mTrupxFdBfNcxc3PHlaGwvvW0Qjx5vyNIyij3BoQEC
VpIScBNQvWlgloHJn5MSthOz+pevv/nDIHsmEfaEeMa4c1PKGNtOOEh7DpZq3DD64uoZf/M4BIA4
ocYG8+il8l79htf0iySt7JeB8JmXZ8XMN2ED4dvo2eqs8FFvq9+KSDeNI31p7KIbwmN0TbN/n40/
3zxZAtoql4wA0eTiAy28cXf4G2v6D8qwh7xtbWOvH6EJWeLWvDA7HCrH+NEix0aWLBJtPpvrkR+2
1bfd50joIs/gEutgr1w3h2pYNoj9Iq/v7357gMtJmm0QO9nZf3blMgfZNfaGJzIbEWcRIoNOXN+w
RyIdyEqZ2c2c1uX4FT5oKl6pVwU2TAh0wqPTbjSeUyg9Xzgm+lZwLm4IkUNXWLM7iK4SeVW+I952
Ij0KazCHxwANl0INrJ78X+kyMm/+RmXcWNAibskvUYwF8j0I4A9+X+fyt8MR2tcPRKI3RoqCnV+F
d/0yvPsExq1JxGks+bumRPlpbU4KgLib4K8ba+ExW7wZo8eWUV+rTYB85OFf2RR0cSaiaapTtHOT
csBCccWcoUBXFi15/ks3PEle/x2fGoZvwqlFYgbr7qa8qwx5wmui2sXN/BqR1gL+bNs3hidTOV/P
yjPJ1XnjNZpzdRa/1G18JBQBb/GaAecfH2W4Tx+Vp/jzqLUGaAAXvTJkRiL3cmC/yU/ZTq/BB8vO
v4qAzZZ5ZORTjHa6+/ykrY5BGFaDh9NQ82sQR3QrAYWsgF/EewyvKhveNbpNV7gBGVUtO3gOnXkt
IEPi6fxa8DOL3b+EC7rYJZ6PLNhu4S4wG71itcdYmcEtvCkn+R2vuhuc6+1cIQ8cvBABllBIbgCW
2+aQHvWDAEmd6RdRau02dKtLcV6stRNKpBOeCF+oxcm7hxaylVfayVw4zTN88OgGm9DOzslhNjxZ
jcNWDB14L8DylJ1nW1pnXojCykX0ORoreHjALADzF9KT5GL+I9pH89EddP5axrc/M2Trc6uZUpLY
vMXbEsPKkHY9WGY3dZVcdN/Zaf9KTKyBr1cqlsPlmvv8AxYTEBNee622hN4B0Y3lC/EG1IEhorGZ
zoq81o+UmHH5ttiI25Ttk6On3LEuCcW9kaxrfOpffK6VlsovWwQLRXqPoNNQ2T+qvWxLVGwhFZGN
/2nfOBGTGrSXMKygmQOLjkvV9xQ62xJ/Z5xT5iUivlVneJ8CI7c5vB20/JPqvVDeOoqkycGoWaF3
15ZYIxJnAOsRobGFO0J176+kZPE6YTZPgs2tun3hw/rZvqVv0Zb1yfAalbcAsg0R89rshU381q5h
Uel/U366xou8I82rX1OpF2x9vEVOTBrEYGU+GGGjDc320ju47i9xhij672iOoYj52ER+vMb14lh+
BmserQk89QknhLlNYc1GpzuB4x76nFMsji8YsfDh7tWzpgXHnyGx2beHZ8l0F3Rq499hdAg7/Qwq
0ADAf3DSvcXxxjxDLDtDcz0375iw2RV1dOIWn+zYSEHwxiJ85KwcOUE4aci7BXwvoaEBhFsUmlK5
95HLn6myjZM0Yi1v5ZTH1Xl8q6/aqd9WXhKvQ3x4qWzvlccGc2xVV9gS/e2v9YMIgYSTGfhj+kbs
4NuQYsgQs9j5BBfOIzALVe8YWIrp4UNjsxM8K8Me7nOg5j26L240pQ2eVxw2N582iPLL8e1280RG
kwW2QV07Ww1j9oUpBtrB5fgvxBn/Gb3RMDTcSN+bU/Gc8lQdcArhnVITvMiEkamUnfSn+aRTDQng
Piw+XteKUhuRYUU0pB2Iq5LmMkTYss2KQySu9G/9O5Yxj18GXMSdYdhavGKMHj7pqdonUr9hdHQG
V+LRoNhFH3HqfzAPza/RKjsoPJithbj1xEmXKseUiFU4LAqLS6Wf6gkn35FZt8guYXLuFTJ83ZJR
K4Xpb8n870ENEXK+fkiYEYE2ga3c/O8hduQXMAfOvPNqTEwnzVc91hSSNcReWz2I1+OY5GgqgdMk
2LIrVhnO7AM5ji/AK2ZNPsamS3lPkIlnJR+81khZxefZWjpH1zfGeyo5hdd/hdm6rkEB9K2Gh9gw
N9RKxihh3pAnYa5o/NRJOayRbCFCuZJT+Tt48pYwzZywKJIw3uoHmcSTvwrynYm9GOiHaufKKk/2
GHxAo2LnExjrQ+IzaNos6XvcBDhqWdi2ch7R3YBb+lZdOgFnFQ645wjQvL8PzdFYm4xNu5WiQEPd
cU4zlnZ9Nhwfh9GLP9nKsCkhQegbucVVZn7DafKUXlBGEeELFKLdus1tiUOFYQS1tTxfftTC8bFA
OUlMwHBu8ksYH+UUlSwhYxDZcYm3J+Eu9Ou+O2XjxmTaxQyS/DF9M3R7JUGvtVFNyGL30QSuwfEn
m2mI1EIUCVh4VoAhlOyU3bJjhi57JbdjiuDq7RaC94JUR77TuMJRQ9exbV0mT/WyOEFPahu4sVbD
wDonY35JYZQVrpR/+uq6HnbaAIfjzsaMp29307+6099gv52n/f835//7r6Swq+upJPzHBfj7vsD0
Z3Skgg/HDwykkuBSVr16T5OD9d/nxpeuukZjnLpXusB5WXTSFmAsqnkSCgFQTiffaBP6pLX+fWQU
MOr7USLwq9qZOCgCQsyf+vuiPGUQNhug7b/PSXjSAkDOX/77/6JSXbMsiUJW4dWnkVw74hD+SP3M
tf/7XDV/oYyh2v/9M2Jb899H//eFv+/770dMtSUmXgi7xu5Uxlt/35QmpsKON7/Q37c2uApbIfrg
Tacl1dHv1iS12LU6QlRpyarmzUp6aHpVX+curgU4b6WIy5rGGnp9tHXMKG/krOwrnwSBV92gQOeu
5amiHfUsPCZJ8LlQ0ouiCp+y2DWumqiqtWC8gfngOkQDVvG8tq/jkA2KF+QSwuXk+RIWKOCjZHAT
+HSx32Ey3NS+m0Y5TR4IAgZB+MdDix2VSLQNQaKlMQ3a5BaeaKJEGIDGz7TL+3UXUp+iOOHo0zk3
9TZkcFWT4UmIhZuE/Wcu5jI23dCian81mqrDXUFEzDXSRELkJFNjDQKN9qe0kaXtQmP6gGLixxSZ
xeN3WxjMJ+Mae/zxA1UI2v+JgqPtdFLKoaQJPoVREjKyDOF3arAtsPH3nbGF1lj3HIRxDdjci8M6
yYNnF5HPCjt1FpK8GA+0iwLZp4aXZUiAMRckwzSCRHBJKyFeLsp2qYWQvCY1gkzXdXtfl39rETqz
HsDwryV3mpiXF0FPKvtk/GDU/ZkRP2knoUbiHZp6zYCZMJhwX0jUWUewKVSD0V6nSJItCZjMWFja
mcR99hkd6zENINtBCByzH3PIIqevmb2Fl4L+oYYtRhwFdKfRtwd1IkGGTBJLwA5sGwZ3MmCzyyvH
ZTwK5LMkcnBoijbuDAIHPeydQOLqJN3U2tdAnG4mbCaBPRDnKHyeNcWpByjuhHRMDrEWGPAHxbpI
/5EzCTBYQVg3hqRfTrGGw/eu7BA9hCQN2lWDU2rUpE7bzHtNkn2GJWoL6RAVJSSF3IS0QKCSZcTG
R2AYjSe/9C/MfPb4wAFKmRLMY1FzRwy28Ekm/EcF25QDfTiQnQerJX+ttMCk6OVRWxsK2crdMKya
cYLNHSzAg5kp4j1yL1mJjtRj4diXaxRRkCMxAFpGJukDfVBtC3M8kkWCy1E4skFnPB+vPhDhaagM
eRJqV+ODLbD4p6b+T6RXQGsJZ1ssAVHJLNkGDE3G6mg3mSM6FYWnJKIawDLsneAyyKcgaGXDgKhS
dcGRW53NQE4+tTIF6qqip4H/DGFtcJ2N4ioSOoXUJANX7piqiuCGfjTnRCuLK6JLYL8iRpTPVhYV
qXaU6P7l/oR7ZGC/CDdUZd8k1NaHnZvA/s7+YVDX7qSYnVuVFXvRllTkYRp6+oJRN3aWUP/9wXtN
OcJUSLe5rMIzFDPY84noTRZeJwx8uyR3R03f6lyArgQ9TFuWWYf18xIzX3VlylD8pyratSGFCg5s
ziIr4nPvf4b1sMG6jFkOJAO22Nkn08RfhzFEGPc/aYJaOA79Z5AzUs6NRMKNI/ZGhfTAsIonD2uD
zK3NkccEpqrfZYD/1aSGNMDxo5qmuxqfhoLRVMMMcYgxm5NaVnBQmctEAMTKGXyGC8FOMVs9G2ra
HHH78MJ4+BYN8X0YuNfomEdHGPF0epVfdU5vv3kFeNoRCXs0VSBHQb1nOjZ6wR8FaGTgEomQbdMM
Dq5WXYZUUN/n6F1ZYVZpgAX7QYdjnLDpKSLkQefAqc1mE3fhR0LWmYOIbqvUJFKm/cTUumNAOvjI
El6wRMKxPC8k4lvbKNnmCmPiqKRyaCRFtLsyr9xMGI9yMzqybvh2bOJO+aqUa9ImhPppYIbGkBuU
DCF2gFOF/MYIjpnkywdRbp+V3OKwwHPSTrnTDCJtPAacNFo1qZkFDajG0H7SiGcTY8B2ujmjLwpe
l/1NFl4XAQclZsZCvIGLSLzLNtCoL6IFQ/LF7sUWmZtPMQamfKURA3wUClI0Npj89I6gJ7fFMMsV
9PajMYPXWjQoh3v9C5+i37HRyaAZenyfRTD41AmIsLLjF9QSmSBKG/mbdGxzqOYLKcfITqVfwmnR
k5FJe8hooU3UgbMIFnc1F/E/TMApeMxgypEggoHBhFWRPzP98NdD38PEuc8ifZ2YbufDN8zEOrM4
je5iexn7+l7nl/ktbl5GwKIKdMFTRtKcIkVjnST3cKEEbpBp0kYOmdFUWLswxoHjQdgh3MKGRzHJ
x8ZdtBTTGYOPThdaKNBkwUijYBEc8nK7TiMkmGrU0NTcwRkTEzcMRTDUPadpOq4yxjy9WXuGKhPD
HEwQG6YeP7J0JOQtTcAYjVFz07hGIMKLDHQ4GC8TwnYk8Erl9K47e5xh6ppCXMWHFOvqJkWWAHdF
KKSlXgEuFxMBi8II9iW/RIYQjfZIRECD1NxNjTA5agl7Iu/rBubStCqKLkKwie5d8xMnzyghFynS
vmjORy+0V0uMM55rL7ow4hdDJmi0MBBPeigLBBLBjx6r2DWqsyIVghNoIkPCgcY+UkE9aiIvlh0n
LNY7gF/GYkSBmDDDFOBiz94uY9fh51IXnp9B4TN07TAOYMb5Bnc8ZrEt8/3QwAONrd8NKoQysZDX
tm9o0QobAMjUiRu+IMhXgfyQTNBlgfXtNABqWOqHNInCbZHUmEGYOM002FiWjZpe5Sy6C6W/kgY2
ZL+tsXvKaEbETLZbH9FLVkfoljhM0sp4YFAn31P1MCoVVnxGsSJUA1WZGKPYavIfrjgtu7l46KbW
P8fW/H4l6XWQm+mQYhaw7f01mUuQL/Ww32qyD9N8QVPfESOI64+5W2Tpp/bCor8TmeLnEc7+JvY6
U3sbWYEsVsoaqruirz2UrUCvTBqjF5kmKbUXPK4J7Q3zp1RXn2nKIEuAxBYZLxrfEAxLERNSZUvp
R4m1OzYskj0UojP04y58Qfrs6F9srSN5tpBUL4uhLgT1ZTKMdaiXthRCapCl0jNLH6jQR/OjYGSp
1H1J99U4STgAYgnZAbsYlt6EYIzhQZHK7oKYuGPL+7cbza8O+VgdCLF8J4ctWOk9aIw9Rql6Vhtx
5Y+gSam8mLzS6Jyugv8j1ky2VTHxhqGO1q9w2qh1f8I9lphRJfCCEPRKCmDx4+aLDClsESvOLRAB
Nk5ALVB3HNPh4uD30rg2WtCXKsrtGFNuVywY0idBZGfqXhfSyNJ9xquajpBRlP5pffNtig3f5p+g
QY9b6jsuWHF7pZO5LneLoVGvk6yju5WWRYokjVQiyuh7EJH9ggJ8Wi0k5NMMc9QXqxbPwF0faAxT
MOmTDLhChlytQ9JBlkONk6A+nQo/RXA7IiWtsbnCaRlubUpC+WTAu+r3w4JTomf2U5e6ZC1G2JB9
e1fI5CAjID1BRBjkCsElhPpS4laHzaA4olA5GWpf3MpKYz0a5RaPKf9SRHi7yYFVV1AVTUXV8f9o
PoxF0WPrtNiOC9qVhVZ43YC1+l7G/LBGKuwIBunc2RjSRxuPQNKuTYI/Qst75TJFsAnTF54cafw2
+uZXqHXaShmVhVtnzUVqOn+Xqmxl2Ri/a7Hwi+USrAlw0oXWrQOteK9KKMZCWj9TGQvgSMwPmCIQ
SUrD3fPk2qleLcem4SqE5I4ZQoKkSbkSrIx9eXf0C7A9ckZ8U3TNnLSEhsqpzKZdrwU/Ro/9EJb4
rxhk5xWPmkMx5mZNMR4UQzqkgaAuBXzBFVeVCijHBaBaS9fL5r8oz+KCiUoT5rVXzMzeqGzXC6MU
LF+B/4VgU5v+h70zaW5bSbv0X/niWzeqMwEkkOiI3ojzIIoaLFveICwPmOcZv74f0HXLt3yrq6L3
vTCCFCkZBIFE5vue85yeIkbA3LPBIVKp6dUeM8yKOoI7RRD1xlPVqVrSuBr9Vpjch4Ff7hJJ7ajI
E5RCDcW3aTKuNdaCF0HTbIiat2yMm1VoDegmCRvYKYT5ycnpTZbQZn9yLO4fbUgqrUvU7l1LECVt
EateuxH6NGXVQDKQatRQ/Fb9VzHPMfz1nE/62FZ4oAcsZaGcgo2jMIcOfYRMcQrire+z1Jut5BlE
SbROO3q1fBvFCj7Ypk9Fs5EZHSNW0dTzwS5GLDsORANcpVtR72q2iZiOBrqJMaM9pGlSWKxSkTAT
2sRNC87AAKa68Z6a8lyn259wTg+tIBcPGqeS5J5wOFiFuQv9mrbyFLaP1BQ+GGTolHYGlNfnCzRk
TQ1k7D4nHeR7x9YbZvPGqmnF2Z/o1gqVoYJc6JyIpZXz6LAaOkr1SNgvBsHpNQ66vZfElA5CmW6z
wOCAcbGbehMPHxUY/FXoS2S13uKXbV4xd48ns0Rv9QCrzjupYgbfZncoYlW4s5zxse8lK++ayYxP
eAg8an2xHGqvAWEOs79MliUnJ/NSBDnNPed5ttaBR3/Xe9d1V1ONik/S6K9xYN7zwckib1iwGUOD
h72vLq6IPydWkuwaxRHqMga/Ikcl6CZP5oh6vLdapCUTx1cs37uPntSS/sn0vfSjcHzKjEZ7itvF
p5j1dCCnNL/LKmOXtopen6DvMsLI6/gq7ZbGhkrq9H5c6nxNaVzq8L0b1bGGSHbydMPZoW3aOnWA
ywdJq2ZZEUwWTesZt+1guYcwfipSZAxB2H4NBZqKmuJA1bLo8eirjzZpOC7e/nzg6JYUZ7ZBh2CH
2JZgZxQsLpwK19Y0jfWeuwAG6NpCp4se0amcAdCfuy09NSylDDzeJqK4yPS7jTMSDeXPZn7oavR1
nT3nrLbt1WChJhd+qXcdGhdyAu9UYTuYquofE0Ov8sLpnHXpzGlRE3LUoD4igc5f274/XJok3Pf9
fD8LMznlGt3fOJcnr2ubdVn7aAf9aKNi/5EUQEqjs3mylvYOVFmE/1nz6qQuLTixdoaPkNfEESDI
a29biLn6W7o2SiC+z3BvG+TkkPlOP1BlJyvvMEq1aKenifM6M7aWwtcwvVopiUuBmMlrKVFWkfpC
mAS83rkQ2zEHpc4q+CPSjFLU5te5eg7NSG6WUd/lC8VgCoH3YkYR3mAreiTqaleaKAzLqdo3Sbqu
pOE/ixqHyExfmA9G6MvH1CGIZj5YDd4KgyA2poWPVExmxBbDLhfmDwbKbwQFVEt8HoL+bpBcAdna
b2wDxCZIndgEuJoTtANekwWtJvByUlyEDieqS7NwYA3/YDLYYM5yv85LlFqP8L1rBKsdZ3jDQdXy
JdZLfCAfNkRRXZX5uDWqmD6H0YaPk/OugycsDiU1qbvA67yNO5ifRUszZVi6R9Mnd2DlkjrNZ1Ow
rCu3DcAtv8BbigXrKFp0HmkXfmkFRaEYZgB5sOvIHJhWxTQpm6r6xCVHgcmX+EWE/VZbHQxgC+Gp
cHITmbt4t5zhea7pabTOJakLpACNRs4nEZANybfQjfLrjFTfLGiVFcs6VrGEk8zhyiE4E/W31QMl
ECItzv4c6WdV0xAZaF4R0XMXWJG8uIVcFwobFZCw+JiUY/48W+JdlzJ8Z23zTflc0hIQH4EgG2E1
37i/vWUOtRfVBsyyHoqqq/eUMxUZadugit5sAePZPnQDN9TIxszbdJTVGBrOBJnfTTm+/ZaYSSur
dipgEuPCaqgt6F6pQWvChtcxpFC6Zf/um3FJciGqK5/ZyeTXPq7rfh/aqdyOmuEtn+QXUqc+5HOM
fyW9DVY0n/zxEo3pG5TNYTc7WXOuRlvT7zLk2olEgSCn+tIPNsk3XOVFreYNQOH55Hk9Ug7mLcVc
59te+vcMdPFJm559F5Q5xQ0tX0qvYm2YjQZST0xxqvvEzSt6TMZ2WintPWs38Db+7KP6r5oPGgSp
M1X2eiwqbKlgc+2W8S+Xdr1Og3LnAn7foVE1S+xPvk4z7nPUeEbGPnJ4aqgjvbMlM/tYF7mzd1Ee
WKnb7UDmb0KNk9Pyc0ahTOBHYJYkogKfPEu9PmRE0a19IHsBPHtQrpI89oAxV8YxKOyvUWZ4D1Fc
XmeBqZMowXHrZaz2Zo3jJcuZyNvOxonV1q/Etp9aepZe3l6s9wHhScbAD6orW7BSZAW4DV0H/yPZ
gPCsLUT6Pf2MMP5Sl4V71ZSjWTVMd07vvnqI70B7R3he7GmjSuMHGdq7wdEOKzfjwe3qbwGFt01R
o5UYSmveeSgx5pJifeUz7V6q9oXICO11reRuCAN3P/jTRY+jBf+fHqnyJyZyFZMD10BR7BtoECbS
XVF9WetgrskTJERi5XbdG0HWr3HhqjUIdtrLJbSsac72pkpOvt+I1TRgPyRFalmdt+tswsdvDAyk
haTYbDXXGmbxxgoy6hxBqLbN587oiJOc6CbNA6YOsk5xWXYNNyujWfcSL48gknmtlnyrdqYcMXKH
W8XSS/cxtOxNtcTVQ/D76nTqyWoy9eYZaKx0XBJ5Pn4RrXExa+fMvfY68M2+lr46jsIi8jhvUKw0
XINZam/j/NPIqnjv13BkDNQM+TkZMPITpkNPlsG/xZbFjWS8Yz3C/dmpvqZBzoRUauTFxULe+dcP
w6l+BC6GoUrBHR89VcQPt7cHlasnGtXLIqIfpjUL//z4803LO389zSoHJsLt+c+Ht1//l6//+vW5
r9mvX89dTYdx2Elj+MF/GeKRsNjjZXN7dNtA086PdY+v9dfT26Pbz26v/nrzbz/77entfT60GVD4
svY3U4JV2MvG7Ogn0FjxN/ERfz68/fT2fLZGXjIyaB+mVzyzPiFwc9lwduG4/fXcmP0/ntuLzxYf
TfTJzWa1T2aDVDZBzqdNKfOYJu3MpzTag+1nd2k56b0/WtByNN3TrK/UkeBrBcjf12tPM6W5PW2r
+e8vJMtbgJzTeTCs/a9fuL3t9tSgKLRzhvB0+1GkbPs4mhonWycSG/8y3J7b+26v3DZFVvOfs+h8
ikn43iZOjqErXnbj9nJrKnUozK8TCU4IhiHj380OWoEIitiJiQOUrYVW5FY08/2Ue3FV0v214/a5
jWnQ9EQLrpzCaY+3jTm2CCLCop7RN84oRKDOuEX7bTTQWgDHo/oZy+iUcAO3azpmYdPQLjSA2gMb
20cLxSleQFFQnzldlqe3TZYNSLc7tyb/mECNQvbYG26v9EEu5w20yO/pQFX+1++lTcgNdeqcow8c
bZfc/sLtb5eBsZBHjP7ExyHA+x//38//5fZnf77n9tLY0kmRQ44r9B87lfxjz27vvr3wp7/9f335
118oddzsvK45/Hrvn/7PItL7KKlPqWQCDDOL4U9ngBSUR4pP4D0PNsJFU+Kzc6f2nFB6BicFPaPX
Oc0wI6J0+SWxZbV3K5+uQBEe3GTKD04Y12ejG+gqJfTxyfboQ3Im2vRAqrBJIAgoLxAra58QgL4W
PxyI3ce+ohFfp0z1a2YurDgVq2xIBYbjUBOjZ2n6rDy93BohwMAg6r1m59P7MBxKAQuMdpsAjB/i
4pIMDGleJZDOChCmbeKvy6AnFrmhWd/nNcJPzVrEHoEaNDA88uw7cHRjU5dooJgLrLtkunaU6NbY
5VEXOcULAYjUikLIIIBg73qqZGsm3fS7W/yKUUoyWTXKZ9PNH5jeNqsxFQgRIiJguQXve0cSNJHD
4JGsy4QfIafS+LmKDtpiwc0s8rvLKGksdXQwpUWbDoYjJLbAO/bFOK39BNNWbKAlVnM5c2kBxXHR
KsP9mBBK6tKorwW9RT9+CP05JXfXQ0Ij228qSPRmjit3DSf2VIRDh/zUR4ze+MdAYwARrvcxQVbZ
0gdZB0GEg6hD0ZM3FO+NL12XpNs6b96Fu03StKXRqOjoJ8m1qVhsx6pEQx3i1/VRg5o01062+kwW
xxcz6TDPNhTT7EnulYN2nBgt4u4e+gS5oZtWH3EZgAfVcE7qNgjuKk2dVCYRic2ymQFyMD4YdjEe
Kpe1Q0APNmmj+uQOxoU+Qd23L5VgXixZmbY5DJOpiVY0gy9DIs+DpcldIOZ+02oyN1qrghTrPxim
/Z5XS92W3TE4hSmOmAYRlh3IwBxjTOLnP9w0OqX+gHE8qAwyjamhcTuDKRQZHJPUvARQRizR16u6
oRxQIYGZysBcQQj+JFrru5MY+zzAXMGv3lMO4IIJ52tmOM+9U49Xao9mwGQtUSjAQBd7exceTUUx
5EgaxIRrKiEXUbMKyj3j5PrPid2rxzY1fygTF3+UfgiYoOCoz9Ht2m99I8CltPPHcG8EkmXCbMZ7
O1l0vU77lWbgsvAbjI2uWOu1BSY+q0s3ZcyoZmVyprnCnNXKaWkjgW1yV6xpY0HTT9yvQV+HrwXl
Ld8n9TMcom01AG7zqetu/cw/iiQ6UMz8YFa2f6g4QoZnGZQ6C/VBFu05zciU8DSDqE1mBxQ2te+t
UO/b0r9vwqg+2gs6ty+yIyWBe4EJa2z6tyqtP4uSPchKRLCZ/1gW8tqEI0s/jndPXLpiKmh10zdJ
psN9HeETMBtKeEYoUdOgw0oiZOCx8j+FEaLqORcwdUJiWjI8wG3o3xczISWC6wN6hPGV5RqKCnHI
4djfBd3JRmE3YOxpapBKDOdba4DGVxpZgKY2q94zh7JBAyFxbTnA92z0bZLSHuIXYmTc2R6es7ZG
ZRgjlOHYImBuQ+PCnB6An0R0O+Wn1o2Cq9txTw5oC9l2FGxHS37WsSdQw+ToL83kw2RH3a5ZcsJl
6KpLH/pfW0ponVQgMUzkXSOpPHdVRyxcW4IPnC3cs37H1T32PbKY6c7rqUypANFUP/hbNRPpULrt
8NIVA23L4aVqGoG2NPxuWp0FdtgiClCh+R2lKZnD80fpEqNx6RYn4uB5qxrPdNpkLbyT2NwY/QO7
aK7Nxm9RjFL6sMem2uUwKmnjo4Qdp+KUB0MLOg81KUKO3WwYajPEmCqgAWUEAd45jcoOpgVYSBnh
A2TRAY3WQkKge7f1Y90e2kA8VDO6MJpVHzrSmaloPA4NMQOmpvYxlRJ7oQhsskG6rzGkVApt+bcx
BklI3lzOLE28GoI8vtat8SApSJlVO52E0hjbOnfbk2KNHsmiwGO5CwY0x2xRjc+kBaEHtyOqxcZ6
Nsv51CKuSVWQ3S8iM85clyDvc1LO2aYmQIs66QPZ8osAnfTQIiYpcKrcete16P+HcU6OU80X7c3N
xQ5AJHdl71NGGN/cBA0I6cwPCXX741DSWMk0Nq4xtjANF95BjMnbgODVHce31KGZLpz4ngw/9NET
VgvHxMIkamsVkLS4nfrp3NVxeqy2REQ8pqVkTM29L2XeUMxvsfg69WuiRYRmpnx2aGrlcwRF1OHO
nBnuN2e5VB2TFk6SneuBC4iaHbO9eXz3RXUZxFQCzeHTxzjepcCSTfjpVlXhi/QaJZHqetUBXU5W
IUSAAsqfy46DA9yONjM2qOVntxdmDRuvcu2XommDkxeqT1EK2TCuRXfsFoLNsGzkkGCmCPIPoRGG
xzCrveNkj59CA1BFk1vTUTLbQ17CpiaodKMy5AQxOqhTUuXyUHnz2lyqh35j7sZlDSBc1gUV60jd
FHInFr7nbWP+49Ht6c9dXH6hicghJUZy2fG+NZnOjcue60G+GEkK5McdxFrjLUcX+TEb21OZT/mO
6SO5I8NEjLg2NQ9ppBd3hZNba+kZAEhqb5fDRMzqNytA+y89dJ63Kf1tY2tOBSj5f5/mh4amgs6C
bW23dXdM/M+B3Y3zz52yGoJmNu3UPIbLGZ7Y3A/gQM93DlcLi0sWEZUJuqRYNrdHv/2s1x73TQeD
UW3GFCeXlZNhlExpA6tDfZmoS9B1LOjy5bv8tWmWOWoXKejVdJxXdkWzcy8XMusNkRokAWuWXOzG
poWVsGxiVyFluj2PFgrrXFGN8VJr7xh9gq7e7cufZNasfupbLQ+OC7FIL5s5RchrtFW6GsSwkKqA
xR67EtdZXaj70C0YIBzTPE4EqB5vj2phmMdycAqKGZRig4URW1nWMhdTLDl4dtuH2yOHpe7asZFw
hdG5VJU8to0mWN7b9KHjH1QFzcRMEP0GZYgJPpX2dAitJ9oixTGXmpi5WANla97mgXkea71sRdug
4issxJrgPSw7bmMdS1Nax8aK63XHPfSudVAfuCZD5YJOhnXpuTm0AIg3qQ9NoURQWtKtmxrbXFk9
axn6mNfS96OdJEmMEjdL3k0bGT+GZV1x23TLIzn4iOlni8LQH5hcN4/0uk4piNS1zk85+bv477ih
QfUixzoe4wiFMxvqq4eineVupD96nJfN7fjfnlqUFNOMYg6HOwCgt3wHzNz+vvFGGCoarQDp5QYK
3JQFkRlaiEqHXdGheKmY8HoLSPjXCXh7OsV4yotp9kkl1wSQDW9liaeunxetZDzHzTYU47uFPZ5x
3z0MY3n6H5ndN6HdGuPFBEY4eweKO8A3A+681KyBTxJinWySjYs7THwmiIkFREyZcIO8Gp7jxnup
3o2X4kRrSiBSRam9zAVhLsdMiFc4mtxz+GF+Ay/2bXygY+F/CInTudM7d4Jwusp+AFFcLspxR9mT
DmKJL4lWwHRn2RuaINCtY8CRdMM/5QtwDATJlkF9foYnXQ+AXred2EF1DPu9eJof2q8FTydkg3c2
YggQR/QA30wuX7lGmNN+4r9y6MUh/4J5/4QZjSZhhhsc4Y1zjt4lqxjsqeDkOQMpP+0L44R3qo03
zJzrcYcjxLS3ofqKGAZYTQlo9EW+PQKw2kTXjnbcHTZjhBYv5FEv6UL4xBbQlD5PX4OreUadBrhg
gz8WIkFK6/Vbye2MVNNn55u6mM/GZ+voP1OPZ67XYMci2YcjFp6ZMzCsmG/xx+nB/zbiDf84wMBu
d8FZRgcbA39H8CqmBBaSW7taE50eICcnUhIiHovuu+IT5wEO+JnuBF2jc3qK33Fclqvc30h7G9Q4
CnDEorfA2AvgoSOGIaKFtUIeByhquDITY9xAEu89nlFb7Mb3gAzZp+9eu20npPLnCZ+3rrgZ7u1q
77nPRvozHebr+L8giF1/ss7/K++yaxHlbfO//9vU8NyZF05Bkf9koGuhBNMJ5WqkqVIpMkr+HB1S
VuMQp5bEqCmOpYFkZZP8ME7FPnnvjsETlNMU3cJW+NfIXU/ZjrKie9b381fOEOa1aPRIsKSG6azl
lgjrjK9iCTFGKLML9cHPrzA7hxKG6toydqST0GNn3rAzkfx9gmiCMvB1/gHdb5ttszcoHPd4QPfl
a/8YP2Uv5WtLxWFlruvv8RFi7af0CzmU1q6/pEfu/egwBScsxvq9tZvoSOzcRwYztAZ7ZDPYqZFP
49u3MDZNO3NY2WuuDiKp1ihLZxt3VPvq3oNhHqlmk8C38brt97r/5rxkZ3C84Q+MCRga3B84oNS8
ck6s0tYA097id8SQ4ht1a+SvwzONhZeKLx2rDaxiXuGqhtdgIOtHSnbAMOuf1SOnbEv78QmxWfUR
iYW+FNsLRgm8utSGU47fEUnUmxsxyd6n72j1t8aj9QoFc+ttgu/zu4Ox29pFL+nCaTQ/aWsTnbuD
2Ic7+4Iv1P7clCvsUxus9+0jGEAEz9lH4lBnXC8omzbInTFHcp26uAHe480qOuQKXCtxwXfTw4IA
eLHE6jtgssjdMDtYE7q83gOzBPZJBzvEQHjqFuPFCZ8COPWNfKJZKUNmOmdK5NDFF3oDpy0yvsu0
ZpaxNqo9RIYDHzHYWlf5LcsO1X78whKcXeUGvlPH6m06eW+sK3fM3LbMzfcGjqH1Alq4vKnPKAlR
iG6O8U5v/hRU8K/O/AXu/5cT3zGFtB3X8TzT/ucTH5B9g6LLHC6m7i94lsL1MsZwen1wvU/mojC9
i6B1fcY2g7IJo9EHHEnNQvxetMr/YWcIQvjLzkjbRvEsbLIPfr8KVdyOTu31wyUyqRXyrxWHMN9M
HCIQbThsuH+s8dnF0DHogz2U7UNAAxeb5Qf8I9HDbXf+f97Ff8i7MC3p8M38zz+imP6Sd3H5PvzX
W1Enf468+Psv/ZEUJf+mlTS1q23p/j3Z4o+kKO9vriNsFiQeeRjCMf8UeqH+JiSDsBCOy2QKwed/
/9cfoRfib0RIWcpD9aqVZ7nq/yUpSv52otlaOZZNhctSQpE95fwWeSF7p+qFCAhEFUH60IsUGrzJ
ogSL+dBlM/gBn0hTjzJ64P8ACR3s53TQ6z8dtH9x7cnl2vrTtXfbC+1JwWHiWEj9WwIUVSFjrrTM
D3nqVVv0lM9E9t3P/SQvaiaCesrq+xq/Uh9iNAtwBwSq/TGNJTI3ItbvbBNFzL/fJdP96y7R5zVN
F8kFk1r924GpDct0Sy3ygzmVgIpSA3FGB4whTd1vGRX+azp2+4rl4M6ygndbEYndEWS1lpqsVmU8
+bnrbrp86NDZKJ8/QFWByj9tUWGiYRPGsCstPGQ0AYKNphm2LmBhIWzZD9Svj0Ywfvj3n0gud+7f
DrIS9Eg8zQmlpf3bQa7oxoxFU+cHQQPiZLkjxGYaEpuSpCKr9Oy96dcRRZzR3MvSpjHAjMeihUHo
D46Ll6hwzYfc1B99U3j/YfCVnOp/2TdOdOR01nKRLOf7n2cdbdPG9aDdjALK8LTEXA1oMg+FcKZd
QBAbhu6wwDRXvSk0JsdUmcQ+ICpLHe49lCDnhwy7tJj+43795cR0JBche2U7nuCL+m02FAtjLM2m
9qhRHqo2Bxkp8MwpdMN3pczPLTVshFjeZpZ5vDOD4bXMhgLpGuXvWc3ynkb2fzgx1fI1/dPX6Cph
OdpUnsd3icfinw/V1EgxB2Qc7q2Y+HpENsaJXM4NGi3j3sPu84xtMzGt4LEa0vgll3A+FJ7S2XYw
v9UI7tH8jJfcZt5e9AblxDG1QQ4FgMJm8bHGIej2fg0GEHpDqg0X0ZMNqW2UTIkEgEB7m8u4vpfj
Q6zpkI1GoWhx04OORmMzaZSVvT+9F12OJ8rwRhK8irPduD1wsOagrOItbFuTZTXtsBSgjmU0F2uo
jW1R1NOlJolswl8a4woUIeXb0S37tWvn2Hy6kRgCr45ALbNsGPIBlbepX/79VWLaf71OiG+X/Jzr
ntwh0/7tAOcZVeA4a7u9icCQWlBxsQL/VOWoP83Yqg8xRh6c17q/jug0xhzhxZzk+TUO86vRjeBW
W9A/uTQoFPXQFTIWYVPFAZq6b0NY8Nmnyj8h8Ic97rtfyyqOdlE0eRxfE+KwTQCya5RvPjDAMKTa
kY5msyt80z0Opn1NtPniTSG60MYVF6Nmc3uULFG0rdNde1riKytE69oQj/Vw26Shd6EpVjD5RPrZ
OcXJbfInvsbukrb4hppWyZfezqdHIvHIG+mueZtRcEpm+TKz7EmaOnzwsC5RJBLGhpNnXoMudUxc
IapFUF0KRRqIxA6piqbahstyo8zjg23PyX3rlRDR1PtEDZh6vQzuzTQUGMQ6UoYtd41gJN5ycUd4
zWu44JQQzs6AkfmMELQ9O5q9p5YSIatrUHgGwWPGGs1ouj23tgax5gzRvu7lhRYPTYfp4rjiqlWF
Hbys9VqauYfAuKoPtircYyqQq8iilAdu7AAiRNbfDTbVX6lZEDth1ODkocjQzug1Q3tc9L3bNOus
fdL4X7C6fdBlAa1/+Y6cNKxXVWix7sUpsLUsYMsh4uagYjEwDkqdYwx8VmZcgrKlLGeQNs9d9eBV
bvTothrnfmadQ9pIj77RR48ixthbULm06gLGmFHJ5y53fUZmjal1RD1tOsFZlXzGSufTZTA4W0yb
UmWXTmfTjV2EPjYuGlp5h8Kqxa4r289RGwDcHCUIKhqriJKxQSZqPE4uTEpr4i4fG9iKdU/lxhnT
+EwTNT43k8AhPYSXZHZZc0iWXigLGWb1+BQPOVU3JZn2i5AyaG+XrCvoEOXIRsjxseZrkUfi6iMg
i6I4ot/SfRnrii5lZozXvs1ePQiSc9da+1mO1pMtKuMhGmzmGzyzbPGSzyMHWRbewzThBigb0OMp
TpHAcx9uGyTz0cHT8IVuT2cv1z9fSBSfAyUHjcTlZ6jOB5cRatxlZjGfb2+2wICvlc5tpBBAczJX
IJAImuCxXjbpomPnIiHcYXk6VQymqMHHe7t2drcf2SIPAeZKymNwvAmrDrHjJMFzkgOKDihqrhhg
jKfbRsRoGNJpxoXEO0Itun2qcY1Y5T1VNud627QmB3Syp6+3Z1mt5wsfDzOjZGxuemIyojB9vm3G
3n/TM4s2NLz0drp2RL8dC4xWrQ01KcuO81iVVy8doICMXvsc5O6GG+x8NkpEBJ3lvcqINWk2NMOz
BVicju5rmWfuPlTutO9Ye1D6RVXVdlSNhNcYl65JOoKVzGI1+lX5pumZRM63IUqiD+3ESSxAC9qp
epUK8IouMvcgbYpUXWW78CXGr2nR4ajGleaaBOhY/XVR/nfTa+e0J9vpiNEI672D6jjPg34/tVQl
fU+t4w4DZ+rHB9xaHjwMVjfdkB5UqkD1Da1CT69oH1Briahg7xJUdZuAzHh6zLBlvWqYqP8l8zbA
4wqgMpEHUUY/TIa2LXJ+m5Gr0+t0YJyoTRJ65G4mlRtdeb7O6tF/DNPsc2vRa7UZfPcZ4pC87lim
I61cG/T/GtFnO1GS/WJM5oe4hRvG0FVdnTB/jMTw4o+GsxkCDwCZonOGews0auqFG5xC92kYdT+P
ZmrPxmGmhSGVaR3KxCZpI/6ouq69IsBcxxgaf45PM/7pl4lzuW4+aWGUj9ypLpk1DycvAjsl9fjs
OkS3deo0IqjdzSk/ZepO/icGluMwjJ/txp63dtRcOhMwczcwSDiEwNozta+mHJZkynkfakpM0qLt
xR94C9L52QkC+xwFjbfJc7ILEsJQxQjMTHiRcUTiGsqmXnmhBMIZ9Fcd4OFpgbO65TzeJQJzTjXR
+dehu1fpokOTmrSDOdnlPrxWW4M95aNN2zkjRH2MqBwYYT6uagPmm5HXzFc7WsBUf4e8K05xb0Gw
jNrwTBvy1IZ6ONvBxpL5fJFdf8qL2Pg4z/vJy+z1YIbTXtOq2VP8vsydzrcsyNKdixpgaxvhcR6m
LdFuH6OCLCA9wpWwEG0nQj0nwbS2OzqinI7Ga9BhLQ1Hchu6nroXzoCrrh5rFUs0TzTK3HKES0JQ
ILEVmhtrP8Mbr5MDIbzLjUCmDyLTztFL53soxqvAR8ufoB85ljpjBh5wZ53KwiNiiXkA5cWxJSDQ
CUh1mZveXYkgj4uvAkX5WgxlvLe6kiA1s7gI73s40FbwfesTkxp1SBTYpxhEViUc62C03oPsLPeo
JqBfuZMpEiXgYHSuNT6hGJWn3LW5HesW8bqJlUK0Y33FFE+nO3fsL7gyyrfIDV/7ZFBHq6n1arDL
aN2lmbFaAn0piwakG4L4c+qSLlVKBSnqk4OonEvV4+lFtZzjEbozmgyiJW6IOCuo+63LsixoeJUQ
RNxCr90YtrN2fXw/y84bbdA8lp13X9BuOooKNomaCgF1JRL3HtxcUueB1HoveACQ9Wd9dLDaRYGi
7XCvovitCifjvk2aO5tPNhk16bZxSK6wHWWnEX/G2os7tLjMUauuhx1qVQ8pyvf92GwRXpWHoscC
1Y/fa5UX97i1wer69Y8S1z0IDW7gKEloYuOiQj621UGBeLGwrCM3tXxj8+WtPIl90AnyBb4ExaRp
GAo7f/xo9tTew4mPkETwFzHqGbDqOZuWv9Fig4WiKom9iTGPdAj3vTmm4WIGaDXRMZNurDZjgLWW
cQXraeogSYYk6JfGOV0ManONs75r3A2nCY01Snax8z21o/kathszwrJmth5IBWSpqT1pelIdPMFI
x7uIWgVmTUrzXp++dAPspUoD46yrExA7twitl7qDjAzSMBu74qM/DyXuOe/F7Hz4lUs7ZKjgpuQQ
tBg36q12dPyhm8SPWuGc9Sc3fqo7PBrNZH3peyhCswTELTHDrZCcLfXZvgQLx/+TKi7dtku4NbXx
xWlc5qYW/RAjHJP17SlxIeOZOwuHuNensOUe1atkfO6oKCYGfTCkH/c6D4dT6ages4zj3zNNNelf
JdknGfpXg8b+d8ttDtQe7vEvwBq1PWTcWe6cTO0pUg46UmJ6k8BJyQXCT6JhgHVrgt6ssAFt4jTC
WHZ7pbz9Vlee6h6ltZ2hi0vzaDjXXVCu0R9SDM7a4YRCEZINAt6NXZs8NfxvnsTuPwylgCKdfa5Z
kJ1QdgXn26Pbxg2JRRyEC8MyKKhmV4jTTx4W48rsF1U1v9FEyXGswP6RjfnDbc1o3YvpYqCOODqG
Y/7c5CnfXtVXWGh7dwZ8CMcHaFe8VqJIH/QcvYkqnraGuEiWdI92dR1Tx7nSpoZW4JdPIjXVvqKC
gxJpKp9uP+vUSNBO3etdU1oGU2lDbuYprJ+KBKBA21bX2zMficbR0f+HvfPYcly5tu2/qP2ggYCP
hjp0oE1vqqqDkeXgvQ18/ZvA0bspnStd038dDppMJpMEAzv2XmsuhDDrzRDIQtgdOIyJknZyGFue
jSOgaMzH1DHMR5XiqkqzJt5GTPQ2Dd2WU20CMMJNPt3pY3ft9bB+DvkbnDaeXOGF51LV+dGyeDlN
I+qrJ9NXEYzuVXTeybNGd2fpFeHnYSSeulToTxE+QavlBQadJN1s1NmBGeGe1tS4Mfrl6+MVe6Ny
j2w34Oiw/iLQg7Fta9q9aKV+VrOunzGYMMZZb7uVhRXZIm3Aw8aasEG6aMrz8OQSUNjSRCPsNHwy
e6/xUdcCpIum8TxQ2PWoLUD8clFmHj7gz9uRwvnvhUzODd5nTpnK+RWLFv6RODouIdyb2kYywczT
5UsEEBrZ+AyNN8+ZxfIbycWNwoaBdn1nBDOYhtj+oukzXwdXL2Dw4TcrHGJHYi/b92F+NfrsS1OC
DWv08KIBhdUlQwqSTWEg4iWdVfioj0Cc5viugSXpdMYLFd4xEWgBY16qEhbPnYOiHM3s2nEWwOsL
akJN3+oMMU5tJO+aTpjHjDw2SWLypNh6NebJpEYboN2g+ChxIuXyB/SJD3dGHe8N5INFPdPVrzh5
kY8UBCeGL1G1+Da7pPSLifkAMB2OUnwTAiB9YnWPFCfv0XKGyawRW8kB1Vm9q2ow2skpzE5Eej+k
hRP4RAnBJWNGIwomxMFITBijMmwn6jS6LQaI4ay3+kdJ6mU+BvugVpBUJ6oa0bjilJgLRnqYjoNl
pX42aOKIlQaZE8NvXBoNdov+l6W5MDPt9GNK8SforvduIAo+QYOdAip0D3nciVYbwOkMqoUgUmtZ
LteL3N45TeQcRSJ/tTP/Z9K3hEM56O06eOGW/ejEDHs7soKMEnqgVlQeFHX9MA6ILFNT03ZVQsyF
oz1pZtQeynpw9/Bdvk+yp4hf2jv5kmvkvemG1PaB40HJbScG+Qo2ht2EIGkR26IOA5k5sB0qc/E7
4K2uxqDYzRrnbU1QCHRp/ZF+NWFyPFQ6roqwnvLD0kEuqrn7ycJxzzJEWotpyHtPY+hdjG59NPPy
92gTWxIktkEQlbTfQse8kzWq67iTdEAdcSYdmVhTGZmvjqy+ND3qlrhiC2zJIN9GckyuBmKptq7c
x9Rdqq+i+RYXZfXOR3LTsuANRyHQvab+cHqGYplTz3472vHWGTLwl1EKfJ01hE17CnscjgzueBpm
rhndaSC5u9ho7ro0I4e+094Glp8iZteeqMHbM/XHnBRUzQ6dRIOILIiOOHSkP+tPcr7rq7j0W7eq
HmPm8zacy7xPnQ3DJ5dNuWP4g2AOXwb5dcgqOHr9qy5waeqjiRzQwgiENI030WguVt3BaWmg0YFJ
QnWu6cNJ2t23gsbRZvTaRSsTHVj3WL9s/d5EG/0Q0aAuMJ96yWmwlP5RIUMBCuZalyQDL5Doxbea
WgpBnfeozw5WTFDOqS1s3xNwlzIszod0HHCvv4w0lY8abu0dXWpS0er42bUWU1/gXfnUBtih9JMC
Xbp7L6WlnJQ5zLjZuVgp3/6TO6X1QQzgRNfzRqgZr1LZ5olC4YouY9ylLa8+s5JHRKTBa5kwjazU
myvNcVeETMZ11dc0qqG0zXFS7NBYPQoN5G4xYUgg6cQWFZJ3Y8yQSwOR7TmmN2ZYk3HW3qUaQcUR
MiGQT9S0sR4EbIvq49jWxjYoAgAOYMI7Jr5auUB2qsk8o2nmvIlk5RC486tng6uyV8HLerUVMfyt
NkCv31XfvD5DN6G/lIU8aOkIp21clDhVnhnnqGJPWbnWLqu/o6n6ntCMIOgsAPMwGLZ3Xm8XBoDj
KI5OziLOqRbRU7NcrDfXC0vMC6723z0cLAqVz58GRtIipYuePUgvoiIneWCGnCJlaa3MwBKlWVhG
iRdCvC6PzfIDdKbOcwl5qUa/3khsP13k1uf1YkiUOKifEXtwZsETxdo1yPr4lGk5pRexHkxr+ngg
lam6ppLEtyLH0JNV+YfKJ4btZgu3uu9BKhn3bS4BOM2at3dTTMrCiaCWh8n8FNRkKMNiyQ9iDB9d
v2mD/Dl2h9dG95jtL7ot3V4sO6HcTE1jXBRCYObDcnSf+4axihy8dx1b9YsMVPkyu6CtwmkTD+OJ
gLb0jLpaEVsQ1zvbxcqUlihnJa7pesjO4JyAK3RQcce2p5OBF2C2Ao2OdpeT1TABpPRMxsCSjO+J
hatCSiLL+ScfNoEWg2afrBFjqGcQSxpX6osxdvJujGbTz6RTsVHcIl3mbNy0JTtAZQESJ2gyyuis
9FlY3ttJe/PKsrjUfeFLjmTS3YgxHkpAl+YUIe5s9yjy0i9OnjeXoKDZEMRtgTNkrq9pBvJQlNpb
hWXm4FIjnLIuHB6lBh6C8UMHuzDy3bnzhxkkgwvwyucrAG0nioq3sgguRZEgmg/o3qHhG+6mPMoQ
/1pslCSuUYrxj7Cix4MFr3Qn1Nth9OgEsfsrj8bd0DVbgzXmPgvM4YrItt40OuN+q3W+54WJ0beD
1e3qNNLxkD7JiYHO0NPkZUPt7sqQwG9DG8F95wAh+gC0xVywdCgzIxFI61pacxAFKvI0ELj6tDja
cwtyBJ9F79yFdZjRD8T6qTk9obaNFu5UK4kbjbPfZt2S2AfjxqmBFIZ4HFIxiBeabeeQhgI1ilQX
mx2cMsvouekwSS+33JpxXJ937l3HjHcz5bN2bKy+21uqeInYI5Cgyy44bCB/JR4RitYSURmQp0GG
oPY4hWSr2u4taeAe6Jrzo/FadbK/FVNHYmRM4u5EKIitG5dqEYe5UpBCnJDO21SDexub/OYlRXwV
Gbkgrj5dmE6WwHHVbRBJ/2jkDsYVSmIry3clHd8HOEwaRDBOUmIC9+D0T33LybgNYcsg+vzZ1vlw
BLCBjJjm6oa5VXGAMBQemyZCuIpcwJ3i9mZ66bhLFoighi1pTFVz7Hv1NYo6SvSxEXdrWwoQms/Y
yHkS+kdt4sotSkgEqB6/OFWK2r6KzHMWk0KkYCb1hsExNiH/ScP5DapTcTTU+MynpU5OIdkDpcN8
KIweVo+noP66veGn+LdJBooeWSLQaiVyO6d0h9uSn4/M5l12LtHYjJFqpZPklXVX2pz2dRJf3T6/
L+y2eYxm7LmFEwKQzdtNbnFKa8YWqrb6quR4JxHNX8O029u8vWdQHV+y2Rsvg+NcEiNx7gCxvIeF
Vj70dQAcjkQIc4TDrU+MbFLl3Msqw45lOPDYwvZ+prUdukxsrLGPD3MJxreL+ycsYnTS7Z+1OeFZ
N0C/hRrFdoJftMW3wE4dCn+tedTHsOFG0/UdOBO7CaaKPqroMmt2jJN5Qvh5LBcXVl5OgP7rwSDS
ik6aRnJx7dlAmRpzp1dVtF87B20OYT/o4BdJaFqNOxYnHClwxPCrHFXK24HY5C7OPfdr86pYlO2g
u1fG0JzVkD6HkxHfJaoyLmmHw7i2gN8oSL5pVJW3QNsKyS5SGoYD/x4LlWLjGdHQG3tEX3PL9p9W
cfXOak8VjpN3NhPScOeTiskoNa34ztGYNVMkgZ/Sm0C/j0MqIZfJ00PUshyaTaddk0bjSY3wYbRp
BkzNfPOsQBz7ticwik3IPlysXc7M+0dh61yi0usvfSlfx0nWfm00ASLWArGOpcDpkNksqs4mTKOX
AxOVxLhMQfJrgBRwqLJEOxf9U4wD+8ug9C99xxnWLebCB3qh0cm2hF+BrDiFfaS2EfN5lTMaE4lj
+iWqX0S9+nDnTMyAKwq/pLOuc1i5JzmVb5ZIoqu9YGtUYRBpXwX4vvN20e1o6aPHU+xib0Iwb2IA
1CO/n8PtMLnHmP3/BUAnej+pnEtJzRh0NI7Sweh8drj1zdbQmk8RXVO7FLc4ct703OqPrFVvjCrA
9xQlUUTTUlqIhoGv4bX0lwyOPgNYDlSccQnZG+M9ZweALn2Y0jgJhD9w6j1bYPjOlZUOvhWrq6Cg
uJrLRYwUHqBFfwlgPxwqnSCcnrHUOcbMIqtYvIw5gPsAqxfirgud1PwSmngS2lH7nQUYzds+qF5M
y8NuAKXD9r7qtrJfWq1xXmaa/t1ICq4+dDfod83VBvvpjvBFxJwEuDA5AUj2iZ2q7Lu6npnneR0m
PBpnF6zC+SUKF599E1rbWtSkimgGG8R8umkJJV+kW+Yus52e3Jcw/uUkKC/7yLYIKM484P5veVgy
ORAJCWBuikfQ4cROu9XgapOF2FXTqsIIz87WaVkweIET9kumAmS3Yd8fQpp+bqIgGGmwSxP6Qs2I
zftYwcpALQbtqURLASaT88tsBGTVWF013kW2J+BpMogfiu7VMGOifsYgUUy0GTFlhTneQgSikiU5
bd37pib5u1su1mUn4xuMDiU9utM9Q0tq9brzijt3GVNbk2hv9nRvhDZc7IQVPikQ9Sgl0vtouebG
sIVKNt1FNzrHMQO0achhNzTIpMlJvjnl0F6tJPM9ythL40wExsxpBrckX6w3EVNWlx2oNF+LJuM0
aeFW1Cyy4eYiJOuim5LjmOs3UAJn2Rb5RY5pdML2Bu03qMhxkMKhGZu3flbOH5ELal73ctCOIr4V
XaN/Dcy5QFgI2VWfxUPfsvHP875Cg0JyZhvXhW81pXau9OzbKJDkpaPEwGAXy9Qcd/6CnM3R5Otm
+NJ0gobdpC6hjesnSlxSMU3vh4qsxlcBTEwtMi4Rc6Ovkx7uZoeMnYaS9E5UYXCzpgSD3xJmRAPl
PFDqCSgT39OxPsxxzvSAIrTw6P7lvdYw2zTo7PiDCecjr1v5AkXTlxFwDmrX65TRTxhy4yxEU9/X
enlPi36fpkb1MQ36Lzvsf9hlUR4D2aoXaEAXWgsvcQUtaexoLq3Hw3pkBHrlW5Qc+6ojTsvI8+CU
hSSccXBzxLfpq9XUOrlqiAXawmoeC3amaqEg6SZkz5pWGXOob0NEPIvgvEFYVNFcw0S8MADXd1nB
PGdg73ags8W2j3EngPj2aUhz61SXdCoSXEGboSmnN0gav7R25q4MTiZ1JiFmPVVrMRuzvy7CZslU
Kfao6eyp+wGiKr7lDf4tBcZxpwomm01iaH4PzfY2t+5bVJbdS6FL6xaZxltaPzrM/58dwJIvshF0
qIuYSKlEIhOQenO2IDPqtAW4ut42kTX9cW1WsjmvNyNlIbOKY8m5ruOUECfyZFrSnYkSBfaxXhTF
+C4aEC94CXxLws7v3YrJvY5h7u9XcX8Sr6RuNJv/0Y/yaQwAecvZAxNCsOMrT/DoYkjxbJrJtEtc
bCl/XC9i4qbCxiRow9AycG0YdD7NKdKLgQQ49UUA1wCV1f9MwVPsk1nxBKtVYjWprNfE4uDXpPOe
rP6U4V9ZVWqX1SjCrbZjrlydMUtX59Wvst78vLDdKN7XKbPa1Vjy6X35w/Wy2E7Wa40ld7Mbkm/J
BmwmkhMIoz2Nb+uD6Xrf+gSpXmKZ+XSqfD5hWiHOQsz4VtMjPZfOyAehJREQ6fX2cgFoAt4Wooxd
MZhA0LOi2LYLdWA1rqzXPm8GEYiYflHwLz/xef/69v/pvs+bnz+HDwnF8eczZyHpUcwHe0p7PsDo
81Ncb//hMIrbkOQnW2dwGVvnwAJrko2RgxvZzhFkyNQfR0/SOnxef0CzvkvgL6fJnTBqy8WztT6v
OxccHevVYDFtrY+s10SE0FxPuh+fd633e8uPrddaQFO+csvT59Ot9//xnICDiZfFRrTLAQ6c6eB1
kDVgEKzX1ov1gT5mB56lPUF91bNk+HnqKqK71OBkZBbwtcrqvD1TF22M0MwQbGOHwte5fLb/cUxk
6WFYvlTrN2mK+/q8XgzLNctRgDJmsgS1cAQKD5fobNCep6nHzc+L9b48mtkZAipM0i6AwZHl5X79
R8KEL8l6odwm3IdpMyEX8YpXmQxIndALZDYDZHQuGHLQNUUT0vnm4DoVeR0x7T6pq72Xu74Jm3ST
ei8ayJ0N42Y/yYuJUzRkmrr+mcfRqyiKJzOlBQuqUzHKx5YZ4oENBbIDBevPNS4eKP1Y4O9T7PA2
jA5fs9i4z43EOxgq/elJ9jsMwl+dkj+Yd8tkke+0VpTvnjJPQ4Fquwgi8rlM82ZxuGG4RKgXwiSm
C/pm1PZ9ZyThNbTCQzQvzeY4uAapE51dXuAGn4xqv9OLY1bOYHSDACytAj4ZnhBNxqZt4eJ2xA3k
wHrobnb7CPQhopbUOQWOeQssC6tXf5uW8WrfESjgJPe6Ky+WaoMt3bqhq5mR9mpnt/27lTUPdMz8
PngVeih2kSK3zn7vnNwB5CRPbZj+YLXGXD3y/4SwIjQPvVatfswAuzQr5+NmMIsP3duElf0KMupD
wzPUYnSYXPCRHXMWJV3iMQTzgqBNMSkpJjiRwWZhIceDp4/sHrNSn8IfhNLf0wO6gWv8VseLra6H
liyM6VQitkiY3Aw5e8sAVwq0UewdlPIFJDW3wlkgd+aCpGOaQ0PG80g4pIFqYcZa9CgzWzfRIXXw
njOcFMLknWvZiZ0DYwD+QAo7c4XogJGO+bkUX0vHNyTbLDOnxAd1dmiH4DEmjadU5r4E+G5JAJYe
dc0OyNfAnjZrPdgUBdRElOAbyxQ+yCN3M+EvY2JFV9IwYgJNzGfVGXIbOCSLoI14okV1439vwZDF
KIpj9lVuzLvXwHJP7NnAMF+88e38LUjjmumTJi0Dbgr8kxVycAlhHIOZEOIWFug8xKT09joWHlih
8mSIhphYUsyoD8sdffnNdAi66l11EOarMiZFZsQb5uk7FJLBfrbdmn9YPCng84ET7OzxXKVasW06
3uO+0QkBN3LgF0Ue+GDsjuAIp62Ocuega3V66KJuejUy0ikX2smeKtnwi6ggKKUuh2MSTnJrRZ31
MqkKVZJeXGYJItvLc/tlLkT7yFT9MC/bhvWuMJWbBpzak14ojbOQLQGR4X0LDPuWzx1QtwR3Nwih
jIa34Z5Ce3JftJ4IYTMI9ANzRQSddvAyoS4+STaJm7Iu+IKa0CoKxwbhUlrGLuA/aK2qeLScYn6O
gFuV4FFR+gRUPDqHjUTjh64FvZLJGI3ORDu8TJNK7gZC1DhRDC/rRTedoTrqzwkhpQHPlNTmz9oz
JXusYHxxLVJtEz3kVDj/yuK4h6o8xg+xqXmbMT+YVWCwVmVAF9x5+Zpo8VMYuefIMq8lg1lvsIcL
jBxmBB1mstwlnNl0n0BNH1Q2Dw96bzzXRfMj0nPJQ3CcJ2UW9w6+XDbqYgS5kZqsGg1imxIkJgjl
ap/Lxi+t1rwT7OyGsuguCL8/aDOnC0qKDiZCC8pFa7y6yVteJQQwFkTrBfAwA3z6CD26jTGMcOA8
SelUURZm+q12POtmGwp4iYFccULXcHA05fBNTkiPqxyo9xVWxjASV0tYj/UwMF1ywmlPuwqEo/Zu
ToNzMzvvOqG7Os5zHe/ynFBPnBLVrokhQyHGA4Tdd79UZjyjrIiAsLImB13+6owXNbfy2Y6IFLLT
91yo8RpIVd0STTytqpsaGEMZl8T8zA2uW/78f60sFn8yGFmeh+rKharpGsLRjT9bLebBSGTsmtUx
FV56HAeG3l0eaBs0g68eosXnKW+bXTMrMAiIOyani/+bl2D8J7cHr4EFVRe20BkEmn+Ss8uAEIUE
Qf8xx2PpBb1x74asANoYQW5PvK+ZQX2OIKA6yHKI7iwZbqWRE6VQwdVoa/iFOY3DyyI21QeR3w9e
+NIxXD6xXdXvFhXo2o36r9+41Xn1T4r35Z3DlOg46PAtVO//rHjHzQCOAfj2MZWds89s4Z3CISAr
DpgB4gXLtwfgu9MgToOjIp9tU/qVFHthpd9jGM4gF+XHtK+EF313DP2tpJlD88f+hUDFtli/KIHp
xjy0JRz7PAak/N+8/v9kbuD1SwMXgScd/o1VcP7j4ymGRv63v4j/o9oEz4xwSpa6gtLdIsY5xrHN
ytQwZFP6CVVGQXx2OxzmzP0yAIS8CuuWdHLJJChJoTe86+h9t9MEeILjfZFLB6ROqq988x6Sqar8
qYKV0uYRmXOJdWd1Wf+HI+3/W8BeVPXrb3/5oMordvFCXfrR/aObC5uMhxnl31vATsXP+KP4+Be/
83cHmGf91ZWWabuGlN5yEGDo+LsDzPP+yibVZdcusEr88VBBVzf6218s8VfXlhz1rmvjSLQWm8ff
HWCm+1eXB7B/mJLjyna9/40DzJSroeGfvl/CZC2WDk18A2OJ8SdjUG/At5mRJZ1IO5sBGsI2ReWT
xPl9oCK2pVLfZlHv3rXJhFgnoe+JdAxBnoDYAcYUkr3lWzQQdpEeM/TrCgdBS+bnvQNZtfnoGEsg
TDG+Oy7kGasQj41jWOchjT9qlL/In+DPlpbHiabswx1Se9hROZip0Yn0K+e8/VxSbNRF25666UsH
cPmKM8GvenO4qDGEK2cQn5wT5py7TAAQFlxlVoDCV8N1ANh90Ess+5mn32wa2TvNAI1c18l3WLL1
VoMDs23RUBdBS0XX9U8ahXwjqbzceKCpnttMhcAFdabpbQMDj0AEUVbZ7rdSY3KtcsHcuMkuNaBs
fqT2y3D0tRBlST+I8iZazmCMdhMLFKljf02oyt1cr/bIQX4P71IXB5uMEFrZCS0TK5U7I7L3CLxc
X9HH3DpajRo6tHiLJ7o9AD+PTGX2mRxNrPvkEpdVftKHj6iXv+jRIQtzr3mWkhMr7rH0GX5NAsts
jfWbXRc75peQ3bvoFoipu6PeR6O2jAni6AFIZ7ZntfkeUozdR5Zjb9zUqY9lqD9rz3kkwkPcknlu
wtRuuqI/e5EgQriQdzKY9Me6/5109wwJwveRVJ9dDgtlZ7rGj95yca44/daEdMyJP57vrLz389l9
UnFl0B23nPs6e0xpjbjMunZOmo37lnbDQ5tRzuXdIl+hp1yX6U+nhow7zD1yY4Bp20QbQ5SL+VM5
lIyJhEC9HCOYTGpIhMI1H1sPLVkGWhQrSPYjKGUG1qPynQIugBhHY9cyEiYkQXuNMemvGrQoyhC7
s584xCosGA/xogvSpdu3ciqdE/q/p84cCDEtx/YUuKLdGU6FEqLZyxZBgWbW4E9be2fYiqJDH8M7
9g1y3wcKSb3uPI8MoN/JelQtYR4ZGU1VVlqHQKcdMYQWGddd1u1m+Kez22fEfQCvLvvx2GnxW1qV
z2RaFLtgghZutO0BQ0m7NTh1Hh2pDDJjEY2wW9RtpAiFqfVAaKzskETznYPLerSml34guiJgB0tx
rE4Jmy2v13ScVJrfhrDG8rK+x8w6bCfURMRB1kx5XYR0lH/w0eCm5tmIHjGPrrHefsSz846iU9+i
p4QI0n8zkuE+USYxguicQaBVT+wM7WtWP0K68+7SJCJOMCH93B6IYBncX2mIVWXMB/aSg+ELi0Rm
1L/ftSw6pOy8fDnnPxgd3EWmRmDq1BxRseZ7o49YaTQ2KTbQBALB4wIcWopTk/pHg/GdOIywLARj
oyovdu88qEKPjqWFWW0ARXwY4+3YuSCd6+5LoupL0hO6kLXlpvfmHwWpSru4d27gRoJdwQn2MIbd
Y2/3v1I9hPBndBYADbVzbbYJAQPITWe5qItc66m+mbxdFkRZ+vu0G2YTt1h3NYz2LhQ6khaFl2nA
SJ7a5PXNx9QFeRmVM/CPigXIskNvL0gcQd12w4NKbKPDkI+ooDNsQAvX4SKPzqF+9ONVcHQg4pso
LCCYI5hiklvUj1Hhqu3gMahg+zr19tJvYGknukUDshHtBmE+6ZX7FQAXEeWUEqP2nhlMMVEovWuW
gc8ijkhlHUEdz6n1qEkSsDpThV9SOiOSZhYq94I1wilfIl1+iUYGBeCOq91soAXF5/MR1sYdbpUR
Ll755imElO0AmSpKGU6O8S9RluOjlAWB7LP3kg9agBq/857LeNyEcT76sFsegrl/muIcTIqjl3vR
dONZso6Lvqh3KYxYHCnMUr3foYgDNFD9a9WRlmHHv7xu6nzQUOjUcIok2mT7idV/mWHdtrPzRVbJ
jaScJ1i1T51e/7Q8iAfxkHcHd/TQt3DKixUuUzXdg4w6eIJmMMog4oy0ath73oRguffDWWdDBJa3
0u/GNq7ue+G+FnjRbh4aTfxGEck5ZFjrFqwaoV3NFGxGytxjonDzZxH9MudyuibubzGHxPHIE+lG
qEcd8wQlbF8kon9EpFtu6/neDJDJEBRHEyPFvgdLjXchUceGRiKKPYRm8WjfJ+iqNlh4cHhmSyQZ
+oN9a6OFovkxTe5zOCoUF7p+7yzuo4nmcJr18Bh61C+Rjp6k9eaPwCoWiHb65rg6I/PKPoUVWh8b
f8NTPsXHNPUyxhCsBk7AtCEObaD9xSNGC2eb0zjZgNEljLQBGdjq1a9KFvq1SQ1Wf2D0xLv0Hw5W
gbOyIV7QO7vVAZLzwDN63+7BhGSQfJMugFxom8g5A1leTH38Ppv2nY7U/s10mn1vye+Dy86wWwbh
bmKAkiMnhvkn/kvbOYuQ820s558MwL8nqrf8ljgy5mSFurAonZOQpGiSlRjh2M8qkRNuHgB5gKax
cM9iJHOgftFTShwthwJimzN7B/idE7Io+ukzcI9U2/dd9lAhtQVrRuabUerBLhQIUyWxs4rlrKum
5NZ0wwb5pXOaGjLhooRxcpUu+IaE9NNJ/DamxTVROTd3yXjpXWenaIdFM+DxFDrXHZCXWahjaobj
tqgcqi9Td33CiiBERYv+uSODWSMxUKgvbRPSc4LbmzBeh2UZ7XLqp4vCC0kKAZ3ceQAMMmSEvQzG
R1AzrHfc3r2FA6ECFjZRHyIbiHCr+ynomVzrfMQjl+VgJfhPCHvFrQHytvk5uX15KEX56lj1tw6o
FcZITiOhhXIS3aYqu+w57pAnsBp6AlhApeXvUVyTZoneWVfYKaOhYBgNKm4Dr51YOG3+Hrc4vEVS
3DWlDdbZXsZUsfVmdMI4kLJC/XYYZPNWPeiB5pcedCMsQJzkieQ50E5EyT4sMuYlcrycf0RjYjBo
gY2B9wx5RxruKjdnhccCN1Zp7VdEE23ymczgHiQ0fAEWNtSI6D8zKC8G+95YIXEOYPvSXpgFWLwS
4E/ZD/p9NtUH7B4eMc9OfxrseNw6BD9NvZ5vQo0apJyTN8+s9fskv0WafI7TTjuZcUfEqFAkSxFm
NbeXPPHmc6fiYTfPwy7HJEYG89vMQj+hNJ9kOR5gBh4GIcJtoSXGocHaRIALVaA71aeuqY1TF5D7
kFd3WA6/RYtGUFHlk/VIUEBiObEiaNmu/UkjV9wtng3XJJa2QCO1QXMBp55JKLoOnbCjCuTeHv3X
z1wTCArJ+NtOffASW9FLjNmc0UAzAHxfQFoeQ9h9VzIv8AI6VgjCSFpH03zGPND8/fZ6JzW2OKXN
k7nGiK7Bn2t4KL+bYNTj/9XKmEhQG2XHnpAsZq4pay0SW/1g9/p93VvVmbMIQ6Ll2r+6+a/umwa4
OzKlnbf+bkb01LaCH0hD/t88y/pzQS0MqD5Tn22piJb2/f/7aTvNGS1/3u6o4XfQ69Gefj7yD1c/
XxSC5hlSLJrKz9/WNBiudF0A63oUU3887//0v0Qgxc6LAc+Wr8A3VTti//nX/vgP1qdKq57D28Ro
9flw2RT4cNzUo7HJYE/a7Kk6koHt9VBoTOJj1gfK5QhYrxHympMex+ns8wGk/7DflqMso3kNTRST
kbNqVNFQM5JZ5avrRZAUF/SXmS+Wceqy1P3DxXqfROK4Cwu4SuQJzn7XZ0djgcBhPQKHnk0kEUNF
pUY3iCHRixqdcJ69GssHGuUcod2iDV2x5atAdL32p/ssyzvqydAzM1uGcIxZEBHI4mwpggBGnNQ4
hRkgrgpaY6WbA6d0GTgD6YhykqFpyhLhHBK3kk+wX//jYgWllwtj8PO+0pGHzJ1tP1hmfSunPZwH
7RCM6XVFvH/ePwyTPKiSJI5lyMXYmR13zt9cf0lGzlMkivIg1zlyGNaMgddHTLffmci2jusLXvXC
67U/3TSU6g+zdeGIvtrLXHt5BVmLnEyrGZWnRtKc12veMuxbb0bVYEB/IvTUaVV9bhYNcLOMZdeb
f9y3DBaJuvPT0wNuzTOQsc1DQuZu3gEDPrzrcuNnI0VW9NTsx0N6ReV4e0c0swlP6lDvCA/wB3Rw
+DoYs9qHh/n8Ph581AYbh840gtONSq4MHMR8Cp79IT3nVwQ+PqHhe5wum/5wBf22BVmx7dTGn8/t
DtXG/uvyxzA3s0HcPKTN7j3xttdpm57eC3f37mkH51794I5+xx8k4+rZps1R/hQ5eQzPfLH9/Poe
rK1iCh1cuZG3Rfxzogp+5LUhkOKP+zw3x/ZvAKQbIt/O8xYe1mYYd3XEYGBXyWdyZLcR74UyaWlv
xy9xfbOKe96WOffJ2S1tBmak9er7Gfu//YX05enbpO4LOe7nuCML+1y3tOL3pWJocoC5gD5QKmCy
D457CsL9NJ/oKVPk3PG3gxtC331GpT4+jAc+EqafI1Tc5IrVdWg2w++CoFGJxg4e71YXO4+gHTQ8
197zeRmw7Bq1QegwHhxOCqcEqT31Ig10fLlYUpAqbrmJM6qitbtG0uPAJMzWQkfk6+NFwieG7wW1
F3GOvHlsmP8ve+e1HDmWZNtfmR/AGLR4BQKhFYPBIBkvsCCThNYaXz8L7Gqrmuy+XXbfp62aySQz
FHCEH/fta3/SrCgD44NHoK+lO7hYfoqqtuhBSi6q+LmnE7PE96behgnu4EeC//nFBuoMC+5C/jZh
/jAjbR1ePa9xzVyEGx1ZLxmdZCGeJva1Q+u7VrhhWAA/djJaoUrWJ6zEatd8Nk/lxjSRI5/ZsVz+
UF9zF2EpTVhP8Do1RFk0SDar+DaOTnhTTooNLs5z0GKrl+wgS053CLa4N9pbzFb6KydMqXTIu4qf
9OyTKe7NFZYy5wThC/LnrzJwsjtXJx1v3oVV0bbkI57TiL2WwbVbhLEzfqzrq7h06QGu9/kmrA6N
gKz5q0C/I2xSR7mAKP7I0gNeoPhZ3jBeq1Cux+VBvKBXWoQLrCu/QSmnC437NTnH4oBsiWrjS1Ls
hc23ysQp+/duMyRPjbw2lnm60dAWFJ5jwHTnCEqBpIR4nCrKghBHS7bK9/BNbzdl8330YAi0GjQ/
Y0ObwSJy2+fumP4q0M3e6JQCfQjQsBhd7lN004snCy/buLhK6covn+rsnYdTSULYxvVQTzVQ4mrB
XZc4Y6fuMNwFHBPHE+ORW9Y6r9NW/Fzxy/aNXMlditad03F4T8CLuAykZFpn3xZiHOhmF4n+2uzE
ayOMo7ScfHP7C/ges2s51jpPanFgcPnBIsBgkoHGnTWfs+kQ3PhwPOUsB+DGGvWFuniJV5GCB4Qz
orbmbDYdMlrVsKnhSelUrfudKtC/8TzK30i1ULM+GMl1RZ10YQn7wD8wKBNjoRSOpi75YTvjf2aj
qW3yc5WyGKOOl7K4WsVnq/wKSmdlpS7AkZzm9ZZmLtuoljxlGO2F6gOUvcoTaMBDq2Uq7zuC+w4r
nExaSf24ltqH4p07nMGY8mn5FI8lLmT3MnsX0Zsn+VkuDubzJG1L7BUF7kgPh5P5LWVgxWn34Swe
SCueIsh/vWLSl9/q2vUrArEFc49cIKYFzMl4adKNtoGljfH2pynZ4zKuNu10tu7miTsMp5nr2jmP
0DFPjX0Mg4u2Gj+ZwbpkszwxTRCZ9tW6Ieu6Tq1Tr7oP5UlZob3AXZWBsqc8g5B2llM5xqrb4lvJ
Gswa+85Q4jVW0rb9ZF0dOBSNLg+attm3xl9c3so+u5FnGpeYZM2dBMA6oUIjdnsWvnAxYfRw20J7
/BSXhYv6oQLQREx+HJfqs34yDngeME5gkiskDFJX2TIIeSfIvt8aOzhyDci7kcVYTepbi+TZd73T
uOyxdL6ycoZ7bhxtOlwto6VyDSmy4GTtdC66Weimy3GJvmr8ZPVhKR2Yay12xGyL3lra4tzNzqFi
Ee2GDnIWGKY3Fst2weG+tcnyRdQg+QzGygz3+smktg0XYCG8qM0q+xbu9IHrwrLbcrNI49A7Jy3g
G6T4KhKXgoW9v6vPwuFr8Fzxk0vXotfm1Ij4bF7Q56ePXsmksOxq4WbymPkOv2Wp/nl5JV1BdMr3
yCIext3l6gsvxlNj92+mbd2NJ7Y/7qOx4gIFj/6Tb1a0RVXzLgK1FHOFxs7Yh+e+Dm70vBOqC1YH
zABe4KSbNmNDyc4FBDnzFFFPJUx4mrijDC3ea2aHTrrnYM9wQIjD7aDdakUoGUPmB/Yofj4YeWwX
huPZzbbcs3+ZJ+6ShbeaM7ET10v0e3vjKeX52A9Wr8adY9geyoxDSwr/nEVBWYkn4SC8SFtuEv+9
RrfB+eQi6M+Dw33hMmmQsriqCz4/H4vBzxZKGy3zVNsVKGf4kNIT2wusVy2/JTf5mduY79mevWfj
0LiMaIU1CnsnliyulXFg99OemGUpMIpF9Aiyncz9Q5yJa/KaV5xWbGUmYg7edE8fE+EJnxOr0wNL
JXnWJato/fbOg4lRUoa0hRIUgvMmm9bhnhvP4pPcWAalLTOPesmeT8Ya8Mbmrh3e+RTKnU+Dcpg9
lCur2ehYhCUvZdzfq3ofsqHe+ULGc6RIu/CvDPt0A6PfeGoFBjQw0fkGKYB3H5mGFJ3hTOvLglWS
wUrNhzdgrLjCKf62T6z/PGqYB6k+LBlmyTdvi82fl+AoTkMPOmhKqp9Ma89YcVeyCTm9g/0Qb4yX
tg6dK9B7t0D6zyNHHU/Q53mUqvCqcT63GSfiyis3JI0HggV12Z+Tb3LxJtGef0FZNa3GaXgmfxCQ
eG1f2Dcb1tTyDsna1rT+zCVAc3GOaL/uV23npBswfr6b7bwWvxd7YNQ3FoxP7uRsAZgaUGvbg3Ax
SAauaR9zNBr5rHpP8qMjV4IhD/+uapdqp++gt6wnhSP8psF0Ecso0Smw1KqcRr8WlA+S2TBTcrTD
w3zmkG4XODDiozwvcjKurk4/HH3j5TyWb1m6SrDhvYO7mkSyARhjKlhI5w7GInHTbBDn7+eLD7xp
DtGWYf/8mqRkFpeETYg1YFh3O/lZhs6WnliiDNIS/eewhSNMyxRJAPofw+id7bTnaXoURGpE0zW7
2gA3YplbhyK/aQfd2hbcRAoiyJM8kMpHa3DVbh4GOJIUeNXwSi9+jQeSeQwq2ENnInOxX8n5IWC4
EhGrO3UhooFi8Sdy5f5c/IOWuwoy/fTL5Kx/Y2s1XiJOlAxg31WYpyDETiUxzTzA9iXrCLE+cuF5
OyfOZuyma9qRASOry/q9g/ZM5I+2CQNmbVliI70RN96SG42RRKQu4WOxB2bZLjDRpi+Hp8E8SqIT
46FDT7PirlYrFrmmuggvVbVkpOVvrFeMgEHEfNQWhyXEEeArvK2wOOAvAwt4RV19YhVgWRkdMM+S
jMgAt8Y5Whkc8ZcZrhRE8OK1R4lj2Zw4GFtYcC7oAYD+3RK72TKCsGsG9YWjAQHwDJJeS0cMsYkN
ENIGBMKwACpHOQzjWvYX6b7+HOrvlB574YnqHlje6dJoW/kq3csFk9JYIfSLQRVVO5x5TUJjFmR1
q6iT7ZFlh3B2LslIN566Nj4QUHPgD95L2j+jx+xXyFEmtJ6TaKs1t3jFA32OqMswvUzVjkthbtI7
rfODsVVhMFVugBsVxta4BsG5O4VPgkts6WoMrjWBLSq/btdUePaFeyBUgnKo35sZeLFiIyVqbS76
mpJFgoWo4Ih2cTTt+pMpl0f0gdqRgUiT59awaGA+UmYgkENJns3+9BgwvJJvQkoaYttKduiz+Wab
MnZW5jbsdQcWE25uoK6a+IAzpQ+GXnLSQ38g+Uixs34SQ2dK7xR3yy2VFqonwVIkgUjoQqfcBJoZ
ib/uBs5YuTolsZ50rb4ZBRsXSwGpHYXao6mcxXf65xhCA1MZME6L1jOwz6WwCmimFUjH/jKDcyM6
WXvrqXRr20h4ixk2lTMoB9pi+MnIyfuW44B6HLMl1ooqK39th8PboMkO8Gucm1q3tr50nVXovdWQ
6K+ifGvyG6pHkdMCLoID0z41cPjEBwV1Pooerops7RM96wBaXB0PM8e8XkA5LdHuzIEJfeUcju7W
kYljXCxtlX75L+OZDY8OUTOkx3AXkdmVS1bGdUcigF0Xlyy7zfaRQhiywq/pl0+S/tKqC4xe2Qbt
7FVoMVu0vStsZlwaW7pqFJiXOMKLEUJBoekp9jxpF4wuMdOKylXaMJMa0a7Lu8H6U947Ogkan5NT
sCC8F2rbqhzt4j1hmqT8ShQnvXl36ExkRGyoYdGzD8vF1i5WC3rgwwSGBlywXPUUI59pAFe6BcuY
dPf21qWhhTNvzJhhibIw6tkVuc1qtwlXprz3aFV6HrasPwwFw+aZuNcYOpTGXmuOdNrY1W7snkLt
7PfXKXlTOzcPxlUQvCu8ATK6dljaqYoYUkd0sJdqpzoln5OyaJ+y9x7KBUf5BTswq+QOBD7U6nGB
6M7a1nt2ZTlzOhjkH/wZnJKT/NKcKcRATItTm2S03p2s7ojswcM4o3cG1ovIFQ4pTqONW5JpQ3jw
YMWokXoCte9taDtIFzLZrR1tX2z01bjl2mE3YXv3aTnsNcCCNhYCe19iJewWGeHBw1wdQPheMRvA
S9sCKe1zRbpNbSx8/Y56YVGW8L6366ggVua850zBoxbMs2gwp4qN6uR3ayktWTPZzN3yBhYLL4kX
kiwuTFYkFnRdMN5lRu1rgymOtMyotJO4o46KY3xkF5yv1sFSIkbxFjpeuMkhhHe+jHc+Ab11Ena7
Md1QxtCf/F258l/kdl1GC3hJoGpIzJ1YTdX3+DDsNNHGCjB2lbWySC80g9jBnnZndYG/gLDTTtKC
jDerAjL/9bCn3ZmPT9s+lCOUq2+whin+LLz3kv5iMgCrHKeYLS02QNSxoyrPz96R/sG9cRJIKdjG
CVH6Thzt4Tlct4IbEIXK+/R74Hh3KofFcMUXeKn3jj+96e/+vX1pMMwMttGifFG54mvece1E015E
j0A7Ds1hh+JVuqDizA9jfMRHLTfdqn7mRtP7wOphI2IFORdiKYgX8LrKUWIQbK3gUYG0Yk3MHYs1
/0hDpLwx3PoNaBwD6Z0Kmb+SuMoKLC3W712uosOwoXG15b2AuhIumMXSpVTP6G0l0IgqOtBvoi4T
/hWbEoTTEEoxh39MGciGivY7Rye2PyIEAQoEsVmO6KMaUMP6b/Ofs5WbQFAEsdN0s+3k+qlTb2Dx
xKyZ4OHthLwK78XfpLrCcR4jRQfg/75/M5AgENOar+meVlfNpOdoXFWvaBRy38UtoRNt3y2EHcUs
TlWUdCi1wSCjjay22yfVXIwHRNM+hRn6HuguzdwBtgro1sGujBUeDxQGXwg3OaGPb7G8mK0ZWrtw
Des8SU+k+rHSms/sKEnckBfJbfZ/shnCYVw+GAUwAAh70xVlmzG6Z1hpOSjrj8G6/0Xpj1NTZscw
Vaj7vCQdZ09Ii68Wbea2ZYc3/JpoxlUPue29z6u3/9JQGrKV5fAWf4ev7Qf2kznp94X0qZE9WVjr
eAR86HjjRqz38XivvxNaGRQUE6zj1kHg45QO8+Jbh4mP7SMpOjvbSyXeUTYFKLmGVUqdb50FLha/
G8pM6INIH6AAIkJglUfRUeDA/FY8w+OpVz0VjLW5Ich/nsotbNVLyMjA6r545E8VDeIFYpwd+ieS
Q9YxOIEmxBgleTXZq3oHzzrLsL1fUSa58SY1232taPjnBgu8Fodt+N4uBDJFynx6gSAnrWjEwzch
ugjImDg+W+V7cSOl+tlET0RawipVz22z8NWjBdiDXuEBgSyG8iwdQBdoUBTwj9/0R+nVfEftvCpX
HO/3TEmcuJ+bV/09YBWlJL7MfQ23hFYb1n50jlvUa8AQObl/cQU4BX6nRzn/0hB70rirXAbiiRcD
B+PuED9kzr2+OzFEcltaIgeF6+JSJMgpL78WH8VH/mkdtG3FyZ68xgm5AGoBpXxOmNDt4ADzcAlV
viJrzo+g5LaOyo7REQI+dMyVdhqKJywywm2zFUHp7JuP8KV4Ldw5Kjt510yBRXHyS5zCwQXAOvO+
SqiXswMc1KP+moTLTH4xw8b+ogsaK4e1vyM1YGA04QIVY3GziQBYgNfhqvto7MnumD48a1Bsm92w
btYDWgTE5k63ZiXxnwhvDxattfYVi+pjbLwBfDdBJC4mfFcQbzxfrKN/p14VgAwT38Vncmy3BwUg
fV5tb8ErIVTEXeZljZyVzjwnFpghpCg2y373ahy1fEFe/KSwkse2RfLTjpYy5/hVetBeh184z+R3
5ZK/eJsWGsBruB2ujMSvMjp3WUlC+6b6W+NyVUEn2J+lE77AOT0C35wwtDjGW9ik7MgMBe8Mt2Ra
lKsO/wrHv6dIFu3T7FIvu7L4Nu10R98SnJHdiOWnpvfWcb9p8N/MhX0j+Gd/Lp766cDZ/+fbXpmd
bit8qpBoWiBEsYkRYVpRMwJFMtK5iMCro/TRz45h88+sMtwV6HhW8VzCCmZrIyQSJGRk2LGs/P0I
1Oyfv0nn7/78q+p36B7EayPiht3M1bmfx/98+fmnjRrxTGOsBagtMWP67fGxXEkbnI3oEqnws9LB
t8xf/PmvPz/zip4QPTC1h4VmyNU5Dhtt8Jd/+tsjfx6uzW2Vfz5bXnn5MonrZ00zEf9VgUuhdg0T
q9z+fPHL+TV+vtUo2EszLqvEjymuJRfiWLYC9LP785/T8fXH2/zzZ5YvlH88xc8Pf/5NSsvGmq0G
L+9/vtTPz//86z++C/AvdH77TawG+KvUbE1//sJUgEnbP3/P8bqx6Ya1Fj9P8ZeX//nYKEJ9zsoj
04o+K1NmTsNW61yUUSS/5hxumI3LrgBQX5XpJurKtUZL5ZLKvriSlfLgp7NhdkTuasLCKBaIR/vn
WrLWbcHxL1ZUAB9QClrkE5WuOU3D1q4H5iX0hQ8zbg61Kt8to1nBEvhsYX7FFXwpUNSvEDFAN1Oy
gPWCYEQl/zMKauyg5c1ojI0mcs3mqkslDAvyTl12nbQWK2QFsYeFp6Ihkw3i1wT+iIOp4aYZKzR4
4rX40frEHVZR6vBCvzarYB494+e3S+Gc2mLpZt24ANtOL4M7qMSWZXyO0jecWJcqWY5+ht3QAinU
gL1ykK1Bn1RLoO2cV8JTUKdLVTJYuxT/PD1oUdgaEGFsDSCDmlYvRSg8oLw94W269PyPvsMEUMk4
N7PgWPIJU/vcQaNiUiXVZBqawAa0EgnQiaSOZ9wH5KK4xmdnpGYYrVeFxuEIdSQnAKqv7CKahW06
Yr1CJaGT9x1+qckR+7GvsRnkRVzIv1CSHETfePNjJKxyO62G+FOC590nnzS5gHeCEkF9s0a/2n4H
mflBGTnbtaLSrXJxwo4iDJeFsJ5KpIkafTkDeAbXa7JXY4yolUvbqhy3iEk2aUqdZfL2Qyhf6qo7
j6Nsh32FOgoOdExFqMoQZTXLFAp81evEYiz3XoWqUZVfWmvVmVddxfqC3hy31Wi71k0shl6kRrtz
mT5qRH84s58kOfpQibaSwcKRAEKYrDp9QdYj5ZphIPBVRO0HyBg6gyaVaI89vkLkwhUbdWPfGBK0
3krDVHvCeKiRMElCOgvARNEXxfAEO0r9nGLKRZ52SZvxLS0q8qBWSzaVtlGjy74kH/fFoBV2fU2L
hppn67g0VkNKGoz2PrQkc52awDKKBEzqyuhXDoRYxtfVT/uXwmR3HRsNoFNXDxBNov2AHmhRa8MC
hATdYmJSHMNafJ8K3JlLLBAWHYYCdirfhlbKN3U63WN9YkmRJbQytNcgAxAWaAPfOetTffIdKUF5
GVbR0lLUL0YSDMjm5vXmowH54lGVngykGpM4vAxDB3cmdCu9RLnbpf5CEnHX9J+x8NyCPWzIWJH+
wIH1MtyqlIROYnXyJqKWWciN7Pih+qK05mCXmvwoP0XF+i7jlD7OnMs10AcaGONO1iRv2Zc8uTWO
bF6dt2u0sLOFEg4k1uQS9qyT6C1R+Hq0sVWgQJsvqbfoWOPwkBT6C2pyuvtk1Ldj6eOhoj10qMzO
kBNHUxGbUqt0hUqkajHmv6IxdUdPaU90bpv4Zh4RP5+kElMqqRqtpYrpi6dA2evbNw0KjF0CwtDg
gkJzobodjJKJGh3MdJJ+V4bnNFY/M33Mp8qrCTIyAvLuW62nZ9TOtL/7HAsxBMTyLo92ul6/hi2n
i1Tu4SCi6KViTbEjMcvYLW6JlNLMok3HQhBuAXOTq6u9hWAAYcaSkQnFjemP1Crxlm7b6D720iu2
s5BVsGde0XdIwirQaE4YFdJD0EO9ut8otX4Av7HTQxmbrVE8ArwiUu39c/7VVcUvmiCZthQg060S
TOKiVEPDCQzfMWTIcrgiunKXkGujkY3VjYqLN4Zby2zvOc1lwEFJewqsPesq8ciYDeE5SMq7VtQv
ZdYfuebHqZLXJQHt0EZUTQXx1TdJesXW1evLczpNK6EozqGqkPvI2BgqAyaTl4bf6gCqfQDur+g0
R+TBWVYBVSs6KOtEjJ1oJmvIKEwdQetQdOlgDdW4ccQu+QTTiHnV1HyrOumtMik3Po1RMYu30yjB
h1lN0QZp8IB5M0d+1u+kxK0RDjliRKRwRvNct+E3JMTxLDWM/slHra5aPSmIuV9zivNlanYh6UH8
q6O6fIsHsHJ1k52UMxitSShw9kq/tFSWnV+6SrmgDN6T5kMPJqa6SOdqPorgy9PJRai/ldMnwauO
/lDWR9TVs6qUhLqUj5xsgKt4UEtYidKbELQfmgws0ZDnUtecq1OrRZcmNAfnGc56Y/8S6lNNdGqd
kH3KtodwDp9Q8vUI2HEEToqtMEBjFHOVMnAswB4gY140JEFMtL20VJ2VjNoXUlwo5V7/Kg7WaIeq
ualyDx8fbDnQVGuvYiUSsYsZo7ZtSIRU8RVb608a6Ny8brcW4FqfZG2hET0liEsMKUZBMOraHm/N
5dhw+gzIiNE9TINp5yXdBn8NyelrB6K00O4NxaPcJFJm8D0LrcmQrKVY8w4+KUcrRfRpKOMnvqSl
LdakjGAlPQkdCf3YPKZt7uHa2Fq8W+okWTbgzV5KJNqLDFwYvKBOFfFerUkBmPJWBBOL6nIYFiF9
iXolRU6IOMyt2+IT/+r1T5/U/7WU/U1LmWzocwvj/7ul7EJl/uu/NnXyyH79ta/sjwf+6SwmySKt
pIpO1xK9tDRz/tFXZmA6RpuXaEn/tBz7Z1eZ/N88gp423ZT0PyzH/ukrJv23pGqiRBMYnPj/n44y
lOC/WxTR8KiI6txqxvtSfndzKgFGQfG18rWAzQwIieA+bgNdvI5mI69ELz/DgmncUanYgnFjsHtr
0IGxRxua26VlC1qIjLefgtjvriYk5VDW3kxYN/A6cGKMsF9EghDHj9SLD0YO75bWKzOiEMWOPzd3
h09lZhz7iKKx1g+rjijGssi9lmBpVlTU6P7UoWQVnAPJ4E9BvJjyPkZE5a/9NDkmAKkWjZmTWFPo
1irjCW/JVry108Go5s4QlL4O7V7bWAHuLLDm2aJCYUDSvsG37DJq+PFP0gsvb7hyVtYgAiUBkTV4
hUdkO3N630jcRt+wkZEc18axSDhLyoN0jpNkTS/Jr240FpUFlimse1xZahVGfXqAAw+Bjnwe7mFl
1V4bldeO6oVlpF/9OF7oFXOnwP8aNRaFJqMaRC2UYgbgp2djlv1DNTjEHrDomqs5h0JZ1j31IjnY
JjnkmbpuoYgh21qocGiEfjyHlXEUQhGe8bTLLfFseeItELS1ko1nj06nHllyKt0qoV5qceXW0DJC
PUH4Hn5L5FAsIcScnnZbs73S1/bWUoFNt7VXu0ZuHg0FU5YhPuhx9JC0iWY+PmacHXqpuwSit5H9
jRU3GFZQdZXjQztOZzUad5GOD3MF2NMKt1VEaWaKDqFJDQ+OVAHXGzKJ0bXLRgXYkRtISvuV1sRb
KQXNKYugLPU3QM5LQxjPM/u2GV/FhIqEpQbfYJ7ZreDZosaGmyFxXlXXfQYBLkppOAK/BBYBKh2v
nNcEG8kgkZ4vFlKjvIEPeUCR2fu9a5nSuQi0ddGQAcYtQ5L9rVhhgsQdhkt+a2uQglP8ocbJt+YH
32UzXObLWAjTrTQZ1Op0xQWgisXPEXCjLQFVFQeOgRw0TUKkDDcyNEm+0l/oWcvsKu93AAnJcGOo
WivWdpAogE/6uiU+SSkoS9oxn7SjHHAFi2EnBera92mHCJJv028aap8oegaF1E+MlGG6zWNyKrW1
KIq0JIVbTxs+zUI+mKY7xMNVD8ZLX6hvgRJjoSFhHxfTBhI9fl5jRHoMZ+AMsAvDgtn+tfS/vdqE
XJKRdBqSB/zFna7WrspdCYwMyJ2TqYy/ZkT3hP2JGL5pbfRdUdkaFc5ARrSlbeDAAXerMM/TMVx7
WGFgGHYbptJJ6dUf8FAI8ZqK+2ZZRoxVoXqOc4hWw6oqu4uatNdKSA/dvByYH0Mw3Szai3qFPPNw
kbkllZ486u7dGptt0083o5xu8x1sxREWenxQg/QxX5h5PEp+fzFCksT5dKtH5KiUZjq0Q/NHIpZe
DBoFe0NdazK3RkDB2dfiuZHxlQbCPqQbX6l4vmph8XlisMkR8N2+197qAR3cpK0JMT4sicoLa4Kn
ts+tEGCtHB7ieNjN7y3xWcv6rrmGEqH0BCIiyg5RyFLQBiS6NNxsPeZ6m7ZLgqfvQVXdMHyDRuay
t19lqVnOg8li9y9D+eY1/kJObw1XSumMt6EoGS/idBPVTU3vgl/Uy0qLyN9XWCW3LNPT2aggN2rD
NRW1BbZWRTqcBex8jKhfQVBilcnDh+kLr53lP2E8pR3VSvwMAKiGaF46gGWEM/oRB8JPS/NeMq23
AfR8z/05cjv3efY7wQ/dZtzmvn7E06cQzrDZ97NZkd4DJJabdTnF28TUj6rWXadSPBeqXQ7zt9qa
hp2d8qFH8ZOYR1saUdalnBzSkvc+MD1GXLArrrSeiE51r5Xq1LbTDhDIta6hwSQGXtjDbmIizP9H
DkpCcysoDK9BN5aaL+1Krf2sveE8MDYrtb2WMlMMpQVV+cmtDG09L1b0mpOApVmNSmcyE7iu84Kt
DtXCz6OTxc7WRBMqy/TRlOWL7N3adLgqnhQQYQ6fcvBVh9bGH/TjPCXnNQHA9jGIuHdMolpmjklS
GDqdb761LfYxUsZOY6lvZatheE5LTydSeleZ8yxUdtydgyZ6NLxGkrG6WTBFB0OH1K8z1dJHZPXM
j2BfBXCsYoqOxvFnxkE8l+SKmqSg3htBOEqZB3NBCE4dR2ZbjygxBKPyMslk0/1CjraD0Ci2PCrr
ZPA9R9SaVzMqH6PVdGstkj4jX/exfUExBeppj8MJNepe3+In5u/jYEzccBxFlzOOEhv4sfsNkKUJ
XnlXL9KgrJ2kjd/SYThbeTzuxjzdNVJ9VwSN1mvPbMDqgff1MhoX2WcbwckwwELggZ48Ea9DH3Rb
aUbdhrra/uO7n5+NE0WnPm02NGA9hQGdNlOkK9t0hnz9fPfzRZhxXz/fqcr8tjnbwsji8FdvgaVW
W8vwXzvAvItOafYkV70t7BzKy1DoHXpdQsWxKtRbP1/6sZS2aaQ2S2/SXiWomtOIiQ4ub0v4/DRL
cbTwG6/fmlZB0Yy0c5t05XIUw5tkSMFmTHuQ6BNLSCuuS9pZJRNb+QyUI+eITBXcHoN59gB6lt7M
+puWu2VMj82YwaMemwUpCAPRIA7pMIdQztOnmdaQtMpWqHcFDVz/+NLCEMMVr5zWk1EfjaAa6D5q
qOxSSoWnvUyE4JzRUusSf2FMbSXaY9KsNc2smlsG5qPKJJP2lM7chll7B7fq0MYUuJJl0ZhqoDLQ
UZvA77jpMKFoTe8zJxX0mOWGknFDTdHPGNhTJH8mQrztMu1oqlQ7gw5NT2WuwcS/tQVH5YlpHlUs
HkyBbGwvqYX2qBodJhvJDQIdFe5oIqbNSYxcDq6kNRHC/cBSYQaMlD0MQT/SNHWVq/Eaq/kx0ZGM
eJBttPARqriyVjsVkvhfgvrzPwALf/Vat/4lSiYMsOb/SYpFWP6b52nvQ+lr+i7D5QKtCgUutTAI
yvp+NS9s+BmdVX3rFf7uP7+s9K/RuSUbeP2qpqwDpJF+g8CEEaM/ogt9DZ+MDNQGd6prZvRXDy1+
FTiTMO5KwrfBKP/O5fVf8TOWjKONqGjAqyXzdwKOBSo500cDOLQvnceZgj3ifpGQj2NZI74Ko/pH
tQ7d8DhHaH/zwTlkFf+Lc2FaiqKZBu9AlGe2Br//C4elN4wBzkuRr+WGswNLXBY0S6EsVpZ4iaX+
oivho85hTKAASXeVymJKPB1E4+pv3si/WLjOb8TkOEesaM1//u83AiHXAvQHiH0ec9rQXTQCokTY
QcE5jQXxSNJcDIPsaEkhUwI8lrSXbCT3LrHpJcTJmPWGmBcWxut/fmfGv6JqeGeWroEdkTTJ+N0j
uKAFcopGM1tjFDln73ZKoDwJNaYrQ0+WDriRq8btx8+sKmqOBcn4SQB49Ws6XKKHaA2fSsC68xOV
mtp09leyLrwWyXRr2DEV1Jj6SPRDSKmn48qA7D5HPrrVo+/Q1gHzbj4ciODfzWS4pEG0NVPxTP/v
GnkOyk8M+3IM54LuErWVK6lvYD2WJXuuZ7arrEU8YNYXcj/rpEFAqXqEziErBpJGvULYV4P6qajX
+zfBHz/jSXzVB+rNNO0YSoUuqr14RfpdWi1PHz0qyGBsnY6swh03GDV2IpKLSTh2guWmAN93V4wp
sr+x+P13w0OVsIGWdEnUZPm3cSqjzktzWc1oCqqhkYlnfBC3KbYtc0A/3KSm2vzn2y4p/+6+qxK2
woZmwqr53YDb6nEP5JeoyfRxVyfRc5Qu9Ui5RXl/qdlvl6YaP0YAJOTzIMq23ZVTNuxO8qQcJ5JO
20hQ0mpENflhSruLZdFzLpMCNObBIBIHJ914VnrIKiZWEPIOGxXyThk6lpYdq8/2E8twSwQ4P29v
FktYBVqnr1Xi3vkwkjASrCDdSvIAVlh0RmO6dRzmUmC6Fv40Y3rXa0rbLeyACop1lByysINY8mEG
FNWkuF1Y8Gdouo4XslGswxE55NCb2iaSkEyqBT2ZdurLhdtWScso8g4egCybFMOn1LS0SnRXuZwF
t/4pi4dbb9Aci1q+4+RH4K+8yfivcQ4DT6Wgtx5XeRI+5lgZ5PMq0pJjOtavVTt+djJRYEZCtQwu
dIhQUtRaf9NxjX0tOsQiHcOm+ibnYF66baqO+0GIvgW5QBiqLUy/XY5F8pASb2vg76ach4Lq/qit
R1btbsbxd9J5PmUSKO1GeqhcFVHwz/Es19cUtFh2gy0N+4PMXsnnEHrCRt0/9grd1zQXGlK3603x
0zPVI344/d8M7X+z5+HJa1qGhFOYrP3uqj4ZQl6q0Fz+h73z2m4cybbtF6EHTCAA3Ed6I8qlUmle
MJQO3gMB8/VnBrO6lKWurrzn/YzRxaYoJgWSQJi915rroHeNeic58bVbz15YE4vkHkpZH8rfjLZ/
N+qDxWSO9z0vcK90sV9G/daeE4+sOwbbjH1gx364+t1MzsH/59TiSeJchb4NbE1r+nVqSeIm63PT
RO3j0/UY3Y7aUb48tVO2bwCG6D7aQ2Y2jwsxjDNchskyz12c/dCL+zZYziBHt4mDPgKxDQWeQ2DY
txm7LWWLjx4DoVcCrsHN35Eq1aXpF1/yZxqVXeD7nwT+Aj0Qgwx4HiL7WaUM1W2bRWiBEK8Ul07i
OPAIseL7H0JULuRf4Ns9A/cDwAn3wlme40DcZrU4TA47ga68uN7jMk70s9WTPkiX5U8j5e3syKeK
WgmOGeXX72sKG36wWpLpPnPSC9DyJ8tzPyKkOPsyvZDphmEND0Q3n/WiBjvvxVyg2rst8jn3vER3
PtbUVUeZwm7ZnFFUXE2q+mANHjV15InDxIrPtJMfLtOFMbMVSrKLmrKTbQd4+7MTgU0HXc7Qf87E
nEzQq/uxlMMTML0tvcaPZokqgL1QQHyAwbGEcBf1CC7YJv5mGDX/ZoHDKRYIn82YKYT7ZklX2nU/
VYQFHKyc6ZN4s3XVpNjferZrrYdAzcjMc5Ub/dqK+Y6MKdmPAIJhb71DxoYlZVG3LbtLxY50EPJ2
EP6p65/dagED4h70jlGp+66YHmMjgtdh3zR++imga1WXPZVA8zZ1kg+zn72kuqnm2XykYzkcRYLU
n3pj6Q6rgZTQtKHyoLjyWQTrRcXQTo9DiDiZUbVZ1Ncq7EgN6c5JiAeIkb9gMIMdcBHI0WpiIw0B
Gd6b8KvtddEQWOZj4KtHaxg2yK52RfVZ7429LD21xqQJ4buamgxcazR+rHYo+8h6em5i85595UQU
r0ONTq/GQkIfI/aQq8i9LftdZA0n0XaPhRq/zsO014sgt9OVEudjkCKxdfgPf8lQjc/S5R2TanCh
1f9QUxns/S+ZazyyZeg3//xF267zn9e7zzqWqRKQqv8f41gjaCvaYigPfew+F2hY9YTjdyuVD9sR
W0SVFxfi3Ta6fpYRnRU64tCy8qhnCi9UOG3OWAc4y7DYqOUoWbHazShrtqa11osiS36RFFIEabl6
4eJTKPWme13dKDP/oyLkaWzolXHtjsmFRIZ9p+QeXLM3sh/KA5ZDxfw1CuVtDKFGUNxLUas0dX5x
CxM3WnZK+fZTaNdROZKw6KIN3XbQKggIx6s7PkasPpjYq2b5autZoeRjTQWp7MtW9dmldNiPw6SZ
8vlceFzA+mKKnOxFv2dnMZ8Xy3xOF7CfA1ub7Ivh5ZdZsO3j32bImWOv3dqSYbDNT3rF4U3muef8
69i5LjjKmvy2x0rqhh+pB3LpKP+jrlBEyEH7OGbeE7f1UvzQ5RBfTXclS+RvVYMqgvAHq6821vij
zdNdPxYXCfpsNS/L18IEAKvJ+yTXlmsjoRnbc3no9RX+iZfFpKcwzndRHKIjFSPyi4buJXq2ju1u
muWn2RQoqMxLnVOJTb3bYcpehtm71VVri3qdrjbRct8Zs9jqIhyboK/6TQcOS4fMwjCQnEyPalo6
POqpNuEkHZV7G4V0Vvm5tucz+u6EchFBd5eScrKa5CXuQMDHC46krFtXYQyxIBcHPQzqylrFxk30
6s4at9dN7Dw8+fP4Vat2Fooz1gC87aSHv4EiuRmmFzKX9sRrvIgkvVjlwK4vfhGCozJchkqqrwU+
m5lMvl0WEZLkftSVtqLkCVxGpYlzXVCBB+hPbMBjHQO0lTd65WLl8zPJKR+JndiSl721suWriplz
mNZVWZwMlZ7igDpigBUWQWrkIaEnOp5aW9/nlBebLXx5lpmnup7P1xOepodezyXMh9PI58kwIqgK
iJKMXaajvPZuA1hp1BDXdjEe9SxQip6tnHurOvTu0VfToK6vTzhdfU2Z3eqJRXzXUK2ZCloQlBc6
Tz3nCx2eeGFKaxiFF7VXDVVnxkVdJ1zq8Ps/Dx+W4/3d8OG5bmC6kkHkupz4ZU2Sz07a2MItDp03
fy07PkjSOJ3wPXUuCh6D0Mwd9Ugc6A1lTHo0I7b4cqNrz/rE6mKUGH7PYrwPKBFXY/6YZ+51/Ly+
gGd/Icr1q2qTH1Uwf0197YibyJ9P3gXwBU2JAjsfs/aGetC47R4ygxQ6k+jNKTHsk1AM/gCcwI7i
dA+mYT44DQEyzjDcFx675chGKOTWrF19jNRV8tHSVSSkM4iIZNHuLLt5qdsAskdak4lKdaGtqIX2
FbVN06nHFbBs+mYyxqFiV/sRIllAlTvt5+eAuGSlfiA6R9HNBa7HF8LUjhUgxLFGyMsaQor+vLUZ
nPSY8y4isNZs4L+3mCN8lgNqfHbM6RE+2KFHeRBbJ1VpZpS8zUGJhA4xmLLfNCja9BAYDPkl4IzU
11/nBe8s552ir5ETn6hfTa9XIlvvUZNTdme0Hn4QdqKcFZknbvWLBNT7W8rLeotOmtkqs6eTXvKL
TiH4kwe3mr9CF9oO1O1Jl8PhYO0Obc1yhFBR8yZpkDrBIgZ2gcatRAncIPruhyd0Hvf6gu69f6/B
/6/v/pu+O7tpDUT+733380vZvXS/dtz/+Cd/dNwD8S+0iwBZTd+FQ2xb7G7+6LizW/8Xkiuba4ek
PFZ+LBj+3XM3/8Usj0pY2gEdcdrrryRX+a8gMH2LUBa23nTkrf9N313z/v46rpj8AQBgvmOBR6O6
97bABunBz+Gpy7MVhkcnzc2bUQzmjdeP02nxGXTNRLKIqvEzDI06JzoJRXSUnFfUBXTkiWZ6Lkm1
6mSCfk8/do13uN67Jju8/ljZxVr1Ld0G/bQy/JyQI3j8GVGi1c3Xe46+1w4DfPWGRfG/H3793fWx
/Jpz8vrrvuqyfe1k5/ZK/on9ZtwlmOBdHFbY0z6porJ2ebBSYWMcFxfxdWaidnJkW6z9LgaWM2gy
EOGaCX6DKt4usqkPbUCuyxqVK+mQ08ESxmaMjfic28m0BT39Q/VDs2f/G4ubtuigH7To4AvXPF1v
upCC3OznH6yCdcDsTDJbmXzexxq3qP4cvbDcwTA09qBAIR1p5tE1R+bNj2zYPy8oLiGcTndeDhzS
jcG55ctwyXVShwUeAoEmMUs6NON6k7uCzYRPrqlAcZuH2qfOLmSdaozP9cZYLAyR17uuOdSE0TMJ
F1FHxgXawdfDuB7Loo/veu96w3H0u84csdgTJdr8mXNzvXd9rK+azTTm/aGEq0q7AdeIVsunuDtl
hZ7MX0s3j7fs62nD+GSdriTCDwIFuTGJcWUxog5TD1GmL2rcFaTk7hYVv4MFO52qiYLPQv65jteS
CdQhuGAkmKoTSsEW00oNb2NxcgA41Epo92V7H1e2ee3jFM5uZF9ymO4iQwVI8FHEwv5U23LA8uRU
YbUxO4W70YToA6/FKqCClQv53YJm1YolY7m9RrWMljus68b6ElT+zTXx5Zqqcr2xh8I8mL5aX39K
qsrf+UN8ScnrRivwZ0bJNdLn+mM1uwoP2SP5C+h+Z/SmXFUQln0MReh0jyQ458Gw8+MwOZTMqIcg
HbZBWBHwLHMcgwYtpbEOEGtXRJgZptORG4MRt7eDH0ED0AHCX75GLYhB/eez6yJCH3d9pui+T92n
kOViZzoHlYqQTxerFCmfzHKeubWU/dXonJlTtJ02FTMfyAjYmo20xtNQLPOmhgWH0D2tN0XYsjDS
WThy9rmWGs3Kun4MbmbVO7OuH6/v+PW9XzONCCoEwx62BpZajH7X7CJs+SVmAm6u16ZG1P1xmWJZ
pqJY0mv31oWjAnarxrdWQfsyWP90C9jI3scz3wVsYeIgwFqN7zhENLhdQmtc5wZSuZgl20qS7wag
qn6SE1H2i6KF6LXktBgSosgQQIQum32WJZjpJpLyQtZf/UiMu07AQ0rZmQizr+FI16wkaSiwQeS/
22t/xvjFSW7jokc36ZegFsKZ3UQ4IHFMUpr5jXLHg2cWm9Ya25MQNp5n4J+rXv9IhxxWchHRdfh3
LI/dBvnOmKIv0cwJWqkA+WMvk4NK/EOmEonIOUE9oDpUsGw4LD6/k6NvEsf+4971MX+01DaT6dfr
1U9Xqz01uhhFVywqtkpa0Qq0FwpQamScE7ps5NBSMC3MrT6aDeS3+pCgrR0aZE/XMej6EAnMrLUN
okLYiFgDcfWOvoH/iVF4lYm0gFVcd9XBa1zW5jrS6Hou/LwrGjAjg1SHQKPQyKz6HJSJs82csEfz
gNw9so+DveD/mdAMk9hIODoC1gk6p7qNSdrc2eYwnzLCZxLHvyfjwd5eP0oBJnkW9nlMtEjdjd5L
+2EpcO/REWZ8IQ/VzGH8XMff6/hWUjabhEx/jst+TPEFpjczXpuUB9OqDaJHxwcD59sInpYmXH1J
KjyYdUI8Ej3gDJebN6+dFsWJuSSwrOiMbdy0vTFsduxX0uEr+BBNPXgToz8UQ4BRVTtoLJ1TFmsr
zvVHEOLfiIEb8P3XRNDqP9VTPzy5nvN9zhxrWyVFfh4xs50xZREteyIjjnClNMe1cr17vfH0gz/v
2V1KeDvDZhtV7prcCOKBQGvDlXDCdZQTI+vYYBgWMy/ITh6K8zDKelsZNC6Knh2ALNEglzPDzNQM
6TEsMN6jDgLuFFJ1h22xOEVwIvMyOEWcRTuRFY9lB9Cmd6ptg9obawQsWljjBQv9k5PSRPM8bAIk
F8MF0I/NsrY3QY5QthgZ5zvfm/f0Po5eqQXljWL73HPF78Ogvivz0TtqEZmCEHoYx2kBCIgdbU4b
ZnwRbtJuBnTguNGWwPEj/TWcESLa071W57S21TmAxNBM2wxVvDXV4U5GlWES1QuosmhJ0bzeu97E
LIT2CFFOIlgXvU4ziobHCXMpTdLbPlHRYWiQ/qz63snJNEQbzSVwvSH/L93RwnwetF0r0XavXK9v
rjcApAmBq4v0qAOqvKsN7OcvArwYZD0U+fd2Gu8Krx5vbCth/OojCr825pLWeqTrAk7UUy82/odW
u4PQB35Ioupl7li8OWOLD80Y4JfN5n4ShK7P3jucSRog5ZibbmZvHZJdOY3PuYsJHHJwCgbjw5zl
3ZaQzZsWkjGOHNgNgb6kqdFZ8LUPrdt8KJR8ykKaWzERf3s/nr+4eb3tsG2PXIzoFJILlZp8b8dU
23xh73O8Xms3CZ4LK7lBnjQfpOMgsnZ+dPQYqnlxjwP1gElndPRWsjy3QUR9T6ido1M+vbZ5lgra
SZI/e/1U3Bas8Rx8+WWiKeEp/i1Q8bddZt6YSUVHBzWpV1HsXHAgOayftmgecNuWxSH14KiiKcBf
7zeHvHGKXe5RtaimfFN1lZ4HXuqqI22nbvA8VXa27putdZiy3r5vYvmeYJATf9mLi/ouTMZu5RLr
tyLvCSWPgr0H537tE1CyI5ZvAF+BKoV2PSwZUTwldpBt6mTEeb9M1nPHnOQr84cUAKyD3Pjam47c
qbzZtG0KhnORcMhCVn+T/GYp/j8J+ifLyhvoYyraRzU4mxLKfLqwyAjo/G2LJdkSk7iP0HE1vhWd
p/oYpniSSIEErGTCueicjzM+iAeFFW6NY2KYQBxIO4/OMwAxt4qxl7THYAZYG3iwzl3Pu7NxWB0F
KSQ3yFVe/Mo9CRjhK48UpVVVJPnGuZfFkD5mSdFpPSzxzoV3JFI9X08uKt4JfrN08RVP6YXtPwYP
Fg47g0BtnDu495sG1se85OuuxOnV+xDKwEjBX7PXVSmdXT6JTbx4yT6Jy0+qApKWpDrFJN6WXmtR
NYcFg7GP2rihPvsDXJcgNp9HF4BFKh9HtyY1rPI/ZXOBE98V9PQxxHUXaathjUcCyshUjZcBSFY5
qI1XzxZFCB8R3xJ8yv3xYgQcqXoaoodMJudYEh/GSAcjLW5tLCLxe0FwZk6v+7CUFFiTpLrvHStb
VxlmADHy9IlaAw6E7rPHf2Na9xon4tYogJfUey+XsN7US3rTu0jLnK6ONzUGXGd04ATb6mGO4nTj
acFSi/l4coNvXdQyEAqA+qLysr1URE4Z5iQ31XiYQnlHSmfAVYysNy8EXrgMVpbXwAIZJkzxQQax
2N3nZMOyP/HmTRyF4CwqGH2kMxfqXVW434gz3NcWb9zs/J2TQ+MNqg/RVH6JYsI3ltEf6DcY1Gv5
Yla2F38h/p1Sjho+WabIv1i9fFEABUa2yzua5h/bALgRYpN03ZdkdEaut8F9Fs/Aayz6DsCspuJU
0z/CzqW3a2pK051g2mCL5dYAh14Zqtd71ye9PlZe/+UrbPXNr//un/x/PFbAYwyMOpkwB/UIEn8a
fx0941pTiPv3pydYb3WSqzv4z5uf5uDrryVrxh1ik0sblpBUFxZ713u9NOtjZGIfzSRx5OwZrg9f
bwr9rNenvj52vSdlx+rtv/769WXSyv3jj83vMoUN+fWFTMMFuRqboLs4qtcn/vIHXl9HZaFeLlJS
ZXf85xuoWDnvw7w/LqkKKII2H1I9xyXXFTxe0E3WYhjMr7vt64PXm9fnvD5WzTrF9PXnN8/xFDye
0ug/4f4BvaVf//Xm9bnZdcPw+vP1OVeD9Otj5UCbCZyK3lr87ZENgZOsM78Ev/b6cihIenKY0oda
tLDeq9G7t/xopDHGQlt1bO1fb6RedV1/bOa5WY0hnvPkutZStS6jvP7+589//zvx56tcn5+1Ma7v
qWIvS6Qia3KODgdXokxsQNetcF6m2Xh3vbsIj03F1MAn0qmc7gLC+3rv9eaav/r6o9lA7mYwPbw+
dL1XGrhjZTeN6yyyf32R67//u8e4YkCHv77863NIK3qocb/vTMOxCB1R3LTldwORz3aoDf9nT///
Spi/K2GyZKay+N9LmDfVkHT/kUf181/9UcUkdIpSI2FUwvGRK9CA+LOKSYHTRBXI/wLLtFyJD+jf
VUzHwTlEyzOQvkQ9yIj2ZxXT5gV/trxtOzCxrf4vq5i6Sf6LTM8ioE7YjrBcj+QrrJRvtRRzOw4V
5SC4ZyywkrgLINPMT/ShdoQyJGuJomxbxlmwn2HPuFMxQgn1wT8rgDsNCNjM3s0ey95AZje+5RIb
01wmYqNwpRbvrTTfBFQpNpVAM0v/qNv0PbagUOveyyk+0vdh59SznajYKdjtp1w0BTRYWxGWazQb
rE3Duv3g33WIPvZe26mVjjysq4+5TJZdmTq4GQYLGoARsERimjZC72ZBGsHKUKzZFXSbrBngJg0m
cnky6IOWg2iKl4aY0oMU7VPboB9pI95rZfbBWgmWccKyWfrBEWxaf2OVxvC995R5HCKqfTE4PY/t
QF4b8y4tPDSyZf5SF7xAW8/s6mZivZugWs9Tg/nDb6nbwTb0xzsAF+yBK3M9EQ6zTdR4SOX0rfM/
xRbJlIGHj14QYLH2K9shvWRi/4Z+dD1aDghJFeOZoTtdWMpbl4lNAcAguWaQsJ8j8GapLz6DrHB+
+ga/Tv8v+l79jW72Koz96wkihKQ9xlkSeDaaQ06gX7pn6BNbVam6PtZO8GT2FuBQfZP7sA9c2dWr
aMbxuOBkNgcOSpD1tCTeHx/mL1fX3xzLGz0T5yqNAAchAGY6hKVvG3m2YZmYOzPq3kYLfqUuPzkY
kFqId8N9ZBfvjaD8Tpbt7z6BN3V+/Wc96A4erQPiLWke/PUTWAaI+10scxwaUPcaKh+c2Nq8Gesy
YW+3Ojss2aQjNZJaF3mMbiz3NOdPvA1Jnvvy/M+fg26kvLlomXcQvdB5YPwg5fCvR5SadjfSJc6P
GFswQ5SGWHdBj3947PdTVTkrY9CGAZFLEuSy81jmC+FV2H/SBaWgI7HHj8F3NdXBWsoFsmpFzIx+
KRlm28nBO9yF6bt/Pui3qsfrx+gKSq6IkYXEl/7Xg464Atg3phw0qny0gjMKG58YZWV4K3Zp1sb0
3GTjjM0nhJokQkRch0nISlEEJBK19rdGkjTsBD3EQKMCX4cuPmne56GzbSZ7XlWU3ShqrXPC5voK
831udwjZyV7ZTMb8BY3tLXlmfBB28m0yKMOHrmYExvaj7TdgUvPg6TfvWJ8Yby6dAM03UjiHfGaM
oH99x1MW5XGRmcmxJCjYMXIBuCQB0jS+j/3FviFwcBuUAMdMW6QnSywEexlWSHeC9Pp69KJdjeKm
VarYeZIUZLN1d3j4cURi47an4Ek12PHT8BaVmdrKmkEgqMkYKvPwJagtON0DyiNqx+YOKdJLU03L
oTWgxlQUc5tQ57+KLQ3o310vb/rtfNGuaSL/E7B6uH0ruM4t+uxgU1JCU4KnKhhGPvLlrg3zL8YQ
DvvmRzlXm9K2jO3UzR0OHVSl7dbrInJ+ydXZ0FHruwgvusUO8zdfyd8dG8dnaxmRT134jdq3bbBu
961Mj80MoiXzTktefaz8limhgyZreA6aW3d7nQ5sZboridepjCQAgxys7QhHt9eX+WB/7tipiWXO
tn0kHzgtu82gGh8gIhsza2l/oEjxAYU9LcF8cuGX++59E1ntwbBHc1tRSyCQrrjvUiU2GLDWtVUX
pyRNPidkT13++W1b/zmEITKXFsIYKQNPXluZvwziWZSOSSTr9LhIujRunt7DiSB+SJLJ6C3JQ9kg
XCr7/dg75yDkh2WGImOhmk0LURzKhGyz3xzSm4WHCFwOAzcG2ZosPdDv/fXioO1ALT0mXyAOA65V
c7kzYyn2bYGsOffEMQYseUCDdLYDH+Ob194m3misu8L63ZHoy/CXy/R6JC7CMvzT6AjRgf/1SNKi
l0ZrcJn2Sbh2xbcOheCxICwQrM84rm3GIZAW0WkhHy6qzU1VxfWB5hoAhxHSqtN773PfBi07LHLn
2u62kvZvjtF5ayPRn5ZL2zqQzHyMJvrT/OULHGTetbKaGEo69zborQCtX7YR8OYN28eU1RAxbhZn
L6FnWMdfPEWF38V/e+smUFUD8S1LYYL49TewPOm7yZJrk2aTSv3i3jbyaBMmpDBVgSi3PopyMpyM
98MAWr+a7e5CBBMkwhb2mFf/9tN/K4bnnWHLYE63iGqW5tsrUs1WljRunxxNQTWwoYIYNwqzrA83
u+/g3+DN4TJi09xbDcsKDb4Inbk4uV1For03nsbygPjR+M01475ZbejTwmaWlfhGaO+DR/rrR64i
qaol9MBmp8He6+d01UFSYa6fn1yTetHELnGdZMujHzqW/gBj0q8Teydaul2IiZYgYmLzSndD4KlB
UkSyqWqH8Ad7tg5LDlydmE3pjfmdqYoGEzXMcvpR1so35CHJE2QpEzI5pGTGC6lTR9dRWPLm/tuU
iXorFmsAXgrWUdiwNNziYWgqAlJ1qF9fIbtrbMRrxFq1N7HffwtVsZyzYbgtEcfdlYrvsc8OjVv3
Lz5atck+8VFvqz7ODwEC5yGIgr2RLemmr+DhXTuOIQfy8M+DwJVN8ObSczmZg8BjhwRU4c1wzHI1
HJGpGwfB8gMNfsLsTQbaovWB+eDKe6dQD2EgQ/KzVblrGj8n4qWpd9IyVpUV2fuuzZ1VkE10N2jf
unGR3s8+CZuqqiGHlN8rRzQ7KaIPYR50B65nfx0FLYGhLDNBIYwJwRsCy2UWBrvGrO9q1YpPdfjk
hZuOnRPJ73m+a5dAS+1AUbc27PcSvcdMZsRp6YgLjVFo5QYSq5CMOErJ55HSTj2MP8YOo507amsd
y7mNJJ14NTZkWnAtv8TdfEdQ9bxuffYLDhz0qAuiQ585cG8NENBR2MZowfqDBZRhVdMf3Yx58NmN
DPuhrOY7jhjGQlvtFgMppFgmWiDIFP75C7LezJdcBD4FWjRzbFB9dBlvviATnELV5XxKBrJq6o3d
XRaWJso+cghma8ZsQWr2CC2v8fEqmlP5JPMsW3l+9RC7lrPNPfsCYB2kSiYQunVdv/3NEb5ZZF2P
kHmc9Ybtc/t2U4CIjpMI09TPtXAzqndFGEXbymRu930+cS4zCsnkTYRUTPKW9U/UVJ/nhGWyRxuO
SN/oIBZvXnkLG7DfHB3b+zdzi4+7y7fZOrjkR7+1YOA+cDsxpZxlrS32SWLCTx3Gz3nqAV2z62hd
TyOed9HP57LAteqmh2IBn/Nz0oubaPPPB+T83NH/9ZrzHXRLJuwRaCH+2wDqvK1RIDZ2iPkghxHq
dBlZkyy7CHovVWl85Fc7pHjlTURQ8b6ovwe5Xb841SfcvOaqcpz26wD/wTDi4jAufnwW1XeWM8M5
9EZSv0OZ7/Df3ofFMm3HuPF3LsPiGuQGzgBrIQElf44G6mgq7gksnaL71kvYUnFVH/kqL+nUfavq
Kr1QoKwPXb/ch3bFdU4I/cnjk9zFEVDPJVDOXrbJlzaN45vJhR2bVa3aBimrYBcorJN69wMrDGSw
HKeCRdYJ/yv8UpumvECTI5wpODRldMbs6+zToIKpIfBBpGb0GMjFP1Yxk38RCY1CKpJTnYZAAKtl
2seq+8HX3QHMVM7Onv1vTluX25wYv5OCHNf7JjXWeFEH0zERy/ruuYoSa+PFIn2y/U982PHFKcfH
0BQhMajxson6jOogG2gmOZ90gbp3t2Eejc+hl++GrhNHPH6bZC8je+PbdYtkV3w2vHF5cADyC4+S
hLvQJCpGqGUQC8iymNNkb1X5J88yJpyDcC3GpGA9W4Qwg5X4VJTCZa1HaTnwNmRsyssy+dO58AkG
bZh9MSUCL66GnP50HMZ7gJTyI/iDjC5kG6sZOrv9YyZp/HHI0xdvmUfqQLOx9zsBt1nqOUT6ezk6
YvORQfC2sAy44al77MY+vM11p42eG4qxaeSb9BV1/dQ+OGFRb9qYEKXaI6xrovZKai3W59oumg0Y
tENoC3JurMHe9zZX9VIOqNIE8hmHYFGyfb3nyDKhadXlbTdOdLgk7NbGhAeNPPiT39McS6OS7MYE
9b0c/a+xoM2GJTe7oQYEkbcBFlmQu/7Ethlf3pB5/EtaRhZsr11I/Xwdl1V/lO34baRJs48MacGB
rUn8Kedo01X1HcULXJcdWjWvOztTVhwCAFligf3KooochgWORWP1q47N1FbZnrsBJncWAZJ8OqFy
03be3hbtxUzz+JJJKux2mu0GWRobywJSGLmSfTFCF6LpxIPtKPwfJCcjXJ7odFYD2OEp0cS0IjpN
RXO/DPpPABn08sp8MBvrHCu2jb29/bnobstwlwYDSFerIJhOet4qIyGJLY59rPK6oFAOGcIAq1O3
LmtEb7BhL2ifRJj5qAXzD6FVgsXuQHVlKkjucxyhYGOZvhz/uVJN8tBaeBmHLLd2YWWqS2DN1rMT
ckHG9nvbiKZnu0OfIoAIrmwWTBsjjmnLq8hGQtztszAKbwZg+bL25Q78Fvva6Z0qZ3lhDVSnRYiL
CzIjBtO7wJARgvmvygRdvYjQ3UxZEF08fdBJF9xZueev48oiJ8wD2SnZJe8yZ4GTHEfNJohJ8ain
fePE0a1N7BCR83PTWJdMLcZKpCATW0Fz1UhL98YsQWHXg0Uu+qKeRGHjx0/TGzU5CLoNpvKAHOy+
I8CilOaNsqZLKMd+ayOTeTCmYWPpN161BS4BRdYKEfHTs1/32ZYM4veZZd+wfjQOcVG2d77NwZHf
HX6I++XZWEwCO4zAuix+Q4qeqRD4JEQOjIvzXHt4NI0qhqDosMtlNkximGhcVru6c8sb6QCZ8JJM
fCjtSG4ch+zI2SYwozKgOzahgJiWyfsuWMSerTufk099whJkt2f4SDDpjGtr8r9WI2kAZQQu2EjB
o1H0eWwjK3gnDUGpY07ts+Wmn2vS85Cx73uWknieki0LDbb+zfJRtAw9IAsICSLHtQ2/F4qqAbvG
b3aleSmuMxydzlB3ydLyERbBg8o6ydkHXY1tNjucEslIABWonAU+ZVyHXvxUkL1yZ9K834gEnmnV
O/U+Gy9eeMdXmR9RiH3xgsml2mvVx3xgHFKGcm4pk3y0WMgUbo8gME7iCzmk5zyx9wt56m7MNVi1
jrFxApe8u7xT6zbtyCQbNcwHWUs7voBneEbiVl4yhDEb1XrNrhZoyDJA/FTGb6+vOnXEMpiJH26z
aUQa5jvxTlifwScwVo3EhMY5ONu5xd5UmvVl6eyj4xSIthzw6Laks2sHp1xwQpuKFrRvjeWujs9L
mrYPzeyTBdU5p8UKrT3ahndtIdNdHjlwewK4FLOVTuC35GM9t9ZdTDncG2g/06XIT+OC1jRxWvNo
BRUByUgfEDmOW2OEqeHLICRWJD/TflsPLkXXsELFQzr4fBmr9n1OxlWYOepjPsA9oXjDjsVZtX52
O8Xgb9OWLzgpzPVYkDdMDQoTAEMueQTQ7+li31Wte1NKCfuSrFGWa5CucHHxMlnMrMYk2BSV8w5k
VCassxHM2wAfwjE1wGGUhX9D+kWJMeQgGpLgOWOPeWx/XDDG3sQeGQBZjBdIq08KloBOwByN4LPX
+KD+EJRIv/ynIGb3oHlEhdER5JAw3ZqmdFFrAlRnC+ptVY2KwimG9mxiaZJJa2zD2LbQcuEKtjoo
3GPmWbtg8d9nU/ANKEl5CUSMoJki15DWw3qoolWUhfN5Gbt2j0dna2b4MlTqSvYxw7qS0XSXizLY
BwhaCvWj602Y6ovxmAsA0F1BD2XO4maTZ/O69ojsbDsw/cW0pGsvXY4iD6q9Rw8HKvcQ73ysZ8T3
jPUxSNtnPxk/j8aHqZBE/yaYI4d53fih+y7TDQ/GcejIxBklAStDtw3fg5VsrY1ReqTJOzzXjoR1
YxOf5SfvkoEyI5dcx6SbIDgBi0hbZ0ErVe9l1r+gHTpNzMTTXNwZ1L9X7PwoO8E0MnLAKn4pqULT
IOnkMwgEZG1dSAjLEj54DSTFAnGdhH+zDida2fMU7Ya+BmA00KZh7fQ/XJ3XkuO4lkW/iBH05lWi
XEpKb+uFUVmGoAEtQPf1s6ieiXunH1rRWamUJYBz9tlm31nuNne9F0rq2M788aJxoCTIPtzPwwLT
T5ffBA9U+rtJO2LkAGPm3vlKA3KnpqRcVU+vHdDIxjT0px7RjA0cA/j3I9QZFEk2nlNBoJl9TM8T
yjYbZrzZZDHEqEORLc3WXODGdXOFzLfQyY6pAA5tNuk3gbUzp2U1Axri5mMcGlxyQTdiNGxA2an9
Oi6ftibcrEh1Frs4LCGVd53tFEi1G1v8VUdnAr6FpOQ27/mIP4g39cSgGfneCCknEsSLhHrtGKJ/
ZcLZt0U/7squP+QZlvcgrKQkEOwt7Al+0UTozmh8uoo5vz//pLcn168ND6Kn3S6nUwhjH1/qoox1
ZXdQ/Po3QQNHWREgjCEKezDqOBXNN6aI58CHkDRzyAHAiOtQAdnl/iF34Of2LZlUXR7dVZF/7moG
d0sKXWgyHopqFy1NsDUgwwSBhAwQtHzsuoA3KZPHMYk2aiBvJ1ekDxYLiqUc5H/D6fXgpIeJuIO5
w92MxkmLgETd1Qy5sX9murm2M1Znqqgh15W/bJwMovQy+ytzfw7Wix7tD5XbvUo7xXHdmVuRfEOm
ffYD+dL4hP4NzRt2MBm0MEAOPJJWpdt9V8DjrCCgRykbXwQss0mwVqJrz39BW4slQsVl0W9CEcYL
lmjFTlLQmhgRGSqQZ3/0tayeZIgtD1sBcQ6YDecrGmjiLXzoEPA13QzhPvEgwzh8vF6LK+C8dD8o
jjiyB48YAhG9+XgA4hhSHW7ZzP3K0hhWjUVYJYSpSsJcbz/efnG7y+3Hf25uvJEA8BTm7kohGROC
FLGiv90PL2bOsdsdsV//v/vcfp5bM1t3ofPtp3/uCJk22keTSdzZ+nf/9VTrQ49FmMJSFwlpa1BG
Nf7uh6aVfBX//5Ft1SCN/++HnfuVn+ogH1/f1e113v7vn7/858n+61HSyCZtNC/3ULjgxd9ehull
JoV8npJuwWu5/fm/Xt9/PeS/7vOvD+7fH80/j7M+bKqrt6gHjJrTa+rRrrvKJPS174cHpsLHIYcd
MAbTz6jUR2pVfZiM1N3ipL3coV8jB3sA2V/MemZUiltt3pOyklrD+OiEFPi5HD+l0HtRZD8HdMol
Ro6nvvFgBq1eZwUpskq8jwpfXlXocGcqvGyzNiUneRo+UlFF10CSdm6OyalXouJoQ/WeyZbcqKLB
CNEZ8FwsoAsnhjx1iYAK3FSXmtk77hwXP5Ty0YlOeJHgCuLQgtGACKyuEmvj2+ZflI/pc25+dyME
bruAKl91xJklkYs11WmpqM+NafkJS+WpmMQuHYetZUKl9AnLaUH7YhKOqjgvp2vp5eOpxFZ4042E
YHXOUzevcwhUGNtwuqAy3jRZaR7rYQm27VzSSoVKH/ygI/XLf024Vq7mjIm2l+OP6w7iEBqP2tbk
swmi+pyBXNbVziki0sMzjOd019GxbdPaTbAODQKmXXxofWIw3dQzlWr5WJovKCoRECzBr3DQNqS0
iHBCeLb+ePK5dDaB/bukZrPRHPhKjHsYfO0uR0TEyE1ds7nDxsY2ssNU6e4KMEHdMyRxLY17ObVE
K4WnVo5XcI2fprUa1mvCkfAjlz19kBiR8wTqLcdI7SIiuc86Pj0nmr8aK3r0mCYduhwzF0VAzjAq
XA5h76F/yGGlquKpcZJ6E6RRAEVxfsSC0+MtpWdh1/vB7+7HyitPVTIyx3I+7AFGsz9QiLRBUfNq
gdMhjV86OuqHsB73aXsfkNJ2cWeHtD+u+s1Uh2R8SJfwrp5QoWWGlx5EJ5sNdJ81U0I6n/lW2JJs
y8Ugm1HWq9aDSc7q9FasUZlgD4hFwkOFDSHk2+60angcwSRzjioE7pBypeYMRH0zkGNloA5a60Xf
8DFfny2o3zZeyt6SZsfGyn4XU1Xtpen8TuZcHCZYt0dYkWQjYsttDbxieCYLTjMZBmO6eeSt9fhW
wmpmrnxv5CaARvCnLyG4GFhab+wM48Pc8/RRi3xXjruqWS3dDdiYTtue8G084xlVxWGb5i/B9Ns1
e/PEHyEBnmQR4/O8m2v/xzC0I6K573x56ZalPLZLCIDv9Nc53DZY9u2WFFdY115+ei6VZJWND2WV
vBap+5spkovdOG7n8wnbhLtEkNjWyjI5DkFobIUL86tJsTiIEs8hzTMinKeoPyddcek7WUjN7Ceg
Ru2Dk9t6RY42TJqLS2LVO9ExETC9gIMYpii+9N3ZxuJ6ly/foQl0RoCQIyExdHZBzl0ZfNh9j+NU
CZDEmA5fxuJpHQ/Mepw4tf1s72T9K5EcF8/7Nh1BOtdsPHYLvBYhU4GVU9UQ/Fq5G9Oc1C5Lh4eu
7OdtaUs8tczGOrat96PSAZuGm5Ly7ZEyGGRwRuxR6p3TqE+rEGcVWNNBO8tvE6cJSuYXG11v9ldj
Xgbn17/DVhsXycD6ywU4IgwqqSFy990KSGSnzj8kypU7gmJmogVsvVEw4xPH5gKEiiKwKa8cAH7a
ZLFpZwt4zib3FZOnYDOpNMMlBLdBvzS2GSml0zp8Tu0Ot1c4kmwY8PphtxfZO/bLm8aumrsecf8h
y60rVN3DsNh3thuBohJ9583Zq5EZ3ZaZItG6LaaEoeHKQ/fbyxB/1CFFqAfQUuV2vTWkE+y0HF5z
YAunzf9KI3wKFX6SpElijL/gJfrcy7bdly3RhNiyP0niKmbPNncMC5zA+q0ch0w6pS4ybT+imUyt
PIUNoEf52hBdcMiJR4mNEQw8SrC9mZYG4qNBJnyNGYZ0iEJxARMstfMtnqaY+/oRxlp6RelNSs17
05Ai4jjjzwTaBDofuNiznhldL+l7Xrh/7HZO8Gygvl0WnCUrSoq+tINnRwmMbrbmNOIh0gbOpWcF
iM747nP2hzH4NMhwP7mdXV8Hhb7A894D7EfM9sdsmi1hK8nA5jef0t54NNusPYQW0tAiAZpbgpaU
W2ZnIun0wajCd5FO2bk15ZdPodcq097bOqCET4DLxsl/xXDgaCWOv+lZocWC7YAPKbzOancropF+
VjInrfPpaGIe4peqpKFPfgoXSm/h4KWpy/qaae+HBsDdRwoBxBwcAEU/8aPKzghf/vgT99UkDy01
TWJGrFjf5C31N7hwmHFlisibd6FdYY5lOc1R2nu/ot8IsxlDbdzf9kNwp5K2QlxDnOnqURLi/lJk
xXwZE/wSrJGItqRVz7YPptG65Wuv94ZvOBuH3ZNWFXescuhOZW5b506sLV7f23eqVq9NRF8f6mLa
6sYbdo4/mIfMpeLnqLoze6JK8mymH+xQfOZEqhrkGBw9hYtwsJwgqgQHShG25ZHJ9oJgZpMqV5P6
7oMRglCNbiL3Uc3BaYr5POWS5Lzh1BBp5U5yw8bpl9onEm4N5ymytwQgEzdu7ClRAj/a7vyKKTag
sJON+9oEzWP7HklMMvBb2gapc2f0pEQNU33s/EjtPEl8QIHCjpRgZthRUu54Rhw05IF5K4J/k2i6
MD0WuZB8sHm11ZZBTTPb2c60Um8nPRAQwApc08dNxZju0qZ/UL+gPu4CcoTtJtuBCeFIV4UHbZED
EEwvS+1Uv8HFS0x0SGS3mruFAe1HWqQf2lU+IEFPcWS1Z2NijF4hFVk8aqCuPHhJtDyUSI5bBLpn
FtFvr05D5iKFczcjx0IfaN8boxS7JIWKPA32Z2pl+/AuXaR7pNsBqOubHxJbuJ1dE7+Cd+99G/in
Duke8q5o3PfEPZ381tmHOSYMGH+QvlT7MU5+ZK3Z+XUWMjrO5vw8JcSCFcau77qDn3cD7YzgkPhh
0yNs5C5rZj4eSzeb2mAkhNtF3DmaIOzGfW+j8Xmue0yEGGcj3vnQzWTvjeVBuwnCKFtdTUFJ4kp1
hcJ3NlPn0eg7PoEx2IykqPos/y0D9/vcGySLvU3icMU7+/4j0RjQ1hiwu2irtuwkBIHQj3GN4Les
yGHxekhrgVVhJ5te6km9MifIt6ERyRjc/3mxHlVHPKBrwXhqVUQA6ZzEQ87L0U1wXIzuAj/Q3Q3T
QMkVLWsp3t4nZiOw5xmfNRZss12DRzJ5t4yHSUUvcpWGV1mu74BuAaWrDAOuvAFN+ecf9cB4vYMc
ZAc1g6US0whpGA1HbOO8pTYzKp0axqbvc5uJzIhScqmrWLs1nHVcavOjL/C2WIXRt5sgRRLmCkqn
VRl8u/GTpY4FTmFwuJDQBetND208WJAZ9xW+u7XWnzD9EryoAvtuRJaLbA71thr77Dz6b6gcmRMY
5fIFOxclqA6O1qr4bKZujQmsLwkyyrvbjWFiqHv7P44rhFcAQtvbvxH36004HxWr9F0J1OLZ+n+J
WqPHrDFVh9ryTm5PUFgKLHU33t7hf352tAziOUWJncrA0WdP58lmaJQD8gObHrFOzce8stydUeUQ
PML0wy4IaQYSmvMmOd2es3IEQYv/efoM9K2XSXTMpT/eAVnnEgfMpdvrxXhxV9Vs/8WgGRXo+vvb
nSZkarvJJuR2cRI2aEXI6hb6hsQU0dv6Df1HGpgNYejIJcNK4PHugkZ0w0xgrvAIHcyqbdWiPKoy
LsbKHJAdVZQVXAEDzgPrTdHL8m65D9c3Jd2Et7MgKs+aJDtFKIMOwEHHf3659u98kQwKp+8ldBpm
YB6qRgSeKe9T8k4Ydj9Na/95u8k5KuIJ2Gpjr5LkOUMVIfM8hu17n+MBs1ONymOqOGuDYry7m9ab
wliFLYzL1bHLl5i8KBvdJNX2aIT2V4G9zynMCuz6Q+8uKNKfrd8aO6fi+lVK7vVcqLvbDXh2jD8c
pfKIyHguEyKCV43p7Ze3/yvXH7uQLAC0sAI2NkNPYRCE6azYWjBM732JPA42c2qtCI4tEKvpt9on
5NRc1Bdn3Bc7IJFfGwhQkGiGEsuFwIYuUARoss2/KaE6aALHpzI8F4n5jvMR08xkAOXF/Iq+dgNl
FSNG58OyrXdvQOGpyGCOpP+cYEtJcj0JP7Y+URP/qVPq5h+ppz9byTgUywzsf6rqITDGJxiY7/0w
kpVrvE0+FQiiUHS4PLfVqthovwPX/Qn58mnqsAOKGmKd4CwRxlmdDUB+gmSBzG0b9a+jILBTmi0M
tBj1SUpGdqX6rg5mnLcXmrr1n/5z04NHMXTQ4lTNanP79zJo2wMOzne33/3rrlm5Xny3h7z92tQq
2HWT+/Gv+w1YFnF6rk92u9/SeyROtqSkFpKpUIV5Xjo7JL9W5t/WG6+YGwK1R9lnwhAv7kCbZDMb
bwEVAPHwkbobOjMOjbPMk/DcIQFejd2vUyL9LXNBvGvDh6QjNqErbYyfkLSPKV+IHJHyDcmz66yT
MM/YpwUCFocsHM/hV33IaGPIWsbGqgleWHKW+VcPtXpopm1WTePOq7urxeZx8YlJH5FJhoWI52jI
nx1JWGg7U9xUNQZ4WBGcp15O955gWXUrdpeW+CsYjfomj6Q71FA+cZDHHr22j9hjvtL2B9R07cHz
CFz1lLm34SjHMquWna+tFytvp6OrU4ruhLM4pMaYOa4PDqbRXXScRNuT/VAe2t5UdyKxT50nghip
XnfIwwmPXXqTSMC4FpDMDyCR9PrK+hsEE2vUnfFrY5KUO/kniiYgGnfZBZz5M/lHVjjcBXXx08pK
tcd+5ldfhtfA758IVHz0Vfrb9SrzbAojTtNLw1H+NhYEvhQkDOKpsR1Nit+5PygvJOMoEm8SM1hm
wwzqLDn/rvvwvbWddN+ug4C+Du5ZHW9ZJOAbWEiGpRPuQyW+8378ZLfnLdYn17HpJYR4dSP8kjxI
Tsz7l3JatrJgnamx2Q91OzJzWfQBytcf4zd91ojFh/9q+SR1QEINYrQTryhO1J3nzsvWUKXY+mnw
t6nH5NAv16Tqoa11zh1zTBkZ8IK7ZO8Vy4tLsyI9G9m1/HB891dQVSlLl9kHczXSseFCK6axU8Dr
cZJs5VI1pJUxRNJD0hyyTj4C9VLl0pw7Aht1+6h7fammpd57RsUW4Q5b18weEVX9CBzxOKbDYw4Z
ACcKoldczA6SJO0gjbVA10XsGeaOKBw6zV1b+Oe58R8Wh+FVAZPERvcNgDS9phZD4KoTv8k0QOHa
Gueq7SEm6eskpy8XB9qNcMbHog6eOh+sQnnP5jh8iHL4rIS4BsTq5mD2Xt5EpFjJH2EA/2wZyCk2
WBbuWBO1Xf3k218TVdInvxS/qLXWBGJxsufiwkaP67v/2+/ri/bHP5Pl/tGM5Nmgf04lhLbeG5md
6Melkt3WUv1q7GNfAjl/yz78i38YBbGHaKYzWZ3Wo9P/hgPzPVj+D/tVaXLnYBQPm6Wtf82mz6cv
/kwh+ZhB4pHOPeX3QjpfxbJCATYzi354nyN7oifKIQuEKUtUgVBgHwPB/YvrMtvlJtY/FNz3c2q+
q9An5xqeMDg8ztPr48AX6SjqEXHPU3F2wu7FClE99EwTgU7k1kt6k1CJcaUBBtR6xHaZlc3sFr1A
aS8XJ8DDt+aFF73ZxHgPvuatag5ETTLqb89Cqy/MZStG/x9ZWBQ7zbEqLXxgkE5G526yscNvNsrw
HsRE0K5V2cCgLRgFHHKrGqN4JMbBGVCcQzDIiWc5DF17QSg/MIaqH0Rqc6o/NKtsyG3fOkBeP/Uu
aga7CtY9y/b6TZqIkyncjc9MCmjN/UVo0AQFhBiB0BKxnWpqXxPzwT5/HnvC6UFep4bxicZlojKA
flHyrDl602tuUcDyxo4GJv6s0pUnfMrH/kk7xs8kCp/5hDE5nDjbh8c5ZeuRzc6Y/XjNVDC0etBF
QjKId0TAT8Ng43Q0vgMwOYH5F/JzpSMmBEHxXNfzy6CWj2bEvCCyyrshk5euZABi8PUMHvxHCwDL
yn5BDClK58kpkKgEKvpGTdBvs4FEQjE6+z4zYdR4w7apsv5QOTUs1x4qyc8ULt0mGpIfy2gOO4w7
JEl1eEo9esnNcghCDfNK7XwDTZwXD4mSmzS/lJo+XHCdvOl9uow/jYaG1vkJs6vAOxiqfxeZ/8bU
AhBNgyBn5fgHBybOTCt8MrP0oNuvxEymLV3WvSmNa24tv0L8Fyb8XkImhRDiiBz1FoqG6t3A2WVT
R82vVWY+UPtx8HTtfggTa98D7JO5SHvq9p8Mk4gGzcPmiFQBmdcwwGuzTaqHaT7Z9kA2Iv1LgYNw
55OClAhpxtBmAMurvyawKIfr8JR2CYsSNgFeHXva5Nel/2VkyI500XG1KOIkcPDYMLkHP5IvsrMQ
jrWQ2mpyJ5EyUALL4eecBtk1i7qPtLL6jd+b0UMKmrphlvxtMRQ4on7Kdpms5Umwl7gGgwiICTI2
ULrFCx674OHWAhsUCHSxnUu9gLOawdzGgzDvo5VGbzbJXRqSKDH57ks7vzhDAVOvhl5hwcbzEpWv
2VA73iW8nxVeIhvkV0JRc24XrH3Rohs7nYyHRaft0aERww4iw8bLwSMjaaCv1z79JbZwFuPn/i/x
AscygvaUFZL91bbJLYTLuFk6qFWVluouU6G7x6+hJcaKOMiwbF5UTsZTiZPggXIz2xGrCgCtiuxc
efNTyzzvErkquPhZa+/RlhAThcfDhZirJk4t+xrZ5Xc6BMslQUdxmpiJjVHQXvR6E9aYYk4WXy/a
PYJWVt3JPJXnGkv0g9kQDps5NIhFsSJLsCXvMEVH6t/Nr3MprSP42YOfw5673YR6oZiVsWy96FB4
wXyX9Q6cIGD91B89SmsOUcsleHcsSM41OErubzfWDHPPiGCau8tjyODe30TjqkqE9LmxVHRJygSu
iD+t1kKSLG9Yv3Zbu5eJw5AsR93hsDPN20n35gu16vASnBphLi+hh5NPibf+2dc1yY+K6deA88yr
sia5RxVBlZjn9iHMueRS5RlPTv2W6jp4vP3gp9a8t9YZPiY5m8H1RpdlAKXAtWF0F+QE3YtFcK76
VDON6XDSKT4e367ciyD0tndVdnDszr+UC8oqi/xqnwnd1m/7ZWsKyD9B4txHwQRtTifGzi+QRZA6
J7ZuQED5MtrqYNu0exg+k9Ez4JIwEy0L40TxaPjMu0vNlH82wVxUdD+Fh9FpMAGwzdjO1XHmUH8o
8taK3cGqoeEN09YffR7zkGSZdcHaB56fXUBmtI2GL3ki7BEz47MhlhNBNIR6D86JEI4eExh3U+ZW
ftbTwIHlH/OofVYLJsNFZu3FqrNERMcQYzGuU4c3aSio3X0N8w56DP7HDcs9UMnRIKCLi7SdIYzu
VMvJlPX8sWOme5+P7ND4APEGNqhgFCqMxwH2BeQBRJTuHb49BnBcT60Y3OFn9FgPOXkDEFZgvPSo
l95Dk97jJujVjZttyXnYjgud3+ho9HkcoDs3zEmLSOcT8oMr4aLBVeRTeVhU99As7mXpJdE7QfdV
DMZvckpcuKQSN+mV3oKTPwpfPgj4OrSuSXEmfy1iMJ3ITTixwyz6253n+2WoXupqKJh5TskGn5kw
FtRwTs2xWSFqyQJj53UEW4VyxoB1cP8WCcZJOHy+QHGa7oM8Oa//LR6nbx6M26SN2g8BSYyxpujG
8hwm9mszZ/NDOBJlP7D/O024wb/iyyjr57o3NpNF6tLkFDC88G/icMXgmNlZjG0JG2Xt2jEEqK0x
VwtzY+3GQ5h+l3kPodaZgQbmeiFI7FdZedGJZh8A1e97NilMh9wKGmaWICk2fO9aVC0dcYckO40A
wQjjA3jt4WrlasWaLXZQkxmZ/4FKJn9U6fjZJpQfQusjkapmvJApHOU9BmXSxZxGr5LpaEJwTKws
Bs7HtHBSqhkljs5EZ51LnGa0JD6tHZM7Ym9ZlbjTPjuWfczd30kRCWpwGNcTo9VzkotH7Q3GKWEm
rVKr3TLTR6ckrHOfT2FchykErHKQOwlGuF7j5o4kKgk8UrTnWVn7lrzpeJ7Ck9D43JqIr3JilXf+
sDyVVvkoWukfq4gQceYd2aXySI8opuCB8/DNnJovlpB5EkQrbMKli07B6sFWg+TZdv1uM4U6+Fp9
V3mO356XPcMqXtUm02XO3auvs5AumPqir8b3rug2iz/COmHmMfmAs37a8FhkV/s5E5Jl+dEOHZ7u
jXfpTeQDbkNHZWvWN1PkBCklAWgBLvOuaB69btli8IX4J2hQn1fuSS9QadKnqhlc9OPeOWyMrQdp
mamE91HCiHA8ovXAZRF0V+63tVjGHv9xMHQmErtsauIkUt83afztE5OVwouOnHeESUmPLHR5I4Pd
NEHtmjA493y0cdXVfVy7lIil1RB9TGUFwxz1ZxYwD+8AKUI3v/SR9zTomYpp1QDfxH7mqLyzzwW+
JYxw9frxFvJzlum+cZ9v9+pUB0MzQtOKTQFkb9wq94PoYUCJNuJLx2bEUxAR7PAQjH50QIZBVZCH
95ZDNnnUkiDnVvmV3KCNbvGLa4rQ2kaQ46511Dv8LfYCqt3fpJlmamDcJ1/p9ZmZLeLI7OVcWAXF
JmqauvgWY2oeLR8wuF+sXeFl3xXmnTQWJnHAq9beGtz9ODLArSQUpoQVgI8WfeeiqoPYsTuIrVyt
BBCAI9KEpmcQmrMtf2CgjMwb2uiunlcHUgacYYV4Lg2+SsC4LR3ma+7ykKXTDNu0TU6lwycOL+pO
IrTCXyx61T6c2ax8dduJpy6QGoOZHN1meMTOsMc6hT8XCdPvpMP6K0r05nbPAIekf7bUwiNeO3WT
r3xIXlM1s9MxQ4K+Rrer5zIeI+OvMwx4qrUVLrELE5oCAXWHNASe1XaBYmS09m/201XCVjxaDVic
PVbEjoc8R9HmsRBQIUa7jrN8uGSe8zOw2I8Ks7uvBRW12SDTtdnnBfNj6IysBe/BGF2+JNt7brlI
Zl5V2BuvU4mmvMnnL6XpxfyGqY+R8WW7jbkTc05hZMAy6/t4/WQYRuYbvndGEpOBITYMDwDOQwC5
0JFlGGtLfN/Ok6UNTmVaneb8cbC9X6KhdWhIOyXJgEIMHxkaQvE9UUtO1fApCBLbWrVhoNSskEND
Qsn4+u7t/MG1nOpAGoI851FuHTsEBL1W014KmtzQppwPy9F484Wa7kYL43fTvF96vydvU6trzcxd
MjM9BUU1ndYa2C9JEi8dNs1sdr90OrqPA2WkOdkdgr9yZzj28FiodcKzxMzaqhiHvfxYaf8L46ny
fLsxBv1DEDGBG1rj7co6uxipNjETnKFXWzQh52oJPsSIqx60Efs6TyaRnAtKcPbRZ4btw2GxzefG
I5qOvcQ7O5ocezlQD0193NDiH9uw/RGVlr1te+tJaC5RNeP+73NIrheVuTo6CO1+GgHDxFytnx/w
2p03o0xbPU1dQFDe5WWKTgx7InwY6WYnFWwgOJknFWJLWUYHQH5/AxeBwV1rxuVodqe5QPF0o91a
enC2FvZUhubbozAYNhFlwrh2anZHVEjPAEbVjP5YiOmpJpY0H2CCFgFqBurHJ69o7oMpRVK2xB3q
nh4/v1UCxLU0Gvc1lQwUB4qm0i9eXOVV0HD+oLALYx9jMk7DCb0X3CFeWzNv667dtaP/rpqwow2i
XEph91R9+95RGW/biT3othEBr9SYKzjRpuk5jpPS8Fjs30u1dqM6oPfPsgfVsvoD5hLM7ilu2007
ZTS3eL1Jokt3IGvDLpAP0sSyZEzm9mjiEkGlCF/EdmF0ZDP1XsRurPvhwzIQXON1TP0bgX/THlqq
2aoSY1NLw7YdOFRvn5Pvfxoj3DTXQjNvoxi6veBmmZZNSrVljunbQiEYU7py1uOBYkn8hBii7wWX
AMQU6888iylmTZKu6qLG0pAlwjGhaJ0AMlHVgSiwVjPTQ55Y5WAGbFi2xVZTQPdRatBUPQwdBEFO
YXDCFDQgaEHcdYH4XsX/qi+/ZcXVBJEWsrdlxDaZ91vsfV9SS72T10AlUeOk8r+XoNkx9M7RfKeu
frXioWDHKmb2x2rfVe09JnCcj+Eps8QnKvo+rkaEaLhCUJZwp1oFh1l6tL5JF23B1v6YCNhBy8LY
7Njyk3v8dtmT/fEKdI1xKHYw2wzmp5dCMoEf0G9W2HsbInWx5DN9/L2RIhAMLAhz6341kOAOKQLO
Pjt5P9PwFdzd7Sj5EIgAVdr5d9TP1xukjowEM0W6eGgSNRBcPseG61+CFadka1/2SbO6XBTysQk0
AaY8uyG/laVx5U94N40pCZl0mfUvR5n0hNICn2+M9Xv8Z0/U451hFeM+GvNvHDDFtnUQy5RYuNqD
cy5zCBTeGG3LidUezg/0JMSNMoXCbFjPH8MgWtQihOSWQTp/SDSHJtGIwBn6Twagc2wxHHwMa/PP
NL2kUW3/AKiA8VwtyyVz/fxI8Gu3TRGrxwYAVW2a5V3d1qfMs/XVmYaTHGj+Isu1rwM1jiwXeNb1
nBwiP2KdJDikVNA34fZzOTdYHmwIaOQBxzLOur5lvlt9e2tazlCyHtcrpLP0LxXNb/h2Xtd41rHG
DiTpBtwcOXfNzj2BfdPkaIuxHjjzuF49ntmySVElmutOMEUFxyybilMaDkuKFeem4Y8F79ugROfs
u8XHuh+yTmAdBLtGZN+C7LG6aJ+qxf1Us/hdlv5RjBW7Wu7pDajGFtLMwFcavLSU184IQuhkK7Jf
Uu666yJqJ56orwH2Fm+VQmJ4mTZii9SXy7uh7EB3i+nlDPhmsiNHZZfFZXC8HdgJva1pnxHN5Zs0
xZ4xZ+Ch8/NwtrvwuzHDU+FGqAPtk7Ay5Fmq+UX6M9csF5epvdcpZE7uyi165iqS8wZ3v40/Q+Zd
Kg7fcODSdhmkcPjl3z5i6k26RMd17do5Ab2SlzMZ4euk2O46E5dKw1D32qRW1Gs5MTnJ3m1RK4f1
Q9KwGMwKtXQP1O2l7n0ND29ze+XdgEo79+eHNjRe9EBm6jAhf6OKaJbo3l61wfPCQeAEyDdVxCYn
0FpNwX1bcPnfjKhuyyXNyaFyq6sBdxpske+XCIdYaxIrvIZtKYEcj2Dj3V//mfUwbYbOiRGWsDug
ryVGBzseK9rOs3tvtFieLm7QsYGZyd/MXarD+u/mDNWK0pXwwwGqEJShLiG5lILyFM5Xd0wIR1mf
a71vzwaHPRK51g2eOWu70wSmvbUdVhKpMiiiVpSeQ0dUBMuEDp6WNnBIZTAt8dlsG81FEaJpKv2O
L09yhmlZftvSwSQ6RD62+mTlWXUsAxDFJF0JdtjL0jvlMxbXZy/En0qsvb00lmtRe7+8hk4lkZzP
Agg6EE10KA2TZDrLeR+iZGd0NHdc/ZuyRDJwk+aGxFdzAa1I4VTtEpLM2p5WXJaUCKTLxQHmRwx3
EGSQufHSrunD0Nt8TvFuhSsEBDdagfXY5OKo0aQvByQaROS2qM8KVBtV+6Pmm9vlRfTWI6yxMuMp
6zFQymTE1NTVtIw4byV4HB6sNuON9v0L8aXvau2yyi44q8GZUVBwTIcm43IxPuZou+Nyyb5Hm0Xf
uf7/sHcmzW0zWRb9RahAIjFGdPSCIDhToyXZ2iBkW8Y8z/j1fQB9VXK5q7sWve2FGCQFgiSIIfO9
e8/ddw6xPWbCsLbCxYEBqT4ESPzRWM5ISmaHkvGyPw4rH6nodT7tr/XcjZeOQoNAwT4Wh77NJ8aN
/GSjlI92VcY31qS/p9l3MGbjV9qg6mRdcNEhxE/R9OJkPsokmk6VqBPcz7qzNayY8O06Sm5jag9u
GoPh59cGXZQ59MAL+5F2jpsPobZlFTuMwsiDcN8JjqAj0Vbe4IxPSTeR1FKT0AU1jBa/2hI/bZnD
FkmPpw7CvyozZyzNmr7YEk0UBz9ujZ7WSuXMh75p7gSf8RxbCNkmOLR6NFS7erptqHjN6Jbs2H92
clEfS2w56HDMPVxc9GslPA2YEaRdJ1hNCWtpZcc1NmAAhLmhcO0wB7pbtXdgjzC1ADl+EBLlTcHp
GyNNj6hP6+JrwwzelRTxckXN70Zmiw8zAs4OPckH0uf/6YT/hk6oSVXCUvmf6YQ37/3bz7ffA1b+
eslfaEIhABBKacIFAj8BfQLAyd8DVjQ4D39PVCFrRbWl6ZCzAmrMsn9LVDH4F1wI/q9rEJUg5/zn
f/wTWa754/HvCc0CO/0/0xJUk0wEklu0NRZXs/5kzYWtzhyuLokxRNwW97XhWbXkuucU/SbA1+UC
DcoZrqvgtN8IkkdCk4TGpa6Qmc1a/eQXRMj2RjDuTMXf5622WGo3pQIlo6WN4bZ1FWwKrWYcJcY3
Efa70B/YK+nxuYM+b2YVmHqvzIe0EzkB9tYTXUO8hrFPF1Hkdz4X8b2wOTcHzbVHNEmMpoVwkAlF
PkcxEuj51MjQRnLTPgLwry61oXN8BgLAoQ8GuVYDl/6uhc6wP6qtop5EaRRUv8fmGa/SFxyvz3Wq
Fi8SYZ/MxxvH9psjCK16K/thdNF6Fidbr25DS0PrbtSpZwTiB0bgJWox991osMQZi/yJc1N2p1A9
sgg/5KTR2efOpB6Do/xeQc3RJlkNhEt96SxrR1Pr7BjpofCD8ltRNHeROl1nZFGUhiux0fLhZIdM
3aKaTN9Rne+T4RsjGQhjgtpGNQ+cVmfx4ASIZ9ZXmAGQezyjs6vZebS1jM7B2JQyDKEAgYrexK0W
90s55M6Yo3JP477x5E4MMAuyFMt3pbOxy19dJ0411gmI7QtpMMp3M/SVHTwjE5aw29iYUkNpnofE
8W+wnZjiPE+NcTuouOzy5FavWkSBOTnxujP8sprh22gsvVA/8II4shY2JXkyo7WN4yhkVpkykc/T
5gjiHs0BAH0jr3PXshKkKjjbwoGSCtxIB/Mwk18S5bmse1qLUqPvMhThVlBtJPptSOJEVfWKuCvr
IbnKqY49u6aDk04qY/gEMEqAxrHvT+CiYyW6pgmIimXbFFB2vrQ+nkEBigxXxC6lPM91GHR+UGDr
2ZLSk96VlXqGX9derEdbS4JDwMmZTsAvg/LhtRLF9zzScaapOVyF2DE31EkG4s3Vl0BvuAjZND7y
hOq36hTHcqAajW9p0/f4oCWtkyEL6rMEKlXMg3xJSiz+gXWIaiM5j6LapKRVnNGsZG6OYGUr4B7g
mA2eHJPLrVNJdtuW3rqPrFoLxwbHIb5RX4z9teZXHND+78NIq91eScatWckUUEZ6pHmlbvymtu/4
1CSM4k5kNmB4lBgADCf5SxFhW7Gp6biN/CLTsPtWdfkjdaEnVYWOU6AbOxBy02zn8Tz2Q3BmwlkC
Zq4tcht9250EsWBmRM6NEdTKmyKjq6B7vk1Vrkyl4BwCZAgrm8KQWqo3dUQcnj8r1g4sxItmZcU1
08Dql0WPMsyCm576obwhKegS6kiKltNVjs+a4MkgmBVmHOLaqnb3XnVlccFic5ltkPpJjLwtFH54
blS2waSh91YZN10jxVb3qGi/aUbpn4OKoKQBK4JrNEl18u0WewwORzquY3rrO0lzYADpH6NST68y
pejbUU9wAwiptC0RZtEC07ZhT/RFRUsDgANdIgUR7AYWrdjXjAW3+M8QCfj+c9tCJum4uheVbbq9
FukLFNk+FSpZl0Ez3/E920myJTQUkVGvzZsizi5hapgfN2lM/KyBC82irpvzk8PEoNs5tO2tI8d3
OgL4jINIZwDeekE59ecuH7eG0ZanSjVfKXzpezsgBr7EFkyKTu0qwoF1kWfNab2Ry70ubHDvfD5e
7+XSxP5FIPnf/z9Ni5x1ebz+//Phx5Lrk1btsKb1X7/dXf81GuTXNKO4W1exLrI+/8caO4lkUyba
k/2m2RFpXmIsTs6MLpwEGICvH3cRYhen9fF6b11ovfl8TQK7jDShZUG7iXj5578+X/P53Prq9R9W
SvHd78hjnKy0Q0m1rOJffwJl/VzrAh9vt67lt7sfL1vf5eOudOIzh3u6//zwv63684P9y+/6seQf
33N9zVj7IPytunY/1/u5XFP3j4TM5Hjo/7Ed15d9fMHPr/75kvXen4uvT/727dZ1/PZJP1/+8crf
Vr9uAisAO/TbJyzLHlBSQx+s1hS29Pr69UanyYwK7I8tv/5rfXK9Vzr6sUyNGkvc+C0weu3jBR9L
jTg2E2ZrWSvx/iZtPvMmvkHgFQ6XIsBNaodRt6vG8j5TBArwRUYal3QN3DG32V3WZz//1ZKPSHlW
gWPA0p/Pr/eM5cXrGj7/+7EWCtGs67c1+iEopFIuKTW06SBWxkumTtTbOKTXu0qF7Pvj8RRhMQzz
CHHg55M5UNJjUrx8LLL+Y30dmapiN6oDALPI4TygmKjHMweDWj7NnPrDZJvazrlKiHQjCKo6rfdq
IAVEIsmGTmqK2JkQumLGDeGTDrsc7+shWq6nglK70VpN44gszqR9c7lCR+MyBs6PNlNFvLvvVvPO
mZxGcT69pkoJZUBQrD3Ny81U9H/dmEs4wb96+Lnc+jJ+Daw6fQ6SAZ30OJZIUBvrqJdLUMj4nYyM
elfXyMM3zhxKV5fDNwSzjwUan21EzQVLGecOcwk8aJfIr/VhNbaubrb5YRroqUuT6O3OPKmwbU6O
FTewETqAEkFAV3O5aZYbu0jw1mUZQTp6EbBhup6FSZBSl3vrw7IF90s4zFEZzRC7CjcD4Rr0Gria
Fz2MIyqd6Jmb1IQksvyk+pKus95Ys6Rt5FuH1U29StPXmy5SfsE3GbwSbleBw0ECqhrNu3qxIkzo
Ht0JrZA70gc1U185pChMYPUQhALjmFgrxZCbziTwqZ8ZbLYyJt9LE/JELQj7T6Dg+Rpi0E5LFBcA
vowRtACq3VffRGlea0YkXM7YbvH4kAl9OoZlmGqeTJgVm1XrIw81qQ9Kz6DEdHKUUMDaPVv6APVC
2Az9FvF9vED513uDaeB7IeYO3T8UC43JeSoAEOfMW05Z0GlcsQhuXe85ZsggqzCuPVW8j9+APRvd
QkCoMhYpAYFx2f7kM/WnobXFsUofVhOAulgGrDXzzCdTXa0aInOXz0BzrTglloHpaVjuro/TOWdo
wDBvdaaj2c+JcfLtjCRk2sxRhNav5Rp7WnM4Pm+CKbQnkCX6zaDkYkdgC3U/Zdm/jTVgTtWm/hCH
1MqXfe9zB1zv/fHc1HbpFl8ZVrLlbOhYlCGVYNcwCsS+0euEMC5f6bfHphVGuFZDzJarx2O1e3x8
neWLpusWX26cciAYbR787bo7rV9v3eEo13NofvwOixvC9oH8WepRXVJN1i+83vu8WZ9rSdj1Blt+
9ZcwtHCJDGT+mJ+UVrOpwf3jSYIZe4AfDSbyZe9Zd6H13ufNug3Wh1xNGK7G+gGMJyei5SaouN6u
N58Pp1T9NgTkBeaTetdGgzHTUubM9XFX6iNFcNvQ3dXDsbo54nWvXm7+eFg0+i6Tgb9vK5JHOrBF
v91MSshwZ3kuAF69YCJONuwQRCiD9t6qROLgd8XDtNyEYVN6o8/v1VTQYXU93wdN96uE/+StIIR1
+62whPXe+tznwzbNsR7V4ugbS5HNIFcpydmNZqltp8GqEX0BuBiXAMN40FBOBgZ5mhPXvPUL6RzS
BrFrW1SbCwCSSeAGbme61ZRJ48jCcKMp+i7WSb5TtVvbh5SpLSo5GqpIkCat2yahmp5HGQMkjL8M
Qxt5QVOmnqj1erN+2G4FUQAkIrdTMw/rt/g4ChR12wM7BandtNuhCqD9WSC1g0k5rHtHixN6N4bp
l2SJXfz4pZd7nzuDVUnomo85DnQAK4G6HZe5kZ6+jaKQJ6fOjbO13IBw3CkVlitjSaFr16sadFFy
s908cJyTydD6EKkhIonuuaN5vaP/G2yrFAtX1YckS2nCuJBtOu7ncIjPrZ53e6x/91WCmRg+Jd7k
KFXwzukFPLKOIGRaLi6kjaXsVuQeRffkENIZFmVDGi2S9Q41MsobThbtkpqmr8Fo62PhF2i6Ey61
DsH3pxxDk6sLu0JexrBZXcba43JVRUXMTLVTniV8e3AxN2Qg0clsnDs7hsxi10DyzL1k2ovYVgWe
pRc8nSY+NtvlfWH7SLdSLxm20sCqEbqOxIK2LSMds9hmzZrYw3W+GQAyhrTsF2/EpRQqRd71uXoZ
BcxxiDCgab+E1MbxGQdPPlLFXdwGxbnRv8+6QrxmEwhcKRjLecGYJwMJpP2ToSBjCzKyshHpgCdN
ZrKklw+W23Gz7xLtUjjFbU1dwFNn6pfKr7BhpWHVfxVNgGF3oJYewKLqUUlvRgKz1xii9SZXlIA2
kfquNxyLdt27M7pI268IvCQECE/Uaoxa761mKYRa7Qnln3m0+lvLHmMPdCVmMs4lXr7o4D8W4Og9
JuabhdJo18YIOntEsX0LfUP1m+Hju5ExCZQQ9Si20uWku9x8OH8osmzTjtPMNL8UU/0cgCtnsj0L
d7YEm8dMntvQTL0JjCvdlmi6xi3uMgmlx265OqxbJ1szhHSi4IGh0yPNBvKOmGxmp/UeBCgYO59P
Ost/lGY6Z4oKMHRZWFvOsuu9z5t1MfPztevjda1JBNagFPyAy2t/W269q2pm4hlEBn+8dn0ugycS
5SpOYuMHHorOK1LC3oaiDbb6RNZwY8SPeZbMV2cWycNU+zPo34e4xk8iNdwAoNkooZHfIcEebQKk
XsbkfA+G7HkuJ81bZQOIMM1NOfeI/+YKYJVZvoCD2We0hylZ6F4dduQF5oG2qSTgj6CG/Jul9Q9/
bGZwJM5rkWGWw7OPeaHHO4cTbNhQSK09RU2Ql4ATfAAp/kPE+5ES/msjodUi3vNvrTCor75QsMPS
WXgjO/Myj4X5hD7FP1Bi6naiN/rXBDPJ8v9BgrAwxYDm3q/9x0p0TyaxeG962IS0WHy6aEHZ3BAi
ma8llzc4IQ+55quXIEXqVDYR+XwztJClHvOGe0KMXfLWOCTHQTQvj3Fg5U91ON+sa2WrsatHhn51
omK4NagLb9Z/tLbyLYz17HEoaw1zD1ES2VR28J4Y1xcqoVSjM3+rxGjtcvIIDhV8weehxPK2fImJ
BpNbNJG8lE0l7pj9cEAwXr+zzZrT/BLm7qs1hLA5Euhjw4nqGp92pqYwEz3zNVNoO1lYVPYC1ulX
fNfb9VPRRhm3YWySYWqlNiISGzLUunUCLOtRG8m7PpjEJZewO9dVTpZ+6EdDe55y5L3FVDi7pGmH
bxm+xfWVIRAHr22kPDWGldDOHF/X59UUEVEW+OOtNmXyOpvt4OrLW4mwuLGJ43yiMlgcGxy4OwGj
8g2LzPrddbJoPLre5rEf1O7LwhRfVziUBnouw25vCHcj3REb5McPaNj5k6aGdN3GJPWarktOkBbH
jx9Qbc5OqA2vs0nwXqJJ/6CRrPFE+isuFD7NHFrCXXexzjf923W3W7+4Xqk/qEZrD7o6Ec5nJ852
/fg5KsAWq/NzVJhoedSReJsSQL9VOPdxQIHVmWT+I+/0kx6H2stoz3SaQHqegrge7wOyNj6W6FBw
GaYSf1UiOAr6VFenkhPSfaMYSNbUrPgRjfreN6LpaxfljhfKamb8RnVUFObBkexo6ztlE+E+ehp+
Y7SleXEg7ZNw/OZuIrj4Yz1GRBt4UPpvmA1JbLCMjPFDHt7VCIKJZeedgoxumdr73xrHKr2kzAb0
2ELcUibO3PVdaoixTTG1r8FEx631NS70dlbdqn6ITGFZh2nNTNsN+xV5GtSQUsQXFCWwbenofSxB
uOSmn+fmDQy0hISktxcsTsAm8Ch9vMvIOcCJ7be0sCG/jcoCygjROTW18bEKBwNGI9PLuoBadoRg
tjWpoK3lXLlEoBJbPgpKXkR31ve+MzOu6VZzTSDdsguKmBJ+k/4AO7Us1xXYh0Z9kFeJd+ya8l5E
yw3iO3XN9VuPlWoD2FLCG1+p/UsUwR6qJCmEmXJe1yDmEiANl7abEi/opfNDnCmk0b71+su6QDPh
EajxmN60YiovAF3NbRu06k3R8fP0PWVqTDE/GZJTihxa9cEKwpJr29xAvs77h9nGyo6/rPrZEDqf
mp3+VsmMfOeIdVTsnzjoVNsDvaU8K23w8LE2J3wsidN89pVU8ehmJWdLKPoNO5PDvm6TtcmPtS6a
yBbadBdVDwZd3kORgASURWE8FCYNjXWRvMBOSnH2DYNADBu5qm80oQ/nxGikp/Vl9aKm1d26KEfP
l06t22dKK8mu5ZA4gQEKbweyFBj55A0CxnijL99YMqmFJGUq92KatAODJ8yTwIkfrYCSNBLv+mfG
Xqk6vfIaK3q+Dbap0gQ3oTXq5zawR0w4HF76rN+sm8fU7OderaNnvUEoOwajOGlgK2/HBqGgppfL
yOhlXXImjnzT9ULcjwicDsMEYLbt6/PYVd3jYBGvvS42BchcdWd6VXBLbfuuNa6DGiD661R6ZL4V
fp275Lp+F6d0vqp9J5+sECkDYjhyprHf3Aps1G5E2eaH6K/rBqqYyaEpmev7vhmSYxT2075NAuMx
6gHLrov4ZkBbv8tefZVzNXFpwFo1BUKBjlLZiJr2q8jEeV2USt0b0aVcJ5EunS0/zfZCGYujmTv2
vQk2iOKr1H90mOI1p1a+JZ30t8SGNsjGRXhjxNAYGUS23zP7fuoy48eoEBDcE711KzNVO5XkD8Mn
7ruXepiu67rCVv2loFT6Qn/B2jdjNx66mUu3hYOFaxvr6CN8wJMvvjoG2o7ZDMdzPOfBbdZgA/hY
x/Kh1odd4Cg3Nq7Ds1hOTevLltevi8ngtDZ8/783/m964wSK6HSw/+fe+PUtyt9/b43/9Yq/WuOm
+TdHmsxnpUZ7Wxq/tcYt8TeVnAEo7DSqTRj6tMP/3im3/kaLnBgCy1FJDiRB4h+pfTqBfoZlEcKj
CkfVl0C/Pzrj/2un/M/MA/gPjiQuQic4xTGF+Uc0SWvFdIxG+tTdtDE2i2aSJi1i7G6j/aBh+tp9
UY7BdkYedQS9+duGuvsICvinNj1f8J8iDWwkAKZh2ILUjqVX9MebF7lRVKgJZswi4wbq6dye0+EG
BhyeJ8D3VPps8x123f/xbZccmd8TcOB493XE29ZfO1jP2W2n7AntooFG0/BsEAmS/Zu3/DMX6M8v
+kcuENj12rd73hFgSTffCwumkhfQdo+2bfz8v389zP7/7e1sQTAaYAuGYzoM7T+2a0MhGqZPtaqW
/BPggD2JJguPBrlibldIRJPQkwVCPJNM7+2EqvnqZAMFMsY3qBoSYJBAC2LFt8EFOA41KFzLQ1UW
7lxnxlbYEpJxo3a72VJffKsXNPHIBpsyeMH4ehC7bUZ+eGAsVo5xaMFPyqzdJ8yXsC2QbxRTtMdJ
sGX2hbSN6WQ0N/EWRG1OF9fe0T7utwCfoKOqR51xJPVzHfrluBnHCSTjjDRXmtmND5vm5EPOyfX6
JXEQxinR+CSpK+KVsh5HK/Ufr12kIeQto8MwzKrnWyoRiExWBBaTg1m/Mcpgz5Nom7iKFPn0ZKgE
JeYdRfPUWCbElovR5GoNhasZxikPuyM+vx+yQG3oz1gIc/luZOhuy+oVjf7TMJXbpmmuijG8TNpg
uVbLlp1jLLMNqv9E4DkfcKWZzRi4Mxit1PzeRU2J+piMtrnXKxBbw9PYoOwqy/pVDSp+GBBveaTs
Jsp1blYQLmESsbCltlwlPzCOv0uF1w2SX0LjwmRqrEoLktK17cwV+XxfiGJfDunk1d3ge2y2A32U
r7lCNSnJiB6csWmXDMlTKNSRGInFjDxdL14tLFdxhEu2m96TeXwKTeDWATCNenyahih0U4AIfQ54
KbHmd/DiT0H5k6rPW9dUKR7zRXkYNwoDQXdK4syzhvLVBw2sWOZOy7HO0mh5MsrsXR0KL2rbdLus
J5PjkzoZt1NxZ1aoTpNGR21Nfbo0MIegDKSI8gBFtdyUNRTyXGGRovB0rbnMEeUIWKbDtiMufgOj
mjKSxP6QNWw1G5r6YAIk1fiOx5E2xyYr9HeFcJM9BDZXz5hdJgpBIYOAHhz9ahbtZNYw6gmV9pJI
AVFVEl6gpfVXvDkQz4qGEShgIoXRldclySlLWJqi5juzOOqFAfucNpuuQ+C6EAV5pzYfpNJJIprz
mRZEDxFKjbVrCoQTdk7ihszFMBjk946oH4jjQfgnxKWIHQi1ClYQqUJ/SpXwCF3AA26FIali/6mS
dtiEKcJrVPpr3GHIeJNdhhf01X79oREB4WViDOvYd6yLoK6WczzdxM1A+GSJo453b7cIfa7oUO9h
7H/svrnmMIkGzSBis4cglN7T5omRu1KgaHX7IYEYDfiRb+crAuzXnBBzZ8xohszkuOw345R/SbLh
ZtKMAK9N+yoqM3Ah8ntFgZtdtxzQ/049bXoN5PUIVo2J/XuqQHyfQvWAJgbX1Xy2NCs+dip2Uzp0
Xp/Ud1BdSJfomithB09KXsNZ79h8656nJsmW826+uO8QnXMYplGV7ePYZ46McMdYjrgC6Jlr7RH4
75weXiJMUMixuhYferwKncacLkBDxiSIo5Ph5oaAt/dMtI/aEN8kGuUwIkNoCnIjgTu6Tcc5Xq/r
HRqWp95iGzdG/WotGHjL6cDVmsEmdiYiZINqw+E8uf2z39caikZ0I1mblbi/Rt3l/OmKABip32XH
ZXeyC6Qpk8bJLGgRQpXRUyqf60rTd6pdJhsjM+8N6p6xyQEZJti3iwlTCtwNX+UQxwmwjK7xICyn
I6z2U7MQGMGsdQbVpw4RDB4DvhSlSdXkTeJAf4duhZZn4hchqJd2+0Dp1n+wMYZsYn5Ufdbea2IL
NtJxDrM0H0KJT5gP1o48mTvFfaRH93U/7Ls6f1K0hO4lydobh1nK8vpxbneGVbw42vBU9dNT7Swm
L/8W9yps9AiSRBCPT4t/FLLAYzdXHidV0GkDtMiCz9kNyzmmzl7ryHiqcq8PSgvAiCRECHG/wd7I
uQwbqLwf9PReqNl95lS/nNna9sDuA205jnV+0XlkczVKstMRuWxUfL6uUWV40YBt6Up2YkZ57VQ2
RTby63TYHEM2K/gmyx0VzkFkVLFZQxgyxDUgNTKX4K3JcutpvNapwlXTgfaCNekdLzHnzjj6kra3
BL5UM9aVBN4z50/F4asFVJMxw07Hxqlfl00yEZ/Mh0RWD8Zvk4HEJRVlXr+gUJD/VF14Wnd4o2xf
IXuCTsfL5MwU8dnzJsF1NEJpaDXtN67IgZtpoVfH/OCOP/me2mT3lt5cubS/hjL4WichCVeWDi95
Ti5ED286i5QOCqV7h97GttWk19Xp91mYpRsvZzX8wsVmEAm+/3ppkGPM3kRD5PkLHGIYknt7qKdD
USIFa0sfwI7V3MdTjojeIQfGrs29WGSXZc4hFNaTK4bsvs45KLRxuNOLkGiZ5lrlhrJZSHHpcuUL
W2RKcXuvKyiSjCJ85Bp95idEhdTTfEuAHtnDUwkKf6cb6IsSBBBgSZxfbUDNteYKAB2i3Armfo3N
VyChCkKeAatkxoKhcMSebHhWMMimJ8cK3RiGusdZVtmXZUZoUhSSxgOrdGrO9fBlht6hWsktClFm
2WY1b+3R/lpXxH92qFPpOW60yurBIaItssjCdNugST3VYFVcVH82xuyVmX4H1kBwARwvCX9FC95s
8ttDqfXaC2iSrW1k+xSZo+LH3XmI2+4cmyAnKmPXY/C+zAoxSXpH3ySKyC8ZjG+mxa5cFQNvNWqv
g6CxX1DkDssGx9rcHXuzIm4tcG5nKmtQEUCQUx8Z/banch8wkx0aFJFpjo+R4hmOeJvNmZoZ4T7J
l37GmabRhqUpRBZrkXRckWeuFbQ/N2GnqJy0iVSodIISikzCfAp0Wn98on5oj3GVS9fBZo359Z7U
6e/6lBL20yqvNFYZ6ygTW4N+cmQhW6kanKe0JzjxPSi9fawd/GyxhscSCgqEmnFnEVDEvhaU24yp
NhPp2T4oen3R5upWDiYKhDmhe8HJp4eb4Mk59krsrEavHmxHkMskyi2IGGQFxGUyLPNBaYqMzFLM
n4feHn7MVpmfYlnjcTHIWDLQ/7X9F7DiOl6XhZnVF+xEqr3h74RKYYn1GTAtND852w1nsx8vgcRN
3I6AP+2hg6TTFdjF/Df46ePm40NEFRXZyTjo062mzBdnjF4hgkQLkp2WGHV5jo+QsQGaWkxBjgZ0
NtjFivqiBD7e/bY8mIQ8HuYS5qyjIhgZYRhAlQBUxiR0k4T6l0lGDzK0Mup+fXCqNQpDdUtqlHT8
fCsKhj/grOr9ONo3OiabPMI6wrU3rjAmRDHOPMM6ksXx3bd1IqCUTNuTVCXm8WdvcVD5oSivEaHM
nIAZFLSIlO0WEGwYlOqhXfoEKQ1GpWp+NByaOCh+QoIBNt2HP3T40bSZCM6LU3VJEJm31J2LbTy1
vodbPTHGn7PaC2/MU/CxYcF5e044WjjlVooTMcDjw697FCeKyLIjjhf/SpE53jrjzrdoqaFJSoPp
IoYSrXVHC5b+SX5gS8C9Jc0HHSWhZ3EAvXxU/LvU+Bmk/NiNWcQeUL8r2LDUAwmJUhiQ6FgYkTfR
ofNkFH1P2j71xixiBhID5XFMjFfUbzAygJLR7cTf+DmaS1o/9Q5BGFd6gcle0dSnSJJAHWiJlzL7
cp20IhdkMN7Q3WwZbB1neoF3WTRxGqB8b9DB97mE7+LF4SeH9tdYcyEexuQ7syK4TRqGFcpOjIUz
MmEk2uKyDLiiw0ZjNyaAU5aUAgtjR0Xy2cCE57YCb3Qd4EYVxQ0xToorQ7xT0eoaDJOHUgU7vtjY
iJ8I946ouk0NOIdYrQo+/CK7bjXXCRPOilkfbwtDXvQIE32OJ6+aj5haM7dbvHGjrt+YhfGzY8KK
bRaHL57yxQHPRV+3fmaB9ivXZ1JoDIa2RPZFm0rjdzWRGO9HszqCYUncRsWchQ3oJTX7B6vE3yUK
a8F0hcfAJmQ41fz2vl76OZYYvNCKMV0uOubR94yyYWI7xU9STcMdjs/hyBj1xsBjpqXEs0S2RDuv
9dUZPVcBSUJRq5bJZhJ7jClN0EDo+uOmY7Ih2aVNFCzMFHbmFDX7wPJ3sh5x7jf21zYRiH505TEq
rQetpO+XKFmzT+UChCGHG6ADo2YUraBUGMROZbP344PTG9FVGv6jf4XhYTw0JBDi5AdNCKs2jnVg
coWBxB2VCc4l5hxksMHdzI88+m7NbbilC7QbHHgQAQTCLf54zjb9XuovYF5a+GzOI5DM9sjICpPs
aPqAPpYQUsfiFD4YFwbC2b4fOa6dwbklfp4ZOSWDsBtII20QrifStnetqn0BBUAgwfhdr9Npa+ED
79LgJoYefMxxLfmpORD0OH5fQiw5KXKcCQAX3uDnzN1tvKdsXXb3dvBINzO3lh44x3aANW7reCla
c2QW17SXkXA9DBf1cEATsp2z3t5oi9+X2Sa7pwMhcwxq8OOGsu+HZU9LdeCihrqnNA5My9gNITPG
WjjYCThbYkYC6hQp8kQr9jgrjPWJk5x2/FRhQaPXFIfcVuG3WtQeGuoNeYLCGauIElsA8tX54NjJ
uRjKa5sCHXfMaa/hx7UicnlCfSbgKdyVoGG3Zi6/5aL0akGkUo//zlLC1yEGrvGjxtGhM6rZlEb1
VugEhCINBr+iowIjkA5d+2yPe4X+LjWS7F6dq/dkmkhiYhsiDgEfEqsT53/2X+qFtHLyb+oENZ/+
5nEqyvsiUt5K6Lj4vJl8ZaDP+0l3815wTWOYs2lM56ElcHJ7Sw+MdnVd/1SHhHwPMoXwZRARQ+Tz
biZYh6jGEV9C8YAiGF1wW4TugsaIZdBs1Fwf3EkHL8fbPOY6lcNkAeT7Xk9K+tbE133xLYieyMx6
41kZrZzWhEEpXGQ3mk0JLALnRSpj6mV5ZHjw7ooOC7Nedu9ZUz70Wfho5f7z6ug104ope5iboDc5
qVrKWaqGss1CvcYdXLyQbaltycMrdr7tadSjNtWAJRfPsYvncT6XZISmtJz3bN3LWMv7JtKv0qyx
jKjkL8el2HWpHFEP8mlS0z7ohn5xZgAlmAyvCrJSTOKwRdNZ3pUAkHeAiBYzaUZmk6LvdWYoWyvJ
dllaPak59ZORDo2/EJNAcerboMzuzIUTIKgmeVPJ9K4l72jbMbAnG4SToF8Ckar6u1aONdWhxQur
ms8mgyRCzRQ3q7vatdB5ACdUj9Gdgt39MEGU2GRx98sMzWob71fveV5igEa5whhpsXWTiQnjJiVi
us4w71bCP6UQRzaAyNIsyQ9mUVj4aaynkuzK3TK/gwxSe1P1olHBgFEDQS/n9EZk2Z5gRWR9C4up
Km86i8MxRIhwSWOGPwgkUPZrD+nQfLXyliiKCSdVn003CWJ4TiikocjI3E/YXnYh5L5OiNwdmmba
ThGnsCXONcl1wr/CBMMlto6xHemYRUiGCchqDlO2hIGKYjwosnaBHYF2T0v50sXWpQNAtwPKne91
uFrnIhmBg+ENl2qpHHsjpq9CVk2hGfeykvKcMwjyl1N9Qp6v6hc70FYNxxzBDBizBS58Kr8yCDK3
UgLjIFXsH9Msv4cN0qSmvNUsaKxy4QE40wRubqh3moVJoTScK0yO+tgN6bHXtNu0KozzSCbCf/F1
ZkuNq2GWfZe+V4Tm4daSJXnExgYDNwpIQPM86+lrierojuquqIuTwcmThzS29Osb9l5bDevRq3Ke
rjlJMc0QMXACCwkC8T+f1XpvZfZIm5ZEdE2WxQNbayNK3cCwGKfh/RmX+lEuuZf3xCCaUGycaaGF
l1YGgaybVHJGcLEUBFBjq9h/UIiK5XyzUrUIW3maxvERJKSm6TLL2GyO9sjFKJYNpdnV49+5mLyQ
593sLAlAk47jo23Q+0JE7jBv5Nm2URm11tqDxGMWlgS2NHrzXeXCO1JoE+TsBKk65amQadZ2XN9A
GYeoBF+WgtJ0K0y5YTqrgGViyyuMBKcOZ68UBRpRD9arqbXo0AhvRL3QtlvNTN3cbEgcxXU2owck
izwSmBq2Fk/McSqpWFInYdLGO1O4f9ARrpqNNKe4dFfYjyoKuh0lszsP7LfV9frqekTEomqCscpr
HLFcOZmAzXhu/+mByrgOfQZowVOcoXwL8W6lTUhr9K430ngMUZ/Nkzc1za7MyY3o2ABuAMVyr0jZ
758bPI2S3tXQ6gED6kAhSVzzXNxs7iTjW+trhoIZr6wR1FOmCE9D0rj6NB2LQlqBOnJ6USvhq8Dw
G6aGI4vVp9UA+BzR9Pk8iqR9+KELv/KC+5rAIBRG0JggSUUWJFck2srAUsEAZUq6ZAaD4yQ1xCas
fBF+FKqsfrwSXXkUVBoIFEyaXVvpdzFxvs9WnXjFCzHEW/AngT1oYrOpWeGCLKFiQ3m3mTDZ2soK
6WiN/KhZEeM5jeuPWHkYv6ufXC6Eu7HSR2Jl1GxEKdEWwxtPxga+aqMzCWI7zwEUjkxpMfSs31ns
zHtrznAMya9N5fTfOE5EB8/5FfHO0lqJxxSFlS8YvwiD/foUjUH02zjsNgJUJlbumoVdeR0CLszG
y7F+GmUsxDR7HQqz8mXsCBLFv5RuSLF5wDpZa2tZJ+5PfxoFBtCduANKaedDfhe+tQD32tIZNmQJ
w54j7VrPsdtVCpwR9KTaELl1Ve16tf6std2MY5MZKS15qwVfehC7ASgqiiushOT0WJAcjFhCPaKb
D2VSDnpG/KYxL5sCPSJepk1LHmmOVN8a+SnMsvlMGxlSmsVxymy037Tbshm+LZmRcixlZ50oeC0N
KdyTdt6Wz5N+VPQZjo08CdtOyykRkXhvOtDGld4ewwpbjNlLd6FidW+S9DesTUYkSI6oRdcQmK/W
lBKTAdL9xFR5BBBt1Lr+xI/F0qYXrlSonxUOTcJZHkloHtkTXFuJw24U9lWMtHFBzjClc2WPVenr
MT9aM5WfDAYf8aTcF0G9j+i94m48CewcN6lioeRdRb1c8Z8QhW+qULyrDb+BHvVgtb3ozGywGYBV
W1bzzxmiezSbZIIsGhg/6A7Msd7+EBZVbB1zrgXYIuU/RYBY0zWcZ3+gnfk1l6QPckt5W1SMMR3P
uz8chFFykvc5+XIo6XFhgvJdz4UmpgfODNQgM5oRpMxqnYA3yccc5k10WgkHEm0tAUSTk0M2sTUV
YYdq3VBCI96kCQRFg22xhpzamqnXVNTcGmsWPWlwvnUy1PPdzC1pW0EweKLYmJvRzA2YVsl4LYfa
h9z9ISfQNGLlqWW+tE1Uk8g3fbrQSBrMz4H35MyaZP2UthD+5tZ4LJr+JupDjG+F0imKynFL2mDU
YZf8g6kNCZ27GPYUndhr/hgG0Yp5+GvyspApgjpQ0omJGwlEnqfzdG41jv0Y7DyKM5SkK/9mmYFe
dIZRoSQtb9KgrHI3JnozHGYYGDP56nJVu3rQWdcx98T8Zxysr8IkqwOW5kaz6vdp4LTo4BsP5l1o
Jv6+BMxDZs0raQMsBoXRwmQ6M21Q3mwTk5mZ8trYdoqvBYiYJW6rTMG6auRXM+vW4FMOyCnC3Lby
zKyessSQjPsghc9N3TNAHUZQ7tX+r2CpgUvgGhyyA5DQtsAIItTGZUqK8gi2obrq4m5QxFdkorHb
NqK+16b4kfR1uBekrCW9SHGFUowOJbu6jdjoL1o9qj4MS8YCsUeAeXDIqV1UVkx1Xcl+k6fPgzHU
Z93sd2WXNd7SholHwHhiLgI8DeUezdM3InN2Qwz9DxR7zUEDhypMuQXbgBVMQDffTwtPk7bkoRvy
QciBzknFe2aiB2IA2Nwb7SUX4nAHqSH0hUdNagjgxd3SmJhymV/Va5369ywkZBsClvyMAoCnwaSf
Q41HtkmWpSIwAIamJGwz7VQrJqhcDemuUBn3PzRQM0VEGYBjjoOW3ejEGlHkw/s76FEsFJt2DK6d
BvWlBmvzd+mSgkSLL2YYb9N6rUAjxn6j8JtJsCtVxTqKOW5cUHBOng5ncj2BooIoMWCgEMQ9fKyE
FnNAPP53n9Ov/CoNnzsomSZefcI1Du4w2poB35ZoQZI+q1Jxghnk1Xo1DJl1t9bXWK7lVp0uTmcy
uqhLWgsOLbtOytIpi1LfRDODUBAherWKhjTVn2LIIFbF0yxaxUqJsoCtN3U7ljR5LyfWpzWyJgXH
sa0yc/aTlAogMfII9ytk3JLEaydQmXdkQ3Dt1ZvCYBHYPlalMttCowGzgqWS4T+tGmIzfFsWl0bP
6rsZadmF32QY572EjcMpisUhL517UMkX6hNepEy/IS9wJjuCWqyVx0HvhX1XRJo2ib+xRFSMFVnG
fjD2Uqd/LyQt7pU2RHkrg7yNjG46/30FDkxyuFAlFvpT7FoB0Qe9CZAsoxSIRR4RHZZ7X1WwSoxU
x3YFeMYR5uoFcnG6k1LfmK7YKxg+dLkGQgH7dTHNuIpMTutQeshxcGBfme2lAZVmEjGmAOcoPVWi
AoJtHEL8SwHy2ZCuh+ej3wjTBUoEAbFWHj91YvaTqTxlJr3BjEb5qAdy9lYniteIlodI+p385um6
aDOtZHyJmMy44ZJ8F6LBmlQ22dpIiqP2wQcAUYN1v0JyXv4xj2HPKDujajROReTAfLU2gt4lZ2tl
TdYLIsIwrh842JlG0UyRY0XcFVjE5G3mlXNPQkjSGnq7KrQcKNCoh01Q+RqTBblWgOzUVewZpf5v
ZAGvyRn3bAU+QAO3XoxJ9m6U9WVcH2gQipSqEXngJWBFlWTYsgYjbzCef/tuOCQdcF50EZeBPmKD
Vu29KGqP0f93UMUnoSskJ1PACMgR0JzcYq8Rh2CzjDB4hJ0gfBiDaygdeLvlXtbQ1CaciRZ7eUcg
GFNl3lt18IlY0INrSwYKZFarjprE8HgMjeAmedmLGCF5UbT7BaNzKa6PVRGxRMqHdldX6TmvamLw
ZELitbR1S4UFlhQMn4A0ivvUM4pF5+0x13ohx7rcjTH0IipW6Dcp8W0W+89YEfdBS+I9g7Gzkc4r
+iucPaqbdQo+DUekhhGBc6QoqsGLTHtWDVjvCLS9S2oTODz4TMrAWd0F/FM2xZnt+D7QMX+MRmLt
w8I8AQ/vDlUufWYdvKCJPHhv5GokBpJaDiLRsi0xRHi5wPJTLdKjks6/MgsRp8eLiOzRSj01Ld6K
iGWnBTyaw4uQ0mhyh0AfD4DLdvg6Ak/XOqojWfamRODiQ5nLnqjM2Ngi1E0EWMzjGBMOHq7aCQly
k8GgdC7GWyXOpaNrPEIpbCy7YdeHoLR+NlTipmtsUaV1GWUGnfoy0YSbAGsFBT1oMjyl6ijtqyU3
bSau24K8YT+mHwprklikzCAJIJRoOyxMJH+/lDzF94pURNgQiuX/fCmLXGBSS/4s82FVd+uiPf/n
/8r+kP/092frrlmUt7/vEIv3JMBghViBzgJvYKeSdtzwOTKP59smeRe7ShK8iGGl7ZbidMfs2Txl
oxKyZAsVj84mtwlLslCgLNbV4g6wlUqaiXioLF9CFC8UIRmM4ZNFrt/ns76U6PThl55ng4ulkL+K
zvhJr3MoSLu4y3K3moOnqkVGG1nLhZ8h3osVsNNkpVsgva3EwXoS5arChRRu51COr6Qt1fiPohQB
zA/OJ/TWogpwJUnZ7/P33SQe6AiGbwHZQWlmHWGS7gqtK92kqt7xN3VMEsb3JJfsHOnrSYR+7Y0m
eXzACPB1WsopbDBuzRmfoQJAd6rG3mWvjzemj9NDnk+ehbvSyYki2ci5Npzqkkw5Mij9qqTXkymZ
8qRwY4AYTRykVNZEp+Vl4wpp+TLJCDNW/+GC7ouzGX+elPePriTIJq1uMxlNW0nuLnpDru+oY7IG
f3FgJkVq3QIysssGbS+ssVWRlKo7Bd2frcFH5l/x2RK9nRrlL6NFinQte1glUPgY1oUWVHy8+yaE
PoznqgQojkWGO11FngeOIX4mVuE8jIaxiZgcbqWwtfZs8Xe1yHZ5JEQW/hutzxhCiIBDHYo6kj5o
NxGUMPAdo+kahtKe+4UKCqv8WRFl4vcWixDxKYHVzVqN6YPWv6DSSWi8ZxfcR7VjAAitWESATHQ3
HSnZXfPPTGTkA0EFZmNpP0ThtCtatB+IfIEjAm6xZ41ZXjHAOtah2LhpwcWOWmtTZ6R19G3E6qtK
wy2RDvKmF7j/06r6xmdtuFVkPlcV6JykYotbz6ymk1WGNERaclAnjVCERt/PMpL5uB1/5WS0e1Il
6PGgYizlb6Jor9o4/+sjPIxGrB41Qzuwe3MYDDGMJNllnSw9kOURftwXdy5i7azOUkAFnYEajxb1
pl9MIe6vfUwmiYy+OhdR5JN8VDhtGegOrh1jV5CeJBg5eaRst0jSUjRulcE4EbQ8epqRMTSjIfeb
LjcPsI/I2W0Faz8QR7KrSSzejxo/Bpd/vgstotpLsWzpQSz5iLdv8SYsIKckgOGSKoN2LgM27El0
ams1OKOHkreNnIgXQwoK6CVK4S9se1C4wJVDNh0+S8whHU3ShmcmsL0zCprwrIBSHAQKOJAd061T
Wa03Qhffa1WAqtbU4r236hlksZG/INkhB9AoKYDxndkWi/KdFNBQqdxhtl4EzetIGwN+OW1eiZnh
Ctfi6jUkJs+exL547WqWSBXEoFfJhKaej+yFxabKbMaXyStousyW5yZ6/aMkS1IavgYz+6WOIvVl
KhARZIllvnAwMZBvK+MFeVVpS4PaXACZb4GwgwswkUeZDYrEv39NokXGolGK2yl+6zMdF9jIbj2w
BFaLtXCJEk3bYdwfz0GoDueui0cilyvl2EfsMdff72qMg5WVA9/JDO3USt0BYq0v9br52qXmSzei
iyyWL5ID0aOn63oBlOc2N8P3ZOkAzEYN6+OwNRx9IhRRL5LJLUcShdueSHpz4INA9S45aN3+sa+c
3bhpAHsPurqtS3ajjSjNJ5m6hMEIrKG0yz+FeTmSj1FeEj0hSKM6j6NSelmdGpeFVywk+rEIk72V
4FDPNY5jNsA5s1eL8wwml0tv6wdpYxxwGAc8iNgIqhVKCRUe+ypy7EgVaRiAC9smjnR0AcZw0tSB
7ckYmHtEO2AYm/65C7G2NuXiYXhnW6OlFwKZ/L4Zk/20ar6ChUN+GNgnT0p2DEpztLtlH9SGDpgw
prKjnOIh0H0UYomnL4ETn8/NtxkkDNxAPK+ndphBiNfzvnH6gpiSCitNDHUC5BXJsaSYahzuHCLF
0B7rhkeDHtVs/XRvCRFiIQSrEAjITHkiBWRhnOqECsA1t7JB5KoySRDSdP2UUGzSNBHTocz9AXcI
5mNGwE/44o9svg6EbBL+FpilW5kxMN2smXwuP7xy+RMYnhoRKyzgIWZ4bhBQUOCZ2KjkZtlaFml+
r+v09FPhABuUtviJ6BwSFotq8tLqUn0J54kIHoZiHNuLp5T1vKcVksP4dVmG5TlkjABpFm1LoYjB
qY3GyFbgnfeWaO2RxBGWpqjs/jOOkrCx074mp3FiJsAPueyyqFsuxiLJTOpOpiil59bU3Xns1WMW
D9R5hmHu1UGPQVxG+SYTZ9iBwtqXyU9sBRGqKsoDD8nPnDUvEUJmriz4sxXL8kmTlBVcmAOtxP/T
cmr5WagxtCyZ1fZNcsTkylAALxN22/EJocVkcBxbZEvtefYH21mPChv+6KOc2I/MogWHsS+IJpnw
VBC7qHiy8URAbem0WE02fQUqRIgGkVO/P07Iy4B4QilLzLI+UpmdwyUY3J7rjdV6aisY9O60dRJq
I/3QTNa07yZs5lIzkD2iElc9d71LZ5LtNUNotlhpTn0ZvguiheydkbE39/VlnnIeDQ38cJ6hb7JM
GxQp5jr88RujOVsyBh21zRK3qM3MC+DAbq1g5Rfr4b43odvVVXNtsVXbAwUBeeMjM9QiUpxlmtjF
Ytykspm5GIejYXQuYdh4eVodRyuNI+/kpsl1wYvqxTcyYv4yDQXBoHloUvWroDdQwHst2/b8PC5Z
zSfNQI6bFYO+TUX66FrEp1QK4XnJ5erYLrQXgjIT36CrjHUCiykhYjwYYejGhyR5hVGQ7VNwHroo
6wdL74hW0DpfTZKLVs5MSbJQt5Va7XewsOmFujCTDmHZg2ob2A+SL8ggdP29v1+G9atgWbktWjMz
rM5bzcl1QrsavfVDzRAPyNhMwYY/6qpBne+UaRYP8fof/r6SC9b8hbXm704AVsyTCd/yOnSeJtsL
SUFcp/t4xbltzOvwNiJ3v2PD38WOdCnezI/hn3WUWBdGcLhdgcEvQVOO+kq7oF5rLgR1O17BwAaf
cAm78drWnoWWUMB+R4Vhw2yIrI30Hg5u5SW+6GdesdX/8RtP5U3nf0VGL9FvlJv8VYaBel7ejWTD
jYHITrsU1qZhfP1iHGN3OQmiK/ivDXBZKMkU+E95Ylt3VoTil7GTz4liK7f0SzdcgAALcQDe5NSp
U3xX95RBW30yqidykvVr+Krmflt/DdWJA2GN0eA5wiqzOEjtdgbeITs9FGiowieU0TmJiQUDO8cy
vbiiY8jchGQgDymM/Fx/lcQ1+Hl2Mo27IPzjR0ec5yovaWcj7WHGNH7XO4QlHavIT/JHp7OKTKux
q33l1ek9v1F1q3D8iYlArsjZccVD0u+K1+RV+EBKwCgJ28O29Hptq7yqX5l8kMWNQhR69NOdlBcL
yIuT+X2O9tgPWSZuhgPhajn56JvkY/jMh41yjRzzwg832+q/yRsf1bQnE+Dev0puo9hIbU8CTEgC
q2481ZAQeXSc0ha5yHBWjQ3J0BkqjA1QudJBTSLcE4JeIB0P26Fzgu68PIGMI0+lYJ/Dwodx5YYs
+jGxifW7jT72l9Jl2SMkW7ZbByLF+GzmfXHMX6Un7V5gCdavvexnKHxP6p5wtqEHtuBaN/Fq3OXZ
kblwhJ3IdV07b/0eb8DCbDixhWN+ME8Mjmkk78kum9YrIKTjmP3wwcJucIuf5lS/C9dpn6HQ9/Ld
slUPLwgnt9EJY2H9IBcVQQ3T5H8tJe9n4zD7O0vf0AIQIjtkMqdPBKh3H9ghHhzAubIrq60Ue6Pq
ocToeKierV2E+Lq1jd0MS1LZJS+maPd0stPeYMjMrer099otzvThaAlmG8Rl9JqtumqHT2RlD8I5
PMqbZB/ephfBS86aF+8AbRYXLd7pIZBj5yFd5UuwozZNCU98dCRR/DSH3OYYBOOxzlbdkKQklKDv
pJu8NYeAMeCjd1VHeF4zzNGxbTo/ilzUJNF5+sz2zcm4VN4n9In2qHjVFlVu7cADf6QfGEJuxhWN
S/mmbkpm0eFWTeEdbiPT7n6TX8AMiCfaeoMI8Swql86XDgx9xg+OMuWLPd8qqEcB7jH9zpDlnRXe
GJSafnGzvrTUhn38ItisTEj1uXcHc0Tu4Etf7Ye4ZqDZ1lY41TsIl6hALXuyzbd6Z94k0pT+EVjn
NF7/lN9WRw9S3GUj+uktG33hzqwo6fhIGQeJd0JQ/rVvySdRMvXW8LTrYmyaR0VM6o0+cfkliLDL
/Pwo3pSrdY2SHWOwAMalI5x5h2jWiXg2N+2XoDqdR7lRbFkT6ftoXz7pb6NrfATH5hB6hV/9thBT
7eQLcPmM7zs/GGxP+OabCoMp9MbSZ08HY+U5uxIhF7vAE7IX5vZvomKDQ1YdbSWeO1h9OYAwz6AG
+g3FE/ErSc8jcWN8o+OcZwww5xFpDYx2TqA7noWaZw0XDTmOM8kfSPMcoFFqvgmUHe/8pnqNPgUD
r5Hd/qNjnbZ4fNdQMp/GL9q2vnSJUB97CeCRQ3+MGz5sLiYIa+ujadU+bMyn6gqEHR805IAiPgij
R8IpAmjkdfq23QcvamWrJBY3zwgip+Ui3GT2js/JC3pugVHwBi8qcGXpNPsY71SfnWlnc+r+C8/m
qSIO0BG33VG4TRfruDwJLFGpGE7WMdROwc9IFt8R+gkTYDaid56IZDoUb9rduBjv4Y1HwruxU76F
Y+tz/yU09QwMcvxoduQ3r80eMVCMUtQWn6wtZgY7etd/wwMy8ZDl60Z+lxj0jxs2EuQMcgGTyreJ
PRa5FtAqdAo2AmBRcSxra96a3Gl+xXAr7JMPwnmCZ2knPdX9Z3LMH2RwMbWDyUSaQ2fTtSGTITNm
5OU8ZRxlc+DXnIfi6Kk7uErhLp/d5NfqXgWwUY4G5qlTTxOvZbWNOKHmcGepqGud/j3ftRXYLFrn
DU5tcSecWMGisp4dBbEMCxB/uUaFJ8qbYhuScm5HWwNp9lWZN7LbvVonSfSqAyZIzdjU3nTUPYvb
RHoS3vA6+5Tu8iX+CcHqOea3OOx0ztQLYRBoF3rHyD10whRB6r/C7w7sOHN+xPqF7Ld5tOXCng7I
fKNteS7eLUzQtnSsBRCgBB86widzfuS4wbd2BsIpX1J10wQLepZN92WJ6PQQGJ+agGPBEa76LRyu
+rRfDpnTeq0dYgDy6hOUgK/iId/nNxA25hejn2hvHkgwgdD0Hr1W87b9xy1HslV3UL6EZ95dV9oH
kcMbZoxPvBFLbROEEt/TyLegMkADlXYya7SOsSafEvf0RnmI8V43t9NOS49EhfuStyDSeOv8DuWu
CVJ5o38HIKQmh/A88LKiY5yG346AOmZfMrMgr3htEQzaw4vwvvBOD9uRZuzJJL6QfRP8vmcSHYtD
4Fv0/pv6GPnql2pdewIlUbbMNlzNf8FOEWwrdvvnRPOF0W1fBBwY+QZOGxLVnDfvgEFx3sox62cf
vkh/1CMPNwahtL8wbltypQhDO7GT167EmSvCbabeiG3ttbmOyOS/SHQHc4/T4wJjCUkNyloDZTJs
oi03JuF3nunnRMstT1xh7SWvdlLhRKLNwgr5Q3/IOuKlN3Oxl5/584awKXAbDNv5eRoORuqu2kpA
R3gmiZmIgDS7JKjTs8f6lUohKV90FTqD05p3GkmhP1GwVT/Nc2eRMOkHlKEfSb6TrhxQyJ/k+IWh
YPHcPsVPBZ7K/Vhvw1v/SGuP1ELuGNY1m9AxdiaFS/WPQFsAguGr9jQp+FRcumKUAboflgQl7BnO
Uc6hQorP4af5IZ84JLKf5Dp8GMzu/GGrfJTHehft+0P3rj5XmTezEUZTeiM1b4ObHQ9UtPhR7lTb
2vCtjy73TBRF+QGK01w8AXHCAhjZZvAULrfyu/pYo15wb6J5MCnNf0Jti92j+MXblas/eMvmN7yL
2LAynaAgtPNYGG1qxs41nhryRvaMSe+FF/eH9sa2M3gIsHZOy295hI74lph24Jv3kPJrX7ziQbWV
DojgJjtVmlPxYWEd0e2am5VPiYvtWkt2gwLFzl6o47riM4w2JaPR08Rc78HrxByKeYDH154UEAw6
5jMbt6B6aMNVuOQ3nDITsYPcZnQdSEW/EHsuPzzYaowRB5JGmVEGB/GBbuUGYWvaE6KgsWs/m36L
YJq54mJrV+2Ejj55nd2AGvWLC1/YD9meuhXDj8PAvPiIa6f56Y+tI3HL8HhCVYcg/5Uwa2Ef+NQt
Tn4l2LhxNBdKnkvczck8VnjBTKpgmyjFJyqH8IN7JjsM0CKxwKheBxL9pi/7KnFXv22Kgn1LiEeA
NYarTdtrZ4Nw5gNzdeYUKpGTSPldwjLYeFY31r/hh8SBRUWVOBhLikNqetlrIDlL+f0ufFTTh1he
h8yp35g6h2T9uVRQsYdEASE15dnU3Ce19sznvgKYRVnfkblF7SNurG8+DJ6qKWU8Dc2OwKRTfp9e
wPAMH5bhNHvCs5iyf8/aRrtjaGE7KcH0uTSs/FxIGz4fY/AcICkaed4dIgo/2WUQbMp+9MINWqIc
d4lbu4YeIluT83Of7bJj+TnAnThk9/Bc0UJZ1Eo9gp0fBgHP6hf7GRpRClYTerljHVEsk46HWHwf
X4pnXrZ0ET/Eq3JnmMFfizuKHuEdrw9JmdTi4qF0+HCFQ/bB7I5GIftpgwMCknXLfg+/OY1zYY+i
qjubDwy7X8lv4wPtNHfVVv0XHE3MmgE9HzXypjxZz3gZmetVx3GftzaRgdvoO0/YYdEP+UCKuI9A
im15RnG99G+MCnhe92+MPrrabjC2OLITPqnPwnvuiv/E2SXqj9hc4ZJyHiL85C3vPoEMq/+aX55a
I8TDBdaSM+6iwSG++F9waB9Q7RLEvDv5KDjGPsfmFjk1mRjmjuDtdxDixcQdypv9i4ReAMWzxwdi
oJVwgsnVPOvaXLsXxJwPk/wM/I8IP7lXUYS68zEiZXib/HL6SZmjE27zNTPgCzc/Q4XK0qVsQp/N
U7579NdIOWbf2htX53P8GXi5D6h6ih3rYJwl/IXf7BYQXYCOihhgbg0FKfxG/RCOol9jlN9a8Kkd
Tn/9wOrEiU5cVlO7TXbtPsICf5Fu62GzisTo4YyddKnWJtZkw+AxzwvP84v09lZDCO0cxj4sbVdA
VrSpP6CYyPbkqmcuHD6k6Cofoh/sr+YzWOD4N7kP/3gICDfJLd6L+5x7Jc+Ja+BNO+PGGcVNYXyz
dTsqx3kP5t14T0E3ZPZy45tN73DLepIz0g3D2zmxIziXdvCDcpx2He1t8qPSYlAZqaTXbqIT9irx
mVM+3EzYLU4JHph7eS4/kaNbx3W+KbD12QbP4S3iftoEj+yHa3h4o4SeSWmyxWv8xHEkc+RgOQNi
ZreP9qG9tw+Ox+hZPGAkuNTu+KB3VU/FEXboYZdexa3xBqbRrRGUli6HJ4el9k5t/TJ8jD7bmEf1
gkBNcGZ0pPuBUtqd32jYyYJsjxU6ydppXZGVH8u+V2vP1fTVXGuBsYxNViJHxng33+bpYDnDOfg3
To+kdYXc00SvVOktN6j6feOcMvrntsHhQxNH3oC0Ed/XG2gi3epQ/QauJvsL7EwqgN4Vaz/0+IOl
px3mc/XEKYjm0NrPvNjGa561/eTxDohHZduyEHzBYxxtUuZBxeuk4QXaxTwoWW6d1/IZL+FXQVkW
baet+F2bXtpuOcAfAgf5KlzYVL5xqj7bN+wUMo2ndBVeYjhOWjdwK/WqZyCCHq2MYPUVu/j3FbGt
Aw7UynLaRUwco+GWRryPoekjJA2zZK8JRZGtm0QS9ZZE7fQQ//0+pD47T7uaS8VKD600mNuk4TmO
5wmscIJhSlmyNyFTWtfoNH5uvQVbK2oFX4YmmbUqs7M6wV0SU3uhUkYhOvaXVExqLyt4PVE1YHWe
uRnG9ZcE2Y3ds9nA470oyODaoypNlEtT+b9/mczm1KuV7qVQCPfTWLCiVCkoswaKs/Vj/ZStNRwt
AsQJbi9LhrDoE7Z5JdCp/P2iLy+ZIYQeywWGmAiMqy2sK8qHyHwgsmz8qKIwR/eIBZHBs4r3FCUH
I9p5+Ra15C6kl5CJxViFJqIBCetzcx5V+VtOid4uEpo53bwG/LzAIVn/EfrulDU9VyDQf1u4u+tw
/lGq4ASZWaaEDXvMY2+w41puFRH/MR9Er8o+euV8I5B4wUD2arR96i1YLZjMsDgLKnhMj1lFvbp+
HZsT+X1x+y0kyd0iZryZ2udOWFLOSNUup+xz1CtGqPNjrgTF61TRZ7LuSrNxSefQrwT5rNB4knv/
XEjqzQhojgxZ2xCGTcfSKL6cBdeA5c527MzXql80Nw1RAwXT8jIu8hMfBwVMqQbMiapvU4BmbAwr
O3T6Z8qasLeCCEdf5AdKc2wB9+96XFacM1m2awxKV2PyR3GOzo2A6QQzxuwFde8NIhy1NTALZoZx
MjNrOgwFRaY1MAwkOYs10KJ6liX/I7FA2ZqyEWxgPE5OKAX4Rx9Lr/2qI1mzAsF2xNxnrpZRLvRi
D4hZPSd1RDcsmfb/+r+In/+GXKODAPqv5BpTlQxV/IuyUWXj/yWsLFBjdRNrjk8YNenf0DMGhepC
jywINuiol06/tSz9gAyM2c0076SP1bhGSF1sRhnXcsnworsKlX5o6aJoYPKu/NHixYOdlm80oWSc
iaXNyLUD2anklrELxiG30ytDB8KyeGFQdbZhEp7J4FnDxLJ01mFAoIlBOTjEMYtLqRRboqBuTUbF
1SE2yC3FL3P5BfzopRCI2gjkgAwFHuxdhEzVElJHxpijIK2gnV3HGnXLNq5LgOotpR01EK4wiLwn
JuNMDdXF//yuSv/tu6pLiiSCNcIcLf9XMM84BZjwIyv38aP/ZDOpUswTg2WHLuIsq1sAcgmF9GJ+
/c9/7/+Py+HDNEwVOZquq/9B2pntNo6sW/pVDuqeu0kGpwDO3heyZsuz0nb6hnCmnZznmU9/Piqr
u9KyYHWjgaqEbdkixSEY8f9rfQtszsfNVq0y+LluJWukz+/hyOmTgPYIW39NBEUE6M53NJT2X29U
nrqCHABPuG/5x55e/wNCpMoyIvoHSU2kQeygD3Iha5eaXnpXZuY2dLSbOCv2crAvv97uJ+DTdOX+
s11nOgd/bDccjbjNTDVhxdyvHPIBaWBV152uPZVZ+ztQ60Mu03+lpP9kQVpX//5LfgI8sTEQT4A7
ISBZzpQF9efGagQysCLsZC3S8L4nSWUe4M3zMN7qYGrxB+a/TCgBMxzDq4GUZrAdFGOjNUIT6Atu
Zc/Mai28tzijrWZZ/Q2IxjtEUH3iopwTEJGRBL15Fg/5ykCF4ZrfQ8vJFrrOw7qH51AhXvEhDmvm
+K2eauVjROxcjiiUlubSTzddxvBjMYzRDGV+pD4dRi3LCaEqIkifyeso4zFXKLQYNHTVKOhY2mgZ
NQUl3ePfqhhrLMqI2srDHc7snro4i39LOv4iNbvv7Wh00AWcS0erTeIUgBZZHhLhDlUVZjmWkjXF
y+gCfDleUdHfgaPcomu+LErx5FCJ6YGbopGWC8/vnwxvxF9d78OsucZHlC/sSLmEXrHo0DUGiv9L
GcthYfr1FnhRfW2WPjZkVlWgn84MgadumgPZDD8zd6t6dGrjOK8I4MtReeTjpsrEU0uds1aNJzMn
NtjUn2q872cwWvqpi1cSx+cYNOFoox5tNA81DyAGA4QV29c6TgoWvK4+16qLAollMNmOtQhnSQUH
z3JDWBmJe02Abrj2wuShbIhIzGFbFwl2MD38lbr5c1yhp83bcapZRpeIPCnENSj16ceS5s3aUjMp
M359D+onDp6uc9gsneHGIJPz433hKUNsW05MM81Nlk1Kf9xU6QL2pXZtJHwqjN0k4jFbVAaE/ZHi
Q3GQEpvmkO0TnwJCrch6BVdxZtaH3CI0h1PoJHYYlngYA/CKxY+tWLpQIRd1jpSqVnA2xerEHCM5
jO67v/76QxHR9umZqAthapqNOUXFD/zxQ0lrcBIAIfG6h3IKyDihR+/sD/nCpd4vAavm82wKTU90
be9TuKutJGXd6GE6q9NoFUQDy/yYfXfOjEOHx/Fv/tzm7d9/mQbWU10A2VPNKYdBHD9YvN4cc7dl
sM0df9cE8asSF3d+xorbNFjhQuBlGUKf3+z3qIpu/L6+Mi3u5tZlzV5X9mO3TPz0vY44UdgfZpmb
vA/YYOyOt2hSh4zcht6tofw6c0zVEyPoBA60LUMzHGloR88mNXQ9C30l+Qx6iUM3YiLZDAwbrgrM
nDG7IY+0H7Ng0/lb2VHTysKJVa1SFOz8N3UodCieEUvkmFaUcCfwS1PIeaYNr97I7TLEPwCPpIsu
rW+Q3VFQB9khEVBepHjuWba2ChgGgl7tkZttQM5uOsE9gxXKpzSz13EEnbRSUirGjthmOtZL4TMd
wxWNI4WhjM486o+YGkFLumnru+9MgO+fqkL4c5+8+YVa5AV4MHHvmMFTWjDXFw29pC5nruQozi6S
MGmnRUfYvHkmiFiT2QyxXi1Pk8J6QQr37rnetqe6Z3mhOfdEdjc9T1r7G3yVlzKkmhCLJ1Q0e61p
3vSJD8D3baBrkHZ4Y6HCg+/UVde1G5nXSzTIl9gh2rkXdL+uXFVcS54GnhES0NGV1DrKAi+etO/g
bDnEJk2ug7qlmZzX6wPuux3UlzQbfp65Fk5dCo7jQGu0NdO2xHT//fHkJsQgjCtiBtZ9mMXojYgV
L1FYeVVPSCqGmjCQd62hQIeZxi8HMU6i7c7swzQwfbyREO2Tpii5GDUm20f7YPWxnraKU647wymo
hYHnaqmT6G6wqZJ6liQEqBjhNieFAjTb8O3rzX8eNqetS02ojoUyyjjiGtq92ddmZpdkwXa/3N6Y
q5VHywxSOIHXE9a7tOjyqnZx5rmjiRMfW9MF8zQTUZdxGM//OPRqZeW93mslCqPEnZUQEkqLiL7u
drBgQI0qLtKkvAI/cWVJfEzIKOnoZGIDA/rcHHn6jMdnQGPFIYi0kezR0RnQIlMdsEWVa1cFBxYW
Cjg05R2QOG6gG/+G2fxtOIEQWbb1qMbab6ZbMLekAgyc/Mxz7Chkk2FVlzrTdSF4IOvyeF/MwNWg
6wZoRIsUkEBIYWvCacVD/uozz3MVxzhzJsSpC5BHJ9jSafllWEcPmQil2pjnSrm2Utrcdpd8s4WJ
P4gKYzPyOJwOv63VL3nuAkpMVxUElqKnpI0MFnd1vBWxG2KtI8IBhMws0qlxGyZ/BHMZ3AykgbJ8
JFlgmQ84smADo7ZukH4SHQUI4hVTxCJw6ruvr+tT55RHp81UivtbV4+u68EzcqoxXrV2EgpAFljE
mVV0Z26eE5OOaUnFvWOqcGc/LXNIGamHWurlFC+4h8l41yY2KHtEHzV3TI70wGb1MeYtGDLJF52z
6UPzCt8z2dddfGf5XFFMl247eMrOjnO/yh3jXdYTqy9/iYvyipAV0JFWsVIr91Zt/F9ZmZTLrw+W
/nkcnD6HZeqqdDRi348mT9I0emJfBGVwSUnWszMoXcReN0iMhoRzOpY8LhNbbHoop+okp3CWpGI8
ekQ0zv0Isp7Vv3tSf3ei8ls1scZYugOB67xbN2HY/Hp3T44dwlB1i6KNrbO6/Thsi0pamR2wu1xZ
FyS1YahB5zpOuFUtab9FSEknltVLbxKESc/ew/hBL3IWO2p9bl9O3T2CgVs1cJJiiDqaTXgIqjXF
GagnmKiG7CIa5hNlb/DphRZ6sfJM7qe6RVrqId/p/OTt64Nx8vYV0tQNFb6xxYX48WAQkvf3Ndgj
pJ+Xmo64og0wRw3fHKLXZ7ogNWy68+ARRDyep5PT6g+hw5Jqwij24CHAN/Xv7gQCHDG5XlCdeK/t
CKGBd5XHOczKmO6SrMFaDXvmGz/go12CD0EoELbbiS5aT/jVrz/YidIFF6V0LCZqQjdY6378YBHe
Ky4gKjVVdmk2SEssAQ0Dt8ayB7FYh3joRk1uYgQjIcTDr7d+6rnIFTaRflVA08czA6N3jcZIeCYM
E59SoSXXjagI2y5caZ79LTRT1kldfeYznxq1DBVSqAHXEoLzEUY56okJHeKuXI895xKh+QtL75ev
P9m5bRw97QKz1uGjcMFibiGDoFwZTnJm8D15TXIzaJw+rspPK1lJaEJX6jU3RaEtRYf0ZWAUkT0X
mJmld/0Bj2kEC7NorvCJ32HmR4SKby4mS8EtLoOyvWpVuCiOrs27IUadZdMp8wf/Jci9ZT3l1LeC
K7lRhm9+zrN5mECpnn2fB+6PCbTruKiTvz5wh4XBx3mCUFXTEeS9qBKr6tEzxTDzRpC4Qx0EU+as
5jE+M+JkoSP+vwgTbjO7ir9BNUJqA+bRUwrUQjkl31ym86935XOliz2xHUmR1tQ1+3jQKSxbdYZc
FOsi/aV4iEx9Hd2GXWvoF4c7At3dSwGozRdnKl2fZye4hRwMJSyldeEcL52kp9VjGcXFehx9oo65
JysO9kWWt3AYGHRL99x8aLrij445n88xWdJrpjCOZ8eyCoJxGByoCIYDNw1HIlPZ57wMH78+oie3
Y+iqxglmND+En/8xHbXoXQhZ2tnaoWc5uvpKIZ4rKNwzc01nejR9+jx/bOdoUFNETL0KkCRZyFPF
wZjjdaS7Zc2UHjmslhno6e7jINtkVdgzbuffjXBjF+Gej0+PrW3apUI2GO3nZCHwIWjCV5chM6HZ
6CfscTo4vAbxq8O5URiAHRuPXqkhe7BTuZquWNIri95UcbJBtWyoqc2l6z14CfwD3aW9FYqNWVTe
cmyXWeInu85Amaa1dnYhPQPjZ1Yv/Gz8CV9J2XQ0UmCFdNiC0LDmzc/WUZHVRr5HIyjFrd5Hr509
py2DxMzra3waznfNRiEM7jzH1N/V82yD/F7bw+/YOp7/vUssFcMWVEmzN+683P9FCjaJZS41fNsk
BS0ZNXtZmuazutTD8ZZmUbFyURZkEuFna2EzDyNEs07vPwbjuPeCm6+vFO3Eg4kJpW1yC6o4Iszj
2VIcj4pgmZatwwQQlu53D22c3olOfyBF/AddOLJThugOG/uTTMLbSvrGQjU7EFe7LDC3Q2o8AG16
NrViofn5t1GJXzRLkC08lcazWF+Ng09Ds7Dm1JUey9ZKOblucwGMY9W76ltZwRWyoztwDqizDP8x
a5EMKoDwhfwRd92DWcvrsW4eyB6fVa27NMIpEzCR12XhLwzwGbXBH4RxcCH6hpIBDJPwLtGNHR7q
O71uH6YUwPItHNKNENrb4GkrVyGoyqDBJ0r9lfLaKu+R3AUcdtdFvUX6HS3WRVGOiIrx6l5M+6kb
XTSv7ObBt7S3w9+11q7KqjtcZ/OqhcymU6arY7ntyUEykcM1pfpahe3aJYaK6s0zcWAb/MXbOEiv
Rl+/9UzjxotgovnlN2XMrnB5w5r0/W9+F30v/Xzc1T4sStdT7uu0ujIa+02aFioWp3zKKOfdRi2F
mjS9BQmR3bMG5ZpyKdmcuUKmOd/RTa5TWNJoupq4kexpGP1jMHETaP16OeAKBL+beeWwrSH2X1iS
/ntSmssgkW8Bxk2kyCUybpXTHlU94j9XdOsz+zI9zo/2Rei2AWZNwrCjB/RxX+guUtXJk2wNBg9b
5jZSlGACNCQLB59IY2ntFsOpeqHk3Wtv1z/pcD1UJYpy33eMRdbmqOgcxdt0dX/mIaZ9XnUIVmiq
ZelUED9XPgh6bBW/sdK1h1WWPm/uYBFDcISp0rt0+5Ig3hEqt63H68qGL+sr3aZpVPfMQ20KBTk+
RLau8zxzaKpQCj96rtdD5HTu0BCr4HyDhJWs9lJNlMWBl4eZedaH/XCZxphyRLYpJ4pcPbGWjFZi
p4tDSB7WT0KsYmy0yFH6WzjX41XmKsj+MVTrRnRB2XoRumU9Hy3lVrQxnyWop54lTFkjG5duY82w
Ksf/74sTwfqIMq1qUtv4VNyvojonfD5NSSZormtdIjktX2Gvztq43FMX3McNHYWC0h5oxtevr7zP
M2hjeppqNlEotjTNo3lm1Oa4+rUQG7aDzAqfPgGyw54u9TKwil2nJ/cj8Yfn5mifzyWzdmJebJuJ
kVCP2wB5lWWN1zYx0VFYnfDQ5FH1OloNsLvwxnTxB6awIfrXJLTvcA++ff2ZT1XFVcHH1jWDxqd5
PDHzgjhPjbiI16NZG5RBW64OS8dyol4gKbgJY+uuxRSLrNNEi6mAdOuoThStMetVh9Kz2DfTy04Q
3QwVDKu8d6iYZK/DcC+aK/DVhFeCprLLc2fr8zBhqHQaeNJqpsnuHw8TJnoNi/Cl9QSb8gUUnNF5
C4FPgV6/+/ognbow6FaZFoeJmZB5tCkfi5zrEGe5jiJ4XjbOZs9eJWZzZeNvBJXAirKWZ5ZznyfM
fDySggR9tWmwOZ52GTlAeeJYUcDz9jJ/zQZtD4psrubat8Mhj9xkgSzhzPX4eVppqCzJxWGyzoaP
bgKzoohRu3a0VppmO8Tt2jCim8BSzxWRTx1T+llkztCL4bAeDWFMu/og4L3XXmreWS1r+IwbjYIb
j8rse0FyXWToy1A1lw5MLaNilC0FhIFm2ASYYYCz0pkQo/2kuOeurBPTJY6BpjJ/p1tNk/aoQNEr
ep+GIbibEv/7GPgPwuwZA9xdHdSXTftdc0NkHiFsVO3cpWZ+XrCwbYY+2wSOy5PmaNs8QGoJ3TNa
S/LFZ8akwjgwxlQ7Y1zPuk0Ny3gGmARMGQS+lKxuPgFuusS78YE/zbrWJSW6Dq4OQQ+OBgDD4aYW
GsydPokgNfIk8IIZtz0FMzpKRCdjwhF5ky7dKr2PDeBJ/UROPMB269wAHIWLGj5CPJEc9geGl1I4
C7MD2nn4dUDQEmYosFPgSZRawSB33UtdmduSNgvKdHWCQdFrd0RxQeYHKLrgB3U9HB89UGsyxNcA
aOWFrhWvBJvQfWEZ8PU9fGItzIF15FSa0WiiHV9wY0h2gU805nrolBc3xCfimwtr2CYlLowCEKBr
NtuM2MkZsIA3XOmTBOb26504eXMRtUX7QurkXh0NJIlRMHnwsngNywQrAR9bjbS9Y9dnFm0n6o18
WEl30mRQt6j1fZxDQXkQaV6k8boTiK3w5DgNqDrG6apot0yh9rC+8EFybmph3vmNvivddtc547kd
OfV0o21Jm8ih+MnR/7gjY6iCzyGSYK1V8N4a/qGvvaq81ygZnlEssUdV/KMszOsJAJWcU/WcOuAc
BVQ9tuGo6nFFjtvAaiOf0YyA4rfpeJf4KpLSPTNY658XyRTBGBnpM1C+p8f88WPSXU21MWPEsCJa
DJJ8q1mcx7gS7DtUW9DNGLNCUa+DFplIV3OVk7hEFPOw1EvScyKMvqwc1qNkyjvJ1gJDPiWwInWX
kK2+m9QmtCzPD8OnRhu0OZOOjSbOp7KMY5XO1KSNcDQ1W6Wrt0qev3IoL1Jd3w3q2VH/5HHSBYxn
cG/Op85NzEGyLapf66G/UbSGKJAof20om4JCd1CUx8GPJv5hADzsFDCtHTNSq9gGKcLvr+9Eezoj
H1cZnDFOmM48QRDKd/Sck40O2NQrkBmVS9zpBFw5AM8grxcocAI8D8ABsrq69ZlNMCW4k061Up3v
KMgQX4hd9t57iDWCpF1XTJdCHpBErPhEmPFPKzUcnb15ZUr3aqj1vdNTzMi5GFSRvxp19ChF/ZDk
2avs1d0UCDqrcAwZ5ffSMReFp+AqY75EqZoSpNyPWnGPkmKfy2AK3HgPMkSmvpOIRaZbO9g6960A
fZjb5aXfCLBu6hJl69y1SUnPrKc0YJnLZa/itOpVcO76zudymEVmAGPy5fC1bSWLw1HOCyoqfvYj
VM89VY2T596mwsr4B9PiWLdTElJLSSHhyVaU2xTIqBO1244m53y6IcquQxfvD2tTa5DbhT+QVu5D
qe3DMn0NvfJn41ebUTX2SsAss+4YsIuyeIBBdzsaZce0VF5Epf8z/KFJUHuNjxjXGm4hGyAks9+i
ia9qE/9KDct6a7m4nNysLlqB32cai4XNSyrJT2BVc1zqLQ7azLuvK/pZtnLmMXBqgqGpSH6Y9As5
LeM+Dhex3fRhADhvrdQIzvr03uvdrRouNK/4lpXDq5qjUXfjO5kNZ9Y4+okRUWMwnCbNNGs/qWB0
jbvaAFu0Hl3tDUzxM4qCR1vzF4VMH8L8pdHEWqyHd2sCKpgI1v1nNbN3mStenbZ+SAtA0k5O1y+f
KlWrqkc4rLvpknoPKAFZPyAQ3Xx9r54aXalpaRbzfeZjnwQHLSkDfell2boLcXLY6aZoqO8k3UMZ
pZsxj7ZqZy+FD5kAd9KQsnPop2ed2jzENQoJ28cy7t/E9vgz7I3nxFHfRhjIofNNS4bXqFLPrKlO
nl5Noy1JL4Y13fHT11BkGJROla3BSFwXVlciln/06vxSVYM7j8lWGveLIfRWg2OezdM8MbFm21Pl
WddMyVj98dpiyOvqyii4tggNvNC5mrXe2HHXrMxsbirhAyrirT+qb3msvlGnXkIqXqWde23qzQNI
KnSCDvY9QleEml59fSZPFFC48qbljGAOxsrtaNRN3NIgaIkzOdbZM5jd5TCaz6HJcOn5NuJOc6em
1JY807y2PLk1eu/xzB6cWFdxZlTivS0WWM7xNDC3jaBOUqpLxdA+TOens+TaqwjvqZ8N2T6oavSY
Jdauj5zrAI4COo8sFM9hNb7VtnenpMZzSriUYkCLsbUzd+eJx7EmUNVIYfBM+tSdb+G6pyN1aByA
DetqxOBmsY8RHMF5LO6cJj3XDD51sQjiZXVT03W6CEcXC1eGm+nVmK6pDixLDwUcOrMZiQPz3PIf
Qn/gh/2Z23k6x0dPXvr1qolIllm4LqcR6o9aYz52fam6FK8g9TyN+Hd6mEh2feVl6bnC90FA/dW2
jq43qYRRaBhToQxZ26wKXMAqGoRaVjha8Fr0GaJaBzuPIVa+WlyPeWaj40KnO0huWmsOqmk/JVkk
hr306OeV+bBRM+OJgKaETj6pfGBG43GVawjVOlvdVEq+BwXjEx0lkDbOoKdd2pc5yvFD4gfWpIT2
I0zq/N1ItfUgmBeaLbjBEAGtr22K1F6kWXszBG+ebi9klb6L3N46sIcoueh9tq6zYaUW8jIv22uZ
ADtUhlU5VtdKV+wjwJWNAmIF6V7cXiXtsBENdIai+RWG9b6t2Esvve5TyH2JOz6YMZ0SXRLlmQEn
ughs0I1xP87yH87Gj1iekd8N69BVn4lw/B5V1roE1asMYrggQEb281YlHFJAYlwWcBgOZHfJR1ka
uIOgUBhbC02QHXrFMulR/6nJa440i8piRf5rfTl6Q0wGQMpzxCpIsMy4AsFqrQwx6sBAvWDLHQwB
hVbLKvQ6DEt1B5MZQGo3hASjNdF9kzBJFNIAiBerMW8xpU1hx4ERZl77ve2vIGpilaSCPSN87Nkt
8BeGUqxS4jAdJb+bZNauylU/OukdET9zgSx8Zqv9pkp5FJrQkiM4OS2iWRm9S8TYdlDtHde5NJ3y
vQ2yO69M75QKkajtonkyQDllPytHe9JjeB1plD2G/QaGNzGYxDzQOHiygYK6uD4k4RzSX/sIw83I
vVIJc20AZgnfXNZIKLkkequ4m+T/jjUAT2Enp3GAcKAVvq6ViFBXuv6uC5rnzMb0kTbD6uvh8tRo
OfkiNAYHgWzlaMFqFVVRDxYDkl6589JiRPa72yEn6Q2VkDFYi2aUl3zEM+PgqUkK9Q9Wr4gp0Cod
bdb0B9iB3gA9gfaPpsrrNEqo56dnRqKTjyOTGaZg6UMbUR5tx0AcRGiTTMmwl+uma2ABkICUQKmh
mpIhp5vlgX8nS/0qIA6y0M7PFE6N+DxUbYtjTBX2eOEo86RI8s6ko4B3OS5wWjX4PjvF2vHja4QC
LPrQl3rjPYP/wg9weoEC36klwSAOxceGIMq6Lm8jnShZx7p0E50OlklIiEsAYwcxfpbgLbHDyl17
cfqWefV943tb8nQu5dACESNltTVLnLkp1XyPgDwPcE7SNfMhs/aiAX8cMVw2w9QjjJULvYTS7w+T
w18dXkU6rtORoEnfvtCkfZ34KgbWN72KEOa0gKfIs53ZIrgv8rvSyfBuGphl1Xp8nc5mBhEX7kEf
zZ3QemQpFSUWsLIBbGx4h5z1ksQKZiIvrtIhXJg6dj7jhoAfPde8gEJNG145TFLJ6ArBiFGFqhK7
nuth61FlAF+uEZ0Ru8GKqDvStyxs/HH+DkAAIL9KJk3fEkeFMKLzDKK8amOf912xHPC62nntgTWT
kIk0+Gv0Hu3W2lYq8JC49GZND1umDR/HKIc6l0zmSFgngcsGJpz21/fgqeelJbgLJXo3LtXpHv3j
eRmolZmkUZtC/abHpH9LrPhyQKocacQ0/n9t6niJ1ubkbGSgzte+DUE8JVcjpcYOHvyiq5UzH+vk
LNliXYUuBTkay7mPn0vFgpMVRsnnitaVT4q0ly78PltO8/ZQG75rHrG6EJyI2TjzMU/NeqjSUJJi
qsU67GjWY5XICtKY4aWn7UvyT5Jg9a7raxvnnpZzfvn+6wN7eouT8YBOj/Op2kAoC+oW+N3rSYk+
tbKgKb5q7vCUxeV7zTMEmuni602eGLoRSjvobczJeHU80SXuuiiSyUcnM1T2XZw/WjaI4VYWSNhp
q6/lUCxGfKSzANbyObPFiYuWRwZrW6azGPmOVyEptcamS4J0HTWESOZpuDYyGGY2oPu5KJCZZogy
d475YGJVWCauDzy0Wrt5Ru6zXzsrPQ2v3abQN2KYIgBbCYSQXC7V3LRN715By5wTmLQPHIJDsYCt
6JNi3SvL3+ftf31wr1X/+W++/5nlBK96fn307X+uiGXLquxX/d/Tn/2fX/v4R//ZZwn/ffkrq/fs
+jV5r45/6cPbsvW/927+Wr9++GaR0l8Y7pr3crh/r5q4PuyC955Nv/l/++J/vR/eZT/k7//+6/WN
UwCNGNvzz/qvv1+a3DIsHVX9j+tt2sLfL08f4d9/XQHAn/7L8+DE372/VvW//1Ic51+UOVjvsRjV
LGTqXKPd++Elqf0L6b4ptKlAkWZl7f/7L2H+C4GKsG1SrblmaHz99V9V1hxeUv/F+GdryMcoVFrI
Zv763x/+9vd8//dZ42D8/f2flkSdiv/RIoT2rmR9zp0opsnh8QwjIOYOl3wVbTBCBmvZ1S+NAY4u
gcZupBRjqN3PpdKOK55OzjoMSFnsh+jChEW9LunM05nhzrGH26gU9aWU443EZr8huuYVBztOPq15
x6AoAT6M2TZKqPZ2XverzfR0h0aKYkSYwe3n2ieXBJZJSKzKQERa2Sx8pb0W4TOI+GWkE4A6kiwz
V0s7JgiA52EtfpUsOZa96V0aXQKU6bbxMGyrefWSkLEEpqCwlwO+wvkILKr56fkEjNSO8WClNGbK
wIjmaJ2JaRyZLqvw4xNoln2TRyupljBunEBZW1omb8KohZSopCmAZ5KXFDe+jibEbm9WDXbntloF
fZDPRoitWyZMP5VSY4KY1GJf1yJg7uZ+R54TXJP+5F/brhfMa01FHtG7wy60x25RQuadJUGyMRKB
tjKtcvDRoaIQ9UUjS9oefLq+wpcZ2OxcUfkLU/ggdzAwBThzr/QouRpkDeMkagnGAZKdRfkqcYPu
NvbHB+aWBGegun1w1B99m21aKODvJVj9sXK/d0ajYoaGXqtobrMaQsDUBW4i5HusInCdBj3ZapGl
P6Zk3c4pnO21PB1Wsip5I6KPiyndO3NbuEFmi2m362/HKeIuR+a5yvqIPBYQniZiqR2hqfh0eGOE
KWIRkPckENYcfnuo/WszYxYNRz1x40vHNQqq8FOeAG8YJoWJWkNG885l5TFIgupErsg1CVRbmNzl
yhF8SFVo9Got/xKPvbfs6uDnAUpeT2Ry1e/+/oeHbPTHt4dXD793+JVT3x5ecI0QGOg0+E7vpFCk
ITOLlXMZNlCKjrZxeL/88MrhyzEx5LLwrPuj3fiNTh+bJ5DjCaD2Dzt6eE+Tq5qQokLMv969w98e
/sKIBGniKsSNw1/888LhWy8kovn3K3/s3+/fVMZH04rTmUdO3eyPX/zjy392At//QnGR7/d6gh/e
yeDnTv9UyJOn0EWsvN2g7jovamdGS65PO0T11pQm3juv36cJtP42+uMfZTCiHZohfqYAE/dio5zL
6Wd9R1VGuCu76L4f/ubw08YZh5lw9JGoexabXfVUqnG2KHQdFqYIi2o9tDtfKa6CPmNGJbmUNNRB
O2yMyu7wlfATh4g2PO613teXsd1vyW4dN2Wod4u6UGes6EDzaWsrGcUOL67YMdbzlRnoO+JEMV4A
XWziJ4TUYnV4XUejvbarltxPBemRAg+XSq63bPPO2HmeZewOX9VxClUSbYhsSfABtucqXFijHpo7
L1XaC1flGP7zM9sHkdyo5RY3Kfm0pfuzlD6t5Eisg66ziPhgGeN3hFxpfpQtjem4j71PFmKYOyXi
wFkqQ7LZSuo+lTlejPgpwDTzW4d/VCvWfn8lHD8kmCJ6RpsEbzWEowELeCUSiYmKyI7taDdrZpPm
ZaXz/6AW68QH+aR52GuN9GfkQjEURZgQq0wCdmJHj2leW6uy6JJlRWl9NsBcWKiNSqlnzPodC8Ie
sLHvrGSCnZdkgl02/dOHOvZkrZQLc/oNvbztsCVTf+oSwPz+tX8bdIY1V1waByoe/g3CuA3LZX+H
9tHftX0otiQIXKg9wdVEDc6dSmCHs3nDNgBaRqBEdiXSF5wJ8W50V2oHCqjEVbHsUhLHFZJTYGaX
464KE9wK+VQq5keHn+NtKGY0D8Ll4VuY1+rvF34UxpZ2X7Yb4k2nOD6404JxquAUpLLDoBzl+k1q
wEnMa8IJVBDKGt7ji5bK/s4lg2fnMRFdt8AYzfqhNRAXMm7shn4k1TYhkAiUdT43Jez5NO+4+Mnm
XOXCfDxcWKUg/x1EDGpVx42vCiNLrsaqBcZnDOXy8K2hVGQ9Gi7QInVIrmpZZvPOBjillEBcKjoX
Qejd4eu7LZl2LTKbNKwsgiiOH6uG6JnHmyYaICspEGcBdGs3NoWCTIj4KVDosgs3vNEtXwOf4qTb
3gyxpflmlEHiHdOtMf1wcMHne2XXLscuVxdFLYAJhtPvdFWdbQ9f/f7hP98f/pBOnP/3bx79+uFb
ndOzlKK5OWza1muYw0GApHh663/+4I+3/v1lmsTfKlf3l9k/e3LY3mHzY5Kwe2XnYlGwguLij534
4/fLlEBs3QND56lafch1L7dKMemiFW7aw1eHfyI9/PSzwwtNa/grw/DjmCm/QpB06arWEnnVtWiK
BQ75fpG5ITec9aNIvR+16xUUEYsf1mi/aD2eC/xC9Rz3ULwKx2eEz4ue4wrN2OIGMkicMfAhzfuQ
nF5do/vvwm4k/IG/0AFL1UT+9mOQLysCnTdJrj0pstxYdAqDasS4o+Fl9DVC/2wyiVF9+iApa/Rv
M3eKsvIU/0ahVNQg741MEczzjE4/jdqZ4lndwvLIAjAcIBG1NoabJDZ3eCXrNbGsle1mc00jHQH2
89g5xSZWgrkKqQcTPG+fWZiv7CJfmJ7+3KVARhU/tJeJvUjKRL2y9UJeFHW11wyotO6Tz5KIPCur
JtJXDPMOAQ5xNs51SGs7inzYponyQuQMNZ6AQG6vd2CbRTplIi2ZZxWKVacNml2T8KhlIKQNyqqb
0gnBcYBTS/BKZBvITca/WDZG2JiZu4lqf5qimMHCLfqNT6rNhR7APNQLClHCm9C6jtj4JoVrmgH9
QisqKGJjgVSwgoddyL6YYlKekAQAgovJGI2EfadwHsqggmxpY+VNIqBgIanv2Nh9DkIXv+bEUEWD
uSIHroKU8UYCtL9M1AdLI5QQC+XVoAh1pSdAszxKloS7toRy4PEcJIQwElo2OXYQkg4VeaG00Z6m
fI93PsyX9Wi9kLbnXfpqWZHJVlTMxazbwWySXRqVL+mjTXjHfGSx2SkgqxO1ea4sN5rL3v5B6b9c
6D1pliy1VrmFeU+i66BK2s31TmFS0XsrW0UWMrn8dDXEw3BlO91tTurqwm1kvNEGgPIdSgwkEYSM
QMdy6qdxdN/9Rq7tDP6t7WJLChprIwFmccTEVZl6/QyC/djGV7Adbv6HuTPZjlvJsuwXIQt9M3V4
37ATSZGcYJGiiN4AA2Dovr42XC9CLxWRlZWrJjWQLydFgu5wwJp7z9mnSwN9PdAb52WO7LHh+kHr
hxyoN08JrOWAKnRXfXl2A/s1UvppojIwiPdKROmaiPZ94/RhMrEzDwjw0GuVXIRe7IKGM2i5I+ZX
eHFB2mNlaoKTlfYH23TRbhjWG0nD071rtasmyZtLOnAt+W60RwlVrZyOC9Sv9Vtqh99KdfT61Fgh
c2f5PDtg8SJ4G669jMnBU5BoaiORhYVZFkHItIodiuUVStBmhb6Lak1WapAvBcTjeDzngwde0w12
CQBnklm2hhk/GdJ7trOGWyqKMboSlK4Gc49wOyWUTyP+07tQXJbrAGTowjqqjOrWm3iNDmoOQUsW
uw3EtzhTe4W+nSgVZUWsstG6Ebaz77MILJHTPblW+j668ErHIifUyTWtXaFupGVjjukYVpwUMqjw
ybNx3QKM3eR4G10LnsbWes5y2ON9XYB0aajI1CC44PgFMzxcVmE7R1hWGJXsAds4tk9ZfusatMkk
GneS+sQc1oi6RxsoXpNCggzil0gV+mFox5dBVnLjD91Nknr+WY31KymItw76pU1XdAlKic7cu2Og
vY/06rcCFmU0Z2QRTrxu0g+t0JFluimDgRQdvDpOnD87gNQ2ZoJzyqwTisDo67ZqmjaTlWm7AIDQ
Fu1EDf4hJpMsai/LEmcJGnWdgsgCD+g5WhqCElyi6uO4IIpnmteq1i6zs06BozW51m+JsNRAMccP
EYpGQjd7whY9rkfN9Ymxh/rgGqjuRezfof1eiZGE9/HdjxGHu5ofYMdgK5eZKQsp8LyGzlJemCQF
kNZ98PUvM/KiPUQssjLjGJZcjpxRqOzW6LulB8WpNemDtwSLTR4BF3QOGXrICrHSGuTEOes+fIu0
B3t0SUVIxzd2rLjMe1DYYl7yABMCdVnaRbBwFl1jVHEFW/2lIWTLJHVirdkuR6WEfDEUbpXA7Q9d
MOukNQwPyey9ChzZQNB8f1UuI17bx9Wxk9mLIRogNGRi+KyfZhRLrL8JyNPsrmRgL8gRwo7lNL4H
Hd3+jNXRn6PoW8tJX8V3JYlIp2iKyROP7a+EEsbK7FK1t+CjD4l7ZKRCdhO8WmRbN0XCNl2z30yt
yY5kKrBBBhtZyNdGMCnZXfdVk9IalpzoFeMqSQDLdjQxh0tCJApDTvrYeB07i7LEMjBQWNTLH4Qv
LylhIFAbOBHSKbP9QBZX5fsUA537OKDRlRPaiId0R173ugoMgmAmGJJlS9oXNKYbroKz5Ze3euo/
iCG/xPpDPKiLvh4LuRCEiZhoOuwODCe6/RqbxTOZZfvZhYcRgPrMCgjHEEh2wh36XS8eakK7pANF
Esc6HjCo53HubzPDsMPBi7LNJNw3uwTvi0tpnxktZPrkh7mEhyp76MjCSE+RJ4mNaYN03aNDyq1w
UO5d2/YLwwShcga6j+SuentX+5W18aX7Tfj6fS64/bQkIVRMtJ+FiPdDWgDbHZ0f7kznxNZ++nRB
VBsHD6N0aEmyG3JHZ2dJY187/UuTsbDwp7vBjFn5l/G7UFxeWk5vBiIQS2Q4rF29Mmt7y2mnz2GC
X5/r9Ocg7Ve3o27CIDKGWR3lwKv5cVKvi4q6VhGbfIiatw98LSJENxdrt2fYrZ3qHVUm/WGXeK0q
S1691KHrQyPdgjhzNC3xCN+/yeKnupw/E8Q45J1Oaqtc/2V2a2NfweCNzJluGp8r1KIwZtsAu3l8
6wTmrNInALIlXyEZH1LZEZ0ofrhEoDbZzpc1R4Xgq4u3ToKlczqNMRFGcZo1N72fgRtJ+hm4Ol0k
aU/zTR9BMiPA8k1QoxF6/jAN4k0jopaIxHo9YSHedVPjUImLn/yMjt51yWXmKADshgnayNidFsve
d3YCSS6Nf/RkDJMWdsAAiTnodSKuNMTODtRS15VbWtTbII8YP1DXBVWebpBzfq8E5KbeZQs0At8r
ujq4nXycp4VjnXrEqKmVuwD0gwjVY0CkGtFr67aJ7oJivJ2GLwdXHY5xTdB1ye2tP8tsQ4viu8IY
CUbW/iaU/jwljbXzE7bwmboYRWWdYuuIA3A4vOUgO1eBi3k/bWyHNejJHAdxIq2oXE22fAk8JtXS
8X5q4AZjk2GTsLtgVSepQYMNEmpSEtpXRDdVYA+3U0mpQwui0K1sdp+Jnx5s/2DXvr/3Y+x6OBln
eAVDd27uUcno6zTNiCn1q/lOzfaSXUavTC4U33p2T7JOnvZIvN9qdxPPhXXQhuwutWMSXMpgxGu2
bNk9Z1dR6iDjHbgb8yRJItzQeMbi28GySOTrw5asvW+psr/MUqeLl2J5NzsIHgzFfQiqpz2zrqty
4yNh0aSiMd8gj3S2mfSAy7Ep3a5Se5wvKrbIWM59BLctdQfe+pThalXed6LKWF2bZQ9Jt2U9bZ0N
AmRL33GO1dxAaC2H9ABd4aJr8ZOoJPDu2YehGUAhQU35qjnTt65vU2ZaqW+coHmlGO4eXCJCu62d
m+gZA23tmHN66CzzGSbqCStisDYaQmsd/ZbMZGM1AWUyE3UKMsWkqMWXLq5v+pYcFNKiWFg7lY1K
XZ5Nn4yvLKogNAYkbyGwHyoCNZw84zqUd70JhDewS9qsJtPV2D3q8dk18K3YLfED7ThvwHFx9k3N
Cb2ALPa4RPdhjz7nJABlY6vvbUS4ZDcsHwU7nMhxb7yWSuBQZ7duqXtUgcm2iJ07XH0nB9qBkfBy
WFRdOE9g0KNbM8HP4XY4q0YimFCDPNfB8JDX9rPEWctdEvQkYOcPhQFFK6knZ1MQFjNEq+StGBJw
75ht1jk02collb2wdtM4PKRZ5EM1TdBOSO80q8xdQ+Aqs2Pr76bc3OpWKw7KM4ctgjRk2I1zkEaf
3Sglbop2hLvLaFHXE7s5K7L2LVX+hBg18yWIJRqNoUw2tWUughnwJ0lusZSOyW/WzM/a1Qiv63CS
Ao++rRtWyTMhUeD/m5HDeUl90rAL7UuEHujZguee2vV3N+nq42j5c4gSB/qm+LSKb2pBcFhx7O86
H0q1WaebCVrqpmRyWNfxz7JWw1nGChQnschZPa51kKAIWH02X01Bm98QIJdHUW4rgVUSTIYGCIpV
0VLC6vY+dfINux5i9FgT2wiQVtKFjaFQEwFMJcGKoSOSfR72CTEjNjx+z77kmU+asFs6h2gcHump
3yFp9MNoIkmxCLRHL4jbtatXbKbbQxWXrF1BMY/dYcjK/ZxMJ7+C5djbwO0ywzzPBe13rbVVOLUN
6LLBROlsUyKNcXXu2FYe7C7+ivS+2KckAzCSo6ASuAzxNbP4mIOjVDO2cJcxuGcu3GA4GUMQH2gg
qu4RGq95bBM2PSUos1PZNwd6DbQpdI19oQdbn6A1OWWP+JZJbpTdw+gRyhP3gCdb5VKLM0rg++W2
94i8biOmd0WgtmoF+siJRbBADAIpXjcsqMwm1O4Yg86GGM9yMw01U2CdSaAuUdgHQPAVs6Us4Er7
hvPT0830RObja5rt/S4PmOzsbJso560rKsYPTFYGhNNV6nmAzYmi9Alk7AZvIMhwugFDShGmzexw
IrlLt4sg5IyxtbFIQZiHfT+6j00ktLWhPCzNnW5uHYb+Wi9f43hkqSJ84i8bxTkmoMYMAANaaKlX
ujCPuarhvbTJfW3MKL9IXhl1XYazfLMoWRvtM5IUCV+7rS5zSkix3b3kEzK4uNE+GooUhj5a1L2l
JIg49OBc+CXZhxq6J+4WYiwELDpLog7LcxhBc/wMO45U2YRAAe6hdGVaw3tVt+U20RFTyJs46+JL
k4jqLi1yuZ1Zm29E8yywmjOfUMjxELd1toTvqzN/jMJY5WXmr+WsR7t+KB8Jj8Po0rEsNXXxvYVC
DK+I5ON8/mQrODumvkFKdKmn4j7hE6PGnTHP31kDS+hOpwZBIt5KBe69LbOvfLRv+7LHdTd4G8+l
5WF09bzmroSOF5N/8d7iqNpp0oU6l7IhnS23Ce0pfSzYmR1wpTyo2TwKb9ylvnlB9Jjt6P/VrOTZ
q6ZEjFrllubkM1VR8nft7qFbblLqkeuJ/SIqYfs4dHEKn2mVf8x9s1xqNjDKYaJNZ0XBNi1AtSuC
c1Ri70Zt3gOWWhTuHsLVjisTYIux071hO2T28+DGDldoy64smb/mwWo3nWZz4/t6KH9Ecb+zAAP4
PTDDePx0ZjXukkk7Nr58ifDwIEusA/JCAupXUfBVKm/c1tJ5m63C2DNtwuYp2imky3LLZdFtSqgB
Kx8bEiYJYu/bZXb0J+0O31JAiv1H0cbnxq8frV5Pt+kS06hqg1J0fo9A/XEo4KXjGSqp2XvfpZnT
hLSBFZdoc/SYPfD8YdgIdUaJ6aEJSDVz2CrGzcKq1sWmsN3sPCUkCsAUD4ehuq25RLivAw9rWpxQ
PS5eGsuqN0ltWCGTbbsCYwZMLCJPRoog2Jeq1ld6GR1jDxVl47G01kEP25+O5j02hbotNBOkez6+
C78GRDv5cuNaoZd17YXy5FqL22Kvld/69gMA9XCSlvVWdmRhjfRejZT0CEtv9YM7frLGzL7BLynX
jupPs18dVI/Hj9PNpnwA0p5tcsdh05Yqls9UwZAx9e3SFf1JOieyQtu5MUFiW7JtqbyIOzOg8ZzY
2rROGlCKBiN27ff+TWBVxt7JePuFbn2CkRRbuDCfXU4LPJEqWgP9o8moIhpXLC8RQRJtN2rE4hQM
aGutI6fBJc6vmatym88xAdgTOZsN60Nj8AGBxTtuoJWRDeoYFGl60BLibFI73SMh49KQ09PUtVFI
v77YTo1/6FKZEf1JcEVp04OqfIlak1dcObOz6oWRnm3tAl6BrkpT3tpZe54ExcPGy6udR+n4aOHk
WLXW9yoaHILIHfoPbnOTsnx1CtrjigDhThvutNTw9twxVA26/D5QGXPm0EB7H8BJtyXBIJkxrLAs
dbvKCO66Qn+FW9WHRlJtIVYGZ8t9KlIYh0W7bI8yn0A/Xa0Zn3alLt7ZWV1m/WDOmn87yOBmnOqI
sqD21tXUwnoqBSj9S2AXRXvR3AQRKLm4m8lxAZYkOslD4qYXn+kEvMwZDmbLvNlaQQg7xWQ6sX/A
JibhtPpmFXeDmnSK5Brr2SgmFFjzvA2a9CiUziSIStBsTXvwrf1wNcwapMA6ORl6Y03dXL/zqZbu
hBYILqiBRX1hXVLbffS8Zuf4ndo1RKyu4eB6oUwLfa+Q0AVkX0WUO3uFfcCqjXvhTycnI2CjHr3+
kBbjxfSlWNd48NZOWoW6XlON7lmij+nGSmHI5eY7vSlzRcxkNY3bsiHJxMjJ+JEDnvJU/2iSIH5g
bP7ykogiSkCjP8vMfluwUdo0xiH1veIuLatzZZjYE2JxFio+ttGSRTPnzd60+js6/y1dHOTGOHdZ
NUSkOIJYig49KZZaLIKLPvbfE8lJm7ucE5wrHznxSORPlzyzErHQQiK40MlYl0V6mFtKqhNOUa/F
Fmv3L97k7jS9H+7S1i6gFnXadtJJ5Rh74PVR46ld5SfzcdBiygh9rOBqK8qf7fjucSXQkNh3etJz
fbToHewC2655dqwBqvpUPamlT9RpUhxVm4qjUw40Hn9/fX3WLP/9+3vXX/FjLOLYKvmd69fXZ3/8
TEoXO5ydFHbhcgRh9ukMkwbFpOab3/52mF9/9d8e0sdPutIx+K9//dD17zAb0oT+/cd//aaXiVNX
QR2j4cueMor2fe7HLHiXt/j79f06jsDjCI0h2P7tsE2jTuyZ0t2fR75+/esHr++k9Z33ZAB0dj10
QumJU/HPv/L7T11P3PXLpBREHgmYT9cvf59R7OAER1kGHC/tKeodig0BtUpyL94KFK/kebkkXsZD
Q/GOzIO+0Ni59MyYo2myk8yZdE2DJPeeTTFr5vsbEBf62h/N4JARFOjq5NrExHCwYlNPBSNc1plr
24h/sOXHDV0RwccUO2wy4jetlHjWIaB9b5L7GSkcsxNoPleIJ7C9WAbQszggl/oPID46ApOyC8GT
3ej60jKZPNBimiegF50NMZ16mf1YWhjNpC1rhfpSWzOepyX5RzpALchVQEuCdwFW0VYTGsFyyGKL
GUuOheQe6k1HoCHzyVBCc7QYUDMPhYDlpFz15JX6c+2F3LBiDm6x7FBzxTo3V85JQr5CZoiv0CLk
KXV3il48iUPJZUzBArsueb81VL6hKz/mhtNb0eLC67CJ9VFQMWyfOmFiBcpp13hctCurGA9MbHuo
KzsKaQRouQiQqeVh6H5Bp4NX1BzPSHNCi5rtCsJAETpps4OnMWySxNo67fSKLIedQ7eN/Ja4Qo3M
3xFJcTqQZq3b9XNZuJ/VYGFskNMnwOGODaLNwG1V/SqLmQMN1ZWbfn5JYvOxKlje1oxkUI1rEji+
K50q6DhjIjQ2oE3SsNFSZz/kKtoII4Pw1NBAz9KZlCLicKVec7z8FEXkQzcTlQHbEsWSiUK8csF2
Q3mGcSDbPVjNmnqRA9G1np0/DhHrChdCM82e17mARyRKj3ZU8zER4EcWEpPaBiiMv+2ERliIO5y9
xlyntvNNUuKUWOm2pkdXvpzFDcPYJhgRLzidpsGEw73qyuCoz9F93S5xX4SUbMbWfSYdKRx9susE
2OxtR8oSDOb1HBBLHqjqtpuD53auj05OYMKY3s0TXUs7Ua/6qNyNYxTAvDrP2141T+RXtP+NwNZE
nfifXEW0i0zU0SAtkRQjRvnD6ZNE9lSkiuLUNNF0KXstOHo5nYXUKO4KHXVHakePTi2tDZRgUsO6
JNr6MVXhUlVGqFmHtjF39FCMUMUxCeylFtzb47QaE6+8zbkQKq/9xlDw3/r1/jQiLy/cxYFFa9XB
YvEnP3dOReNO1GgPNILzg+YiZxeU81ajR+dMZR2lQZi6dYqD0cmS9DhZQfXfnLx/YSPwGqh/8G+R
Qvqs8ji5f5eYyzRzRzxL4NG66bYuzENuZMmBlZ8RBvhf91UxkIHD7kCTLBmUfnRv50TUr3+TkP4b
Xab1p+9jeR023mMQ5zq29D+F2Xk1TXaTe/FB1dEELaKxD6qjPa8zCA5t9tLPcbWrCvfR8GN58XNj
3KcUW/raPtTEhlz6oJNnFvREUPnDJUYww3xVMKMbCUnHMcM0ilDjEi20Jts5+t3QXkhvILTOox/e
aPSkRRFVYMKMd9fv+/1YkZwY4H+9PqTLs66YX/7Pb/vfXLtL0MnVZ+Pr/2r7UzqOy65P4oNrmMQS
QyjcZEE+YQcGQUzOOBb95twDrbOnft47Zn0oR0F/vyBdUY5nUcb9vtQHe284ZX+IsFiSIUxweAPv
fleAIdsTaPFNRZW1vb7y/5E8+v9B+Pyf5NT/pcz6/0d5tOkvWub/9Q8N8r/Io29+fjTvbY7t6Zfc
+qqp/vVLf2mjA+c/LAP/I/VQh0gC+2/aaDTT/0FIAfcCiBBQkgvE+S+JtG0hkQafAOEVlgZjHf/1
l0QaqN8/Xs7/hSQaejhv4O8j6JKnwTKHTQ6iPThw/2oYUJo+RUl/Fr3djTD3ZNRcxGCUxyiNyuP1
2e+H//n34oyjBGC1cZUsR/0vD41HWNuiXVCNvTasEgHf8vcrGi5//WZvg17oqb1NdXlo8MlHxVCd
CgqQIaXeHbozdglD85gMz5VfmQcxU8DpLX4dS/JrqZkHjlXT3i3UUYjme3m0mZqymkAj+10pTWyw
TY1Oiq3HVf1OT+grWGjBh6B+jPzkpVY0hxv6RzSknjoFY7yV6s6pwfA0mMbCoammYyT6S5H1z75o
DkXRuJcgo+7ZBZlzrAe2QlajEX6NPbuu9I3Blo71dbxU3p8R0r8PAx0FOxqjNcSYsJ5c7+joA/m/
JqmMLpsDlOrGAXUCwdnWp9G5q3LomTgad6Usk9CbkfaRHpMGqflVmFc2TX7fU7c6guVtl9J3puPI
eEIgFB1OMiK3XuYrQJQkVHU1+ahZvKe+rw621n8NdmKvsV9+I80NEZEK1DrKaZTDP0x8FmsUU55j
PqiN5x9zmyyWyhr8/Sh6Ch17DdSQozl00MSN6AtqP5TdaaCjC5g+I9Iftr3PjGZndrGdnfiM9v85
oP9Ay5GKSt88Ctf97GKyj9ERdReSS3AjVcVdk8hkx0puLgVKciv43mfGt9mtnK1t12S+lfdz7b/2
FeZPW8tnuuY0ixvVg5VuvIQdagsbXLv4mXWwJEVZuBU/+lROm2HkOkgN+40xGJU8HY6wcJ91FkCU
13UXOVMD99EbaGeCGM2YmjQvFith3EQNKuCCrgngxnIFRXcOJxnmWbwaqRBLPXjv0SmhYUzM7ZLF
19S0tgz9R9X3AhE5keOIdAq9REgBJoZluTz7fVGubW5IdswNccJFzqdX1bd1GbjEjRIR7BsJOHrX
vp1H4R6hkp08qyR+qLMOKh1YBw9kIcVu9UxSR81EUMutArC4rQvt4MIQaSUYMUm3A8PswziheYtZ
QpuwkljkT9wCY3PEEVuGgAVarrYqJpwWSAjU02yjk0sIO3BaGQWx1S6qAl4qEhPpfRRN+UFRaV3Z
dKd723vIuuKnrmtTmDgHJej/uc5UHzX7XXgzOcMteb69OZ2DwTm0JPBl/YjXr7u3e8tE11GtRyIK
740lFDsu3vIk3+jG+DEX/WtCEXBPTmG1qqHz+zWJly0sO82ynvyaNawa+Kw0UzqbrDtpwcdokG3L
+Eo50g740GwqLeISyGHcd8olj5jNhjbY+g4jSH3qovTLzcsHS2mbOYgp4aq4YseAfgzJHSoKkzhF
tBLWI6XdR4gUEeQFJ8wpfR5/PZBBuCrt71hIyS5Lzbusce9zULrrLEokeQQzJTrls6Yyd1mkpXde
3u9Y9ZsriBjgxwIVNgi9x4p7wsswS7K4cWgFXTIrf+xK9SPj7rI1XAvskRzjQUPXagGspaVnn6S2
seb0uzPjFZw7JGmZHAhSbknWLqn1pMd4JvyWOoSz0rMBX8Y87Hgvn3Pc2xe2ggQnRVwaptwraYdx
ByuyAB7mxa2390orDb38CWIKxHqvttZp4Fxiz/9ghzicG2c/+nm215cIr8z1H6rUL4jQNrHCSG/j
qJlyl4WqA2Jg1rvzhj7stNGciFtsbqf7tB/EbYT/Qe/WtU5DxjWzVxANx7K2Suqg00R5tmUnPYH+
tCk2lD6NeJ/tl0HOcuns3V4Nu3aE1wd+7q2OxrBVF5KxMtlY1KswrGNcx1NaOndU1ZVBXkfaEKRr
DlQ829wpb6wmfTAwQMrJt0JfNQ6lT+1DQUhbzTVqVdNmY47BFBJxz+aw9oM7Ea2jXouPBV1ivDo4
CT2bkqiGVzoZy5k6GsIcVFXmnHRrQm6Iws6i7XJrQXgdzoXjTps8+6StfYgc+9jMZhIaLooZVWk/
5dC/MCDxXWqigTLOVUJudjXcMhmcmxiCUpYw6GITukdVDeatQsg3oREbvlLThN9YNj8Tl6zLLhqY
KruvCYroohd/pGpd73sl15URz4QydV/Z2KGn8v1153v2OXXqF4GkPPdw4XZaqpC0GVzlGQpdLfK/
5q6kc5+grcj7+NB2YA1KZ1VqknYFtgEGLudW9wDWWVisw2lMqktiGx/DaD4003TuEPSQAjWJM/Df
Lo7bVYCMx+hs4yhyq991At5Plk53fiSepM6+NsoC7h3qJs684Crh5q1cIlOnIbp0iM9bH+xdhNcw
d5AQd6O3Ia0pSIkoyqXG2sE0Qn22T0HOvSx8EnOHXN9FjfUOHyC0FceOPfVVBwvfwUZS1rnzeW7T
+6l89s3YODIBeTa5zJ5exJt8cr+cAgIwm4tV3Zv9OkJZF3aO98AhdxLteEi4EEIHXXB1mjGyRamd
e5WcdFDrq8WnubdzKkGVueOHKfZISQO1e4CDC4+3hR1f07koi6CgvhotQIeFNVX1N2oK2nVtGD8l
bNfANutwcOsXXENp2GfiK2AD1w66JAmUTxOrNAXdDk1k207UvfvhNFHGwVtGk6/pCQsyiX82NGxP
LcnKvkTQ5DKwgdo+pXGlbdMctzSSX5MXHIIfuGMdST7UmBCoTIYG+rei37TpsO/88Z3UU1SfOKm2
vTX8jI+aQVRUK3J4xrP2amZZuhthLZ9YK7h0NOyayT4IeDNWt5ZAZkNagB9GsSzx/G4faW5+1nTC
41v/FqbWEM64M2CF67TmNGOtMBqtbdQ0U1x2e4u+HAjTLmz5sFZ93tJ7suu1PiGIKCzq65y/LCTC
8qdSDBjUd3ywDp6zZiyjyTQZyY10yN/opaT5bGnZrvPK6kJW4cowBKZ1V+cCGsFA9lb506Mmdx5T
xVi014f0U/BJytmcWF+Vw8GbUrUdiqCD8I3zbfDgXML9qQn4NLmNNHMzSRTNxPLGYR0Dx8hIGCv4
u1hyMNtMrURcKZBrD6JY09WjOzLqACcswpRl0m0b12h2fZY8CKTNZ0erzW3VsmCwXXXhGmANUhxo
kOaAxaiu16L/9Nr8EzLfR9t436JkpGtsjyyZlXqTyexvJuUDbswESYzM7xvHmZ60mt61K8rx0kTW
Y4CFYV0BJA3p2DlR/2mPwYaKytLAmluqozw0E8L+AD+Rm1YnYakfZhc7t4G3CEutbufW2mNZ+vW9
Qx0rcg6+NBBhiUZs48C/yCrFwmMwkc9xTaa4T51ztmJS7mk6uhktatl6zbqQKZnpJDEkxVDeOkJH
N+u5GYMAfsVmZk2Pr6R/1Ebntmoakp6TeG9YdrVHyRsQVRSaelRtk4TeZRd1KYJ516Z2aSKC0RLj
6GplH4Jb5eatpApzAlLXlptYYUaeMYNyWp912p3bPpc/sejJU5tZ8nR9xn771nJ042BqONorD37B
6A0TqwXHIm19+K5NpbYb8ulsOwpOiceN7aTdfsomdRiYNgnkLMQOjosG/jy7AdxpHTx/WbZ7pISz
c6z3Jr2jUIujC4DBcZ0hitgORBpl9hTRWenPTevh7YqmlIDB+X7K+mg/5iAKBt07jl5nrfJRzseu
9yglI3gNKGMfokzqz6Vv3WVUCkcDUmhuxsnGzLzNhIexn3TrpOoxu8jIv5QMJMqoAKTP+t0ok9Ay
JpL1LPe1SxFR6za1/3ysHiW9XyKZ5TcnqNezLrw9KOVW9+e7WZ/TjZxLufVFGdGurqjCmy7uFT3y
tuAoM2CV2jcdDVEYsbPYih7RQKEb32FRo/azV01fDgSXiupWDOc4Gtpw9lmcVgLOZbk8zGiHfj38
8T1SL36kMSuOSPf6I/1RpsVYRQhZtCYfjtfv6qSMlxXjWV2L8eiO0XDUCwQEq99f9yV9zkU+B+hN
L1Z9iateiPgr02e2axRu2+P1oSrjCcxcb55iab2nnaVCV9jqL9NMEKB1W2kEwv5yzVDHeo+p1G/c
dpJHI9fwTdjMtRDFknWTePJ4/Y/rQ2rJtUbDaa/sMelPDOQOTd489MZymBdlZ3Us7SgjOHt52pcI
mJTRfr/6k66On98PQ4sV6frlpGn30sYWptpIpySKx8edo+p4Pcb1QWdgZwPi7X5/69cfaOSSvpBo
69/mJxKx6a1fD/z7mwF94crUpx0qOXHUWRccWWvRm7k+bQJSTmPjXFYFd0NyrR105j+eRkYpjuRc
jtsp0W7Be/DGbHKwN107uruR+gGwou4YqKjkdGkQjaze0EOD9h87fp39hozr7ljBfF15ClZgYnDq
rw/acpbccy6dxMRGw4oxoj91dTBhQW6O12djac3GJtWIUx9jTARjhQEuZWG2PKt1p59Rz3kvihF8
YxV6fXQdvz5WBGpX+wn1V4zrbc+8II8JKXnHHMAlGSzL15SY5ZH1yby3ULuOcdWgAndwQC7PKI6q
veOptTKG5tguD9dnRdORjGyOr/3yo5G+7royOaaG9dfFd32W+invux/FFAI5z8Pr1Raz1jE21zfO
h9Qcg6BOVplH3zVdPFvdcqmpwBnrPVbzXUJrdRfniTxeH5zeRl9v1xIPG/nzeix212/Ns1etUZmy
BxZPDmpiLnyx6F6WKwitWg1bhAdh1w1+LfXpkHK1Dabu/pc17Zd17Q/b25SQ4JsHJWG5SxczuDY+
22vH9J8P1y9nDZuf04hA4GhiG04kJVfXrDDcltH2euFobBk2SVS+JImLpL9Z3sH1DV3fy/hARyA/
SiujD0fjGsOW6fX1kWGiPmamIJFEuUcp5/boaV57bFIMEHvfzhhKzAfHHgx6axP6KYJHOvYBPOTc
KOumIkJbLNf69YF7+q9nE6pIHEr//Pr63/r1m0GfDxuksO+/f8/Vc33GK89xOmWWzcsfR5tbqzy0
+s+xHnlv0ua6+/XUlv+bu/NYspRJ0/St9A1QhnRge7QIeUJl5AbLjIhEa+HA1feDx19/ZKVVtVmb
zSxmNseAo8Fx8b3Kz+jFe+Ymy8GEWKxV3sT081+vHNqsPo3Lg9pSLxxGxmGqNxMqP5qEmfTbyiEo
W+0B3jYnteVbzbe67xb8jlc1KaW2rR7qxYoYKmdTaQVM/BKJJ5Zqf73DWbb+2IWVuvcFvYr0WKRi
KPnPj7esVtukdrVAvJxbdVpJ1G7BvdlVD/LvrX/3EiJgnMNQ0KPjl1KdKDPRDEsj0Lda2KBdpuDJ
MtvOb8uIznM0KLeTJgY7UikxXOTof23WE3ZQbiJ2/nhXTs5w9MqhOAWqc/KXfslTm5Rx681Mli2K
q3tNXU0FOv+2OS99ntewko6jYe+rTpIhnK6SUE37kMIzI8y+Plli8KB66DiK0ZV8/Xy1Gy+vUFvq
Iarq11n21tZc+iOy5ekZ6bJow3/vBwig916v7dU/w4ylPKktBMDbcTDjA2ViXMEdrPnUcfXgtFCS
oLMUGxlOrPAman9L/8INFDUHtTlqYITUtLt1tnS+OdryU7Jsqd0xbFiB5nHSn7oM3N4Yjih9e/pt
HixGffqmZVMa2g0KzD8b4dImycyuT6pNOtTfdoa0735r32oTBxX8eyWKIbWLF0O6zwzj/NvrVMvW
O+PGcDRr91vjV6/5+o7aqPR1kVfRWh2Lo5D7CdVRvEWl89cPVG9pRSXm9SjcauXpct4kbQSgmixM
hHi5qaNl649d9YRFrPinq9L/aUTmP4It/wLJ/L9kWIN/GwZS/wMis3jM/NfmR1p2/4rKfL7xn6iM
+Aewi48nHEAIIa9/ojK28HzdXPyU8Ob/QmV8UBmCArCS0vGCJjrhC5Vx/uFbBqY2vA3yJUYc/yuU
xrX+1TAOb1ASE8j9NfmFjod19YKD/wbV2r5XtWJ0zSss/5feQD1kXWzN645UlFh3zf3Xrf7nra/6
g05nkjtoBWrj5d6fGlzc1swbhtw2jliR0P9kTRCsUzmharB75AGZmoW5S+/WLLMuZli3qjdTD1J6
eo6qZfDR5sJyQ+4eNi2ugfEiQlf7jknAG2sEhLt5eKx9SKbr/FIMWKkSA/acld73aLIuegjtrBhu
RgjJJ2iJGPQbENCH21Qr8DdMqKmJunpqw/kRwLO/kjJHQWJu/RRLbDGlFVY1nrFxQ68gtMC7l3Fy
xiKRSd5M2l1aleeaecYmAFMju8g+dAYSaOLkSzwm0UtFRf1mlQBUWBDdVZb4VkPIb+vwftK7l8yp
XXrFuuIfJtvBw8vTzY12r8WxuRJOcFVjYLNGgvtLjBuE2shCHUx+uthj2K+6a2iHGyxvr+3O0bba
7LzU+XTrpMW9YcXfnUoQnyjz+2WAKkwoHrN+ETpaI6//PvgspyzbJJAGf598TOb98oFd1L6MTnSy
Yyg/I5UlJ6cemkpYCyjIpl0eV/4e9jwC3RLzUFlcSg2uQ1AaDcQC1hPWVdQV36uQszq6Yb5ORQaL
1JjPUdy8IvB5DKb6waibO691n/zIeG49KkWhTA5+Dp5lsGJLE3h99T2SQcj91BDsYT2P1Rl2JWF+
Yf3OjA4mq1W8E2c7liAY2Yx4QxTwWuSblO2bZwWMCuA4Ycr0stjCuzsFBEf0KKtGrdpZ1IfJewtW
qSuOjU4tFSt86OWFgz+7Xf8ysXWkTjHPMEehRYf3BErdZp3xgWR1Y2bVI1UuhuBigi8UOb+wNaBq
KM4QzXHadyGTCmpsK0wUzlribPzM4Fy6PQ2vIblR1tPKdUtccM3O2iE+jWtUhgisf1YIWymrNrdF
8U3qzHT9Km7WBu0BJnL5YLykJqeK6YDPqCZ2+hBcWSNOOLSnCp01gRj3oTG1q0xvI5AX6I3ZsZDa
bTrbmyEXJ80Vt+aA5YQ1O7BxY4oF5YR1Sjq9z8Z4kwlqnGGX3IIb6PsuxeGpd3inkd8jP0FnqafP
lLJfrMK/AdPQ1pg1EvoBf1fmPfTMyny3O/1OQ4vdGUuwsYGi2EsODtghgrGoXOgnJK9UT44U7/1S
gUxzWDNDgKVUk2GoZM875EVI0cdb/M0pSsmy3phWfNIGua7Je4SVaN8VWKKS4YW5NBGMeZi+YIUi
1z3JKlZrr/XJ2htmfE197xEZLDJEHyyqoCULE11HITKo8aG3QmwvNMo9JRYaHWq+5kEOHhfZRWVJ
/U9OOO3PsKb6FCa+dML7biS3JdOxw187nFSqZ/raSwm7yqrpF1/wmsf2nRaB86GI+Wnn41Ef8m3Q
Ng+BSH6yHa9aKQ6epvlY0fN7j1U8YN8TJFdxHV6iYDP0ezmAEjNRk+vWCblQpoe3C1VcUIGc0rRj
oaimXpgWyW1rLEny9a+k0w4hbqZ+89g1+sUPq3SNh4xcDYl1h9g+w+VrFWctQvr4WdokJ8JYX9Ud
NSFNQmot5Z2JBwVc04xRguaVfB8skgTzVvxqkZYA8ZD+FWrjWWT6g0+EzQrSFM4BnfzQnRucbA5j
6N22WfwRGCPFwExeOgvTL5Spj0ZJ1oQ94R/qz0W0jVpB4BpDStQHD0M0vLVWedGr4ftY8SMtuGO2
OQ1gAf6ef74BJLiL/AL1Dza9bp//0MbmycAGYDDtp5LJW0sQ7jrFNssoSkqE+iVgEHCH6ZdhFo/A
3Xs7Tn6NYXFOxnmnmRX6JNyY1l1nizVybzf2N24Ga82wmFvhjWGWN6ALZOdhWdD2xZPOx5ueCyYZ
sABL0elnudjiV7xfos/fREJf0Ud3iee8zZM9bsfI40Pi+Nr3smnrFPR/81wQXoVoMR7sM26pB8yj
X4JY/3AD81SWtraNZhuDNtu9AiNk/i/PLm7q6yEn1THozyMmELZNhIeJZFLPx/VgLjNdyrfhRQcx
X2OsYFnAzvmdnWMB4rka42DlbJveP8WlvTY7Y5+RzJgN2UeYWITdts3OH1C5oySFTlreDbVByCd3
1zjXOyoElFqi6GN2MIOSzuKXRbZh4jcbOWUbS/suFu5Y2vqH2gPXDyUKuhQRGfOVG68I3gak6+vW
qLxVMf/szPB5HOMLNbF1OSSARH2Nz5JQhiX6tyLoPIBCaueERx/Hmrm+CwHcrJurUUvvpojphAzw
SqGTL7RgEwm51535YuT9tKqJSFxA40aMfG5qX+vFApN36V4m4lBJY1c77suIaSt07P7om5WxbzF/
2ITJtAtH8zWUMRq91vqZWxhowjsNY7yT829FpLN0Gz98FCda7l5n0nqqDOehIB585Y79a+IG3X72
5KmdEYJCpliVWnupQ5Z7dA1I8Emm8aL1OJb3Vmle7Dk6ez6yPsrRLOBSDODFHSFJoIK8yCse/drf
tVX6w6boiOonea4wz9T0xFpVIj+3GrIA16no79CvaKWLXLEgiyCfMX4qHNoNdoPw9zvwPBJpV15W
fyMUo8baguOVTsuFnRxcMaWA5IBpgUkLsexmH+IyJCr8tHX7NAh+cBXPT/6Ynxtpw2TxX2NjiI/J
LN5xdtljHpNtEqn99G3XW1fOwhz0jzK1rruMuMm2zr530iFjokJm3Vp7qgwewFKq77B4yqjbF+Y5
xjin7wG3q7h4FBW3uMjJrbGTRxJbk1XT1B/W1KY7r36yUt3fJhVOAmQOXlUd86Gg1LgdrKdy4HaN
Ku+ZihAEmScCcKgTu8FLmgqghah5Nb3sdhJlRVZJchF58AEjhzU5MqPRTRCCTy+snaEgoXGIodQi
5+hWANM/rQqlnBliD2D9nPFesGX2aCy+ge5rfgNDiLmAMQxEedAj5nb7iKUHRI5cf9E01uTWklEa
6OFuaHmLXnovY1VCdjDclT4goafHPNmoGWG7AKuXAjjdGh4Mr3pz/Dsc9b9Lx3tvo5Lbp5VXaeuZ
K99OricwELMsnwIfzlAf6Xeti4ooIUras6JmZXYC92Npb7R0NPEeDlHFUrbFXUpHJDum4WtmpciF
wh91Ot9EVnLpzOSGGsU16gOfxah+tlpIRC1VzbmkIZp4HIhofJ4K4KV8rh9mz/qO+eq5xP8SUgbi
0kwgm+A/tiP5NrG2yxf39DJ8ccpxQgwXnZ3aot8FA6H726AledTMSEdBam8bDIoWr4tvTjIHdF7V
XcDEmr+CeGkShEPKhEEowirbMZEO5nvfPDhZ+l4YRocU+RTmLoOWN70lcJh0VJgod4ps5xFsNrXO
mRm5ZufeCg+f3XKf1zJ4jAEtML7R0WJG8bXuhz1JsmAm7nBfWigrkpYOboqyCyZxfHcX8gVOQYLS
EPzAFuNReDPTlALRN3oYhrO2fEmNMtyJ+q1o7UuiYbGdZdGP0ZPf3Gh4n/ruw5zFhpn2z9gvMPzW
OVdRkFzQDkXonvJT4+MaYXfJAZvICwTN/eTIKwhbZwjJAbadzfc+bD3mHc0uLvdpua7aJDkksfsN
349zUNe/oo4hdjKy79L0No7hHXB8CDF3SO/ROiPnbLy3CEwdSaa8NvT01jcG6PiR+NkhBwwKt0fA
uAx4GPDIj7LXvTVKBNQuIj964Id77OgY/vsHu/R+WpBKmPd6ezpc+AYrUp+SVUoSw0r28DAmb3yj
w7lYQPV+cC8rE9W2XBddsg1KODUE5KYbN63vZVIA8frlUtvB9zR5Gu3iEecUhn98aZxs7ecz1uAS
nXika7SXxD4zIdg1vYO82BkR7YBelr0JUdi9lYF+a1a4mU91e+zqkUVQK9ZEL+wGs7+qSwm1Wkaw
zcsDkskNjpdvdjhdWitzDk1f303SeNahcwVVcqUlYhH5cYOhadsIYErqSzReCXUWat9APtChIyhz
ao37VPP2zQi0ks7xVVQsEUP+s2kEIRCplyBPQu6ju/ZtA5Ml7Yzn1I22wnP2dQBPDEHpIXHz8xg8
JhLRtFgkzL3dr6RIGABRyzpafN23DYZ3FjJDqxwP1kQf5fsdnu2vgTS6Y4/lkhHikRE9aiQObgq3
Q3w0eQQi51eWhF8Q5O6TZUfPXoAtinRvKs5rWPXrrsw+elPfGzWUTPPFNoePOArew1ni4OD8JAPy
ObSZb+NSwfr7zq7cX4Qw3AceMQJuXIGCVMG6ZYYU+XjRGM4bteujYYxXTXw7GoyXYVDuvRInxizY
G1Z/qE0mC2OOD2YvJyhOokhWYVk9tnV16hLE/immcStfrxusS7Mfec0ico5GjRVf9Bo1t3baOuuw
Ypj3tYisxPRizohM/Sn6SDz8gsJHh3HPFNu3fuF/jnbsHorA/gR3FMKTfoE9CV5vJHAY8VY9k+dI
Ayva+jjnU37ABhAMZZoPCgxQAJJP/mFck49IsMPWr6p39T7kNeaqamrEHl/oUanop4GfbB2B27d6
oTo2Vma/T7QxmuDpVCf1hLcUPYYBBs96nGC76GbzQ6EI6kFyp/X44OFdQCDkKq8lBLK5Rok9RV67
1RbmaugvnNdID7+Ta6yT6bGUB4WNWWSXtg/DUh0UKcpBuIm7+bMYI+P06EgkYEuBJnMptnbk724U
wKH+LRQDc+U4iFgUWtb9DaFVpO+k9IlUlv18zE+gWMHBotH6S5Xah45MsLbaXB5IPis2qbavDW2R
HUh4kupvoXO05+1vm+rd7gSExF0LoPK5udA9RCGWijHfN7YtViLtMq17QXWNhzJn7vMsxfBcS9JG
NuqUqrOSdoz5bWdQdVnAPXX+1TvUljr22RzUvnqwFv5L20eHGq5HJ/uLOhWxEn59QUHqoHpoRviP
oB4z+lJOhfqR5oB6lKlwCXuro9wxOfXPbmy3Xotxh/oQu3CHGX8la5f7gUOrowRSdMfQinbFXM6b
zpwuymxR4Zl5Itz9DGcqDGsuq84a6BDOWAogvCxAwf744t9+g9pcghphBEW4TS+v/Lx6cQRsUsB7
/IRQFVLbN1p5EK21GS9ZlsafJ3ek3Ady9HXXeOiAoSssJ/TPM2jV0U0ZE3kyt2RlEVe4Tbzou9bn
+vbrDAOwngiuLBjj/tmASn24yxt8KxVyOwT1bSZmffcJcrY5N7o0tZ369epz1DvV1n885vfVjOgN
HbRqCQNSRAqFAfUffrdJIf0AiRhi6z+bz/ICUeNWioUIjiPhdFAteOwdeZgKZz3jFVm4lKUCxS7/
j98LVnEMoAqufWJTV+q71VeqXzuTJcHUjalhKZrjZ7+y3JqqJandr2Ola+PIU++xb4FY5tZyF6FQ
dRUm+dX8vu7W35ro56Z60UwZ9OAvdZDlZKtDbRc5e+25w3bi86oWddjuMfY9ft3h6u+pt6hjajdc
WqE+DLu2SzlNbrxTz9mqsatXfL3/zyao9tVVU1uf71H7n5t/PK92/zj22WwrWPV/dT0lHM2Vk9nH
sMI+KzMPBi7ua30QYqX+J6lQ/So025U5EZ7YIiN0WlZDyxWXgtwj4d4Wc3fvgsQFpXdlZkwDdcym
ZYr+GHUzEtFPpHms7ouFEzYi7fEX/+Uy1ZuDpembqtbI0J7AoNRD6ZfdqTEaAWdmOehmHnBUpSNx
dEu3YzYWGGuvwJU2FTXPqNf/+83CCyrIKeZDmlXzETXSZCfRWS4PWI8zCqj9wBSlWKvN3myaQ9zo
e5SFMsQ9SoRn9UQYMlAIr9+JnB46X4Yl9eAvw8bX7tex0cJ+bqWe/txUT3mq2X+9/n94/uuT49Et
SUwwk/HKGRsyGP7+9t8+7nPTXX7Ob0c/v/q3A18/8OtT/t2xr29Xz47C+V4EDbYBVuts/3jy6/2f
X2cujeOPj58xwNxVcff0+XFfJ+eP1/32U78+pqMEtpIma6mvr0poXAbq/0gRMhT4+tsmFD+g1nzJ
CgrgS/8NvxhjU53UgzqmthQuo3bbMd31ga7t9Z4IGwrFQLL1whNRD5M6GKYWJccxDLcUzRlGomWM
5ccAHn7tp3klMK8MmYSqfv9LRfOpqvkU2DQVgaaWca+QGedLSK4zwG0dZQuwgJLDnFDTIND2Uz3u
SZwYxk9Mp1ZTiA4iL6RUb8t6GUSoaKNI3ypAJ1xQHb3HzjUuAM4VLUgRjNKFOqP2yVepTmqXILXv
OdjB1ljoE+bCGFFbzCTIM5gbKpUx9ssQwXYofliZN4VuY0NJhE+xUCw8vW7RH/xz649jTaO7rEJl
Tk0DBKtbGDHqQS50mc9jiT7uU5za4fuu1HMDAsR9VDOXXK5nvBBw1JaxUG++jsXShJTjYFs3IZNB
H9oy+1Xg+zj7bKorrPZFYz4HZRlsFbym0LcYZAT2xXKZv9C4CYLmmtU1FeNlXveFvKsr/ccxa5k/
svZ5S9Tw/onAfW6rCz0U1NQ6z0dkzOX8TfO/TAXFH74AYmbqVXT1QYFxseLWqM1JGT0PC+8rjeuP
Ia6qrbqC6H6g7XxdUXUwKUpqs8xVkYpxBuaoafeCXl5LoATZy7UNBjTMLAYXitCUJLsam2l01/Up
GzAFOFdl0h0n8QqlCq6RIhz9/fDvjlGBQUDUGntFMJgWNp166ArKAO1CU/o6Ni3kriSkuuzrgb1p
FoLXHP+0Qh+9ZA/jR7bDN8eYuQfVdQrVJVKbPV1IANFxh+MMbf3rSqgL83V1osZgkepOUGGWqcrX
g7t0Tl+76s70O1FCDU8/1J2oLtC/u1TKsUCWZnUIKXepi1IJf2dXOVSr5U77vETqzvOSwYERLIFE
FmLWsFTUJ3c6pEGByhVzt+a0zM6PxHyuLGahgAlp9RaAJGzlcu7CheWWeVg7rtT+56YfYp1DvgG8
/OUU6svD5/n+e9ewB9aOMQDYcrfEielt29R7UR2kumN8QrLgQCw31Oe9VApokSX1M1Rx81osHpIW
V38Nf4qFlYZ4Qs/wrIl0M0UpJrfglwvRanl2XnqKoBi1rZirZ9WW6oWiVS4PX7tqSx1zNA3ggQmE
amnRchq05TP+r4hd/7+jViBTNRCt/2dqxcOS0fNf6x9NmcXFv5Ar/nrrX+QK1/sHYdu6SyK9bixy
/b/TgDzrH5bjksgKT8JD77rk2X+FAkGpgOtgWpawTV71N7fCMv+hky6FUtZRIWIoVv8XCljTMv9Q
wNqUTWBvIEBf9LWGpS9S/d+4FX1spkWTxNhglx1uoMESYFf3j7lterBpX1gEtSw5a2CMcRg26Few
BcZhY86DVe8Ib3/r5j4pFF6Q34CJk4SBC9CMJKHUDKhmBDTa2KFsg+lmYpAmct1/S5IMV7w5TTZi
xMaL6jqyjritKTGN5Sa88fIsefBTfas3hfWEWsnb5KOl7YwZt6ZRdFsHt4M9hA6q66HnrTMmUzu7
qRDAGCxidZfqk1OQvmWWmb+rQKDdInTOmOJTgKjxt4SkZ/BDV5BnMMZoKkL5AhaX4zhuGl1iFdeE
PmSDmI6MIJegCwPwf3GDIc6ubavswTWyBrcFSxyoWB9iCngk6BgkHWMiYtXSO+Yx2gYzGuEPQJoq
sqS50rBvHz0s8UaTCbIv21fNGsH1kcqESeLvtCy2b4IOBCqgvZyELN6bdGJFXHYTfrvYNGPeA7pi
kN1mCMfc2nH7LSvjq2nQomciRg5oSxB1xDXhJLV/NGlV5750yQKU1s+mjdO1BzvlaIRHNzYcIJ3W
pvBZH/EbsXdFHuVX5HEzxzPDEx1fuA62OcXyH/PQXuXWk+M7eJ/DpCDGVF4sPSkOc0atWOiZd+1i
aIgyeeOL/IKkgJoZnoe3crLhZPowCFOMKtZB6Opnp9fOqZiyExHl8U0y+JSW/OoJfKTbWcQtbuY4
cq6yqpwgLmyzHgYBAPW0kkDwgAly1xR2cw/y8VJUc00ipPs8spBZW05KdiP09YtMWQ8NWrkO6n6i
MxZy7fcD/sYSrr7oCCBCefEcgKl2ZmAdzSa8YF5n7eosWWO+SyR4XtxhpARzR9QxcTdxugHmm89T
ir/t2Dn3DSPwhRO60XxxmGUrH8kmokTj66BxRDCtsgFHzrliwErTEseplLyUsHk3+LuQaiHZ2Cm+
KKX1WuVG9QPuUHKVBQNxqgsb39bRHzXmIF6ixUYlmRzqfnqxKd3s1hWAtulYhbR7May8errOI4La
2+FRhHp1Rmt38QpzG/fdAzKUGZZTtMWJPTpXhrjy28CCmyedQw0Da0l9PVQmvCQDS+beBtGMxxHc
rbNJMCCDJMnqftt5+OSNRKlhlNO3Z8jm99Bq0sO8KD+Qq2rlfHJjvaUB5Q9i7G5MPM/uyzB4z3us
3UxX17muAMzt4rsW1bj/JrlAHhdjBlijUPVsc9xoVSEPGlGhZwhThvbdnfzHOm7q2zTY5Ent7LlQ
key9zZR4V5qPs01pEKzg9a1/Spv0Sc/ttYbDHlEsBbwHRlPQmtvRHLPbYh/ekL12LsWYnPEg1dZx
qOtbOzFPveGhHtNaSKhRJXdOWZ6Cser3KbKibTuaza0kpQFRAkkjRfTIdBfTknW+VJrJu4lvWMca
68Q3oc1q7l1Qike6IPdOyv5XtOiUsFxq13GZl1uRT4KMbwSxQ2XhxINPZgStbo8ms4CiAZ5miPpm
DGMi5zs/2GeeJtfTkgDQd712bXv9BSWJPCVYyW88ieeZDCG7agk5URPG65wf87vh2vY6Q9SNdL9/
b0WK6jQ091qYpYcER9hVZzcfbj+R/iFTY9PpWrSViZff4RGdemeJB1SWBCZV/bTD0bWMKe6yDCgn
CB9RqN3NEVxvit7DNrK8X7YfPDcWiqPKKKxVDHC2L1+YlsY3E2lcXNsg4HePt5zadRRP+aUuPvKs
65+a3liVo41a3HcOug2v2sa+zCC1BHRq3YXJcGzAm9BXmhg0OTquREPGkpVBIPI6XJGmj6BaspNr
F088I0K32dYviQNeEw8NmBav8eEnNWlD7oQb4lRuj0+Fq5d4BHfuqoWzFhm4n0i9eJs9iP6l0YEA
yrfcgA1hpqAXTTJsoUYn6zLLtqCj7SrPjL2hm6wbLRylYnRqgdERKxFOO3OKuSkjDC3x+F2XCARX
BNYCxDJp3PHTD6MfHaFAuVe2rY13KNeh68zHkaLMqXeJlC1mOg6rcZAFhDKnmx/RY9n5tG21FzsO
n6bFU86pfOuI7BFXBPnTGaFZCMsbYY1jrGbN9asZzj+9KAvu8bQXoz1cWghRU+rcQ1qK78IYny4f
Z2b0cRC+ppI/0drxfROhhIQ6Veya3AoxfdYAR5FAB+D4Q+H6OyMNq3VjLV5BqX/KDBTmvu232znL
O7z1rr3BmW873M+AQAr94BXJzxk/g42EZrxCBqLR0+3hfUF6qadT2GL6l9uEW3c5KF1YJPmWAAnz
5BagVU6ROFuMVruTmGsKjPZ08FM7RQPXvBArHh0w8Tfwxo+LLXSbH1PUrUecJY7znDorpKoOPEX4
FRENjExhOlh3yW+p7oTAqB1n8UM+kv0ZhfOhne33yXWj6zkhLSuzHDofZMG5ZzwW7UEv82+GK6tL
PoQvZT2/FVYQ4p9Hm8mneOOUTntbwyLCPgk1px9o2snom1dPpPUBnbjc+BWUk8Ahcs9tXbHY/OYP
xKQd00ADv6T/hvcRmHcBf8BqPOPeF2KbFFr8bUqPCc5cB880061JdvLOXmIZqZx1L+lgP3jxeN8W
RvRtQMlbOKC6hLo5j16gPdEtrSpOyYtrhO+RPZDwlKbtjRv3zZaQRmgkXakf0hrLsbTrswc7llBx
kNBscOTq93qNujwhaPjbKKbv5kQurBEX9sZPrkRo2j8G7EcJj5LBuRPGjVfH0MwQ964gurs/nMj7
FlTBjwj111HHavmx6KsliIUIg6iZ7cfBbV4GW+d+MVAOeh5sMkdAhCKtGNfkKTO2XYzHWuWO6al3
xoudD8O1NUC7N2etOogQcCGIPmqtBn0UTfKQBlm/HxBbHIPecm4Tyflw7BJ1QgMOStH/WKXS/lVi
XECWCoZv00dECJobudWxHskwQ6W4m+sqpBoD3SqNjQAbSKNArjtz5/fdlSguKQAAARnVyaec8wi6
yZf71vA2UuGsRH2JvRYP2UBvjyjqIQuXD5wqHZuBuMLAyaK+GcygnUQnn706+RGHLhK/2uu5KM6m
bIx644wx4H1yt8yzoFPtzCwQezeiuO/n9RNj7w6kLj26NcrzXncufdXemfIYlI33nchE6A3G7D/M
bmttEXoU1zHTVfrqDgEcMLQdBx8mg//a7ogYqQpr3mhLw0kbQOC0DLWV5oLEErryK2mls4kgnR3y
AsNMrDDm9sUG3H+3ev81wJz7mx4FSyBJxQCXEP00O7iLgxiKsHwevYUxEYKq6xo66TZffCucOXoN
7gorxnhKjh8hLOTIjubXqbUeNJDc1i/KS2ENx8nur+mP6EE8HPozu74S0oux0yVwfcSrdC8kbCEc
OnKHWWm59iuMaozmI+i4jhhoiFsP4hp8ao2YmV9WgL689gpMJ3R4yJoYWWW3Aht3l1SBSbMlhXny
LIo5iO+Evcnhhz57PZ7DrSQWaMnrKQMtOhoyfa88rFBaaUywuMaXumy3dQUg6k+z/5oOzXVQ8/MT
19UPDjKRMbafgaE71PHmL5lDsmXe023cXl+UHlj5skx4t4qRzBuzPwOemiu88PKVacbPCh5g6TFD
yhkWQTHvUW+UNuKQyM7lCqo2Us0xeKik1m7mEvMW1li4YZ1bPXoudEQV9jC+e07cbxOzhPVZIwqR
XvAMoVpfMfEYoBeH8vOB/vkY6dW91pn6psyQnEYY+7u0ODMRN6RgDXsmYNej2YfboJrhTfcj3KDl
QfrxeMKm4tUoEdbbMVFhFvbG3Bu2u56aLREQkioozJ1swNgLlBAS2BTOG93tKC0qHWcA0YJEA+CS
ukpejGmmWNzVN1rrxnvDGYt1lEJ7wRSekk3bn3ElIO40QnXfO7UgjaifTjCoppNkbrm1ciqhtg5x
pKZ6kveJuwb9xA0s6B5rZFyb1iPMzZrDHSkpoNWTO2y6KbqHfCfI+ek94vYuoNeXcui3bvRThU52
79Hg401WJre4yzgQ2vE+CYz2XI5ZeFRhjeNwmoqYSPJO+EA+dnRtaAFwKe4fs+Mlt54LoJngYxzm
MIY8z/Wvhzl7xr0C38vUji+pzOA5QPTs/aW2lSbQBt195dQfvh7pD9qSbSARRm2zQsBWDZJpg4nk
qya1HAPMQt+lofetMON6VWKYuPcdKAzcki1SnFMCn7iTVvcwJz6mLaH3mmB8PzVDdNCL7Fufua92
IvZdZVy5MvoZOX6xTvFr0RosKkgq63wWoqQGEOPDoDUE8y0mea/4uO9mHRt1mYFe1RpURUFs8NKz
RfpECXI4sjA5w/5FUHuTxQ48D9QHGbafDppXOMv7JsJhrhgBAXuIDYoTEjBmweNCxt2zBlw1KezI
HsUBrD0NHqR+a6P9OAXOFbJnMhf7+seQ4HpFrttFa0nc8XUIBk6Qp+c4eobU90OM1h337l3Rpy+B
VYmT3yGzHfUbWyAjZWKvPqicR+NQV+kByy8yISoGjoos1SUh1HHnFzPEpzPARQPut8eycOgC2Ilw
l5GITac+JaJx9ikfRH52DohwPmKExF2aT/spJ6mszsSpkX62T1PtdpCwmJzCPvpTXm/dfOGxm/yn
dnBnCGt4ZxC70uLU0D/Q8dzHvcUcJ2cSmQcmRpsNy5GtJQk4QfGPYr05hwvgdosm3ThWraWd+joM
z40TBkete9d6Fr2N7yI2wdeLRWBz442Th5GFO26mHH6f+v+5ZmCCU3qPrKyck23Vzilh8nbyo97a
O3xeVdne2g6hPenYY6xISMOeoZcP+Dy9ZqK7NakgLz5DpJxozKOYyzwadQlPxUenplOJhs6G2Wsl
G+b1+OfYwLzojJ7kCMfVH7RLEeDD1V8Mj7AxvMsQOLj5dvayG33ucMaZMaFieH3WBRoHLKRx2cne
cy8z4EAV/83eeSzHjqRZ+lXGeo8ywOFQi95EIDRVkAyqDYwS0qH1088H1tR0Zk5Ol81+Ntey6gqS
AeHu5z/nO3Kr6aCJ2SuLlEHpkEU0U4O3Ae8/7mRP/wTMkAvAqojc8PQ95K9NNaoHIb5tqJ3QOuGB
phjY+gpDV4df05xcsYM3qSbKNpkRkTvRgJJnVKREo3FKnPbDoJEoj9gyzcLZ4ay5S0LjrTP8Ju+s
A8VRry0a4LFw25U1zQ5W4i7ZF8NqDnCsRInZ+abx7qFIrKyq3bUN6nyYcrapp2oE4/pdapV3vcBN
vDeBUuY266pTUDRQxkI3PNkNqBuvmXomLO22sCZ9FVFwBWKXUEdqDrftGEHv1RO6EAKXOY9KrgRb
/XVbN+FGB/sW4/tEUN5YWP0BJtCPZRlfw5hFSGjLGQBlhPvSPgUa47aYKowNM7XqduBPJVZx0UsM
c/QbgW6xZr8ZMVgBvhkByXvwuGUY3ToNeQnXHFKiAmA+gpQ+i7QozLUWE/tYnIa0xZKDwFFUEv9I
8+rQjsV3xVkX5mi4j53eXWsUApUXyMY7oGRrFdVPnibrVRZld42XNZsmfhORRtUurkteG+nOwksW
tbzQCqSQWdzwXG8TKFt4S77LlttBmBWBqKWXul5qu3C5KSoMRzH5cz/BGCjzd70OlwDHQ6UnwJEy
6jUD6ruEpAKFMBgo73Hfm6xyIHpvBGvJSnGMc2wLAsh87TgW60LBnsUkHMH5I5ZfbhJ9oRt6UfIw
hqqjS8fkAtUwe9PXwV4K4w+y5soZVbmVZBuswDpHIT9w3WfvRWRc9yOeuRzneAbRJ420g9MGxI8J
FdXVYSxGeP+txcSgWVOsmG8kO+WV0u1+3bc6nRVBCS88O+mJdlcWwQq15zask8e4Lx/cCOY6b/gt
LeE+m6N7nhE6ds60CH3bQiVsK+3nsB9vCuKpEomiTsp7BKZjLLSPeKngkJnclmly1N1OZwvAXQNf
h1BxY1Q0//ZIq6Y07+oWvK838saFWs+u9Rlw7uc8yO9kbi5K2ps5HPHjDE9NYO+9fPyMg7SiC2i6
1mLzAy7pw2Jv7JP4q9eNe2cefN2jDS7NX/sMp3pSoB/hN8Kwnb2TmtJhx4xQAYtVIFoeH64DBxUC
G8imHBMOXkw5lRUaF9O2DlOZHkJGO15Dg27ZvhaV9ThwChiKZJvxMsdSsW96SamnycRP2ynl+JDv
UF2tPT0UFJoTP+LmLqnC0+gVcCPPRx2dVy1EHWSbjG5tKrWSoLl3OIXofcVvAZL1M4Ef1C0/kIHv
ooNUX0uLklbX12YNDgs7erGah4mHSk7XRYtNS8hTYE2HgojPKhnzJ1y0eEIMj9Ab+7IW6/2EZ3KS
B/IH3OHZcrpx1X6iG8Nwv+pgeJW9BSPLYP9Y5O7GLvPbai5PmnmXwU/Qqqecn71I2zuPe4qWCVXF
fkBKqJrho4XghKHdbGUo+AFMdFygX4ycYhO7CtmwUWbYS+sG9k3H3jqytAeo9/o6oHsjNS9p6mK/
Q/8o+OszGjR0ZgMxdPwpJXVgZepdak0CH3Ln18ilrNUKzPlgJsz1UtQWb4h+mty8ASo18Xh6h87t
NqIlU4iZS4eY8w0IEjNeCW87Mnd552p7u7sHriIPulpFaBxrSwGVpcKOK9LdNx7gn8ztAzIQ0XWQ
NhGn8mxLPi/Hthjfqj5gY4qYk1dUWcYar17Dgqxv5sOu7nXzYEQQo+Zg/ACd8JZX5aqOKaCPYgV4
C1HFUMPanZjEIZ6eMkYT0Z75HVZqPSBwFoQ+pYjxTquRpWTJU6dRdiD0BKMPnT7Y8Thj1hEF8/HU
IVUFxXSl8ViJrHL9WFVosuDHcNfLwxKSxbbasfEk/qjlyTsVC8Nh1KlKVF4MwwwImTWmRMAcSGQi
tuyrMd2ZYOdmAfTatEDPKOeolkaCkl6mrrcuIdSfarixLeM9zz6xA8MSjJgQ1NiZRKAvlcSGgQ2W
voakCPNtFkIb1zKKrbu+XgWxYI9hoEuachNh4PZzEl7Y9eP7OelosvUkhsJqKQmKyRHVIcmigLKF
2ir3dV93N9bt3H3iRKdKYC5cVrmJbWNkbIUGzW3o+8dJ6N6Kqoe5NCs+BiQJ3fEIbSWYvXNvGewM
qzQrcFaU6bhjXZR7MXaaL7Gc+uSfCbEG+dOECleH4WPpZRY2zPg5bRfA10DvDS8tz8AjAYnyTq/k
oxFNhMlcTPkkI2Heh5m5bnvrHrN7fZgiybEl7T/qKHxsbWbzsgEO5IIOYrJdb/SmeXAzTNFd6zm+
A7gJLIQxHdoJroyLArRKSlYICk/mbT3zdLoeWLRG6uxFzMi7k3mztbAs02JZcacE+hW9ef0mpMg0
JdrJ9+X+5Imn1mRt9vZMa1pf2fuoKqZNnDyDvi/vJEkBA7pZ1ubhpsviZqMD9Y6obwSj/sQGt147
pYP7EU2EHUj2CW+PDmNxCVOnOqQehzDLU+AKw/mtsZaEZmYWN31Ub1VWXdRSE2Fa0AStKeOQBx9L
U8E7vJcMARCcQU95IKpUthPUxpBW4Lxd9U+o/Z0/dN9JMx1HU30Nbe83grzQrNmv9IXezjiCyMbs
qp6wRAJ3Pm9S6HBe/jA6fFP62XWKJatps+Md2A+/CWd4cCkr9D1j0DelhaAQpjwDOXExThVVVq3U
UoAtQdNs6xBYVj0RtqCCh3qdbG+Mzd5wusUTrNH4SWh2wkNOLBJJJwYXtXISDnC6gO4wBGctcB4a
M7hlW4D0P1NlmwPGJQtFVTElWw2QNnMG2+KlCArMIe6nWpIudNDSG51kHH84leGPmr6sqb52dMix
RsnYD3z/vYg3hpew+ZY7BQCrVPVbPbTcsdmrxXbXHscriAxr9N91uTDbLNuhaZsikKX8cICcxHbm
ulXP9sjkMEpt9lx69b0Ylr2IVIaH3GXuUr07i3F4Zrq4UXhra+Hgp+9+Zj6S3pLf7ggjUy/5V4aQ
+CqN1ea7SREehWpfyiCN7Z2LiUJNA+6e4w1XQreZvgaUH/X2GVpkOzc0XYXpxrHD6ypu3hqHQpOi
eWKXJ7dx5950o0MlDBVlNadW6qiyx75rX0orOC7/Vm2l13khT+xYd635Unn1mokFh63xaLC2xnLY
BXF+CtVt5eQvnpjuBt2+97rGb4OdPfcvQjhXXElvoJh7gs6T0IFEbkbGvH1Mik6NneAVuRrZmdQF
jXu8pGoap9AQyISD6YN0NV2bJa/KWBkPBHcI6OQvZOuADdBL4fRXyi4h+BWXTD7yqZFuIflBDLJb
CGyjd2sN3e1yvToNQVclt3zJGz1d64V9DtrmbShRtYBZ9iu746w9km4v5EzrxT4YBsIUcYLNqmZp
UayMEm29NOsKmb4621n3DOiZj7thBRD3wnaB+lurxJ7v7KSGCFxsGWe/JpbZrOjXODfeOTfsm2qK
4AlOWzsCQMy2eDVU1lPcUU1o6cegy6+ruiPLl2qPI8W7fHLnJEGp0iiyXhURtaRZljyN2vjFVJE4
WdNSuRbemV16r9OOgBYONL6tT3LJ/2Gi96OUhEPZy9tKhNuki76KJcQaVWQux/gJ7TniTVj3K2ic
Yg1e4ta+CeQbwhZgOyp28xHRugei6oW7nBLrglOymv2B16Ps7kJ73LTcI5oxUeRj7GKg/V0S0dbH
xhu4ydxOuxSwZxBoOKxrej6ZupSY8suF2mn4gUvIIrO6hwARuNU403r5DvQicxtPvxLwF1ScPyw3
fqsl70WG6sGaBnaSfMi6J1hcm85LRoas1rybLLU2TeteGLS/DCn8Pms8ccJeYJb6szG4OCann9yk
2GJUzXnikV8ZlLSvin7Q1lQYnth6XFW9PAi93qmG7DKNDQL1oWT/UigBija+yZPynfH1a0OJvZG0
zMYJZDnDZy5zn9Yu+qKIDLJx0Xijuq32MRvNF2jIyyTcS0MEgzeg/ZW3eHZTG2ejONht9cQc821m
r9gFb7oVnKHP/qRVdMnzdJta6ZmZ82EA3ZpODFrxV3gkuvV+pxXVox11PkMqqmKzD6EzB7bNhzyE
EGN1n8gw+7mlTit9rzX9vs6aV8VTr+XlVRclL6IcXgeq2uBUEJJOnX2q1N3MCNYsmH2Hot5WcCCZ
ma5d5R0jJ/FZY8h7hRdhGncF14Tc/Rff66oiORU19a5QF51Jms36CU3xLhkfmS99B5N7U4XipsnS
twy4V+gke0CIV/E83rg2nhMtv55NearN8puQO1Xc/cmib8TkoQJwfITAofyYmWmqn7Mmfs2VOGY1
4deEA27Hy4QH7BnA9xWNMD42zlXpVKsoLheo4d4Ejwm/FxjiXN4OAnPmbN5oykB+Zr10Q0qc0isQ
Zo+ISw81a8pqZiJSEIMNJ2BuBbc2b0/L0Amu8XgqcdeVnJ/uc2vQVu06xN4KobQ92VhHOZ/VmwzU
l3NrTQJYoYX5xcsJ+i43SyAU6cU7I6i3xFFH4KmgpDQqXxHOYbUGOaIVzsVAmRPuiXILMDJfhbeS
PkqvzR8NSVuUSe9qYVElScE6EUUIBNOmcx7MZDhYk4k5AYU/FC8kD82dGpGAnOnBsRc1ZugWJtnt
3MvrZBJ3lDB+mGO0D+tyF6n5KmCK2szzjUqbN9XF94V69CLwXKbjPE/uG7n9w2iNnwU8DDswxE3b
pPcBOaPxMhjV+9Bt+7q5GprmJZLTq9MZG5V6T5HLI0cHXyab9nMCsyBRwRmL7ABQMMWEzoROVRxG
mohiLdynjgNVuWWygS8mxigxUMgaK4bRaXGdRPMugA675o2xsU0u0wA1wyGqAUgGTl5n5NuKbdY6
lw8kpUK/d4wL061rj64V3AFHzjj7WGZPkhJmZr4h//p80pEfSrPZ50bN7YfwZEmoK/J74vcDg55V
ICajcWtXiq4dMtDmeYRl3Qz1g21Z29+icJ2q6ZZS+RJQV1JuNS1CoLa8jW3In+XrguY966Z3AhZ/
HUEiXtUCq87yBYHdPDjKiv048q4oX7r3ItBdDXdKFF+EEtu2L56cdW3M15YR0XM8Ss4hcLoyyz1p
EfPn5Q+NqnrunJDjXvwtmqhdOcp+xMx57qKtQ9J5IJGQP7hYSmQ3w9DwPgTlouxqrXuYJazknj9z
gCMvnaAMjw1jxPnJnEmhWc221JpdE7trWyKKaDUiN5sdwBgCgbmBXY9jH6jNxHIwDvva6W+9gLyo
Lg9wMG8pgbqeQvMQRu0umc2DfAHW2a+nx36O/TGe9q7b3cr4NVykzKH4Tgb3A7X1YOfMQAkA26Hz
UXkXRjT7MMi+A+leB+Ri15NdHVy9eZ8D+z6A+T900cHNUXA68vUGoxytyfxp5hVZqnSHhEfzl/OW
M00DvDbfZhkIwJS6KTxccjOzalHI5Wj+b6tjQqc97yDo20OUryV8LNYK8bq8MsNmfLEVFHCmP/Za
a25ttzXXHixYOEF7T/B6xDVxbU2EP9lPHEFE/3oa/z9Z63Eqv//zP96/WMr9GP9S/Nn+sbbEtPSl
sOb/bv98+q5Vkf/d3/mX79P4h3RMgPqmbgjbo+f6fxs/HfMfksYfPKESmD2m0P8yfkrrH7rB/00t
CYUkxuIW/VfTifgHfTmGx+9YrqFb0vl/8X0u3UaEjcIiX0pZLJJGlkEPKt8g7lMpdShifzR9ukYP
iL6gQJs53aeL1mDG59kYRvq+kKP+8MH8r9aV/5F36o7kQ9v853+Yyz/2hy8mXdug58eG0gUjgM8D
M+sfv1jQ9ZXACRowfjLSrXA76En9aK6NylxAuOta/2ooBe2ANesTL0/3pdLGA9QCnNy9elMOQcms
4C3GjNYfWtTQkZetTEPKxfL4Erv6Y5nR+W7b5inOLGjaohr8rm7WnLxcKBcOrH0Lnnno7odGFxut
J+nba/Xdf/+DOn/GlFm/P6hl6wS1uVK4yv7yqUZQQ0Yzdb09sjwbYrdZmYmb+gyqMN6wlQJNAPBY
fEo9+8lic1+O9Z0e52rdBouEVcKDYvsU6epHSXWVZT2EGeSptV1bmzRnmDrZcUUkHst40aAUKYhL
XUTYYocnnS2kax44Y0MDDqWA/25eO2FKHQtjVt3cGF1hHjWhF1vPSZ7ozuiOtCQxUohodV+XkUnX
CGnQjHf/svHnO5V8223vZusBG9/Kg0ZGBUL7MlWcK0no7IGOXXJ6ojHycPBxPfL/FMwhkZsMBpz4
x0imJbN819tcACxxqU+7wzR/cx6/S/WQggmycHMaP5Td5IthZNhIQN2fZIoci4oTeP17X8HKVnY2
+P/mWi033V9vSkdynSwPpzUHpT/flHotS1O1s7ePIs1FhSfubqZvHupxn4/6KqfSglRO17FTTSy/
r3QGGfXgz7a1bzSETxykOwN5jxATPmkkQ9Yie0PDt/BFPBzLKKcBrnJf0NchdkjBPKqflnGw4kAS
7uoSy0CdtbRHT2fjudcz7Eth/GMli8crluzZHWgeScF9X8HDruFvbWbpfVBRMh45D75kUX4lC3Qy
6vZgrAFiJzJ7UqJ8okz2ThXcePhpWCn7q9hIkW/yu6CZkJSOnD0Ok7B9YWQ3dG/cdqK9sqgIJopL
Oy90o54dM38ABwNXUeY6MpnrnXXElVUwAftCcLtlm+I7Mnscm/THrdMjF+peedwx/+Y6/c1lojzS
M1zXlY4t/uJOb6TZsZIOHqC9csCdDczXDa1pa1Cn2oqHVqYv//0XNP7uIcbVavI4W66FM//PN4bV
G40qDb6iCU+rtO272UXdlcvDwC7hGTDMjakxmo3djl5w7uCYMQlbZCxbGD4OdRz+NMYmrBZO+L+p
ivu7e9YDtMjdwkHb+ysGURhNnist8/aQEL2GVttf4ZmVDIMigQHaMhj/5LP6N9fgb76s1Bc0pOPS
y2XKv1wDPFWYLQbN3UPA+Bkt95F5OyXvRfLT0J9MI3nKedt9/DfXQV/+2b88oZYwdJbJZZn6P9Yo
ZqvCG3hw9zp5eWy7t+EAsD8asqugpKbYKTkwyR6zqrxQtvIItors2SjgSTj6j2F4J9VTuYldkbd/
pK4hFVDPyUsm0NNpF/PPMLfcTZ4TrvKEKSDfCJ0AmZ36mQ2qqsEZmU3xc15r51zaRyDsvH+dMPNT
Ek4VX3eTjWCFKN2mRGtouTfvbLMgWGs3YPMzdfBsFoDQPOHNsVfFWzgRsCWIoNZmxJiPaBmEQjre
bbf+bPVLimPND7qB7WwVMAYZSZpVDsQitG2L72xInZQajybhtZh64OrkD1Hwk4FNln4dEBOlGjfg
3btVueps5qnT8uLJxvmK0c2m0GEUjhOXjSYkzUaOiMmhrs1sejT74tIZy59laV1503TPoDFbV1qv
r7rYe5QhD17g8eHCzHmxwdik0AWQfJ0GGQkAnfC2uhsx1SUcV3QcSUfJhIompH9SXoGvht/F3+wj
DCHZM/35lgDsZxjciILcjIdi/+dnMwAR2RGfHOHJUVc0mNsk72/Jks07DboltdHYXQFBRkZ5bZoB
A6DWuZ6HWcMMFR6mEYBCv8l6F9aNnjOwcPW94Q5EtVXSgQhiIWKvAiFrWA+d4qCsd+EVyYtLlzQG
B5+0Wmfbjhe6zwQqJwqDnz+viIRq1mfsZNV6Qi+ZGIGvLXcIfezOGEIcC6IEZbHmTBygIG0Xqemn
pbTKEbHOfMP7KPRDHQ33XjFU27g3YEY07U6ksr4uZvlFlMJaB8H0OJa0pfHO2hTcTk3qx+X8YOoR
5Tn5vYvjbWWPNRpegRm2NMSL12XDVkhnaymqO7LOSzdtovkWOHLQAWyxQkMd2hmQG/YI9Jm820a9
9mzb1gog2bSjuvvSzMVrUOB+qhuLgUIDOjuLHxJ4QquKcbkdaLQ5OVcutKm13Wg31dwdRhXgWGmd
M1+3WQfIIWFHkF+58NCiAdmADoc+3sBOjX07Ha7rKel8l0/Iyfio5FM7ZM16rPp7ppI/UwVcSNXl
lpYPsu6lR2TI4fsOkugcsbFeOxaOZDs1tqmXYBiaBX8XC9QYMDty5pG+DtvPpgLtVcOQLOO52wSm
d9BCNl9MgEfAL2uLv0soeHpna8Z0zGNq206M8irT2EojQBih/202ItdnGIZ9zu5vSQHFW46UeKaS
2q8SE0WBSRR3A7dEXGLqzmoZbwd895x6VblO0wREYSpOdW7ph3JZnGk8XrlZ1G7oaIn81FAvkwU1
C1zs0xxmD4lVneKkPCR2JEBVTgx/42ivugprkYnSTRjfgdMhuRkmjLq6QwEW4mPKbbendI3dk1t0
azF5Zy+06d7V+oewqTz8+jVm4QUmapjnaHC0Q9+kJwzx83vegWThn1laGndlIJ+syrqxmSgy18ft
kFpMWHVWl2oEtEZFhuDIzLjTmvBEx5c8HU+JgfEYhJu5KrLyMgrYsfNi2fDGgnraztg5jJzIV7OW
RqmyQeZQbRINK/QuoiC0vqyGCQ9Lj5pVxCWmTvN2wpRXato7YaQzm1YskCkzAFOwe0KGWJFXe+1F
fh/qXH9V6/oJL+axcSim79mhWuxWCqtU27zTHhhi0NKc84qVYb5v4midJfE5WRRsBq/3jUaJc9dp
zPE0cTXXRCttg6e6NZL9lMKAwbb3avLY4N5jRBBMnPqH5DpNlvGj2lVV8Yr+jphBicDKVuimBa7o
1ZiZ7157hMf7RcZ8ONQDz7E3InJYwU1WVQ8Umx3O24F5dDkx1HWRJvWxpvGFBjAHQ5vqvysswCtm
yGCpyptmPHV29doS0mPa9JbKY0qlCYD2GAG7wNo7Ab9qa5peZmd4zizL79qATXe7s9IKcwz24Dl3
aiZrVGdTbUdfubrUWU/pU+a9p7izcVWMDzRL4nJxTIIGyl451PVtM171Of3ptwxMZ2IjaGD4A/BP
jcZOE0xDdbuBV5ld9XnwuLgUh7GYb/omTFalyF4JUnPd5VOpD+oKCD8kNBvaOFvbZ0+wmmiJju6s
wZJxCgbvTGLPDDBpxeR0kCbRXhtb5XcTyS64AQlwOHRw3EgZmDKYFsPFRQzk9NHfV8xqE/KLvA3J
AVSyvTge8aq2vE3NNqFBsIcT2HkYMtxN1Syz5Nm5OJxvDnOuGFxQ/wYWs8FPg08IJGN3cNsoYzQn
6eiOkvcgfqwbjxq8iZdmZJ5zIkUcujoqanbtKKOdESWPTsWbNKntY0ommpdC0O7Lwps2SMqbtq/I
LjqSgs7OJD7jMoAehkvpTcxPRMcYce7IJx0w6bPcTtouHrlWqTd9aPEbT3mzCZIh8Yk8PXWMeEaD
tZpk96Up650cweO10DdXZ70m3kVCZJdWsbPBrl34kPLrddl3W13pVzpk5jX7SIh0HY1Ws/lSevIV
aLEoVccGj3Uz7oGO2PmxNMNP0Dx9Fn4qCd1YVbgd2E1d2lLBJ8zKxC+t4SiC5lnXvM9AxZAbGfNM
gfaU2liAKXbGN7cGU1WM6b7TUebq6ZE+xWo1Ze5t4lCp2Trozr3npwPHyDQ7dp7zkyRCx9BSL/iA
4nnwzMV2ZWyGHLCPGb0E4UsjThmuvJWeUp+VmN7OKAlWtpEgEcnfHaY4RMrvtg2z2mlk5m96bA1w
QMMMAqNTAa9Fy3wG3SlWtQblscfyuq4d6UJhmy9al23jAd9s7kE/xuu+Wvowpzb9sXqSbE6WDntj
Mp4LoiWEKayNqCQlEJIWEt5xaBH4SWPXPY219zMuX2x2Cx61MHuKSnJ1hBBWJNAvwJCc0UxoKRle
W63AQQNKLzSsF60+J7F+T61NvdGcVlsJbfbWg+QVn9dKvaaFRmo3Bn6aJDu7d0eyQiTHNM/4jhK9
PnbTO6Ofu2HQEhh3uTho5fjSOuEVZeDHPseJkWtoyZZ2mSZD4iBpyUqW/Wpkw7Mx5Cx9loHM7xx5
l5Yn0S6qJ8gIjZNrI7cBE8QdUbJmOQBCU19+sWaLIq5CYbO2rTPb1Rk2hzmSdJsUBNCFRDniMtOF
Vx34cbvjOFBX9Ptf//VLuAgUKiHWqXc9nEUnmI94K3ZTDnzst1jmnxUzFfvvFhrpNKbzEbjxfEyo
W1gc4MbyWXYMxDBrdtm4qyzQHq53Cl3wi1nW3iCN02xT5U+1q+Itg8/2GAeClWPAuxA5GKnSxNh1
prguLR14q+kzjCzZVIrrhGAFL/0LtzjLrkwZj4R4tLuQ3YjV453SVOrjGDjNbr+tlrFeqMFEqOO7
YaYzkDXnm3r4ayc6lzFnj3kK74JgZHQPMcBzIliVzQXXwwNtPye62r/rYTzFgmZgV7y7nf0mIdNw
/KT6e9Wp4ltk4Z1oqfoRGOYKx/Hw1RLdc9PrvrNZ17sLOMBv9lCnvlq2KTIiHjGz9CGGuYz96wm4
qjYBDc3wmxHCVdaGGsC3X5P9r995WJz2PXGLVWEbSoEE4XEVOJp7LaNICvDego36hUXZgg5Tqyue
6Aorju0C/Ui50HDymNnziGox2cJf4/fvL/mQaUc9Tm/Yd1NVs5Ax5o7XWDZgFsc8daz1FMpCrGob
o1nxmKTtZ9OyV/m9ur//9XuvxLNl+PEUsM+mNC3a/TLYfklXv//lUvCJzGOrTUSNX1N7jza9fzSl
zx+iUKRi7OgAreg1TFB/hj4nyxHs8kXQ0JP0hx6xRw5Me5kBLPZy60q04cUzu3gHopTvV7f28cjq
luOvWdE2c8QENuKKHDi49m235iHACcAmLi5IfVVs3dbSbHEO5tYGntaXnIbDr4bZJgS58Od4YaOt
3YIZYBlbAPK6F05tbI/IcgCIuLaJBiT8hsl7czPYHE8CPp66TX56iSBnWdr32BMyrmt+gFZoK6uE
fB3ONHNKtphHh+Nl7QChH6dJbCr7B2akuF2kv99DIsRJIk4E6iW1gm4hDfyjHLlxy+pEd238en17
IDzs+uPy5fCEXgxj2kDk4f5AwvuVuTRFilfP3qqZBrckVRhusuST2eePpFzBaTOCivx8SX0DS9Mk
0ooVWuh6tIlb/T4RLhobrr2DM91qPSxsjNPmzo4At3e8DzddANAkpoxvBENHsy62V2P2DduLfJts
XdvHLM9s4ZK4fHfb4IFypH0yEVGpzXQPU/td2VOCvozVE4n8SsRXWbeABrBl9WSo15Ethr2Dntq+
NwUnqOWOGWd4z9WiY9qz2Kho2xuoB3Wryo1lATqop5i6INdCRkCOpomzpzVPzxhj8ox3i6w4FDTU
B8N4bp36K7BRBPJhIp1NZDboESrspHkO3HLnTHzcll48Gd1MlTPFc3yCw6mWIvCzllV7qEnvm2ya
0NxzihcckKYa35SttXdjfyiaU0dedfN7eSLeNDEkxbUdJG8tF2LTz/mT0FnKgKUD9S1uEw8ULhVL
g68R758lnpRgLnk8UibXpnvWLYSTuGI37XruvRYb0Wr0UCVaPhUnQcXI7Pg17uLFHeX+865Lx2ij
DL1nhsjuZBj1Nf/rZ57ZP0Q4PxYhJMWGRck4PdIBiiPzBxztgfuYJSR9kuX3OLVV3FAHF3TDcgEA
cXOkXpQYhphEXeVnVqINefD2EZK+Y02/YRaLv406xAhyw/KRxuTMN5BOF6GSAQn7nJwY6fKvFek7
e1s8wXMfXTlq0XGhUqzsBusFN/hmaNMHNY40JKLO9wVnOQj62Pl08izZPEP7VcZ1RoAkR2zASGGK
zcwNvxpbruuvuJ0jxqFsw+eky09PUXg0W1G0nnZiT00X+4Uh2YgRYbgoKYYz2owaoSlFNlLURbcD
+JcpeQslKoxBdaqBKFEnsDGVvA9cON3I9yzHkXOqBiPa5FpRr5PehUsYN34j83bvBQ9Rg+M0Cqir
XmZhHL/yriBilhTpNhs4KeCrAnIzHWrNegkZPXAqKDdVHhzbMP0YwrQ/pB3ldpk7/yj90i43sBUh
rGleSldEQF4n4HhMH9cuRTczav08lM5OmahzeoKsNFv4mThVNsuNh34Byyc9/c5kMi35QV7hMg/u
Y5yJm2y2zk3AbcsGqiFhvHHIAAqtS3HgcY/NMieUgVvLwMvPo1uLjd5V56aRnASK9IfUCAc4nNS8
KjH3KeEHk4UaZoiTEFLzEex1+IUE7rz12Ge+gg4GPbc8TGm/QCy5dF7RfAZE1xcVF5NGW033ESlg
XfFQj7bQ/MwDpNg3i47GLjjs3YMd0E448TzzEzbf5IlqovsApo2SjnhmfPtEIpB6CYQD3inraGEr
aEiZKxX2uKa9MtgMZMHs8b2muZEl1g/kRKVMSCl4kYNHDtVKd9gljhxzGmIbO9Fqt6G3p6PxUFT7
Wqdyi77NFF9cWJbFgUnBcyzbs94M+wJFyqDWfoWIzZieY8fOyPFmsDgTwabiMNT9wX6tjYxBRzZd
7NnZE0J7713ts24XartBMFewg6sYkhtsC+MkRooCTl1zvilF8lxmEdH7aXzDFqxBkUoPPZHbVBmc
a3JAp17W4wS1G4oYxN5qxeMv9GCOb/Qqu8Hsdu4KPd5kKr6avcReBdTKebUenqrC/jC67KUNOSzG
boYjjO71JON+JFjnB/rcsxZZL0ZAso+MzA3+4mqHZJucFKE3X9NZ69qOVnMvLU5QbPuj3Z5jiZ65
irv9BFJ3IyzzO5hFBQc+qLDe0OAIfgWmxe8voV51C47lX/+79pA1K9KNWlO4p7qigdbUwnsqR+aj
oUA9OpJ3SD9q06mZQbXMpBmoSUIQnXX9WPxP9s5juXWsy9Kv0tFzZMCbQU9IEASdvLuaIKQrCd57
PH19OMo/lZVVXRU1r8hIBECKvCQIc87ea30r0mZMVGYjH8W2EwXXiLjRMkDKoLqoFeeAhuwy2gW9
OmsnUyxAYKGGu2JE+jlm2maWNOXYpSnJK9wxlWNlhOpRrIkFTjM6pty7cYbM6JXWRdADwKvblNFa
lGrfj4knlig+U/OfdmFCnbApbS8JtXuwEvEZKn091jhTpRRgLEy0HmIx/UlKpkyN20PP7cgg8pV/
qOSuvQmKBJnSXwsCT2P8H/2EKbkuTnh3/pdJ9VmQ0Tb/d6IEkzLI37oo7lv39n++X3n1liNneJ7R
gRThvxMyfL/mT1GCIut/yEgREBHQo6b9T4d6tRr9v/8rKYrCU5Co0CzYjHhQHvwJoxKaBI1UMP4D
me6swoh/iRLkPxxkBBzDNuAoa0VY/Q9gVP/oM9E3N9Y2k0M7Vuff0fgIf9cJKFRv08bBgKDVL4yS
Ic4wj/LQoaKQ4pb8tz3zn3QTtH9IIP7Dv7Y+/zfuVR1qcjWN/GtkCX8BbjKfSurFHM23TG2QwRnP
ZXoKL9q+fIgJnX7hBPgM9/FB96iNNAgUt9F5fFLOcMcPnOIlMccb+BlduStP//VHRRTyD0iXbNP/
5HdTaYQ59N1Fr+xvH5amq5IZma5crJbCjiBDCiikM2qM5HWJSMghjCyEUlS9tOLBapfpIOUzzLv+
L0akWEtC5ozh1CDSVZkw1To5Ahg505NYDMqSeIEuv9Zr9u96mzoSjTVu86QCpLI+VgQjngJzrih7
o+NK45aU4roevMVmhC+Af2JhC+B3sYBe0hXa2YLx981g/AlIG1YEo9hkenFT2DCFBXzRNCi3EuCA
UHOtNfws+hDCJfVNk5Dr8kqQ+MQibwIF5zSCvjUYUiwaJa4YM1jMvdlJjisApYJN2lsV1L2+r2iJ
EAGGrQOCp2EhNMbQszbmiAMWIEhTLMUDgiq06MwqogyXzGg3wV6jJCpQfAICKch8Ys1ZQZBis20A
+ijqQSD6ci2CTSgYhmJRR9AMFYxr7kjc10aAIQUO0hIRyT/bpZ45NBuDZ4QTflfL6n5QiP/M14LF
slYm4i5gKsJDnSiu0MNFiWDHv2wZjGhIpcoeknpHqe1Psqh4/GdTqRMIC5A7pRr5g/i6xroTki6c
lu0P1dRuwjMOzxh7rQ4VY/2WYu0bfylWZZs0Om6/9z/fUCXj9c+vbXUjhU6Z8Nsqkqhh1kSh2lPF
QfrzZcWaomeZz+nwDbrEX/cnATOuyzWWYjnYU40k2TKexHNZHBDOWWmbQW0pwEhMnQWP8ZtiCyGZ
WhX1iO9NbQXMzlhS/pUqKtbE0aGiCvNHBDRIsP5k2/KL29vO4Zj/JmfWgmFLG5JxVUQxzsbtSGCx
ZB07hwGRbnTwvaOa3o4mYAnoYNA1F+Rjxwv210nAExRaFCNTUchPiy8yWcURO6wgye+1pb/NjaDz
/na8VgmV9Y34nC2yD68Nmov4NKX4SH8tjLXq8sPbDYiToOqwxsCuSbGBzaUiLzlyxKZYTOsTP5v/
+JNsjZ9t2hkbVcnvJQNDIeMk7VZgT2PtTYch5RpYK55d1rV/bJLtQ06MAzBNTwbDbVf4OxMmVdmJ
l5gKOPEq619+3l6srexuv8e6IraaqOWsg+aApovfZlyTUcnKXUOYWYjHZpHoWzSE+6ZrzK94cFmj
fw0RAiye/ttfdvKnNEj5gXZmgWR2jStd1yY9qZoXsTqHghi/Piq2a9sg2YrpZBtKhBeLx8RCvLr+
efDn3cTTkk2Cc7bGIYs9n/61+019ZJokqXd9RIhDzX2WQMsRrnJIDZcfO68dnzTtzSg+u7UmwYrv
KxaqNjCvCOXT97M63FDEXPN61ft+PgJYGjfac0lO4s4k+DCYrR3AC05b8bfir8R2qQA4/dkUa+Kx
77f722sK2Pn7ecxOCrahvSZL3gQojmNhfdt/vM3PY+qokf+tNt2H1RKAoNE7QSxfHu3RGHdKZr2J
LUo1IJbX4xWKnumKx0Z4h7BJeOJn8c/H8ilivm1oGCvZG7kE8ozyPq8rluhrXr/8f/pa8bKfZ0rx
up9tsfbPf2r9ID+Phb0eyQ67YUZ1wjzsq+RqhguPGrgG/NmaqsyXCvlFD2Jj9x3wvbJtReA87lp6
BwjSq/2wdjigzmLoLeHLLDHOGLmbW1fQX8TCNuQ7orkbT2SI/yzklfj6synWirj+hEFU7eb17iqv
/NmiTaZtst7mirEj+4D0gn6tkjbuD+NfpDv8bIq178fWu16T1hPXqzWWnnAxeVfo7ORibBUacrW6
bY3FT5gzeKqjH+ysZzradK/sjuEgKfKZJnaGqRJiW8GdVs6HoyQP9zrhKSnEp/X8EgSc7yyBWi+x
paegiewJwEZssHuaBugxUaR+EcfdTu3oUYpK8ZC3I0O2tWgsqvli0ZAnsIlMkDP2XHrTOAd+NfwW
+8bA+EEQJfDIQ0u9Yd0jYi+Z6/0utVoKYUuyD1vI7PlofPUJ5IB+FdNM9lvdRkw0rRAqWQuaDN85
GUtHndYNFaZDu1K4RV494I1c3g5VcBeXQ+2Jx9bDQVP1zG+mhA/c0sI5jOp5VLiFQLJrXdJRbk3F
eeoY685zmB7j8QQjCl1dCxLZCLFQr5M9ZZ32icWi99eOYab+0M101Ev7qkIDEqnLQ50HA/wDwhXG
6i5eK5SlYjWuQagaJiHrNgGVSgzIpHynqMgGOQwiKEFEJojN70VM0mGaFel/iNYQVfUYrQAtnbXC
TfON2YZ0BV8LBlS7NG4T6WeYnc7WUhG2d0t7GJDEXBMBpeC0TRkvA2fE/mZdmwutme9cDYJEv9pJ
zqmIcQkUC7D0ZH+vId5iE16Usl+AzuIP/KCifVNkYI1SW0L6vq5Bl5jWbMDGjUpOQjCsjC3ShV/m
b9uEFtdHWvbrw6lD50o8Z3PpGIwGXstfD4m/+H6PvB8g1LVm52zaEO5Fu96E6nWRZSvqWaz20Axx
QQ9An/QeW408rsR08adVyvcQfyTWpvWmJdZ+nhB/9/2SZYo/skQFdbH+CxbG970NpBXnPu2sdSEv
BXossc3BDhSPvrXLmA3j0vq0Jek8XTXnYQ0SFg+JJ3GI93Tn+LMSKCm9WD5e1hMGZNkyCtPAPgAy
uZkCU/c4Urilq9GBUORxP5ohTvLvx7rmExpJs1PBlRzFQ0auSC5+E9rO66t+nvjZHK8rRrg6rJsd
9pdh3NmSywGgkDS7Jyb0KgOC63XaSXF2hr0bn4tPYjEu6M7QCEAJcs2H7Ippx520o4oUbdwhv6OY
Ek17iCSsgA2tzSOtyrm5I5muobjELClxk/A4D0+9+rY2ECJC0e1dqu6i9ElPrpUEvx26mBOIJysB
58I5s7eUk01VDiumU5yL5Kqezv10hrMQOLQG4J8eYM/T1AypaDtuGB/SnFJduW0mL+B7eegEzzBz
Fu7Y2+73QoF3l38Bnm26fR9RXn5tKDfz/e8767ACAuX5GmtQnj6rzYZYSzAxjybS33cFsVKyHdSH
Hnt7vsEvAgwNvLlKFKBHGIau7S3ZM/NDX5Fw66V0HPVrG+XSY5PctPJ7diGsZnM2jjQ/NskVjiNO
0W28XY7a0dgmr/OZxKKv2dNobmzAvLjSDfooIKHTq7OnU3tQP5TbYjce0hdCRZ5ql06P7wACvdZ8
APybYhPfEFgibcwbJp3NRj7QOrkofvUeM7EEHgjrr9ql+LBiWnoHxOrmWRvcqvcURtgdwKBN4L4j
jrqG2+4tD0TJ67v0VroKP+eP6Kn6Ks/1mS4+0rMdeZfEkDHNfuwK17hSH9oX3f3s/OV06F+DA58q
3pMBvuUDMw45ljdHbfLhaM34vnZyiF6OW5ZLQQ75Ur4z6xdS7eLobgzp1LsNQpvaD/BV0RPOMbA1
G8famvdY2PVuK3/o5S2CpPlXWMIbwgTmLrM7EXzcIBH0J6a1yXayMGHt4omC+SZBfK/sKpIAZazb
p7N16/C1ioO5Le7N6QhRx9nFwOVoszxri1+G+wV4KPVzDo7H3sMLGvnOLQ7YS+hNrx2Nyg/1jHwm
b90UJV3sVhCc7rPUBZbfTX7n7MbgkKBxMu8QRBdvGhDqxfuFTiZRb4sUxckVKKbflQRvZ7eLuJOu
/2NsnN+tD6vgSKTzf0JRZcmngKEw3vVrBZLCE7Cck/EwoG08KV7lls/GR8R9sE22LUfSOUBw5Vq/
hmKLVT5DNu9K0AiTrX7SdX94nR+c6qzqvnxm7HWbvSqfckdO7UZ+BzOWHYc3maOyPivEBu6HfZG6
FNXDQ8YYBZDYtJ3p2tCiiTbqc7GHDkDF1noy34fb/Abh4mG65NTfx01VnDn9peFgB+54P5hQfTb9
R7htPh1OH2VX4AuDRKh4GXxyfc8n5O2zkUn/VrloR3Q7KAWnnZODWd7En/JlfJN+Zzc01rYQ7h7U
l/AjhUOMTJdiwdbEehlcpc/1c3mSb4mJCL1ohzim2gDM87N4s7xkB/3qab4z7iVfu0k+C/iEwPHw
2LryF70X8zh5SIe7DRea5rHbD7eqj839gPateVIjd3hjdpweWnfaQE59kcma9QKXDr/bP8Q05AB/
b5kVJDNJwm4NwpfYHi7ZTCBuh9f80BC16fAVkTlu5HPock191pUj0oP7MnD56uUu32A6V5n9jht1
o3q2X9yCMnSdp2kHsdpPX/M9RKOKtLNrul0ywr0tF003PCLlJAoViPemPHO6JR5FOqwPFMk4Dkm9
2ygbSl/wETac+WqyX66SaGtPnrGfbn+DLToz8/RBhnOiZoDIbzpfPoxcebCywzHkCqhtQXuobn3P
Pj10JyiJdFnLbcGRChaK7zC4mewmnNY3zksNZZOAdSSoGgKUDZQIDJf1leUHdF05Dvc0tvt9uEu3
9T75NV7K5pG5VyJtwa4Ujmc80zMsOfaQYp9tNzzU58DLj+aTzmfeSxvFn9ItWPstfbXKq3yNewoQ
TRfXMuVIBLPJ7nO+Ts/OG5KYx/AS7qP3AgDp1ZTRmf25/dlFTcFH3CI1Lhv5kHU+xaOjrFvNPtKC
K8VmYNOtM5WgJB+H3M7K7ceRxklr9jvUqC9mYjO29vVVm6RVFQQxKmDHYX2JWAvXCYlYGw2tK/zv
VUemQU6n5JTqbbKP17/JxOzm//9qDQ3htgZesbE67CRlbxINSRfZtr7Ie7WYUEUOkrS/Fkkj90dJ
o6ki1sQTqGJfUS6Z1JFs5Hu0qI/hsnhRmqqHlsqVPUrQY2guH79XJ5naY2tURHXjWtJ3bcSAc6xJ
bA3tYTpGRG7TiKVdxXWXGkQitgOsY0dLw22ZprNvNlAe6JHl7dEBB34Ua120Tgp+tptynX1E8skc
9MytMnjyIhBJVsgvETFPYu3nMcUZRmTH/U0g4wZWOPhNEA6oxNZKVl0oFSByRdoHWBJMOju2lTEG
MQuY6Ws2TL9m0YhFlxqgFwAejWt14WchEk5+NlUigRBfy9ei9gltnanIOjNpKptL7s+Duon8xoph
uovEEFMl0xp9li/Kwd1a/xNr5loNjlNV9nOULoqp3GeyFngEPHOdnTC7zxW3iaCv6lOD2t7TNa7H
/dNUo0EZ49GTjMnZ/xSQIDz0W8AB68kY0w+LV41VvlCJ0bqGq7pTM12HjWL2AxZbuuDfm/IYD1ub
oZKDdMYKW/kY5dPImG1RHqrGrtGmcyDQB5iOjjJpew0QUUjCJjgu3XjO5wrreYZ8dCuCaFBYoRlA
GeHaIsZx/eWcvxY/jw2DPB/U4CyyaJRhTT3Ue/Sjs14/wOO5spj1EMRs+sNaiBMlurULsjWGgave
WjvW4dpx0ori8U8xWVWHV8MAtkJkrk6U5KQdi7k7MfdFSWXW78gBHc4RXNlkrGrPQ2srzNxYyAjd
Cnnsd22DalGUVcUPLBY/mza91qNOCI+IGBI/r7JO7aXZUqg01g6akjUBZwYdxiG4yqK+F2sN2aga
HgxDxSVziiFJDalSWhATQPCkYpeoazSM2MYdke9Ec+J/HcL/XTPO0FZ/53/hEI6bMC7ifx8N8/2i
f1mEjT9UnboUoTD6vwJg/uzGkQ0DPk231nSW1YWm0Sv7sx2nOX9gASZSRpY100QeQa/oz3acZv7B
u2n2apmCEa6a5v+kHYeh7B8dOUxEDlEQFu/Jx6DJxxf+e4/MhuVblnOo+N1S32LSqzc6bNeddTa6
GF1ZCJvG6Ys9M9R9tlinbtymOjN0MzeYf+YaE815lWBCvSJpw7oqyTdTQA9BXGKCXxIM5g/Mx7C8
Dce8kh7bJt7Ng/RI0RZyRN+7DmLFTGNc2Msztiyo6sp0ZyEcD3v7WMvtvak+LpTgmbmAvbDKS6Zw
47SiqxShUfNcBdNLYFVEUDiUWedweh3bm/gJTZyCmfi0xIxvLbV6JYvxXTQM1gtmWAFEVM2z3VLc
sk0No/Bh/orbxsWfGHhhWzD2s6xh9i3mglxnreNIFA34LOr7QWFec7tUj22pa74NAy01ApMOHYnB
G0W3D4uOWAVqE0iSijEBLGmyB4ovK5eNbc6L68ZBRg7HCoRK/ZZMhLUOgIEb+SlzPgBQPmjxcEli
53FSNGeTq4Q6ZpQljvx8d3HAeGqNHfiOd8uNTS4leH/BRe2avGIm1KNR1zvJ3pYRpihVLmYZcQcc
Q2kND5uIndGtiDlRoVMAJ7QRjtW+W4D+pTGfXyWsaNdw2D8GUf1S4ivQs+KED+wLLVh1rmLzlNV8
bUGdValvGqUe36h922yNoCgpr0iYeNDTeIUT+tocwtuTu49qHPp9NJEDFsWB8zTrs/I0I5KpZsVV
a1QciFoVfx4DrA1LmGP8NhXfTm611FI3uTN6tR3Bbpub4MD9sqVl2Hf4gW7mVVXcSwxkF43SQFU8
VjN7ygmJaUBHyEfRw9MQT6qyJZMUO4mtHJpJ4nVDti8dcotArXLwv/YBJomgScdj3qpPRlxEnmie
xUi6D5MJtZSf385kLF+rQDnJPo3ReRgjZU8g38diS+8R5UVvVNNxJ0Om4Q7H6IxBWVttSXJlWmoX
52atH6pKUXpxZB/tdZa2tIab87VwJKd3Jb44mqPMcqQ8H2Fgo1kZdXxHc3RKGwRzQ5Mp29LM78F1
t16pzO/TpI6wwLn6k4BzxreUUjTgVDMmfXQLNQGFktnFUSyaHBrWIiExFTcfCbciKhCFIbroK64L
vZc2+ZgYvrjxTtmvuHF+6XJ+DhpqB1TGEIv+Tm0b8F5ab5KmILpZty3EiRPCWKy7yG2yL8TZGM/X
QzZucdeVaIH1qPzIrPy5yWUEwNmOVkK7mzB+Y3/GyDMGTP/XMY1YQFk8xPMy7kVPVbQZceqBE9ni
PCtdS8LWmETgv1Kk8L5TWa627hgpry/Uzx/TpPOTBgikjAlplwwmWh+hXMnDElMBE7AyDqF8y+1t
05spmC4TYBD9ZjGWqw2JhldGYE1yY9UN92sjYmbE/AfAMWh0/J9HVUfN1GXLoSuZG4XyGv3XX0eJ
U28rfOCboZqwRYxU4bMRYldLwrHVSw0GOnIxBogiRyR8EMkYD9bIAzexGTL0JP/5+3PGxj2cmtEb
SlqQpEaWTH+GfbCiz6MxerOjFqcDfySGDw3sS3+Efr58IKKejuq6CBZtY4/QxzscLD1eLQUc/po1
qVkUkUOLXWtibCuT/IB3CY4QWXvKeqDUkoJoDhP52js/Mr4P9xZcP0sq3sZcy71+Vm7CEbFEz6Vg
Sz74+4zJ0SMUZ3bbXqXuhaPHULjSSBa/Ug2PmpE8VWRVTea7zLbPZr9ESLKlZd8dytBsbnSYBld4
BdHrW8tJYSbAwevZU2Mdlyp8aKKp2GfEdKOpHS2uCEiPx1lhbKQjFW75MYz0Q50p9Zgmmd8GBK9T
12axW5uyB9vxIG5EiCEueJQY1YfFSNUpvS/SINgHbXqL57+5QqVc3jWOsw+Vpnmam5LrVt3+Elth
1CaepcWEGHbPY6EqF1Vp9StEj822zqRwXyqp4vcI7bZFELLXAyJ8QkeWsDQp+lmp1c9uiOjll81t
ap9HHWLpYHfLmxqVV1GTrh4kQMTsbHSBtaPhPzcJPmLsCcFwOhc5IShq2l36iAyrYqGtg6KwQsev
ISkAmxSqG31MgDui1bBntdrbyaAzue446iZ4pIUuUSDKKHi22Ly2S2laRw781nNaGbnhUoY3YfSu
BwuE41rPPELclF009TfNsthc8mui6scZEiHn1KWcwvcqYMqK4nH0U8U+GEZpHVVHMo8merMGL/be
akgeKab0ue10+WwEpYEhudAQSmCzRO2cupAACNcqJX0XEIhBwb0DPtgmT+SGUWHT2skdjaBn/J/V
bh5lEGbr6NnEb3oOe6lDMA+LMK1G0wd6rh67soM6h1PiHqOiHmTtNbCN68gpgXtbsgm+n+ZdyrQE
vD/T8Tz7KDTuIp3Db1qvwUix3h8UtOzxqMj+yIiM60Rf4uxQDD8j1IFImpB6K+/liifYhcXOIlSF
ixKaoDi9QcV3kyz9cF9ohbkv2/Cul4IOKWU3X4G1LC4V0L0Ycvdd1gOlRATyEIbaQZK0p4Boa9gN
QCVBBFWXRtkOQ5LeDxqSQ0sfkE8sPdIWpWMWGndvzbzP5FE6Rkub77Q2C/aJboPCzGEpAhAMPLlJ
Tt2gS9gJK3O6G7X2YJEgloylc6uPFE+wpjWn9uRoYbLtse7hvAFWhQzZxjbcMIxTaEnb3UNp9/lu
yPHn2HP2JvXOHbLb/Do1m21vDPU5tK35vFLfnFUICu2UsKPpYnUDjd3G0b0y1K8Xqx2h0l/3kxYe
bH0Id83AHy0m47IqGH/1iw28rCv2hVrTGADTVZB9VqA3uecnwl9lnhmddnfSXC2eqUgvKMNzV3GK
/DEPdcgntPIw6J6DMaUEP7XAt5p7/OPSNlLH7EoPIhkevlKekI3cGzKVd1wm0jVRBhF8Si6t9ius
1vCGQYSMhTeYyEmL9vg9Z1iJeNwryeofBx05OpFREJ7auH/s7ZT20DSqVDpAh6KKgeJW1o+58rL0
SuOHGLFgsMMPb6yLUhroRO2Zn0O19MnNtMT0E2O57+JYOXdpnBJzWKrPsbqHJGqegASTFWZNxrnq
4pPkqNx8+y4/J8lyCYpBOlYtUM4hcrBELCn3/ZqPoElRtUderp1xsRl+MDlneZJ1VzM67bHm+Nri
tJ93NEzfGiYj1zHpSmsqouEnIVmmrTYWYLHjEqNEbt9OQ3PtJPPtAMz7YYnUaQeopL+klhQeIy9p
pOxUJXPiqehVHhtNfeXSR+mKrNl4IuMvpFIiMusYhcH6n0LQrBSWz1adkwsJrF6TKkzYSW+8pNAb
w1fSKYfriCEi7Ww5wuJLIY4kPfsa8vMdyTwk3M4K+PmyXR2IEYkecHT2jJubPXEimAuB4RzDycBs
o3eNj9MidZeURooKzPge2T2o96INbqeye+7aCKx8aFWPsjrxwQY9+jDWwsBQ2Y/NYlFhJsp4sprH
IlGaLd4AruqwtH+1CWLvQpHCE4gMdVsAMnGDoXy38mYgEpjahVkWhle0NTbprV0p0XsyNtcGQvx4
5kKvl+BYgrnKXCXGidnbpsXdo8KN0zHRScz+KcpT+RAQMwxPrCr9dEESzNWOy1SjbghJWC5x/0mr
mMroaDF4oq2pdSkD4sHk6GC/AonDvItODuTf8xwosNnCkKlcLw3eIJnawchn3ZcIm1STCLKus6Ru
mBcZEzzLfolofsUZ1Zx5Hqia2s05xeezgT5Mw9SqQcU7yRvvEpyK2sRHATHwjfwU9VqLhnYXO2O4
Z963A5ytvHTMDeslvAunELb6UBSo1KOWLyG3B0Vhvyehvqs6a77JigJveNGG+GGjHCathgc5spS9
kXVfE8jI+zQlAELD5lw0wJJyjcGhTLiEzulPLph2IW2t83IcwIzUKDSPcXAzEJLWR4bBmSN9FZWW
HEyJNlp5CJPe2RV52vhU4OAE60A14k4i9Sscdd+eK78KWukCjfqccPtsudjTOMR6ktjR7BZkGJ3g
gNcuPnIvlk3pwujrGkw4MyNoDpvGbg/cJFAG9gj3C8N4j8ZF8drEhC3sUMDpw9baE6wDuBhP32XK
zFuCHB9GB4cJw197Nw2Vwyw4PFc11pxOVUveeeGUwAzQLryzVWtfRkCYQI3p1MWtnMBMgUIcVkp7
1yRThSsmGhBz0jfiKkkEZpAEx0KzKtcKcywdjDBcMwivppyYquAXJQiA2k7b+DlFDKLaMetikNZA
WFu3cSt1/jRhjQoHGkqWWUkkEKXZWc0ui0HbhDuTumv7EnRlZL3MWkRJ1coei0C+lkhSFZGj0VJD
3qjTvU6PNYI3fUiqhO+G3cgtx6LeGSnB8BbammNRlycpHDjVyQI8jjn190WPTn26sJMDAmWTtL+V
LA7MREGrjotEq7rPpdfr06ACFW0L860JyRkc9YGKc9HJFMWmbjPao3NQhmRNt0b4S+X9loi2X0qk
ztusikNGfbjyFUSYeykJRxDLeIFzbMRJmmj+HBiaa1fD5BuyTatozm/iaLB3VVmqnmLa1GQX+3c3
O+XJIB5x2xeEyhirQ7tOx7MVjNfYdHajtcBpyJL+MpTpg5TfGVof3YNpiS+YiW9kKVyO1VDeSU0J
8wxvIF4/Sb9MOSjihIFepFvnMjKd68igWbV6evMaa2Kn6yfJ+pDLbj6pKQIji8RJPnt9lMv7sW+1
Y4p65ETk6643iTWCLUQKlDoy7VbDEyI30yOuK3gggBI/LFqcaaleu7VrniC9aKwI9AIygxSRSwRr
daAFrpRNcaWWMtVh3OeeY6SNa693XCtQTK6YOU3Lmc5WFva3EyrlLTNK2Q9tAh0pb+O6s7CnNwDp
Cl09DUSpnJJYc5VSYYBotw+zM68EdCnYmJlDYM6KIFBlQscK3EUICDK/teiB0cJ45VatYkArZirT
JEdEYX+IWnInmQUeFN18DCOYj/Tu6WGrqCcaWVKP5mOGdHQCu1/UWeZNDq2llAy/rZNGT2aTMazJ
OJ9U9rfHLWBTvY9pOAHoNAi6GoYPZRoeorLX90lq+NpYk2cY65/gOD6NbFL3uZL/RrLTkK/aedgn
zAuT4WJTm7S56sZUnzT9gILJeVSd4i1FjwEqEzvrpFSrgPWoLmZ96QqtYabdFhj8CoDdbV+9kWd5
z5540dt8PJQxTZs4ukVail6TEaIqZ8jpr2q1mJ+DcDEOnHPkhtZ6fofn7eCU4XyQrOQ8DP2TQu0D
0zdZk0ZUXhuc4idJovfUNODlF3gJt0T9bFoCMkIDwCoLgm7TbVpX1j0JN8AfBk8CY7mzrIYjfhgx
0tPZnBguXRPxDO1zmGMvpOyESnef6uzRGewQSLTml2nhK45goxMwCufDSpY7QhHv8bHa5IpJwb5/
mdtkYPpOJk5DE4bHkh2FtnYLK9NDiogJcfTC1KA+2CF46Lp42eFh8SN1INKU4oob0LiAkDUSE1n2
UF5NCn6D8kZgRLm7UYm7HkZA9NZUcivs8cr1i4wvapyv+tHWb7j0GzdZbmI8wkPjmn11C3bIPpky
WUuqBCHVwQZaN1X8S42GAxOq7BXT7063JAWWEjTW3NEImrYApLcomIEPRBr7lkpMO/Ut+THUX2y+
lmtGwQdSQdxzjQl8rCEUc5by5DAk3W1hL9pNK2natral3J00yh6y0/b+kvClzViSacOgHkxJivQb
Drm6RKBhoSIFdpyHzPoVOMqK3g5uTYH1Rg97FD5EQXL310buRbFxcfB67QhCtHYdjvNswUlch5es
QKs1c0PvDa7KdgHmRM3LKzUNznEmlyds7ftW6/MHHJWc/2bs9b1+H49YeesO9g3RdIND1ki9kOt7
pMk6mXV0N6yLyCxea6vLwQZxgDLrM8MKf+LUbe2BzkrfKtcOvNT+2CYpJKsa32GI72yYwwtsWULd
0pEMULyEbakVRC5zkpoONPamsralxBFWVvG7hNzBcOpnpdevargIU6y+NmG/bwJc0lNTXDcjIU0V
ukHiONwoG7RH9jKBHyvPXa1+TYHupxO17hxaJvdBxjlgOQpbuxjYKyllvBsWaAPGioZzU9lkO6o0
c9EOUX0OzfZLjwFGlGWE5x5JQ8aIh2Q89Rpj4TZVyQcf+xNl62ZjcyTSNaLjHEeP4ThfCtIWokwP
3TKWHotscBh2oidSU1RVSxRxyvW/tJkE18G4WDGDpjIeY2oApuHR6EqRDuXPoAtsis4oOaiNSIw3
DMJma+iAfREBQJx4VVUuv9T4JooYKVTZC8fkq57L6JoKLfQqs/3VRXq8V5XgyQmS3+mU6vtUkk/V
3I8AhK3tyA0AqBcwXLr3izoDEkmUO2OmcEqNYmOaE+zODLHJevDqEeUV6c4iAImPolknim9P4UxG
D2TDigqBDp4/V/c6CcfkXyWP6MAPapahSzAmJpkl0HMy7ekoSNOub6V6W1KzLBt+PrlIfvXUBwla
MKE2D4R2jHzZLl++Msk+pyhDkcszYIeYVp1Ne6ekZKRg5eh9qyXanfrle29P7xbejKqgfJBWXGrn
GcZjLsFcw52qhKZrda2zrakmN1P9acbB62K2gNinlN8pu+oT24KNp58YM6ho5i2n9hXdOKl6jk5m
gQAeknAMNns1Rls3ZUqVZmh0+g3d6COMjgh5bF+D1L61FBRC8sLsndSf00w7hDBLX3eO9TikRGHb
1MooGzkJbr02PjVV9Tu0GMgtcew19VBcFOvkjMu7nOWSSzUFXluCcGWM30N9bA8pucvU724SeVYO
Sm1bmzpOyMrgGmVb2tnkKc1UQmLQCPJKq/YzqIndWBpUSUr4e1T14YWRCjwPq7gYsbVH9/lkMebG
OUgUihwwsis1dm1TTQa6uL5+TTFvbnrJSq+7mZJDLS22Z6+JRs6aqWxQ8QbLx5E9IBlTq+YwLSUh
RIleb8bQRimiq1chOLxzQb9D0vonu1aO5nCwsGu+yhqck1z6khIVvcLCEQeTNTwYYHYgoABr7/KZ
C9UUeEuBy4v+KqFDQ/8YOROIkKq9gZpL0UbNzp0m2Uf139g7syW3kTRLv8q8AMrgANwB3HJnBBkM
MhSLdAMLbdj31fH0/SGyeyal7C7ZzPVYmclUWSUlgwR9Of8538lwzJQDJ7Os40FgvFF/khxpJ2Gw
cxTcZkv+jDMAF09b+FFxxO2zcOrXxQb7OVEV99ZpMHCmzDYW3BY+WUCaOkfyoiBh6g9Gir/fz7uz
Z8uTX1TguqA59I/GjOXQMsZ6T/90SHUI6Ibah6KmovqIE3ldTEPxUFT6Ru06kwEL/Bx3z03ROleK
O1hm8k/0WXDbhsrAHuYALhk9Y2sZKOx1aTza5YNoWXgtMA99X17mMbvNJq69ZEzTdfKQN+C1JDjI
TaS86L5NogtQS3Vsh/kLlJSvvVXRMjhxSeIe85XlRnRBSSMfTTB2+zUk2LAbojP8oGVTH/TODWW5
btux2mZtHW7rwG52vopc+ErjOsnC7AQqoTgWnA9wcvg7BySPpvoso7xu6OfkaEPyWXdFw+Ne4GJq
gp9BPP/UqeNcyRX2Kz+ZruBwWxQ3NoVFtXKUJs8UswYshtmNbAyoTF8myCb0Z4ZvkQxR3avVVE9X
ob1621rWu2pCeZ/HxmORtks5XXKXmRSEO6C1iZ3bD75VfeWJyEEhDEFVnelegONmCjpLfE4UDJbg
8szd8zjg3dD93NEAXB3HzodcTPs8iulMCqR5Sfzupsg4r72aoVze5SsmQZzQVUb3EnhRlPkXXSok
gBmrVx9rC949NfJu1W3mzn1ua1PQCVp25LrK9tDE1r1tJnv2uoJUsv/VL/PxLTO/lBEpNRqR24Ou
gSAtdpTDDPCApYmm6frYq5FrDhHg1H216/yTi+aMybadXscRbyOooTjAX5lbX8YSe1U1R89ioPgV
A0x6aFwagGIyyl9oGdqqKc+xTYUHxpIrPghQvg3YpPht4Fh5BjGx1gYa7KyyezR4OLjICHNuHivB
Cc/Hr5kHdr+tbaaE9Nbyb7BuBmsk90PxKQkC9iNaPMJA3emoFsx0gaRVmIhrh39T1WvqxKbyR0Ev
z65U30H1o51XkG7K1CiRSDn61/mlr3nHaNCwMdPHk+ZYyCzp0JfW0qqDn2aYl3LAymB60986y/yi
eXGAJHBAOe74PVcRXorc1FeKr684PHYeNDz6WLABSrWArY2xecjAGXr63oys/qqtEqmquQvAruya
lEbZaD44gGKR1OeNGq19yOwN+kmuiQliN0sGukrH/tVvEm/lWC9tCx6CnCII+/KZ7rMnlbjbuGqx
36kDXRD5MRzM9LEajPQx4VhIvsJ/CqvBvPdoVk4jNTxIltXSVsaF2ZeqzgQHy9PQscmabnx0I3CO
moKAe/wIxVsB5bkSLN5p6z1Oef3IUbve0Bt09IxQPBipme7jir0qj18gAlqnHNWkkYH5yHeYAzCG
mJmNBoc8BU40061sRSl7JzWEDNrGLchi5B3RymX1QGfTZaR6bcXGSnrrqLL6Otg05UxO/dZ/i3OT
qthZfZG+jEEP5npt9tmTtiTvW0z1Bfd07J+Dt+mRIb0SiQIK+Qa4TDriFai1z+1nzotVTp8cHXrW
FVsPyFB4YP4AGNzJh71n8PG0BxX4n1Jn6s8+IwacX+ZuDAJ0h6y681JDbHtYzHHiR5AFGfsn1PhV
jEfqyHkOKVtjU2PNSG1KQjl6mfo0L7TJOgE2wkluwxAy23eCpS6Sy6XDT5uz3uUs69euW9b2mKIJ
c6rPs281G6Hhh85MARgfcIbnwYy6r0klxMaNil05jSBTBCt0KdrxYfS/DlXIIHPWn1TJgxLa47ga
uFQ6qfUj0xxj05nxZGSoF5n8JM/yA47YqcJwt50yQB9eWOAUrRD1vBhi65xMNKsI9+qG7lGHmDhm
FFqfjsCGx7Kzuxe3EsPdJOUl5lbKrIV2MD+faacNvqfU+aycQhrH2nDtDaVN72BUcbzKmxCso+0Y
PHuzd5sCHHg6NK0TnSRHS420XQksraIpv819wtVhTqEnEzdfF1a3r+C8jtR6r1tqkbdxP70PQm3E
UAFXc98nFz5pm7371HRPXu1jVJxxbpbmRAcpaL8+nnEP98Je2/bSu24kD0MerX2rnZk2XDwzuPIO
0jASPMrIqveAfQ9DH2yaEcBLEIIb4vmFCay7R+LQTK4kPUoDFBCIqhbjsPEoaHfRunT3rtf/MDAI
V2zOrlftGmU/zOkUb/u5hFsKG2mwr2i/bwLiYOByuaS43ZtiY+NTp3sYJAnoLnqb5mbcqgH0SZdR
0gJJLt97hRmuczntOjpmkmn+bpQAe0w9fucHomPI7o191NxKs7j513kOx2cGXjupvOqsOvkgGSHq
VGLIc7jQyiC4Ea/yEDsptGQdAugNMN9Ka9pGxrOqG5Dgst7QsH4TcXj2aiqghT1RnyfJuZKu4QgL
t4b+n2MfL8Aib8ucY9zHPR/QzJmESau/ByNOYKAg0hrN1KIG8z5XLkJGBhMEkDIX/0nRp8PqWoII
Far2yLvwT1zoLV3dwEuhDx08VX0ZyuiNkZ/axvEXis/JDhTuJaMwtRbWiQTwra9TDplOdpYhNgZh
oQX1efjJn77lFLxjnbPwZQA1FiD16ZsioUNxQ7GpBN+3gu2I1F3f2dVbGml5v3ibOLtSFd63I9mI
IYCmp5sd5XHdvjFNTLh1X20idxT7iYI/TmQq2LjuSNApAmACfohKFiQGbnvpKYj0W+t15xLO2X2d
A7sLMeZlnboLY9gwgmuXM01YULLyXqiu3fVxg4taOA99TnueYv60nhK/XEdF+6WPuDxFPh7JjOFK
oI5TgC8p1ewsXs+uOdGmRpnt8r/G43R2GvdSG/49F68t0t4qFC8Jr1xBrqkUisRIcZuDOScar1PX
vpiMNufIoJZoGE9ZZX0yD0B72Mmbs7AZVbSpX9C01a6TVt38OJ8+BZmxFRSXbzA/Jbu6jnbA9Qas
iGW9qcIBfWCgSdjoyAcVCS/Q1dV5Jhe9XY7Alvsxy4s3XM31ZVARQ7HwveZyvbZ1D3w13mS99Mg5
DE+Ur/UksB1zS3cC1FdTZfuslc1apIm/rRwsTW0aNiudk2fpW9PZijE2togq82Ma9md3RBQNgGBt
LOtJYvvYoonXmzIo6HdpI+ZFFrTNpXCbHAiW1nUxYJCi0OtiuqnPlqK5emTzyQqm+5TPZCE872h6
zE80g76PmrGzdBBjWm8qibqVR7TvDc0AW2gb9PsaRCRtAXMWWOSCYCI97FL5PRPe+Ryk02sfZOnW
ThyDMxGhD9XcZVGv2OXuw8I7R9qfuF1FwX751q4d+NyrAfP0NkmCS1fId7PlY5CxsZqXS4OuEbMb
uSsHYOFwxNSx2aYp/ZpKnKLGzI/gRt8nQQiP+3pGSIc+ccsMLz3dpEDLsh8ORTY7x5y+RwCbBq5q
djL4+yzkjmxXQ39VxqHCJHUoLR1sE5EdEoYwQ9n0664s1pCwA1hk9kj/HzEEBa+1GNyb6Uic6JPe
RD14xqGshg3UCxJJsrtgZoxx7cYcvj296ZpLQZsrZ5L6ybIX6SbC2N7htrW9fZsxVBimiO+JVTmb
sshgApW8MhdaDV1Z8xOVu/Ve1c/9XOiNqanhhsaK0NuezVY/+7l8TizkQp10ewwFm8FFNMoGXa9a
l3JuKzoMXzut3jTTh1XsYN8ZY3GDEE6dg0YXoUX4a+RloAaBEWz7sv6JmWgyluFtMdmbTHJkr7mN
uBST0do+ZcmZGHbtCWZ1uKAPvT8fs1htiyWvQ4Rllu9pMumtwSZxlzDx2kYgZJG/ijPW96UDDnOL
nRVvKZDtqki+F8Q1mzF0723F1MnnEDixXbXooFvuxJDfBv2i63PbaCzLkRxxOpnYLI+cxXx+P8zr
SZbn2kxPDpo8CvNT4ZdXu7daoIYkERp+AADuS4WjzeUTUjGXZNc7lD2PE8cugmq6Kt8bI65XJQgu
yep1NGIfUObPxEsItHwruJ9uzN6QR1lh3FS5RS85FgQWAbxcKX2nYSSbU1TT+SnEz3gCX8rg85Mw
A+QD5b71dD/FuRKPwujFI+qcWA0hwrDNWJjR3rwOGMnt0deb7TTCTJsG+WZSKsvwA/AtV+6oYJMa
5edcxOMls66T/xB3hfXKPsHPnagJhDTcVTkTSPM9MMYubqo0LsetQyd3Zup9WvK50ogYbERLCC/0
l0p0SPMr6iJfuuEL/nk8ICaBUT31V56ifD908cZtg1NmNBxOYQcmHYOmtnqMh1ltvaajuZ373Spt
4le6aIXRwV2e8kuHTrwrgF8WbDPbiHHeOlTdNtbJmY+gfsIZ9agDXQM1xd6dZzetvPNQF587l3IW
RRYtlYDPu3SJ+dcciS3FOErjiO2qjNIs294EFYYr+lrpBGm+tUnGdBqcAtkF2UoY3wLmtp6JEU0p
R8iKUmbYtUDF7J1cYIOOyuK1VS43A6elQZL+AR7vaUupl8ueSrMtUx6OQtDFg/k859g1zaUXuhM1
D7bJuqflQbv5fMwjikQTSyIu96ypA4bDdeeWXwc2/LsZ9GVm0MzZJ8i7jlW8Un4DRtUPLrhRSuCX
kT6gGrRNTplfXVB6u6S2FXqG8uFXFclRlHhf/O5itnwn7LnoYetKRmtBvsN59TWPhnpPsbS7avKB
dZm3226Qmywu6tCyjXZTRSrCQJy4Dz4HKG+GQ53ip9por0JgifgKat85U8h4LF1fbsJBsRJI49zW
+Y8gSYYdN+nJ/NxEM9M5APRNc5O9Hu4bt+mORiYOTTlwvs9ntWZto7Y6m/Fmec4hwxizVMglQ7kp
KSHZyAJaskrkQ9QNmBjR0dhSucAV2PJ47FbZxGOZdwRq257bWMfJZWZupqfkVhUEe+02eLbad7EA
dOCl1ySVdUUHd+tu2pgJaORwWNGUrq4qt8Y7sXj+SNcfKazrt2YifswaAHBoL1blJMjvNDpVrdV4
NKpOHvMmesDfpnYYuCHHNGbzidp0mrQNYYFC4Hn5GKgNGAjDKUjvzHrapMNSAodzZZdldXSUUCA+
Qgw4o6DC1ohzU/TixE+uEDMT+eBmE8jYfVg8FzBPFrQA5Dy6MyaHUr4PsyU7wcWZsZD5XnqnbAs6
zBLs4Bt2RnpGXOmqT+1CoB10J2hWarFPjBcA0mTEAgTwVduN5l0jNTI6DJmPlxPQR8LVDnNcmjyN
DcFtZjjOJnc14KQP9/e82NfJed8Qu6nTqMhuGVYD33QIzM0w0DixprucaSqTDHAwsr/2QaX3kkOA
TnB21F5J3G35auZ8qkpH8VoJH0l8CbqHhSV3NMVfHAwBO9h43yqvPIwjXw5lSEpJopgEpm5rmgK/
Dy2EARD5kOoVKcYYYZIU5pzyILZ5fuvZh7NVt5hKy8V3a7jFe2nmFnSgiE74gUKMGTbQNgz058WJ
wZjG/TSbvYfrEDfnWjShs3dleaDZNt+2s/FFoEAwXimunQgkLc6Fu+Vre8aHnjAWtb4UEGDolVp+
qcfyGNcMiKOy3TghZxiariHJOmDxSultlHUjFe9t4REsESru6ssvdRrd8YWb9rOX6bsxjd9UgeVV
mA+qS+9Hja7dh9NdEovdJAtmdXhOQv4RiM/p0njR8+y+07E54OrAMpz5zt6WZCIrRx5TYf0MjcFn
m13IBn4gaLxK+Jg9L0EDq51tjcVpAf1wkAwoeME+CAJXYtvuxPhiW8Le1yxyvjsUFKAL7y5IA++O
EMfGos0PFCvt6GhSi5c20uprBnUSC2NRryPNIwEhelpbXfXOFffVmwQ515x6EgGp2TF7TccZU35a
dZxd3dU3rNPjNs7dm891QHIjycdun4cecdsCVVPr7B7lmX5rZEZMV2vxRHDpZaYQggIG4021k8Xd
d6HZZu8fzuGPDNbH7zQi6t5J/CsXBw5PFF+kSzigm9N9CVXC8P3wbjapTAgfcGsXmDK7ep1wFg7D
pek0KKY1g2bnrijgGvORYTvdmZJvQs8WzXhLUPWOlFlJ2ewaO3v6+FaJADUEsHa7rcwIKGDwaPN3
bz8eyw/X88cvM/l4lQWXcCIG0RlXeg+YCnBuIi2y0EU8/UJrz7Dj0PE6umDF2HrCnZagzA0ScyLo
zf3Y5uKuD/DdafPEso0xeXm1TYl7pV6eFDOgyt7RYbQxE7TxSY3L7qA/RwLOlFGH/BWSyMtH+u6D
hjUG9UXOXFfqMngrbOMcqCQ+2KxJChBBRj5hJ8KZrGe2YK2qIfzhg0bZJg3gTY3BGddovhuIzzqJ
ZUDwWp7uhNqGJeT3gdfqIgrjLEpHTMXwZySl2Mkw2NeE+0ptUyXEeQphbgJT2c8rP+g2FGItKJmm
n74jkLPvA637CCN+fAFDmyXBsEYmmQZidUyPezgsi5yVPvWi3wLRz9r0oReyX7d6whgWh7chZaDq
Q/jH/rFzMfus/Krl6+ZQzQs5njvq3+JQ/w2Bz/IWoN/fG55804FFKC1wgxz/LQlY8O/xoiwaNPj4
tjyYJpZlVzrNjiQlNp/UPFtV/cQtADBKQx8djifkl4jy5M4uNq3wZrzCZfhCQ3vK43xy47Sgz/Rr
hbx7q0icPijUqWKAcuDoCMUHJPkYecXGtSLj4nCES9wUKTqO7bsO0uwGM397ChwX42LHdFHEXbPu
vETfeQWHlZF+j1g46a3rLPjf80MVBPFPpuVfzcH0DsKqIryw2HtY5nsCBcxAzZykcGf0zrOWO2z4
IayU2LzCrGZFHQd5zFKUellynnYkZ44wY6sKncZbjQmBUSczPpf4Zu36WC7KxVgbD9bEgC6PphjD
kRm/zj7HOZUVW+wapEKi8Jgobzj2TncMzEpRc1q9WQ1VG2FklPexzWVCB8XNIH15x9UfK38ziIfC
49mqmpilaemVGOxll5o9+2IuM71iCk5+YoQvCBdZyJyam66982TyMLouykfLJACbq73PsgATWZl4
R1PSWcFj4O8tlq8tYgvcXaIku9Iw3zI55zdDejenzuZziQC86SrKCuu4GuiXTNo9lqhF/22+pkER
3k84bMklFPlKWJlxQq37zvJMqF3zMunUAcgjcu/eCex97I7TyS1YeErdTWfcecY6d+TFHOvy6xSl
4cq7sjIX7wz3YxDG0YFJoaSahXSCZ1UvcTClJ4PJIE4yB7kO/G/kzGyuyHllblmfLINsUTYnn4l6
HEAIwilxoERP8Ohecx/0MuStn3ZlUYtDpfGJDIjGs5w2L77bfRGZGNEbkZ9GnZlnRzX50Qnyx375
b4kaRgSG5bcFD9TZtrps51UldXsezD+eF3dGhWPCbk49IbjQtabNx5/8+DPUcqLS6CL66/9ouoa7
UYPWh0ChBGD5Su+cDiZrT36MsL3FMVDGPZMUaR8j6U+3dmpo5YH74E0tMosHHoWZfcHwN/JcZ12G
7oxPNXsqdVmfSyihGzNNTL6V6JczpxecFwBm+U4WT+14j18nfzRzQEmVoh038fTJ90d/lVEOY0ad
OipRNzvLaH7UtCizm7asuiXKAQmrgmbLxrlxxsPJHFyymke/7wO8tpHl7MIyIILEG3vpRiL+/ph6
Z7Oh6CbvqCmWCHQ3PN/lKvf85Bg4LUPmgKTcAM5dVAntL/JnHQ4UxeBekaILty3Y5S1uSEnVkrnL
AsImqdcJtiBcta5K0N+0+9UDOnnwrME5BWH/1BphdZ4GxexQTLu4ssddVzVEBXvIH3PZZBveswaI
5lKujnhCtwq+lWjeBpMChsxZNCrsh0SZ451dltuMxqX7xG4+dJ2Oe1kO/buMnHU3jeO9C09vw0AY
8JdbxXtXzV+RVZs1Brtsb+ry4GVevJEhUsi/X5zF7zWIhC6lchxqF6VjEkVdoqF/I46mjbAC1Zrl
gSn+muNms3ZEkdyZVp6c5GgFXArSHw3PMSmVjDG9F5d4zumf8qUZn6zBuIiay0kBeuyF+cZPFLw/
vERrSZ/+un3wEn3lWB7JSfsfFZ5eoxDW8B0daLyxYfI1Ai4nQzP8Vda9SW073Rh58iNgKXfSnCKn
zOJEKG3jcUjGjTCvWYHcHSHZ0TjlweNoJvesMIgtzbjUEtkCcZkZETpdtWo5RCMvltb+D2/0b2hX
x4dEa3s+bYCO6QO//Y1DWxnY1009lVi1ivrshPKR0NtKceDfSCGLc5vfVeVwClkD0Y3qpQrIYYqI
CY7VZ8RTXj07DS30/vTOCAenWlkbeGRzclj//pU61BL/9n57WCtMz7eEa/v/eL+J/hlBGTS4z+G5
rS2IdZu2MtXB8sZNEdakUtrx2xQ217rzmrdOfZs0429Xtc2+KwhTeEF+r8CwbaZgMPZl7r8WtXuf
F3o6UbFZb5uUrV42NYSO2LJWU0C/hCoqeUenBWZCho6rikKq/TA21sbPcxieengN1PRjmC+G9qZr
VYX4jjMHUo6vSKhirzc7JJXUxYyAmh6j4BzoE0n/cJQRy0nl10fRljQtCJsBoyDC+9u3JfTHnhnD
1BC2S37M0oG3IkHlFYo9VEfSWVEgAnGF7xrw78pie8EApNW7z0Tyrwfq/wfy/xjI95a+yP85kP/6
3kbQsdGgfwFky48/9l+AbKH+xacoqTn0AFBLWrb/NyDbcv61JOFZbay/wbH9f5mmRYxVeJYS/Mon
/19wbPkv6Uhi2IBqXYfHQvzfpPHFr7xqihFYIYQvHBMXIyGz3xfkucS2a7S9uqb4nTdFk+pj24VH
EqbjOuxplcipXXY8C9XPF+lejSXNo7Q9l5yQSBp79c5v/ENCwuxsZOnPv72Tj3896f/rbx3f1q9r
w8er82knd03TdxRv0G9H+VBOTuZGHd4jMsP1XJK+8vEVYHmRxzgT19IJblKUCgAkfY+4rqnMVYJk
ZNg6lHl48TYNsdQEsIAijpenYKafDfU+WtlijC59EO9yJvnlTMOtXQZf//DyfwUd/OfLB2FuekRr
FJ//r7tdQ2R5bErhXGnDqD43cwn6bcbkkLoVkt/sEIYWkf8YUYlqj5+ZXXePHbUSDDSjk40p8kSf
1x3LXvHgYtr1DMjSnCOefcxrcWl4myJHgYytujkOQ3uzXKu9Z7bMUDRPNnZluifEousffqZf16Tl
Z3LJEwvWa3YXW/z+M1l2HBZ+ktlXHvRi37Smi7+QAaw5hsfeQhp1IyGJS4wAvpBADgEbx50UkT5N
Dsy/2KufPTKD925u7/ykFg+O98mKY5zOSercOCJhsy4ESOOw+4sp8j82vX50LP+f5fQ/XzrfHYdv
FN8q+7enqaiKoEeGtq6iIuaujOSmCdPndQOjjW4+Nxyi+wLzNIr8UnGVTV8qdGRGclIaGMRjMIJQ
XeI93UDTzqbvhFHeGO8BAqxrfoR7zIFnY2AyrN0W7FRTRBfPsGG3j+Z95BAswNek10mc+pCZ2Dt4
NpDYnIhRGHBtHkkmO11u+dxb5mSdjlhwa1XCnx3JZrn2RYYUuGVOGR7mYI6u3BY3ddARjKaV7Vjr
8CEmrEEnD78wPHUHBXdLRT0nYPOspzo+MszrdoKjoBOYGLfDUn+h/6gjtx2/DkbZnxPDybYsFdO+
JfC08hKxjOw6DA3L78Z0eCTpnm5xQ7Y3m6TQg1kHx1IAkqzZO0d41qNKwe45DR6+VGwNQUZKJw10
tZYj52hU37Wa/CNNMm+ALcbVPHkOnavVQebkgf4fHtUPxggoFGH+o2HaG0k3Tm5kXQ2rPw0u+mPm
NQ0JbIYlS7O951oPow0+o9Ttc8SteJvmHp6CEAbYbAXiHJXVvvcNxsHNTJGTuI7GJkybia4/CBtz
4599Wfivf3jZvzZU//WYKp+FGT4mr9z/bdVQhukmk2zEdZZkn0wV3fBkXWyX2j9LYWyogSzwwYdc
rFyvODuE8mIjfWr9dxMIKbGB+OfH3YJsgX1sc5+7QkRsty4o12RM+qeT5n+zICC32NSpmz7Lwu9r
9OD7RUoBobjmXCsfTc20Vy8dPtkp6umK9eCVbZIC+ERBMH0u0pMIk+eYC9Hx379vS8vE305LH++b
DQScSwUnX/jmv52WwFB3bE18Sn0xUHFHDr55zaKENG+8VDMb/Us+0GtYkB2Y03NoTT4Gbsu6fLyV
uu12sSa+C2CCqjpNcQ09aol1rGpM2k0r5CZOjBMfDvUphAuHKXePVjygbznlQ1EjKgfC34WBWEoe
a/NkGGSEjCR7S9LI+MPB8KOf/reVzLZNhyOFcKX9j5XMcozSrxEcr+0Uf3P6MbkfPdPiFm67myyR
N00rlSq9q8H8YwuvJvuSKPssNA4FK7Zn7IBdv9ckqI6RS41RhyWOlgn0Q1obN7UBcubffzbqnxu5
63K4YM/gPy7a3K87IfdkMzbsAa9c23kbK4+HPYv0fnb7b5Xu3AtHWKYjGVOh3k3llgh9eZ83iXNs
qQftU/koiNJvnXL6Jr3BO+EOSSmdLr84JtC9j0Ch7dnpMbISrH/okJYasBY6r6oLvYMZ2TB5y6ha
FfwbDktCLeICuMmrNto1JihFGtfyU5/r/GRWfLnD8h4thDmC5RGXHvytlzSColg3h/8BDwG0bI0m
xq5Axeg0d0QDrEcCpRJ/eL+m6Upcjd69sxMq+8gNPgmG3s/5ZCA0WqXDdBS8RpFPCL62cUdke+ss
P5TVEET99++7s6wVvz0orsVXwiQDYPssKL++75gng97Tvrj6ZEFnWiiGm45mRswu2owyyOobPupR
zPnipPVMIG/UXAO1vx2MnFCf6QS7vnUYooo9ZuWHvqdfUDooKYnJNCTBlxl6JV1z4XNPSXPAlZRJ
xYcbqI9X3JH9Q6Gdp7CALDokyYU2XPXJw7GckVicsQecvbIymQAG45k4624eoYt6ZfY0IP+t/c7Z
5VFf7Cb2QRRMt9rm9GofUXP6Pzyh4lfV+GP1cG2UCcdEmPhnF4oxWf2gAkdcsQO/OjU3Pq+P3tIl
gNTWwoHZZGh4IE29DuI8J3bZrSImAIRBpuoeLRXqbEWkxkb3+/ef4cct7++foaJAB8XEt01B2hNC
16+fYd6FFhXGur2OlU0aakxJEyxFmX76HNQETxrXOGEVKVDOYoyeaLeAW7DfeUt29uPxrex0YHTf
yFVnGfa58XCJxP1gnnTgn2dG8Gv8z9nesSpj58AH2KUtOe2uj/S2AMjZO+ZttF9Hxb6Ie06s5koR
WXK7d6PIcCoGq8KY4z3pVWp4HWxMU1btdU28K6pJBDkt5sB2efhtpsHmUNm4fCuu6xHDmNiPdsJF
5iwcCAdRiK/JJhwEi8PeMPjSD2n6nqS6P5HyqjKWZs4eJWd16yXNoQzCtGlgTlDF7Ydjs47o4F63
IbYFIFHYR+MyJJMbZ39af33nV33F8bgumXyhbFY1C0LX7wyz2Ut9pkg6vBrpWD7AlhnwY2XuWhbo
qaVxkrL+jvbb7dxZe8cuie98u4g+dbPRHEeZZusIBXBq6CfVvUOiyZ3JHVUYTTl6w85g5AgASGO2
DAkiJkz92pC7Dff9rfZH86FsScHR2fVois9dV4sbGIlnKBjmuS8fEz+9mIOBAJ915j5Kmm9xr/YU
jBO68qSMbuNgqae8M+5SaP2kqawB4xCSczztcCFzOSrj/lxofqQB1GtQJiG+1BB9dhlx9QnDzSkD
mEZx8RxxShqUfyCrA1ORAXYVoVAoTxd7s6nMTc5Ufd0W7niyVTqd/vqd1V+n3Llzg8mGMx0EJxG3
W5Pk10VSg5GXgJ5so8H6muGmhNtEzB5fGrZegT3duvnzGFz12lb9qVAjLNs6eRWj2xwSJl8TfWrb
OWVQ18yaJy2b2320qFy1G1/CyKO5O6mGvZsQi+evtRm+J+0G5ZfLGKnuVSqnZGOWOLcmDr24Ed50
I8SxLzogzC3gZzVZd0NNXN+vBAQ0cOqwVg7wzKcrJMmQeuA+eQDOkSA1+WprTzn2Y4BJRRPxc0rn
gQjayYD6eMnWeR82F7wQNRYquHCDTbBvcgnxQDAjFy083LnDjwSsyL05tg+wXgE0eAEGkF6v1Wz0
V2fk6eHjzfaIWN9FQqC1ibRxnscaR645PGCysx+HLvnS2vM7SDBoGikMAF3oFXuGwFaoHp0meGuS
aH7EqrSjYjneoBpCE3MMbAgM0mrcMDtZtt8dhs/HySV71Qye+QnHP84wc77nY4Mv4AGN9bU42NIO
18skMDZwzScVURYzzar7TKvHiq/KgaxMd6agqCmDvV9EJ6/sIbPTPuM3bQJtT1Mepex2h62Hgj8d
tw9Zg6cg75sjlVb5vUXhOXJGjXmD/davfWaQ7Zifg6o99zE6p+kg27mE7jeVZRCo4sdSNKVdvMwC
wOFFFfGSxfYuSwaEY94wJcEYiZjG4zAfXXI3D2P2s8z4gk2Z6x+EWS/OnXPAkasM2+msbYwcvXTU
JrYgLJJtM1IWZKp/DVvdd2ro92OzeBPSprlEc9henAzn90xbwzahEvKeDABTbeng+MWdPHnm9OLw
p5CGzQJpwPBeJ4Off5gPTEuXDg/HfCQrZj7qWY+PyVEWIEDjjjfpgxLS59AEcr/CbRPF4UM1ULRZ
OvKUR+q9D9J4K935EHeTumBWJmpaAmUPpCFh4s7Mm1272lqN/00zISCf+mUKPGM/JC1BKVghgAl5
8rcgrAC9w8rb+dF/sHcey60rW7b9lYrq4waQMAk0qkMLWlFe2h2EtA289/j6GoDOuzp141VVvP7r
MEiJlCGBxMq15hyz+S2baLg6840sVCQeNk0h9nby5BE6se+G5BdSMf82NT0KJeHdcjQGCqPnpzyr
L6ij/Eto6aiFnapztaB6AdcgHi1fnAJlnK6hCjTftJC242ZUOGw/w2n6Rey73OcTeaVa43TnqdAw
RbFSakQfnQrzOSjYC8WIzBjRaSvDmeRtqWX8KLyrByW8erK6+oEXuH6RelB8YJXTyqC+6zAWshBY
26Du8iNTyHVpefLW5sOPEqhcUg7BoxGjuzCteZo5vZkB8ui0lM5KQya+KTuZP/XGHXiaFcuXBjwC
g3pbRG4tTBiSQe3tZNxtdIt8zMayeFlHXzfolN9Bo+mHtkK5gMhhVTvMdjVNPCvBhM7TBs89hgRI
wPGYM8q+77J75/F+EDBrv9Kd5pyn79gnsRBnl+/YEQgHm7TNRQlk4vRWt4vY6OuxGiAvD+vZLIXk
qPxn5BNwSQxvtdwNCm9rO+fPfN9UzlENC/PwlSo2sMpu0dv+WpLGDJ26iFEnLhFTjsdwvpH+NB69
Atm2JTq3RKK76DdA8HR7IWDE+8q4JVnu4+vLYL2INY33xRzJXc03C/ezJX6Vjgko6aQEzpzSEZds
6UnJJomTIEtYzcvNl+ZiDvhqkuCnlfbw+BMg5zjQiOfES7Prs+QZ7edzZbXV3u4YNMJ3SrYLFjgZ
EYPrBHpv9E4LTzLjZJkg561gaz6iNYGIK9KEUuiYtYN56Ga08qKbWG7+5eHUR9lmUkjxkk4dMdzF
XN3V2QsmzIziAKnhcjNJuLzfD6tRMVyU1thv/0/qG9fiv8ej+T3YHtyJfDsip5VEVebIErP5oD1G
mLoPSsMlWSZS2fcs9sioyNQNhLNprXjaAwZ/0qByIoBt600Xjzc1jKqNAhmjwsa5lbD1C+uCWY94
CNWEuyc7vKi21a+acirXhl96m8GwCP0pe3WT9P3a7qP8mjhPTVPBYmDQvVVE8tE79R5AjomQHXls
28UQifpiB/NUWQUF1PMAAUk9gq7CvJet+hK+qKRfcUQi90dxlA9HxJtQYV7sB+xwCQg7VBEz78Z3
iV42kEqiCKfEOdvxSOgDHlq75NpPqGHphtkHqIcd0afthrAYZHlkR60Vxl7ExCx79dm7oTxaZhij
CEE4UfkFcExNdutRr0+0htxsRhQCYHfiWaf7V6IXl6+D4wPlXr4UzUlDy/OWe8vXvp/79dr/9tvf
P8EMaA42nRKs//V3pkvo4fevKUo13DvjcPrbz46X54iyS/ZaJo/FiNTs6y9eXlfMVRF81d9VDdwH
ETD/Ss7yhDwZ24qHe8v9+i3ff/337/v6Z/xCUPNjjPcJbTMrQmmQpu+iiDOEweYcI8sGyc6bX/gH
9sow4wWRLG6Eg84cZiDSgOVmEqgs20jV12bUsOCP2k6MgDQyzUaC6aDztM2Y7aUp1ZNqgV6MnY4d
hyFohhXiZxCF1iFUA/OYkYh1jHsTKVlmOupOaYJH5Iycycu3l5uWfRACQCdmrlggscl0YtyW73AV
NMEIR6cKytl+ed7ypeVmeZiaGbgOk2i5+YcsXzcT+697RYLsi+RgyEnzD1peQCWfIGtj8pAWo+2a
HsEpttIcSLWbjmbFxdNT1Fqsk0lZ2+kECO3N74mQT8mmof2ESN43m2m93M1SBYpNvYjFli8sN72l
FiD4Z4FXDo+VEE7dAV7MFWC5gVj5173l4ZKnhPyJQ/f7OQTg/P05369bnv39cLk3+DUBybXNGtOr
wG5bKWgiiPmUiA2y1+aa/cknhXwnFij6EvX0fQO0i1CZ78fjnAn13z5cvvGdGLU89MfAHtf/80so
B4C4a8g/g5Zex9ez0zR3/ro76QN/xffvrsO4QTSbHkyDtLJAeC6hlhDdl9/y/bTvX6qE6JS/H/7f
nrdMw75f+7d/fPnOv7ykd5ilgxFz9OIGAJSG49cvH1qpa8B757cJyXvdPKrzXS+N09Rd3pki7rLU
nVSJxlea7vKZfX+iy0OnEWzA0iVT7ev+8uXvpy73lo+XIDF/oskyv6DrNOxqGWr6vY4KsVMFdX8/
OcUW1tamZCPezstcNfYmxN35CBgmEdVvDONh5i+Lj1WxO9JmuOxQ18Q4IimPZyJvhoz366aqbUG+
2z8fe6YPQq4OiPzWLMT7k8kOY/7R8w8NZiWiKTSfvoR3SpQUeZVSwUDD2L+8q8vnUlH47kSZP6HE
6Q4YEvKjmD/gqXlOyHRb3sB/efuXr/3tIyqWw/TrXf++68UFh03Ytj/s1v8plZAplhnmpzHHyz21
Np6dUmb37eCdBk8BKDCZw0NO8hz2VXZcKh5uBSN3GBFbjw20RRDKDNOI+3grEe5sC0y6yMrbDCMS
m81ITNWFEcRlKEX5at4Uy9PPdnbvaaZ/iJ3x4EMQBKQK9rANtM9pxsGWufpkQgQ4iObaxmp1clLj
vrQr4dJo+Qx3YW2OV0PGydZgCeaax5SoLqttLkoYUW3wBEFLUiIYT1FfRrib7M+cxWrVJsiwwh43
vxJyrR9C5wfp6to1b3tSSQ3dO6ijckKaR2vMUn84gY1gX0ST29jaO3TFaTsCbmhFqiDyahBITTgJ
2wwek+oNWFLY0CvG+BFOw48M0ikqKTpQqsrmiQmToDZwrF1Vx+zw8f6uIPINB0cbfqIIBHedKg4R
GbV/I0cmwHSQGdV95I8vppXjLc7kr8xLxx1ODQc6Bq5lqToPZeaHD2DByn3RRc9dajRbhsNYg0fA
n/qYoxYnl+9DdDTMCCb29zUZXD0nw52f060KYfbsyjC/OJH6ao5YzrTMg2CQDqi81eqajTaIjir7
SSpjdukKIrWSLHLpg95YkMqTMVkknoXJNUKSd0is+B75TvrUdr5OWWR8DmJUX6rEVXUzP+WKlDvi
anPkg+O+tfChN8QdHzzbh0kZcymMSudY6/QM+Dx+TlK/4htGaobhPUNsuGM69AcUBFNmFfSuWs8Z
MiWe62PKHAhfvZ292NA5Ff1pqCv7I/Fx+PmiFS65gwnQ/XXRDO05tlgUTK0ub6Ie2xVeKZyRmnMu
c5RQjTJQZ3sTxI8ORHpbulIbxocwqFyzRcFHxvY9gldaKPrIjDK145M/219lErHR40Kn2PI6GVgj
sG4haslgUROm0jb3TRvFm7Yz7HPSFS9w+bSDAdew7LwEEDQ9RNUEUlh5APfsDm/K0Cs/WjeJjftx
iJ1zEqQtGtmgO4Xap4Jddk3WssnV1cf5M+GB9KzSPAAw2ju3DtWisBWWi+Lq0MTeeqDgfqWOH14j
R3thfkMFyw59p6Gx5OzOr2SZ7DBHQ6pMq4yoUuBkxYwq+JgYOb80zqeAmzKGmXevhcYPvTSGGy4V
ssPG8cIIL72aMmIRc9TuUOUDTM28fqmGynwUZXxJRBWda3X4CYoEMlEbWBfYXD3JPcyRHKhNE8P1
J1tJtr0aDZisIUpmdf7S63ZxYH96QBSh7kN9OC+6Jhl2h4K5CYTQ6kT+trNdcNgjbzDZQYbiJuP0
HJFa8xQPq8gTwy3Wd77l1/c2Ttkqt45KaCa0ipmKEqVKiQSBFB7AsK+wL+4Z2gxrik0fBoCPHj6w
8n2eMD8os9E/4WZcwx0B28R1tYobc4PLwTg1k/M6dDBw0FDiQhItTKWJHuGokoume4Z+oo4a1lkq
IlcrdQAIEnoyOTFmGuGc5C9nt6+g5WrelLyXKwF084L55Dda7TdyfXY8JdvpwuPoVtviVA5t+4D0
4FFUgn4CDzfeVOhMWxQgWPLTSSaUyoV9bQOoLKNU3lUsOFcgbyHyKrEudCs8xsmUQiuyfwo1x/pd
PzX+aO/8Qrq5OQF/L95ypbpaZjXsVY9ZqzO8q02sgYyKx23kVB50LWDo+m81OvSaU31ob8LLposS
KNuqOhRABJ7C8Ucodf2Qd8YPMlQtFy/HQwNZwYQz7GL2RGOa081NSfNiL/tEWCT0WzlWh3R8sMNS
3XaDZWGoy6bHvqPDCBB6nekWumd2rYkVKc8awT1SQtGMxFOg2zPLrTqbJWRvJg9yPcfbQhQG7zH6
6iEPqh3C/tfJAJkPCKK5mh0BHXkOL9mRjyQEVCgHGxr9wbAZwObuFUjpqLilv4/oR60sMuyysJ/Z
O8rFbDdG0xaPorZpaelQsts+3dih1p7T6TPvx+repl3Xiv6RUs7a9kwPBuh4b3odX3Q9Odd6FDw6
vhXs8dyWR9JnCtD/ffCs6F53L0FmhJOD/GeysEyOP0OBzlupLcziJc6SJuagpRuZMY2FOSjlMK6r
DrG1X8TF/dhwTbMTMhPaedDHCTHj+e67xoDzNH/F0/3qpA/ZbyzhiWsZLWyX3AKsQSSjYSruVFND
iSkMNrXHCUMuLiATfo8RdcXFjwaogmbPeQGzgtZwHD2PDZhNtLjk0aXRXeO1FYd1ysTDqbgZsrsB
2u+xCpNqyzGxri1xamsuDKBQMRI24y/LbK4jwQ0rfww/FLWSBz+bl+2UXvSYGZzfFJWUXpWzSxpY
wu2I6KEl2ZAa6iatZn/U1dw8DLYy6+hL8ghVQyH9DwK8YfzJwK69FGZ0jCHtIRRJwocaeTE4EX+v
5tF0C5z4Qw/G/FJ3GWA85tTHBkIqQ0CrNHYRC/2esQtbeUOCasnAvgJ43jR0RYV16HKrf6a1wuGr
NNOqMvV1roNSti1rrpX6D5rz6j6J2MLbmKIu+IkQD00kfQ/xcK36ex8ssq5Ph553YTdq01tgVXhy
VDyUsYIxg54/1nCDlqnHO4O1WT43oHrWqmJWWBMgukI5ecUW4THRA3Mb9KIGqTHSmsPFvCu8AABG
HawnKtU3w0ieu9mSJAAxO17ZbMawt6gHhqfYzATiMiPe9STQDhXdT+SrxTpSdEnQXeL2+mjvaQvT
XEGcrVofDO+0qwpGlzdSJ2zjXc9qDYeN/9uvmMzlzJnuB/JQnLIJztK5DbhAcYChj/c5lAmM73Co
sPxTwnBUjNMdhJDo6LBX7htZ300ayROWP7wACY7pIE/hk2e1Fx89/ro0RzLyRgcfvuHqkfMrLAeE
3h2na4OAaBvJGgRPU22GUd9GtSFfVeMPVV3iOqKXm8zMOFxaMI+Dge9UqL90JaSR7FivXL0I5Bzl
RjPQVRUQIoIpnT4CHzpWG00Zxwdm3gEuzomAlWpViFLZO1ILVgowj0MN3bvQ1Re1zD4l2dJOSLqC
F2oQOoxJoc3mtefJD5xzAQResyR1PeqRbZi0IRAJdhqgotozW3GwKfJeqefKy0tcolXiPUEB91OZ
VTijaJeoU8iUTSvy2SVa7ICEbHBHtbSFrWAVpD0CiChmo4wI+d3xkx821sSVmVglacrdpu8H/6Q2
Y0DGQa+6kPwc2Er6zc5S+2Zm/d6TdDCSPjwxEnRpZdNXMab30sF2VLIY1IxjNlpLGy7XAQOgbfOO
4FIfIjQza8z9jVsqNdWyFScHhlW8emBgl1DsB4mOP8sRZ0QJ9IsN/FPRcyFB1TYqQvhGqgiRHPtW
DM54jIX6PqRJsUk0LiiSoSo4N9IcqOlrLnxuIYdfpandDeOu6C3W6lQScUuoDSrQO6HRbNHK7BBP
Ml7D492EqSlv8IbeCy0+hW2h7FVNEGM7STBaTN/2dc+fQ1kVoYloukOgpQ/RSHImIXn4vBX7DwWP
flIqUJrA+Sfwdv3B4tp2B0XzUJU9VUU3u6fs4cOqGcAYShs+m2p8lxr1cRg8yibYh7uwKuNt3JDc
nesmJ73RILq3rlmgw0iLf5jFKH8DW/8w8vdQV4cHK1LvklZ/z5GW3kmneIVnoB0bYZABXdQj9Wbv
MQU0TVfR2lMeA48jlh1McKalcGrYAXNhQW7ZpVe0WMdg/pmp2SRrsbZKR3vqEtIbFS9l0jbZkGtM
Rl+q/RCz/iYjzKYkxxsQgfhit1Kme7XoxF4zBhsfx/SH3vhDEGS8WTkYVAn9wCqs0Z187T3vvQvl
UX20dWuPy2+6qiFqg2q4dfEZlPZ7afTaTQROsdLKstiYeT7dDXwSq0KvPMKP6ePr7SrHzbb3xuY2
NnZ7ICnqmBuPFibUi9Y05nrwtfwCSPY+wcAa51Z4cbxkXBeopnaJhlPYwbcvbTvYL/JMP0zE1lCC
ZMf6uqZfUjPkmAkJA3AyMHAAc+diPFaG62cH/4z5sL9a5CVpQH6RqsprP9Y/NczJoM+tM4ndLkBa
rNikgK15F0ZGwOQP6FBUlmMcmewm9lPodmH/BxniPtBKXhsbTPsZ1qwGUvPIxaWmVI1T2Sa/cQxM
G2Q4mKQZHR9JTKTdmGoPOMxfAls5M6XJr6R0KQVCTZsm5A1BNHCZkqv7chMjdr2U6fjax7J1qfxS
AHKmm9ol+zNoGRgsUSIldrMOjDGFmm4+1cBnm/itrgykkg5wPs8qPLA3IAj7nj3IMnbKBTmWvadf
Iq98+as1kCj6wY+VU84XcYbxvG43IjedzMI5Z+xHVhEb503MxcaNHfsXE3/gsFZ7Kuv4voxj7eRH
BGl70XgadaIDPBVMgAGHc+2V0P61QXkw+vE3++vahSv8KQbg/pGSBW4f5DBUFTbupvnGgM8+2HHg
IMhVf+UT0EU5ZcoOQ2V9atsAZKADmR5uOBMxOE1MVbyNKghmjAyMnplBXyinB29U4D+MHuRGAhyc
bJFRHPAZx/T2wY3o+QgOXWKMy8mS39ZZ3q3xqvZw2bkWpJxca9o2ySnDeETg9nSzZpboLLQhE6Q+
ZrBQVqBCECNtM9RX27qD9yk7/dXMf0Gh3Mox7wFqgt6mDn/lmKlPtf7Q0NW4j2PnSuZDwTKpYtUN
1OE2EvHdNIG15jCFWuTPhEdHOdFfwIYTZaA4ybrxU921VNhMbAmD3VQ4lAgeeDVB5/UoIsyYXVJT
zyPr2mGemcOowteanuLFrLBmmn5DjLWAzkWigLMPRrBz6DD7vYLbbl2g+j3xw0YyQtZyLEfXqi3U
bhXGJ2VukCRN/asIO+8yFP5N+ERUzNllQ6MhUc5U7cR1l5zfAp5zyG5RRRh4zAyNkhSHuesgFNzq
MkEnZ7Zbpr7lNU3yct/EerQmzCTdKno0bHJgn0ojHowx+p33zFihDwz72DPbs5MSB20yKFtnjfZH
qVX9Iuc8jbYq7/q+JzA9DI8TR+l6gAzlZhbjc8LT6rvAS4D4pW5c58G5YOSFEJJ4JeZDwxGiRX8L
puho0Z9RAth8tfVcFMrF0oFyGhIMZuuQ9D1o46WJHGPVpDNayU/ulLKC6D1vSHxiu67p1L5ObbCT
wCF+9Z2EJuCQUmG04pk0g5XTWOFTV+GzMzp5LWtR/nDSblcZyU8hHJ/9uHgsTSV0wX+oe2ILQ7IE
2/S+tahIGuLjPKXwtrkz1VTmBSySJLshv9RJtuBsSPDiUozVq6ixyLeg97BGrRNt0FLOW4YevhYj
z1ogoJMd4IISUVQutoSCem5VkHWns6ah+CabtsGXdViKkmgG2PkFewTGl0zai8otA8SXU4jYEQvg
kw5ekNlsozMw8MR2iPBiNACJZlKR8OyNIVqyePBeM8HAwlA3Rsj8TgVbh+WprHiP4+Kti2Pl2Joi
etB0hiHQ+SB/rxdLgm2zeQGqYnG+kmTV+f4nYILu6EQPPsvFNVCyP+lMDtTZktsx5v8aThhpiqhg
6zZj3Z8SlUyuEGZrFCm7LgmPfgSHXGZ9dLZH/FNQ2wl7hKwfaNPerp+VKCO83A6VAyN4HTXTJAmM
IOnVzpnZ16khj3EzUqbFrdg1eagxcDJ2nNEkO1SLX27TeMqdwLYed0Te+ZHantTYxnuLuim5+c0Q
HIp5me1HA7+jDIp93pWPEKJtROAXnRG+i86btPXM2H3119T6IXKoqKvCGe/Gie0C7IMIlK/3OhYV
OC1h+ysjKeo7vb9xNQrPhMC8LS2YRPYGqDOhufG7nicaM1wEQfm64XSbjIEhYqduaj9u9zhTw8qE
6hT2xi0D62+mRO8kXr+tIxWlftKbazJ4Hs06U9ZlbiKbKEeqg9y578AQHuICeJ2vD6SSx8Uf/u17
vQyf08wXG7IEHCh6ML7xtVEcdXRR4PwD7/PUH40WRRvbj1VktyS4p/rAsRMQCila9RiOxg4yYLgv
EHHDds6mnRJ4pSskwHpGcMzB9SJ5EFrybHfhgzOQpeH74bA1OgoQmHfpTnVycpdScqpr2ULtXmcq
yTPeeDQL/XeLxOKspeYGMyV4AQf1BKwnDjfHAs+bKsPKh9+CMsUmJzCEzly2WrzGq0OB0aFxrAvz
Auc3PUWxd9dn6s6eM2D64iKmwD7rKX2kNMJ9YkbTr1ipoBmq0GqaagJBG4ZQltr89yKG9wb7MwM2
/rqiV0UoiGl7e5V/ckuqUX1n9cAFxTP8h/7PpOdr8D5U07rRuZ32ScEV3jWToO9XDclFt/NbZ4U0
G/NE30U58tSYsxkUaA9No60ueW+fTRCPD/RtsQiHltxQTT03EeEZjJtRD4SmfUZw9G4URXUqfTwS
rSTfr0o8sYrqBERIWaN4sAdGH5V1tjxrPeL+vjJhP3ldqzLZdpjtO37wNDKSQKqLPiQDFh2VlrlB
Vdy6taqdp6QwLh6y6AGnijE+jklQkMBQ+TvaSlhR59Zj5JPlpDQ3EQ906ZUxRgAavZVshs+Rpbx0
ZL3tbTSfJz8u7upwFi86pMzpDD1JQ/aPvfNQyEielptEMTjmauAV0sPzHBu/A/aoCIdRz616Av3G
6EqVnJ8zHNKvcUj0uRdsCRTA3gD+6akwnMeEE+Hk187Wqp35rI5pxg0JLa44aO5QwtV3EOf3jqcm
rPFbFbAdjV59K53kT+l0KhFpExeyurjocaqeGLI0h3EiUzHIA/JM0fxrsXIukzYhOSqK76tPAdgt
C/P4mauzds5m43lV7g1FRI8qyvptqo2MbDRjvDikMylTXO+HOrERcVQECs69Ba16YIuiuGqPmXoK
URgGzD9Uuwpd9dcQKMGp7NiCxrrymDU8Eq25ARzkXMY0Pih5KJHcV+URA9yPsGzhxhNHtcttaIa9
TZeXLNFVT1ErjWxw8TjQwwoEzHTY3DRsQneM0pwlSPNcFCIzwwUQ6Zja9rojAWTDZsTaEMHzqNb6
sO+1YNcEunzI5LjXgRfpua1d0yz+0UyzgqYr6ocsJiel73Nkp210KoDqHKKMRqEW5s0Jc/0+H4R6
F2T5C28BLL+JEnzUtZse8O9nTCjXiNtT8lMjaw3Jh0gwKuI9Gl2APHRYAozRTmmJ85gon0rfWQSV
ErQmiXjZFeFL4xPmEniQC5oMyDDaDDLICFrzk645JzYJB97Qptcq/nTybBPaIv2IWE2hCRIJ09v+
pYibfpsJPdoRiMNqZIX5xhwwcSi9pr+ZHc3huHklBcODHas8QY4qrrXPuiUNDTgKnvtgcKb7CoP/
zRv+ZAzlt13A7oKWz3gjQiO6G+CCwqV/q9SiPuZYxpDmAYHqwgn8oJeRm5gV8ARN9g+CEAS4HBdM
R+bFcuKfqV8mh5xwtjuG/Y8494H7OE51HXp438QK0Ax65JrjgBhL5akGqlQHyUrBpel2zgN97/hR
Uf4Ajs33zAy7NbgH7aEv4jNWeLSTgNLXBPxwtIFtOluxfhcZeX7naDK9JvXz1wPRcVwgyV4rIYI9
y8jkSdERrCpZb2xDw+BNZnP2FIqeg0Tzu7PemM2qa0E89ASWuYvhQvRUUKJmR8moKN/bKvJGUCHn
smNkJXwlP/dj9Nr2dPJUTb3lDKxq8JPbZCjJ7Sm0ik6UcJedIv8Cqt9IISeh4fOFVX2yzQaBrSXB
fUztWqowIYOQ5t0QDTfTZ8fpe/dVoA13/AVU6NBzk16AnfTyYYvmd5/zYa2pabQN6tDZf19+TCn8
qqFFwlH6GozSKn735/VESi9bl2CB/BqwhdqNg4uOUdlQRkoXhCMt4PbL1M/cQIHVRNJqOY8dgUlo
LgiK2jGI6yKu8Q6lYusiiYlWRcvFgWaXPQfxOausITK+q/OTCtyM/JGUkXqNJotMR8iSp9IEd10X
yOa6Dr8Z/xOaxAaOdEtDzh+0ly5nW1b2P2lgxu4IfGbn9am91opKroxwjmsVjX4ueu1UqFN0xz65
YCsQmmuIXMwisgLEcOrTcG1M7YmGfkenmx6ra8p+fDIiI7onYpWGMvA8VY6PfW3yDDW00ZWRDVnM
5Vmobb1JnGkuYDSKyBYc89HeeBVAlAILzUi01ROIM3TS0SU1BPYanTZvbxe/LT02Dgp18TXrizWN
uE2shNYPHY+iBF4lW71hYWrtkzYvnqlUW1flc5vxphXhyhR/WryporByRS7p36WnDjUfLtrARCM9
2ydDWoQMsY65X0a3jn7G2hpo9dZNRFIWcgtmmta1sCEpTmy4zpUlMPj/GHyreeHDgmpr98wrZiSW
3qIusIjx0NTA2AWGeO70/NMQZX/17L1IicpITDZAhedQf1jpA2hb5pzVPjPb4l1IZQsj4TEVhB0q
rdXcphwiSxmtczNI1stkLk441Qutt91GgyNqiNDngiO0qzCikxyfWgMB+ozVZIFMxrs8GBBoWf37
TAo4R463EbnuKuyUzonxqSDH3fstGdFAVLhstgQjO7B9x8QKTk2usnJosfeSBs3WDnCPZORerggX
BAJWhXRDfBTMyUQETD3qxT5LacE2/Qm0YH978hErnUwDem30QulUbhAzR1yQK3XbWpNrezqjkjnj
j6CrZ6TSw8kxhv40MikaalOHBhSXlwrByt6xp0+p+9lJFXp6Wu7lZpGd+lh78cuq2Hl6Ph19g5vl
3jAR4TcoI72kpL4AUNxaoNn3jYlOoNK8cS0EsjE79FFOt/lDj32ISfLC1w2QJUaOusplNvNkJu1p
rHxCcyU29sq3jdWQBcOlYny/2MsyxquPU/QTIdZdaXjWe81+JXC09wIC+IMOy/wk+xLze092jaWA
R41nU0FIM7DOp4uAlXGvRz+QJZqPjUHgHHR4BGYt6SszSA1qdC5ACjV/8jB9C6j894wf6OqiXuei
PMkdte2RkRn1VxoeQ394M9SUZQ58yMaxdTaRafSx6CMGf6Q9TeryZTII4kApjbq8z2hk2jb5uwER
YU4Et5p0iy1tqI+WPyRCq7dCTfFHa0ywMSancaVas16lOXWG8ZKSe488z9nAwfwZhVO61zxlAwlf
O5qTeTE8O9/UDe5dB9pMFI5sDG2gk4yLTrAvz0VL6mVfYOM1cqpuvWmxazj5kZnxs4/v/UiZZG0a
ptx0T7k6NHJafUlkK3ENi1HfhaAYj5liF4wDAa4mLazgAh/dFn23vatTuidhryvkmQfMkounNrHL
LbFuLKhAXdeoAsJ1lJG3EAPmXtUDDfPK0Wgr9o2HLT0myCttO0Z7uXkfhlaCPtU8RBc0kN6zXpMm
aLLarx0LRQqAYXqj2fiBNLx0VfPoK4p1oZVF2S+UbVir4tlO5O+0RBfFdXOfMnlJW1h5cFNhSkf0
dCeT/D44ei7CKoBrSBCygMZz2ZHapqqukn5idMn3HVHPAQ3ZFc6S2q1ra1tb/T5uI/mzd+u82vZT
3z7korqzg77aVKaSwESk/wlYwiKHpINfFjsalbbQ7squuUQGtuU0f0tpqa2wE0nWF+AyopANjHt2
eRLRxOgQfOg6SYPvxZLDboCdiKIvTS5D1v4cIo2+pBcf9FE+lxojklLGymowItzi0Fq3TWHSUGVc
SSUNacR2tAsblPuKzM9jYVbvvq6S0Fent8YUOz3s/UttazeI22RYq4lH7FA6HgMfQ72aqczDmD+x
/5s1j/1VMaR6qKb6YfETNIb2hMAzPzTEkF4NI3qMwJu6U2a9AGRK2FrLEZeK8svsuVKkQVxuldFx
sNv02PSYOq2thGC/rGk+/KpsTmE3zgJS8/8TUX5nDS6Y/42IYgHr+ZuFcfPRfPzb1yuvH+nv//j3
1991828vYeWHWfjxX6AoX6/8C4oi5T+kMHXNBlVkLQSSf0JRbPEPy9QNDdudYQmegK0VF00T/Me/
G+o/LJ16UaLatXSwGtjR/yKj6PIfmmNbTBQsEIDCsZz/FzIKixpUlr+ZZ03oTxboFcPEusz4EgjP
fzVe+qPRo+Pyg0OvmNHOFvnvtCvrtehxk8imOvWIE7bJDFQr2/ajae2UBuc5ppS50tTH13PoW2j1
mU+EAUCHjPz3jWmkyqru5+AzycLu3bUzcp2KwyORHERzXBYe82/E+r3vXUKLhsoEwpfes878Foiz
sm5FFW+RbL/2H1ghCtqzpdy0XJDboidxtXAZZlI5YUPZqRa980bfTGV5qGwg8saMk+9msLyAMC9n
1DxEUEbXuDY1KPTdjKPvYSgzA+SyEJR36Yys17i2JjDsgzlCaIbaOwF4+wzOvZIDvEfrYG018QjP
NdzocdsxR+jYi+jTbbBwE6QjwSAlzpq5IsMHOoJ6ZtvlbAcdzDQKnXRvkGYNeUFRt0kYt8yJh8e4
BdMPlKYCx7sasxJYdEsUeWJQ8eLl4irPsjvj/gtoSC34f2ssLlU/gCAJKd+tkn0sKW7Riml/ybin
BJTdYgcI22gXBAVkWUB/wX9yd2a7cWNptn6VQt/TIDdnoLuAE3OE5lnWDREazHme+fTn25Kd6XBm
ZVVXGCijgSrDadlUiNzcw/+vtT4kTbd651ynZEbXeZJvgToTtGDWUH7JB9ykhbgtJLpAhWGgwTIY
m/reCvork5CLDtZBCfPAAj2SVQTQhg+TCGch/rRSVU76wr2w2CZ0rXun2sXeYLnuyHKcxeRNo0vB
cNE4W/lVPUEx0cBh8OEx9BLMYEpEQyNhDapmnDdyc0qMZ025OUeOQmxmKCEPSkDhEepDL/EPEKF3
fm4mJ45KCbpTH8O8jk+nUXAeG7Qc7Q1BOSWd7hBcF4UBuI4ubbV11E3FQnfQ6Xga8pDIICC4CxAR
13Tacgb4rCGeY66WtnnShkn5iDUbT85JQ4uZAeejD+b0tyi0qScIJZ1DzPOhGRKE4gwvVPNviXcr
VppRwejx4zNRBRF9K/26gLNB3+FKJO5FHgMfK/snw0/sZaVRgiqC6qJK1NkQglKiIQsvj02GGdJH
baXURYHmFVYaW0C4jKccWMjwCwOMPdoa4/7EnSx3tYSFGFBDQD+MC2yMJGLq9J9a31umbfsA+A/Q
EQbXZSv5I3BIhASSqIT8zorKO/Uq0ssF0BIbeklArBtgjLVWA4XODR3NBqSTRCJPtBBodG0g6ZvY
djUEy5eFfd4YaQk4ERJ20/R3wS3+agpF104qyCkzMgArxfQaNQQQ0Sp4NZ3y3PPGlSuhLJpRp0ju
ALXgCyIhTsJbwNZKYMmlJ7EurgS8dBL10sB8obHJa/MYRdelCZGj7YtFZ4twSX7PuV1F5Sr0QdWP
D7AJ32jQgwzqzPPSGratViG4hRxDlWdcTbGWU/3oLscxSBYtZ+h550Df4Yy3iPp2g+QDCILnXzFV
r1wYN3V34b0jb9yAKyTndpbTl40JaBSFwFppoEvqEEYv/FxP5y6n3FkQqhu13lNuN+davR8o5ixs
1V7Q5tmrCGWXxAHj6COX0fbatQ2AltZC7QO3yDraa9UL+hNCRlPDWCfVtC0F2oikh1Gk6h4Jj653
F6SEJiU3aQBJocEDxB4EpAOH0V2dEXZT5cFbgY1Cc3v9IuwhJSW6TRS81+2GoL+3XT3dBcY9Ybwl
OjbirHtHMjwcGFIDqe0wjYYOFpDjVgCf0AfT6eMc2hfNaeqYb1b0JYSKhNmT9tIIKMmEmESg9axP
6ZmMFidsxVRvgdLWy75+8UO9P0f2C3gpgdtJAxv9IuHvLu5wYt7QmjnBwqWWFdAD0jFYE9LKzFTm
03pgk4lU2/CvLLI0qDs3ypjOixC9eVCF6doDimY1FUA5bFQzg0iS2OaUC09qkGApitrzKjDuUomc
onQHYTyiUkoDx4M+SgQDpGulQQ6gEY5JUPYqIANM1e2WTrl/VwJxcWgKdv16KEhToqsjMaHRyqs8
cZW6KvoXNFMlJY1dTU7GQjOXpvTSKLTsOrhafk+VyIyHYskOm2BC2Et4xm+qhNZU4vrReordJ4tM
7E36hT3rY+QYdJUgedUS6aVtBgn4wvN1kdBtSCyUUgPTS1O0+GnpplYNGkc6DclM9au1bhVw4SRE
LIQmVkqsWELBJTJR7ybhPWsBqQ4xCDJbwsg6qGRdxbKGeuNSl8AyIrxQSGY4Dyn6DRJqZslT/wTn
rJXAMyi3+WkIA63eoLokCRgyGrj77tyGlYbfTD0hpPEmrMGo5RKoprQqvyRA1pTI2gRQ10zoa1rT
3kx2eYdj55bgaJAJ8UOQZ5Canf6BeDkAbsDeoIKNUAJK5LeWTnQ3vNJed7dE3U4YBsno1TmRKEQC
IelxiKa6QnpV9M4cHVZ17vb0E/OJtjgMTkT5k0sSLWgnXRmvvLasdkBaXlvSLGbhUDorXrUnuk7X
bTMqaLUY/24J6L1gYLLn6DcEgTdzFHe7gBTCvKVOmoJ37uFh5XGxaDMXTF7PQcQo3hBSgwmEpFdK
pJ5VUjrSQohD5HOvQpOwMLomOzT/2a6rg8/poN9WrROvOKVe+2xAwoTU1NZ122UAxMFtcwK8YPyh
cjmF28ARjeUorJRxAbSOEoHVndndYyjCjUfC1CItOQZDEDQHUIL4DCglAhcsbYkZlMBBVJABtyW4
6ySMcIRKGEAnxP3CAo8FU2ILLQkwFGV6q8X2g9kOgNSGubUj2svb6IUWLEsK8xvLbdrV5PNA0WdS
bAz3pjL11In9FwLM8Rc68VoX+olV9hz8HO6YqmCC1oV712FStEPHOhVEk8o0C404R5dlzBT3qUQ3
WjAco4Yqa0Iury3xjqYEPSpKd52OzX3SdtMiL4ldztE22jTARt9tTv0B2yvm0rvSBU0yRcxcda/E
Z3mEeMq2p+IsH4x6hgwYAqUqUZQ6TEoTmehioEGym0YMbGFwFWp4DOLC3BddWC21aroKlYLTPHm1
MC+B6TIjlk9WpdySEEbJPwB0Z2BUo1qvAIm0g7Ma9h9ytukqCU30sHpkkpegfUlTqoRY3zmyTg6H
QMG01NvRtqiDZeJIvYL3QPyWu6pEtLJ5zlt2K8mpQ9C9mTHXhb1XrVLJ/mxqhFyODw+UI/K4Kkfa
XlV15ntErU32cxQX/QyuSwGVepbEgrbR0KFCR/qiCPWZ1JAnQ+SQSNE20oQKT7TUpYg5FbhVLjKV
KTrrQSspY3btleUF/NSccODoOpow4gRXAAjSJRIEtpSSippJPqo2QUotQKbaVGzy2iB1gYxRta1o
MKo6Hhf1OqfNcE5Q+9wO2KJLEitdpGBmCjm5R0a5JjHLWyBjV3ttPuTVFYWsUwewqycJr3k34H6Q
1FfC5KOZIUmwrgkTdhg6ZcOM1C4nSYxNjfKBLS97OyQ0c72jVZgV9SWCRDqDGsxZ0ti3haTQxk3j
kHAetWcEBXTIN6HVBkj2HcmvLfg3VA1oS4K2HWytY1sO7TZ85942EHA7ycI1dH0WSzpuIzm5niTm
JgptVQi6FjLoJ1MydYkV0dv7Sq1XSgRzF3/needD4aUWDY9XknmpbW/HDlbv4NIXhsrlYTzBSi+J
voVk+9YjlN9GseOLSJJ/2SeVT2UxmLNML8CWS0KwLlnBlqQGd+CDDTDCk52djTau5pyixqNXRC+d
w240ioeLOujeWr3W55FhEcqfmpcqh41TE2RxBbp4AJMw0z2LOon8EuMvJwx6S2Hyuda7E9VhjCJx
VSB8i+cgOVUwkGLhyMNV0JcPozm+YfO4ptcPGhbUxawdxGl9ZijmOiuzs0xDuJ3XNTzZiG5lTePA
VoNnhAPTjJ3IE/F4Wwed4DBdUgnf1W2x5xR1RSD3fY8rTlVIdxNERyblU6PAdKDzQU1rcq/Tzl+b
HkwDNF2BSgb5RCdtPl1bhXttDv4eCQh3uFpWJhojPA6Lyt97Srt1yT02qTn5HG9sQ6YzJUhRtHbh
EpCAu3CnJvY2TOmWClp4lIkXaJk2lhc8u9rdME3LidNbR+xlgYtds9w7wx7CWb1EznXrje4Lu8/P
dsccQhbhXKF0rp25BmV+SEYRS4ujJpwNMvIjmP5s73JCWZgF5KkrNCYUggOd+tJwfeB4iX1N93+R
BBMMb8KkwQ6SHzNEUFo4b/oAQLhUlKRXhdEsOkvfaeTmL5DTpDOhDBemhWKpry6jSTxmpBBHGBnM
DsOixwyteMsE6b2Kij0364D2E/khzAsDd5PhaJVU0cRVrmr3elltMJ1DZI/NZ4IevDw/I8UDH10Z
37oGGsCiusBicikAJdfWZzhPSyXOTyV6w64VsvKN5VQU4eljFQK903T1NsjgekXMytrWy4XF5G0g
NDeeyry4pTR/hgUf299SKAqbQgkFRwrrmuz3SvMZyh8gLMjdcTDQgTQo8JXWCjUaQq9gXkBXisuB
pYCNALb8kq2dFZEyKtolNvAX1xyuEg8guAeWTxX2pUkdF0jbbRiKeZlSNJCPJguzuemmq7TauAGH
d7pXiihvopyqsNbDUBlIxyDFeV4o6W7Ixa5x9Q3+Dwze4sGZaLREzO09K5K856ANb6vcWEtRg1ec
dX2xt/EzZYLUrc6yZrlpL5CwX2ITwRdGfGrdLeHFA1CHpWmYd2wr7qleJGyjOD0jYrmMrW5F8gfQ
0s4wb64LILsnGYrf5dDEhGam8WVMJshWJ/Esp+JyBh9CPQ3NGpvDBKS5Y9IoIFj1E+coovpnDo8p
US3AuO4ssuqCg7JSznWnW7P2E3yvN2ehr14MLRUAFq4I8Qpy4l65CXOBqob2leKh/GlgK3ICRDyL
OwPtvHeS+cPpFNvMu2irqrx8A9DMTm5Ebss7NA12clGX9gNqtm6Tc4oILBCWQ1vLhitAk0mZznFM
zKCKbURLsqyqBvuKbV3Y9TMvydOlqtGr8os1lSu2cb5+bgZRu7LPAX5VJduCKBAc5oMz9o7PyCvp
ym/rim1c1LNaWOi754weaKSIiweOaOgxws1U5M9IFZ1tahQduDCtn2tpvwrc+rLwy2DeKPmDZUUn
A7XnmVerz5VCq1ENL0rH8zFTZPnca8xbw3fOWPouOz1SZpZK5tOo3FrkvLd6fy9qSjB5TbVKLdyV
EooL28Ry1ubTE35vqU2iR9cA9/PydsO4XIlKlUYYl75jFp9hFXbOQ187iT0RQD4IlhU+nZ0SE9uN
vXeeE12xTBh3+BzbdVCIJyJY2EQXL0ZH/2CorEWUJ/gFVRu6mK7O8zjf5x6RZn1D18w+jV0ZgeqH
zW0WxlvPjZZBUDUnCRXPhakGOx8Abx84s7CDfmfXMgchhourF/ThPHeNmIpzuwb/OcJ/RFIHTHOC
GHD9qzONUucyjYnN6jttOciURpMjRz7cREFHlyX15mkGAMIR0axhY9MnxKsayrg18TjM0SycgBVz
l03rPdLjm6EFBCgcg99xa0wyla5ttKo/R14Xch6lOBlOecGJ4kva8YK2dslJ0uwegSNxXuhvEqxD
c5QJ7SzMsTDWLqeSPrH1E7earBWxcVfYA7MFfxtBlTTL4BxYD3oTb4TwON1N5oY11Z4lDqKVjj74
BVtxwktYbHubSI/YNDfjYO2qICFLCb6HYXhk19WUN5DfdNdD+5rrPfYouiOs3D3VKv2sbA1nqxFU
vXCNGlNzy74gHU6bgkIlWj3UUtWlPeRrjVLsrB+6YVkqq1grX0yPUmBkRa/TYNlYLYCvsBN9sT3z
LbW1bNUnhJO0jh2ddIV6U7n1RiUGawE567JR/Ss9VOgFd4xq10Ybjnm74JTDXnBo5xqRrrPYjy6L
xHgJawSiTtSd4oc6mzRvFYtKvqJ6uqhs2RMu6GciBt9m4tabsuWEbtXDizZHDXqeqFKGEzVXSa7f
tkpOcWBU8EsLfUGHfNd09NqR0SCMUSEHkR6MfBVzPKFYVsi+TdXjtZl26txeV15zn9c+9VjfWhZu
lC6NGN2I0GusllRGURDuWszUBFa9KnS5LAm3tiKfFCWzm9YUVDfwIzZYXNKZEsIXs6sBYjo+r4K+
IRsyQvbxSi+xDTvzoHPJzt2W8AoJ3qZ3+FIpkFjIMOjlkenKTUaxs+UvPl24XRAl5gpu2qWOyHkT
RhrinIi9RW7Zuz6ov/6ODu6Erh5lrOspyo4XhRMhZ52F6VD7fP8lDRII7oawdmIsGYDvf9i4Ib1i
nVe9Zs7ctX7YrnQKVttIh1znt9o5BRmQpiVZQkWmBkDVyJixwiLfgbkhzcz30d6gDc53YzbwWx0u
N6EeFYeNSNsYYziuKSeXu2LqNn2aopbJsmKny6Se99/1DZsaZ9wmBQsYLfltm1+lWhnSlwSP6vUu
R5H37x7gDN0VxBlZWe4mC2ryDjJOvu/7h3n/HSXxnMd+8GfsQml3E8xCsg2pdPQmZ71roxCtJmeO
bhFcuKqgEbfE11+CjGMrnZUHXeaADDJeIniPynj/rf0ehFHWYYbcg9CLsGH9ARx3WoYAaxHfmif0
LqM1b16xa4itw73VeQjDWmOuZdzE919a3pplL9T9738kTGfHLhd2u2gpqf3+BZrAX//V+59FY6oh
jWNq//0LfU4DQy/ZzOUF05uM3eEome9+/8WtdPzt7/8dkvlQVgLtmstb4MjotFRAsbZbZUdAa7Mg
TDNeOGl5A082Pcsh8E2dwmraU8AuU+8kRTdAcGwIrbOblloLIB2Rq76osPTQnnbovBJ4TfQKrd85
WcIkN7iKwsQT447yw6s0Y+EnTU69TryKJjd7pIi1FNfKJFhP+/DUxtgDAJ0iLwFXqJo6620SSrMp
sm7LmcA8bcdwXTVOuiyoSinDjfDxaKbsbqlCotYnL53+M+EFOAbIBkvvxqjGUTESdcCgPIkMXTpg
O3isVCDiMbrVvKQ4VYqYAr0dLJmjd6M/yEUAF4QperHMvfbSSFC2qFOw1HKg1EWWrSaClFhv9GhD
05dV1QbfBt96zjSXz6euxZPZqsM8hQObqSMoQK/7XCrpnTogWouoBxHFgdH3inOiPg/Mwt4mXstx
CVcmk6ROP2hNWi6/5GzihP/M2Te5LBQthJqeuDRtEA8a/aLKitdS5Be1eu4bYlPqHFX0cZ3Y1D1T
8z7W4J/Glf6WKtZNxaEad98JupmERnZO6dPwJI0PG7G4w7Q3IoKYpbGzxcdb0Twhl8rvhtt6tHdR
fNsJ1Pm+3l94rQEgDweSG2HBGvER5/cU4znvQxXhKJndjcQV69i55l3bPQWpeym/beGQ8IFxDsYP
rvYghKqbQ2engk8jbnz0ELEiecf6qKY3tPIfDPR2fLkH8KY+Zi0zaz5Vr32lPzb8hGZEYUSG75GS
W38ORmrYubipmtO8DQFz+RraobF+kD/d3KDccBZb1gRVptnbnX/pKmzOc2KZKO0S3kNgXnce+Q4n
N3jYqnlbeOx/Jl6PpJB5sYV6VzbDuhOEFAZh+1r3DdsrzrlUwFkricGWoo+6uRURzDNTTeFhJc5W
IGkOBVrtgEaNVcogxTB9i/HN0jEBOUrIZBQS7hoA0fY4VYAKA8aia+NtIdwXyzenk7qgBqUhw5kT
cdtgGCBizO1L9n0NcbVKUFFxWJstZXr8yiY2CqfDJBFaUO3ZQgP+mqn0MpIcxHFaQZHMJn6EjM6e
vHU0ivR9iRG/05Wn8zTnlIql1J3ZrfmoWP3Cb6wbrY3WdCmNM0ELLuoaaNmCmrenUfD1EDBZyBzl
86jyMFtVQYXHP6/J0nYeukrdM1fqiyzXP3c5kDXD42cuq06in1/iCr0khl1fVPhs+wSZjFfdWkZM
AWG02NjoF35W4EXtAVdRryFtJjKJSKfmbdk5qMsmeh4zRH6ivgqt+osdUwidJrKM0hwaukm6BbBv
dHA0IlSe4kIf/BmmyKcJpdssdx0i9tzTyS2vvVZ/7dMO+wTZxWyoIe42hMcZMgSSL4WhTe5pXL+K
GuGUY9xbIS+pF3a8jvl9ZWsXLoKwFcYQgtdQeCflPYcsHAf07tHlGiQP9FW0dT2yd2OOlGlq3tJR
NxikFH9d0hQXE5nctl1CI0c6G9YdW2fgQuVntZ3KhZl6rKohj8SpTkw7f8CsfW6Adl5QRiCW9KHu
yq0w+otG81dhI70OwjEAK7eoCmEqAnm/jQKzXDlWJbepNO8cxVj7PvaJRimZOCO5d+e05Yr1WFsU
RvDNzJwN1exHJdCx/jgs5icx+u+qsp5KtmC1memspTGMY+e6dK1nx6Zzw7DJ9PZN5NNVUV7aIl+O
BmVA3HRU/PhCZMY0gkvvUQ543KHLNnSXCmF8uqHshhqJbdAaeNPshTJGexCyG9eCpUJA2KK1qMUR
7Xs5elRi2CyIBWTwOxAEeElj5TqNk9Oie1Z8r5o5XYPWSN2OZWSAdff1GXF35x45Ynrdwj6HRolI
PpkRT7nwdGUTW+M5daory7Yu9aS5AmI3yzJrgYHh4v37jk2CojlGZm3BiKvs/Dqo1XwmUCVowMdm
hhoyOol0nLFBYkcUj1A5kzsbpTRdV79GTYDn0G3WuQOUe6CmMhtMimymAAXaXtc27xLCUvygVXbm
Zt61haJTH/tqnRp7GArojU3zBcTlZT/Sta3Ku4hAoroKTkxCx3W324UBs+LgXjpUk3SUdry6uO3p
wu5rgK7KaD81jvPFSZ7VnOA7eme3RI7jrCHLN7M1fK503St1w+TaUxSmwjqom6mvnijjSpFqxDGy
WWdMtEpW7iMfyG3RX1SuCcHVINgIpRnuUrw97EFOA9XfAay5NVXjoSDIwUr5AdhbbsPRThbIjZ9G
HzUD8k2ZGDkraMPMFMqn7MmXdF93kUnIRUq7s6Vk3CbFXdQNO9w1qtm8qD57HIH/uq8JrSDjtGvX
CQAOlcVAC2jZGOO2QD7Oc6Eu6RBBPC+xaCQV+R0RIMZZEYl1hTmSdBnC1cNwOarGYzmpsnvlneSE
cmaoE1obLKhv0ktRcR2Vxeeo7R7quFHngEwu9ADsMJnVV32TvZLNQevdaB+dpFzWTf1cjsZTWmb3
WcK2AMN2aXWfSZkiQywjAjkpshXnR5sFAPpj0sf7AF+lS3cCqx6Nhqx6NnmenoOrIaChP+TaEvB9
vHHGGz9SmqsoV0+LYSHUEjR2MegXiadhvS7DbMG5bZqbvEq5vghtnmjRDkTh9CEjAcIXfUrcbqJY
IExSaXg19CW1eN+UKAI8FgraYvrKasoz8GvkAXFjkBNEZGD29G+F/7lGm62O5UnWsPMxHFZKJCQn
VF4vTUUNcF1so8HY910MeGu8dUZtT9GMCMm+WysumgY9zV7k++0hQ8aLZ80psRXzVBDqNxjWLbnz
2y7omH0sunC9Pp6aNp02p7LSmSXskam03fh2Y17UbcwBVCgveclVTOU+k4aDusRXTAYyATjGA9KA
jZFZlaS1jNuAkvH7dt9uXoVFfarxyUpyFU0uzRdZ57FRKZkyiVXT4uZFwb1FiVl7rnFMTYSXTS7y
Sbi5sAkhiFemi6xD2+LMmjbKjrDWu5jwoZWfx+R4OpdgGsOTlk6Jnsq22URHJqdBmnu3bmg9qgF9
Ad8jIxnhcaN2J1btxEuthE3UBvgns+JtLDOmDDFdZWQvAlklmTONT3KOQ1QVaIU0TgmBOULVBHW5
DqdZbJsLG4kihaRoSY74JsMxYNDhnxNaZeEidwSASb1f54r5QOhLT9AZ4JMIrvTcDh9KMV20bCLX
niNIXxDxFVsgNAqj/YjwZlNBciGNMqgIKCPiIdfpcbcyYRrBZNKejxRXu7YcmDLQjFOuwMfPvMLD
NVaZElyXpV8uARF7EApWZOQj2a4fxRRpy37Qp4WCMKl2pROEuA1NJ6af7smOCIhmR/cGG/D0SjPo
pKg5VeS1ea55nb3WneGOoYChjwAus+9xNOaErER3vUrGJPIdfx5mLGTwf5bR0OcL5GH494h4Y9fM
T84Utc3QDnkjdZ+6TnhVeFfwlMRs8mwFwZTlkkwTZeWm8LcTCa0znwOhWiLu79BTs180euoE1qU7
IgzJceEk1K3W9JzVdafF15j7ngs/xoRsbt34vOKQfdVq08kQ+PqWllmjEtriNyk7GxYsnBfYCcma
3hrFhPpdNWdTEaGVoppXtCn7yECdkZd911AW6gXWOYzdJSn1aKmr+6bO04VuPrrFi0ViwkKpQ2+m
ivA6DafrTKdMV9GzJOSrv/biKyf3TyZqIrZCWYyE7xOrTfoVoZtfqgngiUxwYVrGCIY9f2ua7Rfh
pojgvRF4tXpnKE8k4bypxjTvM5Gd6BnKGb0LTwkemZauL0y27/oy7LNzMSX30i7vZW5BBwM9wVQv
iJXLVooVWKu28Dd93Zx32qAujFFQHGyalRdo4ZJ6tDMTMc67SVeZE8dsEeisITw19jbRtibdnaIo
Nq7EI/PPXVsDUbR5Zq+d4Z7yDDVCtOgrHCLPmaAtkxbeTT/Yj5og/qUt79oMqztamGqtpNY58l5q
0eOrVlGRTUjm8Cq6Nn5ihfO09Uqmie1UqO06dtoes5JvEn/PQqIk9SVRA6Sj4MxaEF69aoiBKV1q
9b4T7TEXzkSbPvYQawFkP2EMXmVNRV++8Eo2VP0ZDXGwU3QO1NK3rujN2nr2ZmWdM4dvTvJvi8+h
5/jpT+mmnmDAhDK4ciJnmBg/bWNN4gL6ARstSp2mvgrqcN31xIEXg/ZMpDGi7wQvpR9tWPv8da7d
ta6RzmkTIz5JUoLAlABDcHoZQeVld9ZduZm46ezXOkpxohIbzm79uWjaRyuCsFylZ4kZsbfh/xOS
pZlrJ8na86ZTXW055goyLTNh7Gh3b+LQWjbuRC29VsGVaFgAwfZyEKuGpZWnd2GISjrVARYblb5w
1WlYNMHca7MvZUYOgtv6gF1D69kYBwz0KbHjXahdB4babIc+Y2oercf22clFsIlLukmUGFub3BhT
usSjhiNXVhAOz5E27u8cszwLhBWuHceaNRMZM2Z5F3q4Gt10urGEEu9C3l82fEm0bARM11bax6uk
FUtUMmvRNHTWso2mN/2c/tbN5GNDNf0Ls6Kyrnnh3nJEuO1Ed1ErJt15CQtOhjSaB+EA7BphtZt1
NvxlkASWekoCUk8yIyO3hr7b5hXZiAOpu1qyoZmDw37sgZEoG1F07VXs88lE1KHQ6+jh+riW1OH1
XX38fwZd+fUHkTrq5bsA+6p9q8brt7ol7uHv//3Bt5NfBVWdNbf5v/eX/vpCXwXc/0T6bVs6GugD
Fub7Z3r/wH91iWSPsLx9RRyuO594t0y2xsBsdJTdkKI4nNMjef+yoqmSb0lUPNJuQ9cs8JbyG353
j/7RXfjrH/Djdv713/mrn+Dt/clsX//nvyT45dibID7ZFjIeC+W7IUzb4Yf8/iY41ifHUKlJqTrQ
y//QDXjBud7IceiH+QHbVBjQu/6VQfDDFb4bBO4nHj56PwGSytTMHweB636iJSlcjHQORDlX//Ab
/EqDQFN1nAf/yl3Yv6YcTUJ8UuFLw3P+7VUQzif68aYmeA00aTWAMXQwCsQnCLA6IGody46wzI93
71e6C67xMTp/mKP+N/OB8YmoFW4BT9lUTR724U3QNO0Tr4qFF4RNEd6OX24oQEPVQXIdNRRwtTAf
mrrh2jqFMVP/cUJgwgDjbTpCMz+mhf/QpPDDYP5uVhSq+i9OCz9c4/cXQsf2A0rYcRjstADe5/6D
F0L/ZBiGDs2OXINf84Xg8x87FrAxmcKWFUxgBxpPnRF/cBfMTxwVmS3e78B/bHn44Sl+NxK4BT/6
w/63uwTeBxT+pCZb2K40U0jW58E9cD9Bk6S8zFcci3v16+0SDDiXx84K4pNqG5ZpG/Ab2TMZXPD7
u+DqLKMqBR7WUhbRX28oMDW6R++V2A/KBdCismz92U3gdVEdXa4M/7m90j98GYi11o7dJxjWJxYG
zYRZrcmhLp/zwTAwpO8RI6XhfKwdH7f8F9onsGodfRc4OLBHYryDGwJ6+4c9s8tuybaZNH67T7/a
Eil0Ht+RU4JufDKE3Cxahik4jUn76/djgdyATxqvAwoz1eEsJaeMX+v4JJiojp0TWB4cF0iazVFS
NSzH/uGNwFrs6DK33FbNX3NeIBX763R9xNbZ5JQoXB61bXImY6Y5HAucInVDFybbJbaOpoEf+hcb
Czqb3aMPENonA8i7KzgcuPLMfHgTOErq/KEN2BfNNMeLj03qLzQ56kSbH7tzNgxc8a7LTkHY70dq
jorfTwuO+4kdJV+hv/F+iPrl9ktCZ3U7dnJkq6CTcmr+gyXCZtcoQeLC0HknZHHlX38h/oUB81ut
jsJn8rqUBaPwrf6zYt4/+gvfylN//PrX0pSsP8nyy8FflEW7j+/9sQmX//33gx3Je/nsuy9+K6e9
f5+v//zrD/jHb33wvb79VN/+cBO+VfvqRYKgZXTE14/5kQPx/5L98z7df58A8VE7+/2T/M9/HXzO
757/P7lwHf9wXYNj19HXrVA5Z4cXfq9wHH/heJ/V+/rbR3wvI7omw+/YK8/3SfiF/sth0IZpusz1
R1+btINq/5p/u5L81B8V4OOvnGVvL0340jYHF7ddDo7HXnzxBlVyX719u5L82A7b42///ac17t+q
N3817r4V8f6Wf/kbfuw2fT687Xhwf8IoXHHXw9fDUfhRbTz2zqzfcjSdh1f+KNsce+UNdzwMv93h
9+Gtv9crj73w9nUfHAxAzUAu+u0b/fuPcptAE83Dwzfyo3Bx9EfOXsP9D7OIwcL7Ez503h8+vI8a
w7Ef+OSPcxNRoz/hfTnhk7Uv8fjtJ38fFx8VsmM/sxS51n+4zWwCf8LYONuH2cHswen6ZywvZzKc
Zp+9fn87BCRyjmjH3o6zfV3v0RbVbwTafrucvN2CI+DPuCXhC9jw/WEbCAsS28yjP3rIWgAr4GBk
fy2bHH9tkvf5H77Jbx/0/abQevwJr+MZl87b6sdLy0rH0R88z5of5hCh2Y57/JXP356r/Q+7J0Gz
9adcutsfrls0RnTOd8fejfO3/m+bPfQGPJIHLybXd3/C2yOvv3ur6rfx22d9HyVUnn/Sxc/ehvDl
YBn7Wgv6GXfmMyS5Hz639RMm73OZt/a3+b7KWSkPX86Po9rRn/39Gyz28Y/vPrJxzsPHXh40xuEd
/2jTHX3ZOGFHcniq+VrmPvrS1Zv/Y6fd/BmP8vIty+ox6fY/HBO+luKO/dzXQf769rdt/Ye1TWoc
jn+QNwTH/PlApHqk/YQN98c3+ONAlJf/CeeRW+7+W12/HcxcX+t/x97627fh8FT5taJ27HXvmn3w
7cnJuVAnhvEnrPX3b1XKynZwZZbin7Bg3v9Z3KSp/4zx97Bn3cn85vDVpBcv663H3uh/mpX5Xlb5
9885D2H9kmeYkL591Pen+VFxPPqzjznKFv/wyq74p2vmn1WaflN4/bH+9E259Wf/7LC4Jv/GS/K2
r/7+/wEAAP//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428625</xdr:colOff>
      <xdr:row>26</xdr:row>
      <xdr:rowOff>152400</xdr:rowOff>
    </xdr:from>
    <xdr:to>
      <xdr:col>7</xdr:col>
      <xdr:colOff>581025</xdr:colOff>
      <xdr:row>49</xdr:row>
      <xdr:rowOff>133350</xdr:rowOff>
    </xdr:to>
    <xdr:graphicFrame macro="">
      <xdr:nvGraphicFramePr>
        <xdr:cNvPr id="4" name="Chart 3">
          <a:extLst>
            <a:ext uri="{FF2B5EF4-FFF2-40B4-BE49-F238E27FC236}">
              <a16:creationId xmlns:a16="http://schemas.microsoft.com/office/drawing/2014/main" id="{65679B49-3AFE-4464-9044-97A6FED314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409574</xdr:colOff>
      <xdr:row>51</xdr:row>
      <xdr:rowOff>133350</xdr:rowOff>
    </xdr:from>
    <xdr:to>
      <xdr:col>7</xdr:col>
      <xdr:colOff>619125</xdr:colOff>
      <xdr:row>76</xdr:row>
      <xdr:rowOff>38101</xdr:rowOff>
    </xdr:to>
    <xdr:graphicFrame macro="">
      <xdr:nvGraphicFramePr>
        <xdr:cNvPr id="6" name="Chart 5">
          <a:extLst>
            <a:ext uri="{FF2B5EF4-FFF2-40B4-BE49-F238E27FC236}">
              <a16:creationId xmlns:a16="http://schemas.microsoft.com/office/drawing/2014/main" id="{44A0310F-80B2-4340-8760-D817DCF67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400050</xdr:colOff>
      <xdr:row>79</xdr:row>
      <xdr:rowOff>142875</xdr:rowOff>
    </xdr:from>
    <xdr:to>
      <xdr:col>7</xdr:col>
      <xdr:colOff>581025</xdr:colOff>
      <xdr:row>105</xdr:row>
      <xdr:rowOff>133350</xdr:rowOff>
    </xdr:to>
    <xdr:graphicFrame macro="">
      <xdr:nvGraphicFramePr>
        <xdr:cNvPr id="3" name="Chart 2">
          <a:extLst>
            <a:ext uri="{FF2B5EF4-FFF2-40B4-BE49-F238E27FC236}">
              <a16:creationId xmlns:a16="http://schemas.microsoft.com/office/drawing/2014/main" id="{6603E017-6A2F-4C4F-AFF9-18EE7784A4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381000</xdr:colOff>
      <xdr:row>109</xdr:row>
      <xdr:rowOff>0</xdr:rowOff>
    </xdr:from>
    <xdr:to>
      <xdr:col>7</xdr:col>
      <xdr:colOff>590549</xdr:colOff>
      <xdr:row>138</xdr:row>
      <xdr:rowOff>133349</xdr:rowOff>
    </xdr:to>
    <xdr:graphicFrame macro="">
      <xdr:nvGraphicFramePr>
        <xdr:cNvPr id="8" name="Chart 7">
          <a:extLst>
            <a:ext uri="{FF2B5EF4-FFF2-40B4-BE49-F238E27FC236}">
              <a16:creationId xmlns:a16="http://schemas.microsoft.com/office/drawing/2014/main" id="{4AA9EA11-7575-4E6A-93BE-CB4730CFF5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447675</xdr:colOff>
      <xdr:row>4</xdr:row>
      <xdr:rowOff>9526</xdr:rowOff>
    </xdr:from>
    <xdr:to>
      <xdr:col>7</xdr:col>
      <xdr:colOff>590550</xdr:colOff>
      <xdr:row>23</xdr:row>
      <xdr:rowOff>85725</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1D2A4378-9F48-4F7B-B7B4-C8AD81E718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733925" y="657226"/>
              <a:ext cx="7372350" cy="315277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438149</xdr:colOff>
      <xdr:row>14</xdr:row>
      <xdr:rowOff>38100</xdr:rowOff>
    </xdr:from>
    <xdr:to>
      <xdr:col>6</xdr:col>
      <xdr:colOff>866774</xdr:colOff>
      <xdr:row>35</xdr:row>
      <xdr:rowOff>85725</xdr:rowOff>
    </xdr:to>
    <xdr:graphicFrame macro="">
      <xdr:nvGraphicFramePr>
        <xdr:cNvPr id="2" name="Chart 1">
          <a:extLst>
            <a:ext uri="{FF2B5EF4-FFF2-40B4-BE49-F238E27FC236}">
              <a16:creationId xmlns:a16="http://schemas.microsoft.com/office/drawing/2014/main" id="{DF09A2E4-4FDB-4DDE-B910-98A2BED0B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400049</xdr:colOff>
      <xdr:row>38</xdr:row>
      <xdr:rowOff>57150</xdr:rowOff>
    </xdr:from>
    <xdr:to>
      <xdr:col>6</xdr:col>
      <xdr:colOff>676275</xdr:colOff>
      <xdr:row>58</xdr:row>
      <xdr:rowOff>76199</xdr:rowOff>
    </xdr:to>
    <xdr:graphicFrame macro="">
      <xdr:nvGraphicFramePr>
        <xdr:cNvPr id="3" name="Chart 2">
          <a:extLst>
            <a:ext uri="{FF2B5EF4-FFF2-40B4-BE49-F238E27FC236}">
              <a16:creationId xmlns:a16="http://schemas.microsoft.com/office/drawing/2014/main" id="{292C4C50-BAE0-4523-8EB3-EC35EE05C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423862</xdr:colOff>
      <xdr:row>61</xdr:row>
      <xdr:rowOff>9525</xdr:rowOff>
    </xdr:from>
    <xdr:to>
      <xdr:col>6</xdr:col>
      <xdr:colOff>742950</xdr:colOff>
      <xdr:row>82</xdr:row>
      <xdr:rowOff>133350</xdr:rowOff>
    </xdr:to>
    <xdr:graphicFrame macro="">
      <xdr:nvGraphicFramePr>
        <xdr:cNvPr id="5" name="Chart 4">
          <a:extLst>
            <a:ext uri="{FF2B5EF4-FFF2-40B4-BE49-F238E27FC236}">
              <a16:creationId xmlns:a16="http://schemas.microsoft.com/office/drawing/2014/main" id="{EDE0D6ED-4F95-42C6-8A5B-B760995B5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395287</xdr:colOff>
      <xdr:row>84</xdr:row>
      <xdr:rowOff>57149</xdr:rowOff>
    </xdr:from>
    <xdr:to>
      <xdr:col>6</xdr:col>
      <xdr:colOff>695325</xdr:colOff>
      <xdr:row>106</xdr:row>
      <xdr:rowOff>38100</xdr:rowOff>
    </xdr:to>
    <xdr:graphicFrame macro="">
      <xdr:nvGraphicFramePr>
        <xdr:cNvPr id="6" name="Chart 5">
          <a:extLst>
            <a:ext uri="{FF2B5EF4-FFF2-40B4-BE49-F238E27FC236}">
              <a16:creationId xmlns:a16="http://schemas.microsoft.com/office/drawing/2014/main" id="{875D5B5D-7C8E-46FF-986E-ACB09DD2ED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ustin Carlson" id="{D959910C-1E46-4C04-B597-5D665A8D9790}" userId="S::acarlson@mlgcapital.com::a411fe3a-c0e9-497e-9e1e-469a0f7140ed"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stin Carlson" refreshedDate="44152.498661805555" createdVersion="6" refreshedVersion="6" minRefreshableVersion="3" recordCount="139" xr:uid="{4BE923B4-32F8-4841-990E-75B78CBED067}">
  <cacheSource type="worksheet">
    <worksheetSource name="Table1"/>
  </cacheSource>
  <cacheFields count="43">
    <cacheField name="Property" numFmtId="0">
      <sharedItems/>
    </cacheField>
    <cacheField name="Status" numFmtId="0">
      <sharedItems count="3">
        <s v="Active"/>
        <s v="Sold"/>
        <s v="Pending"/>
      </sharedItems>
    </cacheField>
    <cacheField name="Portfolio" numFmtId="0">
      <sharedItems containsBlank="1"/>
    </cacheField>
    <cacheField name="Include in Deal Count (Y/N)" numFmtId="0">
      <sharedItems count="2">
        <s v="Yes"/>
        <s v="No"/>
      </sharedItems>
    </cacheField>
    <cacheField name="Include in Summary" numFmtId="0">
      <sharedItems count="2">
        <s v="MLG Cap Sum"/>
        <s v="Legacy Sum"/>
      </sharedItems>
    </cacheField>
    <cacheField name="Type" numFmtId="0">
      <sharedItems count="9">
        <s v="Multi-Family"/>
        <s v="Commercial"/>
        <s v="Land"/>
        <s v="Loan"/>
        <s v="Apartments" u="1"/>
        <s v="Multifamily" u="1"/>
        <s v="Industrial" u="1"/>
        <s v="Retail" u="1"/>
        <s v="Office" u="1"/>
      </sharedItems>
    </cacheField>
    <cacheField name="Sub Type" numFmtId="0">
      <sharedItems count="6">
        <s v="Multi-Family"/>
        <s v="Retail"/>
        <s v="Land"/>
        <s v="Industrial"/>
        <s v="Loan"/>
        <s v="Office"/>
      </sharedItems>
    </cacheField>
    <cacheField name="City" numFmtId="0">
      <sharedItems/>
    </cacheField>
    <cacheField name="State" numFmtId="0">
      <sharedItems count="18">
        <s v="Texas"/>
        <s v="Wisconsin"/>
        <s v="Minnesota"/>
        <s v="Florida"/>
        <s v="Arizona"/>
        <s v="Missouri"/>
        <s v="Ohio"/>
        <s v="Kentucky"/>
        <s v="Illinois"/>
        <s v="Iowa"/>
        <s v="Georgia"/>
        <s v="Pennsylvania"/>
        <s v="Oklahoma"/>
        <s v="New Mexico"/>
        <s v="North Carolina"/>
        <s v="Alabama"/>
        <s v="Tennessee"/>
        <s v="Colorado"/>
      </sharedItems>
    </cacheField>
    <cacheField name="MSA" numFmtId="0">
      <sharedItems containsBlank="1"/>
    </cacheField>
    <cacheField name="Sponsor" numFmtId="0">
      <sharedItems/>
    </cacheField>
    <cacheField name="Size (SF)" numFmtId="164">
      <sharedItems containsString="0" containsBlank="1" containsNumber="1" containsInteger="1" minValue="13220" maxValue="1204553"/>
    </cacheField>
    <cacheField name="Units" numFmtId="164">
      <sharedItems containsString="0" containsBlank="1" containsNumber="1" containsInteger="1" minValue="78" maxValue="720"/>
    </cacheField>
    <cacheField name="Lots" numFmtId="164">
      <sharedItems containsString="0" containsBlank="1" containsNumber="1" containsInteger="1" minValue="5" maxValue="70"/>
    </cacheField>
    <cacheField name="Vacant Land" numFmtId="164">
      <sharedItems containsString="0" containsBlank="1" containsNumber="1" containsInteger="1" minValue="20" maxValue="75"/>
    </cacheField>
    <cacheField name="Year Built" numFmtId="0">
      <sharedItems containsBlank="1" containsMixedTypes="1" containsNumber="1" containsInteger="1" minValue="1966" maxValue="2019"/>
    </cacheField>
    <cacheField name="Acquisition Date" numFmtId="14">
      <sharedItems containsSemiMixedTypes="0" containsNonDate="0" containsDate="1" containsString="0" minDate="1988-08-01T00:00:00" maxDate="2020-12-22T00:00:00" count="117">
        <d v="1991-03-27T00:00:00"/>
        <d v="1992-11-30T00:00:00"/>
        <d v="2001-03-22T00:00:00"/>
        <d v="2011-01-07T00:00:00"/>
        <d v="2014-06-01T00:00:00"/>
        <d v="2014-11-14T00:00:00"/>
        <d v="2015-05-19T00:00:00"/>
        <d v="2015-12-29T00:00:00"/>
        <d v="2016-05-11T00:00:00"/>
        <d v="2016-06-07T00:00:00"/>
        <d v="2016-07-22T00:00:00"/>
        <d v="2016-08-16T00:00:00"/>
        <d v="2017-01-30T00:00:00"/>
        <d v="2017-06-29T00:00:00"/>
        <d v="2017-08-31T00:00:00"/>
        <d v="2017-09-30T00:00:00"/>
        <d v="2017-10-24T00:00:00"/>
        <d v="2017-12-28T00:00:00"/>
        <d v="2018-04-11T00:00:00"/>
        <d v="2018-05-17T00:00:00"/>
        <d v="2018-06-29T00:00:00"/>
        <d v="2018-07-31T00:00:00"/>
        <d v="2018-09-05T00:00:00"/>
        <d v="2018-09-18T00:00:00"/>
        <d v="2018-10-05T00:00:00"/>
        <d v="2018-10-30T00:00:00"/>
        <d v="2018-11-13T00:00:00"/>
        <d v="2018-12-11T00:00:00"/>
        <d v="2018-12-14T00:00:00"/>
        <d v="2019-03-05T00:00:00"/>
        <d v="2019-03-21T00:00:00"/>
        <d v="2019-03-29T00:00:00"/>
        <d v="2019-04-01T00:00:00"/>
        <d v="2019-05-20T00:00:00"/>
        <d v="2019-05-30T00:00:00"/>
        <d v="2019-06-26T00:00:00"/>
        <d v="2019-10-24T00:00:00"/>
        <d v="2019-12-18T00:00:00"/>
        <d v="2020-02-13T00:00:00"/>
        <d v="2020-03-18T00:00:00"/>
        <d v="2020-03-27T00:00:00"/>
        <d v="2020-04-23T00:00:00"/>
        <d v="2020-05-13T00:00:00"/>
        <d v="2020-06-30T00:00:00"/>
        <d v="2020-10-29T00:00:00"/>
        <d v="2020-10-20T00:00:00"/>
        <d v="2020-12-14T00:00:00"/>
        <d v="2020-12-08T00:00:00"/>
        <d v="2020-12-21T00:00:00"/>
        <d v="1988-08-01T00:00:00"/>
        <d v="1989-08-01T00:00:00"/>
        <d v="1989-12-14T00:00:00"/>
        <d v="1991-11-05T00:00:00"/>
        <d v="1992-08-01T00:00:00"/>
        <d v="1992-12-28T00:00:00"/>
        <d v="1993-09-29T00:00:00"/>
        <d v="1993-12-16T00:00:00"/>
        <d v="1994-01-21T00:00:00"/>
        <d v="1994-08-24T00:00:00"/>
        <d v="1995-06-01T00:00:00"/>
        <d v="1995-09-01T00:00:00"/>
        <d v="1995-12-01T00:00:00"/>
        <d v="1996-02-27T00:00:00"/>
        <d v="1996-04-01T00:00:00"/>
        <d v="1996-04-30T00:00:00"/>
        <d v="1996-11-25T00:00:00"/>
        <d v="1997-06-01T00:00:00"/>
        <d v="1997-11-01T00:00:00"/>
        <d v="1998-04-01T00:00:00"/>
        <d v="1998-10-09T00:00:00"/>
        <d v="1998-11-01T00:00:00"/>
        <d v="1998-12-31T00:00:00"/>
        <d v="1999-02-01T00:00:00"/>
        <d v="1999-05-27T00:00:00"/>
        <d v="2000-06-28T00:00:00"/>
        <d v="2000-07-06T00:00:00"/>
        <d v="2000-08-01T00:00:00"/>
        <d v="2000-08-08T00:00:00"/>
        <d v="2001-02-28T00:00:00"/>
        <d v="2001-03-20T00:00:00"/>
        <d v="2001-06-01T00:00:00"/>
        <d v="2002-03-15T00:00:00"/>
        <d v="2002-12-16T00:00:00"/>
        <d v="2003-01-01T00:00:00"/>
        <d v="2003-04-16T00:00:00"/>
        <d v="2004-09-01T00:00:00"/>
        <d v="2005-01-14T00:00:00"/>
        <d v="2005-03-18T00:00:00"/>
        <d v="2005-04-14T00:00:00"/>
        <d v="2005-11-17T00:00:00"/>
        <d v="2007-07-07T00:00:00"/>
        <d v="2008-08-01T00:00:00"/>
        <d v="2009-03-01T00:00:00"/>
        <d v="2009-09-01T00:00:00"/>
        <d v="2011-07-01T00:00:00"/>
        <d v="2012-07-26T00:00:00"/>
        <d v="2013-01-01T00:00:00"/>
        <d v="2013-02-01T00:00:00"/>
        <d v="2013-04-01T00:00:00"/>
        <d v="2013-06-06T00:00:00"/>
        <d v="2013-07-30T00:00:00"/>
        <d v="2013-11-01T00:00:00"/>
        <d v="2014-07-09T00:00:00"/>
        <d v="2014-08-01T00:00:00"/>
        <d v="2014-09-10T00:00:00"/>
        <d v="2014-10-01T00:00:00"/>
        <d v="2014-12-02T00:00:00"/>
        <d v="2015-05-01T00:00:00"/>
        <d v="2015-07-15T00:00:00"/>
        <d v="2015-09-29T00:00:00"/>
        <d v="2016-01-29T00:00:00"/>
        <d v="2016-08-05T00:00:00"/>
        <d v="2016-09-15T00:00:00"/>
        <d v="2016-09-28T00:00:00"/>
        <d v="2017-01-24T00:00:00"/>
        <d v="2018-01-25T00:00:00"/>
        <d v="2019-04-04T00:00:00"/>
      </sharedItems>
      <fieldGroup par="42" base="16">
        <rangePr groupBy="months" startDate="1988-08-01T00:00:00" endDate="2020-12-22T00:00:00"/>
        <groupItems count="14">
          <s v="&lt;8/1/1988"/>
          <s v="Jan"/>
          <s v="Feb"/>
          <s v="Mar"/>
          <s v="Apr"/>
          <s v="May"/>
          <s v="Jun"/>
          <s v="Jul"/>
          <s v="Aug"/>
          <s v="Sep"/>
          <s v="Oct"/>
          <s v="Nov"/>
          <s v="Dec"/>
          <s v="&gt;12/22/2020"/>
        </groupItems>
      </fieldGroup>
    </cacheField>
    <cacheField name="Purchase Price" numFmtId="164">
      <sharedItems containsString="0" containsBlank="1" containsNumber="1" containsInteger="1" minValue="307500" maxValue="85698000"/>
    </cacheField>
    <cacheField name="Fair Market Value Estimate" numFmtId="164">
      <sharedItems containsBlank="1" containsMixedTypes="1" containsNumber="1" containsInteger="1" minValue="200200" maxValue="94880000"/>
    </cacheField>
    <cacheField name="Value Per Unit" numFmtId="164">
      <sharedItems containsBlank="1" containsMixedTypes="1" containsNumber="1" minValue="62500" maxValue="251551.72413793104"/>
    </cacheField>
    <cacheField name="Value per Sq. ft." numFmtId="164">
      <sharedItems containsBlank="1" containsMixedTypes="1" containsNumber="1" minValue="8.399126490844953" maxValue="313.95924339910914"/>
    </cacheField>
    <cacheField name="Valuation Date" numFmtId="0">
      <sharedItems containsDate="1" containsBlank="1" containsMixedTypes="1" minDate="2020-09-30T00:00:00" maxDate="2020-11-18T00:00:00"/>
    </cacheField>
    <cacheField name="MLG Capital Historical Deal Equity" numFmtId="164">
      <sharedItems containsBlank="1" containsMixedTypes="1" containsNumber="1" minValue="130500" maxValue="5200001"/>
    </cacheField>
    <cacheField name="Fund I Equity" numFmtId="164">
      <sharedItems containsString="0" containsBlank="1" containsNumber="1" minValue="160000" maxValue="6350000" count="19">
        <m/>
        <n v="200000"/>
        <n v="1374829"/>
        <n v="750000"/>
        <n v="4393100"/>
        <n v="393914.44"/>
        <n v="180000"/>
        <n v="4353125"/>
        <n v="6350000"/>
        <n v="502073"/>
        <n v="175000"/>
        <n v="1890000"/>
        <n v="160000"/>
        <n v="1447832"/>
        <n v="1534100"/>
        <n v="2805000"/>
        <n v="3375000"/>
        <n v="1500000"/>
        <n v="1000000"/>
      </sharedItems>
    </cacheField>
    <cacheField name="Fund II Equity" numFmtId="164">
      <sharedItems containsString="0" containsBlank="1" containsNumber="1" minValue="230131.27427381097" maxValue="9500000"/>
    </cacheField>
    <cacheField name="Fund III Equity" numFmtId="164">
      <sharedItems containsString="0" containsBlank="1" containsNumber="1" minValue="58823.529411764706" maxValue="9837942.3000000007" count="48">
        <m/>
        <n v="6950000"/>
        <n v="8925000"/>
        <n v="5900000"/>
        <n v="3945000"/>
        <n v="7558000"/>
        <n v="3277972.99"/>
        <n v="1500000"/>
        <n v="7850000"/>
        <n v="7300000"/>
        <n v="3314700"/>
        <n v="8188000"/>
        <n v="9000000"/>
        <n v="870698.56"/>
        <n v="1814198"/>
        <n v="9800000"/>
        <n v="8150000"/>
        <n v="7411422.6803277954"/>
        <n v="825711.2171070847"/>
        <n v="762866.10256511928"/>
        <n v="7616471"/>
        <n v="8550000"/>
        <n v="6087942.2999999998"/>
        <n v="3867500"/>
        <n v="4045714"/>
        <n v="5000000"/>
        <n v="5700000"/>
        <n v="289592.76018099551"/>
        <n v="135746.60633484164"/>
        <n v="214932.12669683259"/>
        <n v="271493.21266968327"/>
        <n v="58823.529411764714"/>
        <n v="303167.42081447964"/>
        <n v="104072.39819004525"/>
        <n v="371040.72398190049"/>
        <n v="83710.407239819004"/>
        <n v="167420.81447963801"/>
        <n v="5095000"/>
        <n v="1000000"/>
        <n v="8105000"/>
        <n v="1975000"/>
        <n v="6500000"/>
        <n v="2500000"/>
        <n v="7543325" u="1"/>
        <n v="9837942.3000000007" u="1"/>
        <n v="214932.12669683257" u="1"/>
        <n v="303167.42081447958" u="1"/>
        <n v="58823.529411764706" u="1"/>
      </sharedItems>
    </cacheField>
    <cacheField name="Fund IV Equity" numFmtId="164">
      <sharedItems containsString="0" containsBlank="1" containsNumber="1" minValue="339051.60114005301" maxValue="22365000" count="35">
        <m/>
        <n v="5542500"/>
        <n v="4000000"/>
        <n v="3293965.6357012424"/>
        <n v="366982.76315870433"/>
        <n v="339051.60114005301"/>
        <n v="3867500"/>
        <n v="6432686"/>
        <n v="11516400"/>
        <n v="1900000"/>
        <n v="13200000"/>
        <n v="14000000"/>
        <n v="5631131.2217194578"/>
        <n v="2639592.7601809953"/>
        <n v="4179355.2036199095"/>
        <n v="5279185.5203619907"/>
        <n v="1143823.5294117648"/>
        <n v="5895090.4977375567"/>
        <n v="2023687.7828054298"/>
        <n v="7214886.8778280551"/>
        <n v="1627748.8687782804"/>
        <n v="3255497.7375565609"/>
        <n v="5410000"/>
        <n v="8075000"/>
        <n v="3250000"/>
        <n v="7848000"/>
        <n v="2700000"/>
        <n v="8460000"/>
        <n v="11386800"/>
        <n v="22365000"/>
        <n v="4179355.2036199099" u="1"/>
        <n v="2023687.78280543" u="1"/>
        <n v="5895090.4977375558" u="1"/>
        <n v="7850000" u="1"/>
        <n v="2620000" u="1"/>
      </sharedItems>
    </cacheField>
    <cacheField name="MLG Co-Investor Equity" numFmtId="164">
      <sharedItems containsString="0" containsBlank="1" containsNumber="1" minValue="334813.45612580236" maxValue="11500000"/>
    </cacheField>
    <cacheField name="Sponsor 3rd Party Equity" numFmtId="164">
      <sharedItems containsString="0" containsBlank="1" containsNumber="1" minValue="87729.601794988717" maxValue="29501397.789999999"/>
    </cacheField>
    <cacheField name="Managed Account (1031) Equity" numFmtId="164">
      <sharedItems containsString="0" containsBlank="1" containsNumber="1" minValue="1538205" maxValue="23058734"/>
    </cacheField>
    <cacheField name="Legacy Fund Equity" numFmtId="164">
      <sharedItems containsNonDate="0" containsString="0" containsBlank="1"/>
    </cacheField>
    <cacheField name="Total Equity" numFmtId="164">
      <sharedItems containsSemiMixedTypes="0" containsString="0" containsNumber="1" minValue="0" maxValue="32779330.879999999"/>
    </cacheField>
    <cacheField name="Fund II Effective Equity" numFmtId="164">
      <sharedItems containsSemiMixedTypes="0" containsString="0" containsNumber="1" minValue="0" maxValue="9829912.0234604105" count="41">
        <n v="0"/>
        <n v="43988.269794721404"/>
        <n v="302381.7448680352"/>
        <n v="4948000"/>
        <n v="2864956.0117302053"/>
        <n v="4720000"/>
        <n v="2765000"/>
        <n v="3277933.0900000003"/>
        <n v="2200000"/>
        <n v="1500000"/>
        <n v="2000000"/>
        <n v="1000000"/>
        <n v="2500000"/>
        <n v="6340000"/>
        <n v="5000000"/>
        <n v="2235779.1752322181"/>
        <n v="249089.55049397054"/>
        <n v="230131.27427381097"/>
        <n v="966224.340175953"/>
        <n v="86638.073313782996"/>
        <n v="39589.442815249262"/>
        <n v="957432.18475073308"/>
        <n v="1396627.5659824046"/>
        <n v="110426.6129032258"/>
        <n v="38489.73607038123"/>
        <n v="415689.14956011728"/>
        <n v="35190.615835777127"/>
        <n v="318438.12316715543"/>
        <n v="337412.02346041054"/>
        <n v="616935.48387096776"/>
        <n v="1940445"/>
        <n v="1742302.0527859237"/>
        <n v="9829912.0234604105"/>
        <n v="1614000"/>
        <n v="3300000"/>
        <n v="5219941.3489736067"/>
        <n v="7719941.3489736067"/>
        <n v="1696685.7215798486" u="1"/>
        <n v="2397775" u="1"/>
        <n v="4820000" u="1"/>
        <n v="3251314.2784201512" u="1"/>
      </sharedItems>
    </cacheField>
    <cacheField name="Date of Sale" numFmtId="14">
      <sharedItems containsNonDate="0" containsDate="1" containsString="0" containsBlank="1" minDate="1993-02-01T00:00:00" maxDate="2020-09-23T00:00:00"/>
    </cacheField>
    <cacheField name="Sales Price" numFmtId="164">
      <sharedItems containsString="0" containsBlank="1" containsNumber="1" minValue="591506" maxValue="95100000"/>
    </cacheField>
    <cacheField name="Holding Period" numFmtId="0">
      <sharedItems containsMixedTypes="1" containsNumber="1" minValue="0.34246575342465752" maxValue="20.238356164383561"/>
    </cacheField>
    <cacheField name="Total Property Distributions" numFmtId="0">
      <sharedItems containsBlank="1" containsMixedTypes="1" containsNumber="1" minValue="0" maxValue="68359673.060000002"/>
    </cacheField>
    <cacheField name="Multiple" numFmtId="43">
      <sharedItems containsBlank="1" containsMixedTypes="1" containsNumber="1" minValue="0" maxValue="9.1931142528735634"/>
    </cacheField>
    <cacheField name="IRR" numFmtId="0">
      <sharedItems containsString="0" containsBlank="1" containsNumber="1" minValue="7.1400000000000005E-2" maxValue="0.79490000000000005"/>
    </cacheField>
    <cacheField name="Average Annual Return" numFmtId="10">
      <sharedItems containsBlank="1" containsMixedTypes="1" containsNumber="1" minValue="-0.18389165491646481" maxValue="1.3206648355401664"/>
    </cacheField>
    <cacheField name="Sales Price &amp; Estimated FV" numFmtId="0" formula="'Fair Market Value Estimate'+'Sales Price'" databaseField="0"/>
    <cacheField name="Quarters" numFmtId="0" databaseField="0">
      <fieldGroup base="16">
        <rangePr groupBy="quarters" startDate="1988-08-01T00:00:00" endDate="2020-12-22T00:00:00"/>
        <groupItems count="6">
          <s v="&lt;8/1/1988"/>
          <s v="Qtr1"/>
          <s v="Qtr2"/>
          <s v="Qtr3"/>
          <s v="Qtr4"/>
          <s v="&gt;12/22/2020"/>
        </groupItems>
      </fieldGroup>
    </cacheField>
    <cacheField name="Years" numFmtId="0" databaseField="0">
      <fieldGroup base="16">
        <rangePr groupBy="years" startDate="1988-08-01T00:00:00" endDate="2020-12-22T00:00:00"/>
        <groupItems count="35">
          <s v="&lt;8/1/1988"/>
          <s v="1988"/>
          <s v="1989"/>
          <s v="1990"/>
          <s v="1991"/>
          <s v="1992"/>
          <s v="1993"/>
          <s v="1994"/>
          <s v="1995"/>
          <s v="1996"/>
          <s v="1997"/>
          <s v="1998"/>
          <s v="1999"/>
          <s v="2000"/>
          <s v="2001"/>
          <s v="2002"/>
          <s v="2003"/>
          <s v="2004"/>
          <s v="2005"/>
          <s v="2006"/>
          <s v="2007"/>
          <s v="2008"/>
          <s v="2009"/>
          <s v="2010"/>
          <s v="2011"/>
          <s v="2012"/>
          <s v="2013"/>
          <s v="2014"/>
          <s v="2015"/>
          <s v="2016"/>
          <s v="2017"/>
          <s v="2018"/>
          <s v="2019"/>
          <s v="2020"/>
          <s v="&gt;12/22/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9">
  <r>
    <s v="Saddletree"/>
    <x v="0"/>
    <m/>
    <x v="0"/>
    <x v="0"/>
    <x v="0"/>
    <x v="0"/>
    <s v="Dallas"/>
    <x v="0"/>
    <s v="Dallas"/>
    <s v="Direct"/>
    <n v="181936"/>
    <n v="224"/>
    <m/>
    <m/>
    <n v="1982"/>
    <x v="0"/>
    <n v="2954368"/>
    <n v="25950000"/>
    <n v="115848.21428571429"/>
    <n v="142.6325740919884"/>
    <d v="2020-09-30T00:00:00"/>
    <n v="731616"/>
    <x v="0"/>
    <m/>
    <x v="0"/>
    <x v="0"/>
    <m/>
    <m/>
    <m/>
    <m/>
    <n v="731616"/>
    <x v="0"/>
    <m/>
    <m/>
    <s v=""/>
    <m/>
    <s v=""/>
    <m/>
    <s v=""/>
  </r>
  <r>
    <s v="Pebblebrook"/>
    <x v="0"/>
    <m/>
    <x v="0"/>
    <x v="0"/>
    <x v="0"/>
    <x v="0"/>
    <s v="Dallas"/>
    <x v="0"/>
    <s v="Dallas"/>
    <s v="Direct"/>
    <n v="194672"/>
    <n v="240"/>
    <m/>
    <m/>
    <n v="1980"/>
    <x v="1"/>
    <n v="3595635"/>
    <n v="33300000"/>
    <n v="138750"/>
    <n v="171.05695734363442"/>
    <d v="2020-09-30T00:00:00"/>
    <n v="825000"/>
    <x v="0"/>
    <m/>
    <x v="0"/>
    <x v="0"/>
    <m/>
    <m/>
    <m/>
    <m/>
    <n v="825000"/>
    <x v="0"/>
    <m/>
    <m/>
    <s v=""/>
    <m/>
    <s v=""/>
    <m/>
    <s v=""/>
  </r>
  <r>
    <s v="Marina Del Ray"/>
    <x v="0"/>
    <m/>
    <x v="0"/>
    <x v="0"/>
    <x v="0"/>
    <x v="0"/>
    <s v="Dallas"/>
    <x v="0"/>
    <s v="Dallas"/>
    <s v="Direct"/>
    <n v="171529"/>
    <n v="226"/>
    <m/>
    <m/>
    <n v="1974"/>
    <x v="2"/>
    <n v="6900000"/>
    <n v="25250000"/>
    <n v="111725.66371681416"/>
    <n v="147.20542881961651"/>
    <d v="2020-09-30T00:00:00"/>
    <n v="2850000"/>
    <x v="0"/>
    <m/>
    <x v="0"/>
    <x v="0"/>
    <m/>
    <m/>
    <m/>
    <m/>
    <n v="2850000"/>
    <x v="0"/>
    <m/>
    <m/>
    <s v=""/>
    <m/>
    <s v=""/>
    <m/>
    <s v=""/>
  </r>
  <r>
    <s v="Hales Corners Plaza"/>
    <x v="0"/>
    <m/>
    <x v="0"/>
    <x v="0"/>
    <x v="1"/>
    <x v="1"/>
    <s v="Hales Corners"/>
    <x v="1"/>
    <s v="Milwaukee"/>
    <s v="Direct"/>
    <n v="95173"/>
    <m/>
    <m/>
    <m/>
    <n v="1977"/>
    <x v="3"/>
    <n v="4000000"/>
    <n v="9120000"/>
    <s v="N/A"/>
    <n v="95.825496727012919"/>
    <d v="2020-09-30T00:00:00"/>
    <n v="2200001"/>
    <x v="0"/>
    <m/>
    <x v="0"/>
    <x v="0"/>
    <m/>
    <m/>
    <m/>
    <m/>
    <n v="2200001"/>
    <x v="0"/>
    <m/>
    <m/>
    <s v=""/>
    <m/>
    <s v=""/>
    <m/>
    <s v=""/>
  </r>
  <r>
    <s v="Fox Glen"/>
    <x v="0"/>
    <s v="Wisconsin Land Inv"/>
    <x v="1"/>
    <x v="0"/>
    <x v="2"/>
    <x v="2"/>
    <s v="Wateford"/>
    <x v="1"/>
    <s v="Milwaukee"/>
    <s v="Direct"/>
    <m/>
    <m/>
    <n v="65"/>
    <m/>
    <s v="N/A"/>
    <x v="4"/>
    <n v="920000"/>
    <n v="200200"/>
    <s v="N/A"/>
    <m/>
    <d v="2020-09-30T00:00:00"/>
    <m/>
    <x v="1"/>
    <m/>
    <x v="0"/>
    <x v="0"/>
    <m/>
    <n v="400000"/>
    <m/>
    <m/>
    <n v="600000"/>
    <x v="1"/>
    <m/>
    <m/>
    <s v=""/>
    <m/>
    <s v=""/>
    <m/>
    <s v=""/>
  </r>
  <r>
    <s v="TNBC (Jung/Stern TIC)"/>
    <x v="0"/>
    <m/>
    <x v="0"/>
    <x v="1"/>
    <x v="1"/>
    <x v="3"/>
    <s v="New Berlin"/>
    <x v="1"/>
    <s v="Milwaukee"/>
    <s v="Direct"/>
    <n v="114990"/>
    <m/>
    <m/>
    <m/>
    <m/>
    <x v="5"/>
    <n v="3620000"/>
    <n v="5320000"/>
    <s v="N/A"/>
    <n v="46.264892599356465"/>
    <d v="2020-09-30T00:00:00"/>
    <m/>
    <x v="0"/>
    <m/>
    <x v="0"/>
    <x v="0"/>
    <m/>
    <m/>
    <n v="1693242.59"/>
    <m/>
    <n v="1693242.59"/>
    <x v="0"/>
    <m/>
    <m/>
    <s v=""/>
    <m/>
    <s v=""/>
    <m/>
    <s v=""/>
  </r>
  <r>
    <s v="Rush Lake"/>
    <x v="0"/>
    <m/>
    <x v="0"/>
    <x v="0"/>
    <x v="1"/>
    <x v="3"/>
    <s v="New Brighton"/>
    <x v="2"/>
    <s v="Minneapolis"/>
    <s v="Biynah"/>
    <n v="79028"/>
    <m/>
    <m/>
    <m/>
    <n v="1987"/>
    <x v="6"/>
    <n v="4450000"/>
    <n v="5290000"/>
    <s v="N/A"/>
    <n v="66.938300349243306"/>
    <d v="2020-09-30T00:00:00"/>
    <m/>
    <x v="2"/>
    <m/>
    <x v="0"/>
    <x v="0"/>
    <m/>
    <n v="780075"/>
    <m/>
    <m/>
    <n v="2154904"/>
    <x v="2"/>
    <m/>
    <m/>
    <s v=""/>
    <m/>
    <s v=""/>
    <m/>
    <s v=""/>
  </r>
  <r>
    <s v="MSP Retail Portfolio"/>
    <x v="0"/>
    <s v="MSP Retail"/>
    <x v="0"/>
    <x v="0"/>
    <x v="1"/>
    <x v="1"/>
    <s v="Richfield/Maple Grove"/>
    <x v="2"/>
    <s v="Minneapolis"/>
    <s v="Hempel"/>
    <n v="94009"/>
    <m/>
    <m/>
    <m/>
    <s v="2007/2008"/>
    <x v="7"/>
    <n v="17792000"/>
    <n v="17040000"/>
    <s v="N/A"/>
    <n v="181.25924113648693"/>
    <d v="2020-09-30T00:00:00"/>
    <m/>
    <x v="0"/>
    <n v="4948000"/>
    <x v="0"/>
    <x v="0"/>
    <n v="2000000"/>
    <n v="772000"/>
    <m/>
    <m/>
    <n v="7720000"/>
    <x v="3"/>
    <m/>
    <m/>
    <s v=""/>
    <m/>
    <s v=""/>
    <m/>
    <s v=""/>
  </r>
  <r>
    <s v="Chatham"/>
    <x v="0"/>
    <m/>
    <x v="0"/>
    <x v="0"/>
    <x v="0"/>
    <x v="0"/>
    <s v="Dallas"/>
    <x v="0"/>
    <s v="Dallas"/>
    <s v="Direct"/>
    <n v="377550"/>
    <n v="494"/>
    <m/>
    <m/>
    <n v="1986"/>
    <x v="8"/>
    <n v="37000000"/>
    <n v="60200000"/>
    <n v="121862.34817813765"/>
    <n v="159.44907959210701"/>
    <d v="2020-09-30T00:00:00"/>
    <m/>
    <x v="3"/>
    <n v="2700000"/>
    <x v="0"/>
    <x v="0"/>
    <n v="3300000"/>
    <n v="6750000"/>
    <m/>
    <m/>
    <n v="13500000"/>
    <x v="4"/>
    <m/>
    <m/>
    <s v=""/>
    <m/>
    <s v=""/>
    <m/>
    <s v=""/>
  </r>
  <r>
    <s v="MKE Airport"/>
    <x v="0"/>
    <m/>
    <x v="0"/>
    <x v="0"/>
    <x v="1"/>
    <x v="3"/>
    <s v="Milwaukee"/>
    <x v="1"/>
    <s v="Milwaukee"/>
    <s v="Direct"/>
    <n v="370972"/>
    <m/>
    <m/>
    <m/>
    <n v="1970"/>
    <x v="9"/>
    <n v="9250000"/>
    <n v="3230000"/>
    <s v="N/A"/>
    <n v="8.7068565821679265"/>
    <d v="2020-09-30T00:00:00"/>
    <m/>
    <x v="0"/>
    <n v="4720000"/>
    <x v="0"/>
    <x v="0"/>
    <m/>
    <m/>
    <m/>
    <m/>
    <n v="4720000"/>
    <x v="5"/>
    <m/>
    <m/>
    <s v=""/>
    <m/>
    <s v=""/>
    <m/>
    <s v=""/>
  </r>
  <r>
    <s v="Park Industrial"/>
    <x v="0"/>
    <m/>
    <x v="0"/>
    <x v="0"/>
    <x v="1"/>
    <x v="3"/>
    <s v="Plymouth"/>
    <x v="2"/>
    <s v="Minneapolis"/>
    <s v="Biynah"/>
    <n v="232676"/>
    <m/>
    <m/>
    <m/>
    <s v="1972-1979"/>
    <x v="10"/>
    <n v="8000000"/>
    <n v="13300000"/>
    <s v="N/A"/>
    <n v="57.161030789595834"/>
    <d v="2020-09-30T00:00:00"/>
    <m/>
    <x v="0"/>
    <n v="2765000"/>
    <x v="0"/>
    <x v="0"/>
    <m/>
    <n v="1185000"/>
    <m/>
    <m/>
    <n v="3950000"/>
    <x v="6"/>
    <m/>
    <m/>
    <s v=""/>
    <m/>
    <s v=""/>
    <m/>
    <s v=""/>
  </r>
  <r>
    <s v="Lakewood Flats"/>
    <x v="0"/>
    <m/>
    <x v="0"/>
    <x v="0"/>
    <x v="0"/>
    <x v="0"/>
    <s v="Dallas"/>
    <x v="0"/>
    <s v="Dallas"/>
    <s v="Direct"/>
    <n v="338649"/>
    <n v="435"/>
    <m/>
    <m/>
    <n v="2013"/>
    <x v="11"/>
    <n v="68750000"/>
    <n v="76390000"/>
    <n v="175609.19540229885"/>
    <n v="225.57279070660181"/>
    <d v="2020-09-30T00:00:00"/>
    <m/>
    <x v="0"/>
    <n v="3277933.0900000003"/>
    <x v="0"/>
    <x v="0"/>
    <m/>
    <n v="29501397.789999999"/>
    <m/>
    <m/>
    <n v="32779330.879999999"/>
    <x v="7"/>
    <m/>
    <m/>
    <s v=""/>
    <m/>
    <s v=""/>
    <m/>
    <s v=""/>
  </r>
  <r>
    <s v="West Grove on the Lake"/>
    <x v="0"/>
    <m/>
    <x v="0"/>
    <x v="0"/>
    <x v="0"/>
    <x v="0"/>
    <s v="Waukesha"/>
    <x v="1"/>
    <s v="Milwaukee"/>
    <s v="Direct"/>
    <n v="483034"/>
    <n v="476"/>
    <m/>
    <m/>
    <s v="1976-1991"/>
    <x v="12"/>
    <n v="36500000"/>
    <n v="58640000"/>
    <n v="123193.27731092437"/>
    <n v="121.39932178687215"/>
    <d v="2020-09-30T00:00:00"/>
    <m/>
    <x v="0"/>
    <n v="2200000"/>
    <x v="1"/>
    <x v="0"/>
    <n v="5500000"/>
    <m/>
    <m/>
    <m/>
    <n v="14650000"/>
    <x v="8"/>
    <m/>
    <m/>
    <s v=""/>
    <m/>
    <s v=""/>
    <m/>
    <s v=""/>
  </r>
  <r>
    <s v="Mercer Crossing"/>
    <x v="0"/>
    <m/>
    <x v="0"/>
    <x v="0"/>
    <x v="0"/>
    <x v="0"/>
    <s v="Dallas"/>
    <x v="0"/>
    <s v="Dallas"/>
    <s v="Direct"/>
    <n v="476792"/>
    <n v="509"/>
    <m/>
    <m/>
    <s v="2014/2016"/>
    <x v="13"/>
    <n v="85698000"/>
    <n v="94880000"/>
    <n v="186404.71512770138"/>
    <n v="198.99662746019229"/>
    <d v="2020-09-30T00:00:00"/>
    <m/>
    <x v="0"/>
    <n v="1500000"/>
    <x v="2"/>
    <x v="0"/>
    <n v="5775000"/>
    <n v="16200000"/>
    <m/>
    <m/>
    <n v="32400000"/>
    <x v="9"/>
    <m/>
    <m/>
    <s v=""/>
    <m/>
    <s v=""/>
    <m/>
    <s v=""/>
  </r>
  <r>
    <s v="Breckenridge Park"/>
    <x v="1"/>
    <m/>
    <x v="0"/>
    <x v="0"/>
    <x v="1"/>
    <x v="3"/>
    <s v="Tampa"/>
    <x v="3"/>
    <s v="Tampa"/>
    <s v="Direct"/>
    <n v="334279"/>
    <m/>
    <m/>
    <m/>
    <s v="1983-1988"/>
    <x v="14"/>
    <n v="22500000"/>
    <s v="N/A - Sold"/>
    <s v="N/A - Sold"/>
    <s v="N/A - Sold"/>
    <s v="N/A - Sold"/>
    <m/>
    <x v="0"/>
    <n v="2000000"/>
    <x v="3"/>
    <x v="0"/>
    <n v="4000000"/>
    <m/>
    <m/>
    <m/>
    <n v="11900000"/>
    <x v="10"/>
    <d v="2020-09-22T00:00:00"/>
    <n v="32743000"/>
    <n v="3.0630136986301371"/>
    <n v="21690752.806912534"/>
    <n v="1.8227523367153391"/>
    <n v="0.28710000000000002"/>
    <n v="0.26860876824785218"/>
  </r>
  <r>
    <s v="Gateway Oaks"/>
    <x v="0"/>
    <m/>
    <x v="0"/>
    <x v="0"/>
    <x v="0"/>
    <x v="0"/>
    <s v="Forney"/>
    <x v="0"/>
    <s v="Dallas"/>
    <s v="Direct"/>
    <n v="269086"/>
    <n v="313"/>
    <m/>
    <m/>
    <n v="2016"/>
    <x v="15"/>
    <n v="39000000"/>
    <n v="44680000"/>
    <n v="142747.60383386581"/>
    <n v="166.0435697137718"/>
    <d v="2020-09-30T00:00:00"/>
    <m/>
    <x v="0"/>
    <m/>
    <x v="4"/>
    <x v="0"/>
    <m/>
    <n v="7500000"/>
    <n v="3555000"/>
    <m/>
    <n v="15000000"/>
    <x v="0"/>
    <m/>
    <m/>
    <s v=""/>
    <m/>
    <s v=""/>
    <m/>
    <s v=""/>
  </r>
  <r>
    <s v="MSP SW Industrial"/>
    <x v="0"/>
    <m/>
    <x v="0"/>
    <x v="0"/>
    <x v="1"/>
    <x v="3"/>
    <s v="Minneapolis"/>
    <x v="2"/>
    <s v="Minneapolis"/>
    <s v="Westmount"/>
    <n v="845622"/>
    <m/>
    <m/>
    <m/>
    <s v="1970-1988"/>
    <x v="16"/>
    <n v="38350000"/>
    <n v="44970000"/>
    <s v="N/A"/>
    <n v="53.179789551359825"/>
    <d v="2020-09-30T00:00:00"/>
    <m/>
    <x v="0"/>
    <m/>
    <x v="5"/>
    <x v="0"/>
    <n v="7775000"/>
    <n v="807000"/>
    <m/>
    <m/>
    <n v="16140000"/>
    <x v="0"/>
    <m/>
    <m/>
    <s v=""/>
    <m/>
    <s v=""/>
    <m/>
    <s v=""/>
  </r>
  <r>
    <s v="Northern Lights"/>
    <x v="0"/>
    <m/>
    <x v="0"/>
    <x v="0"/>
    <x v="1"/>
    <x v="3"/>
    <s v="Bloomington"/>
    <x v="2"/>
    <s v="Minneapolis"/>
    <s v="Hoyt"/>
    <n v="195770"/>
    <m/>
    <m/>
    <m/>
    <s v="1983-1989"/>
    <x v="17"/>
    <n v="11880000"/>
    <n v="11570000"/>
    <s v="N/A"/>
    <n v="59.09996424375543"/>
    <d v="2020-09-30T00:00:00"/>
    <m/>
    <x v="0"/>
    <m/>
    <x v="6"/>
    <x v="0"/>
    <m/>
    <n v="3277972.99"/>
    <m/>
    <m/>
    <n v="6555945.9800000004"/>
    <x v="0"/>
    <m/>
    <m/>
    <s v=""/>
    <m/>
    <s v=""/>
    <m/>
    <s v=""/>
  </r>
  <r>
    <s v="Century Plaza"/>
    <x v="0"/>
    <m/>
    <x v="0"/>
    <x v="0"/>
    <x v="3"/>
    <x v="4"/>
    <s v="Minneapolis"/>
    <x v="2"/>
    <s v="Minneapolis"/>
    <s v="Hempel"/>
    <n v="297650"/>
    <m/>
    <m/>
    <m/>
    <n v="1983"/>
    <x v="17"/>
    <n v="2500000"/>
    <n v="2500000"/>
    <s v="N/A"/>
    <n v="8.399126490844953"/>
    <d v="2020-09-30T00:00:00"/>
    <m/>
    <x v="0"/>
    <n v="1000000"/>
    <x v="7"/>
    <x v="0"/>
    <m/>
    <m/>
    <m/>
    <m/>
    <n v="2500000"/>
    <x v="11"/>
    <m/>
    <m/>
    <s v=""/>
    <m/>
    <s v=""/>
    <m/>
    <s v=""/>
  </r>
  <r>
    <s v="Camelback Flats (fka Sienna Springs)"/>
    <x v="0"/>
    <m/>
    <x v="0"/>
    <x v="0"/>
    <x v="0"/>
    <x v="0"/>
    <s v="Phoenix"/>
    <x v="4"/>
    <s v="Phoenix"/>
    <s v="BH Equities"/>
    <n v="201298"/>
    <n v="395"/>
    <m/>
    <m/>
    <n v="1974"/>
    <x v="18"/>
    <n v="29000000"/>
    <n v="43660000"/>
    <n v="110531.64556962025"/>
    <n v="216.89236852825164"/>
    <d v="2020-09-30T00:00:00"/>
    <m/>
    <x v="0"/>
    <n v="2500000"/>
    <x v="8"/>
    <x v="0"/>
    <m/>
    <n v="6900000"/>
    <m/>
    <m/>
    <n v="17250000"/>
    <x v="12"/>
    <m/>
    <m/>
    <s v=""/>
    <m/>
    <s v=""/>
    <m/>
    <s v=""/>
  </r>
  <r>
    <s v="Landings at Carrier Parkway"/>
    <x v="0"/>
    <m/>
    <x v="0"/>
    <x v="0"/>
    <x v="0"/>
    <x v="0"/>
    <s v="Grand Prairie"/>
    <x v="0"/>
    <s v="Dallas"/>
    <s v="Direct"/>
    <n v="228160"/>
    <n v="281"/>
    <m/>
    <m/>
    <n v="2001"/>
    <x v="19"/>
    <n v="30800000"/>
    <n v="36370000"/>
    <n v="129430.60498220641"/>
    <n v="159.40568022440394"/>
    <d v="2020-09-30T00:00:00"/>
    <m/>
    <x v="0"/>
    <m/>
    <x v="9"/>
    <x v="0"/>
    <m/>
    <n v="7300000"/>
    <m/>
    <m/>
    <n v="14600000"/>
    <x v="0"/>
    <m/>
    <m/>
    <s v=""/>
    <m/>
    <s v=""/>
    <m/>
    <s v=""/>
  </r>
  <r>
    <s v="Boone Plaza"/>
    <x v="0"/>
    <m/>
    <x v="0"/>
    <x v="0"/>
    <x v="1"/>
    <x v="3"/>
    <s v="Golden Valley"/>
    <x v="2"/>
    <s v="Minneapolis"/>
    <s v="Big River"/>
    <n v="124068"/>
    <m/>
    <m/>
    <m/>
    <n v="1984"/>
    <x v="20"/>
    <n v="8500000"/>
    <n v="9880000"/>
    <s v="N/A"/>
    <n v="79.633749234290875"/>
    <d v="2020-09-30T00:00:00"/>
    <m/>
    <x v="0"/>
    <m/>
    <x v="10"/>
    <x v="0"/>
    <m/>
    <n v="368300"/>
    <m/>
    <m/>
    <n v="3683000"/>
    <x v="0"/>
    <m/>
    <m/>
    <s v=""/>
    <m/>
    <s v=""/>
    <m/>
    <s v=""/>
  </r>
  <r>
    <s v="Manor Homes at Eagle Glen"/>
    <x v="0"/>
    <m/>
    <x v="0"/>
    <x v="0"/>
    <x v="0"/>
    <x v="0"/>
    <s v="Raymore"/>
    <x v="5"/>
    <s v="Kansas City"/>
    <s v="CRA"/>
    <n v="231011"/>
    <n v="269"/>
    <m/>
    <m/>
    <n v="2008"/>
    <x v="21"/>
    <n v="35025000"/>
    <n v="37440000"/>
    <n v="139182.156133829"/>
    <n v="162.0702044491388"/>
    <d v="2020-09-30T00:00:00"/>
    <m/>
    <x v="0"/>
    <m/>
    <x v="11"/>
    <x v="0"/>
    <n v="2500000"/>
    <n v="2672000"/>
    <m/>
    <m/>
    <n v="13360000"/>
    <x v="0"/>
    <m/>
    <m/>
    <s v=""/>
    <m/>
    <s v=""/>
    <m/>
    <s v=""/>
  </r>
  <r>
    <s v="Trails at Creekside"/>
    <x v="0"/>
    <m/>
    <x v="0"/>
    <x v="0"/>
    <x v="0"/>
    <x v="0"/>
    <s v="Allen"/>
    <x v="0"/>
    <s v="Dallas"/>
    <s v="Direct"/>
    <n v="419822"/>
    <n v="444"/>
    <m/>
    <m/>
    <n v="2014"/>
    <x v="22"/>
    <n v="73500000"/>
    <n v="75400000"/>
    <n v="169819.81981981982"/>
    <n v="179.59992568278938"/>
    <d v="2020-09-30T00:00:00"/>
    <m/>
    <x v="0"/>
    <n v="6340000"/>
    <x v="12"/>
    <x v="0"/>
    <n v="11060000"/>
    <m/>
    <n v="2800000"/>
    <m/>
    <n v="29200000"/>
    <x v="13"/>
    <m/>
    <m/>
    <s v=""/>
    <m/>
    <s v=""/>
    <m/>
    <s v=""/>
  </r>
  <r>
    <s v="Twin Pine"/>
    <x v="0"/>
    <m/>
    <x v="0"/>
    <x v="0"/>
    <x v="2"/>
    <x v="2"/>
    <s v="Lisbon, WI"/>
    <x v="1"/>
    <s v="Milwaukee"/>
    <s v="Direct"/>
    <m/>
    <m/>
    <m/>
    <m/>
    <s v="N/A"/>
    <x v="23"/>
    <n v="3150000"/>
    <n v="2126500"/>
    <s v="N/A"/>
    <m/>
    <d v="2020-09-30T00:00:00"/>
    <m/>
    <x v="0"/>
    <m/>
    <x v="13"/>
    <x v="0"/>
    <m/>
    <m/>
    <m/>
    <m/>
    <n v="870698.56"/>
    <x v="0"/>
    <m/>
    <m/>
    <s v=""/>
    <m/>
    <s v=""/>
    <m/>
    <s v=""/>
  </r>
  <r>
    <s v="Concorde Executive Center"/>
    <x v="0"/>
    <m/>
    <x v="0"/>
    <x v="0"/>
    <x v="1"/>
    <x v="5"/>
    <s v="Minneapolis"/>
    <x v="2"/>
    <s v="Minneapolis"/>
    <s v="Hempel"/>
    <n v="104082"/>
    <m/>
    <m/>
    <m/>
    <n v="1986"/>
    <x v="24"/>
    <n v="5450000"/>
    <n v="7920000"/>
    <s v="N/A"/>
    <n v="76.093849080532664"/>
    <d v="2020-09-30T00:00:00"/>
    <m/>
    <x v="0"/>
    <m/>
    <x v="14"/>
    <x v="0"/>
    <m/>
    <n v="604733"/>
    <m/>
    <m/>
    <n v="2418931"/>
    <x v="0"/>
    <m/>
    <m/>
    <s v=""/>
    <m/>
    <s v=""/>
    <m/>
    <s v=""/>
  </r>
  <r>
    <s v="Tempe Metro"/>
    <x v="0"/>
    <m/>
    <x v="0"/>
    <x v="0"/>
    <x v="0"/>
    <x v="0"/>
    <s v="Phoenix"/>
    <x v="4"/>
    <s v="Phoenix"/>
    <s v="CRA"/>
    <n v="265021"/>
    <n v="408"/>
    <m/>
    <m/>
    <n v="2009"/>
    <x v="25"/>
    <n v="53500000"/>
    <n v="67800000"/>
    <n v="166176.4705882353"/>
    <n v="255.82878337943032"/>
    <d v="2020-09-30T00:00:00"/>
    <m/>
    <x v="0"/>
    <n v="5000000"/>
    <x v="15"/>
    <x v="1"/>
    <m/>
    <n v="5407500"/>
    <m/>
    <m/>
    <n v="25750000"/>
    <x v="14"/>
    <m/>
    <m/>
    <s v=""/>
    <m/>
    <s v=""/>
    <m/>
    <s v=""/>
  </r>
  <r>
    <s v="Crenshaw Grand"/>
    <x v="0"/>
    <m/>
    <x v="0"/>
    <x v="0"/>
    <x v="0"/>
    <x v="0"/>
    <s v="Pasadena"/>
    <x v="0"/>
    <s v="Houston"/>
    <s v="Direct"/>
    <n v="221712"/>
    <n v="264"/>
    <m/>
    <m/>
    <n v="2015"/>
    <x v="26"/>
    <n v="35570000"/>
    <n v="41000000"/>
    <n v="155303.0303030303"/>
    <n v="184.92458685141085"/>
    <d v="2020-09-30T00:00:00"/>
    <m/>
    <x v="0"/>
    <n v="2000000"/>
    <x v="16"/>
    <x v="2"/>
    <m/>
    <m/>
    <m/>
    <m/>
    <n v="14150000"/>
    <x v="10"/>
    <m/>
    <m/>
    <s v=""/>
    <m/>
    <s v=""/>
    <m/>
    <s v=""/>
  </r>
  <r>
    <s v="Midwest CCC Portfolio"/>
    <x v="0"/>
    <s v="Midwest CCC"/>
    <x v="0"/>
    <x v="0"/>
    <x v="1"/>
    <x v="3"/>
    <s v="Columbus/Cincinnati"/>
    <x v="6"/>
    <s v="Columbus/Cincinnati"/>
    <s v="Westmount"/>
    <n v="1204553"/>
    <m/>
    <m/>
    <m/>
    <s v="1970-1999"/>
    <x v="27"/>
    <n v="55350000"/>
    <n v="62640000"/>
    <s v="N/A"/>
    <n v="52.002693115205389"/>
    <d v="2020-09-30T00:00:00"/>
    <m/>
    <x v="0"/>
    <n v="2235779.1752322181"/>
    <x v="17"/>
    <x v="3"/>
    <n v="3252791.065254977"/>
    <n v="852313.60823769646"/>
    <m/>
    <m/>
    <n v="17046272.164753929"/>
    <x v="15"/>
    <m/>
    <m/>
    <s v=""/>
    <m/>
    <s v=""/>
    <m/>
    <s v=""/>
  </r>
  <r>
    <s v="Midwest CCC Portfolio"/>
    <x v="0"/>
    <s v="Midwest CCC"/>
    <x v="1"/>
    <x v="0"/>
    <x v="1"/>
    <x v="3"/>
    <s v="Florence"/>
    <x v="7"/>
    <s v="Cincinnati"/>
    <s v="Westmount"/>
    <n v="134200"/>
    <m/>
    <m/>
    <m/>
    <s v="1970-1999"/>
    <x v="27"/>
    <m/>
    <m/>
    <m/>
    <m/>
    <m/>
    <m/>
    <x v="0"/>
    <n v="249089.55049397054"/>
    <x v="18"/>
    <x v="4"/>
    <n v="362395.47861922049"/>
    <n v="94956.789967314748"/>
    <m/>
    <m/>
    <n v="1899135.799346295"/>
    <x v="16"/>
    <m/>
    <m/>
    <s v=""/>
    <m/>
    <s v=""/>
    <m/>
    <s v=""/>
  </r>
  <r>
    <s v="Midwest CCC Portfolio"/>
    <x v="0"/>
    <s v="Midwest CCC"/>
    <x v="1"/>
    <x v="0"/>
    <x v="1"/>
    <x v="3"/>
    <s v="St. Alsip"/>
    <x v="8"/>
    <s v="Chicago"/>
    <s v="Westmount"/>
    <n v="123986"/>
    <m/>
    <m/>
    <m/>
    <s v="1970-1999"/>
    <x v="27"/>
    <m/>
    <m/>
    <m/>
    <m/>
    <m/>
    <m/>
    <x v="0"/>
    <n v="230131.27427381097"/>
    <x v="19"/>
    <x v="5"/>
    <n v="334813.45612580236"/>
    <n v="87729.601794988717"/>
    <m/>
    <m/>
    <n v="1754592.0358997742"/>
    <x v="17"/>
    <m/>
    <m/>
    <s v=""/>
    <m/>
    <s v=""/>
    <m/>
    <s v=""/>
  </r>
  <r>
    <s v="Aspire Townhomes"/>
    <x v="0"/>
    <m/>
    <x v="0"/>
    <x v="0"/>
    <x v="0"/>
    <x v="0"/>
    <s v="Desmoines"/>
    <x v="9"/>
    <s v="Desmoines"/>
    <s v="Four Mile"/>
    <n v="332180"/>
    <n v="222"/>
    <m/>
    <m/>
    <n v="2017"/>
    <x v="28"/>
    <n v="40250000"/>
    <n v="45340000"/>
    <n v="204234.23423423423"/>
    <n v="136.49226323077849"/>
    <d v="2020-09-30T00:00:00"/>
    <m/>
    <x v="0"/>
    <m/>
    <x v="20"/>
    <x v="2"/>
    <m/>
    <n v="3872157"/>
    <m/>
    <m/>
    <n v="15488628"/>
    <x v="0"/>
    <m/>
    <m/>
    <s v=""/>
    <m/>
    <s v=""/>
    <m/>
    <s v=""/>
  </r>
  <r>
    <s v="Copperfield Apartments"/>
    <x v="0"/>
    <m/>
    <x v="0"/>
    <x v="0"/>
    <x v="0"/>
    <x v="0"/>
    <s v="Fort Worth"/>
    <x v="0"/>
    <s v="Dallas"/>
    <s v="Direct"/>
    <n v="232775"/>
    <n v="323"/>
    <m/>
    <m/>
    <n v="1985"/>
    <x v="29"/>
    <n v="26750000"/>
    <n v="32570000"/>
    <n v="100835.9133126935"/>
    <n v="139.92052411126625"/>
    <d v="2020-09-30T00:00:00"/>
    <m/>
    <x v="0"/>
    <m/>
    <x v="21"/>
    <x v="2"/>
    <m/>
    <m/>
    <m/>
    <m/>
    <n v="12550000"/>
    <x v="0"/>
    <m/>
    <m/>
    <s v=""/>
    <m/>
    <s v=""/>
    <m/>
    <s v=""/>
  </r>
  <r>
    <s v="Frederick Lofts"/>
    <x v="0"/>
    <m/>
    <x v="0"/>
    <x v="0"/>
    <x v="0"/>
    <x v="0"/>
    <s v="Milwaukee"/>
    <x v="1"/>
    <s v="Milwaukee"/>
    <s v="Direct"/>
    <n v="70473"/>
    <n v="100"/>
    <m/>
    <m/>
    <n v="2015"/>
    <x v="30"/>
    <n v="16000000"/>
    <n v="16200000"/>
    <n v="162000"/>
    <n v="229.87527138052872"/>
    <d v="2020-09-30T00:00:00"/>
    <m/>
    <x v="0"/>
    <m/>
    <x v="22"/>
    <x v="0"/>
    <m/>
    <m/>
    <m/>
    <m/>
    <n v="6087942.2999999998"/>
    <x v="0"/>
    <m/>
    <m/>
    <s v=""/>
    <m/>
    <s v=""/>
    <m/>
    <s v=""/>
  </r>
  <r>
    <s v="Grove Parkview"/>
    <x v="0"/>
    <m/>
    <x v="0"/>
    <x v="0"/>
    <x v="0"/>
    <x v="0"/>
    <s v="Stone Mountain"/>
    <x v="10"/>
    <s v="Atlanta"/>
    <s v="Bel Canto"/>
    <n v="232140"/>
    <n v="268"/>
    <m/>
    <m/>
    <n v="1989"/>
    <x v="31"/>
    <n v="31250000"/>
    <n v="40800000"/>
    <n v="152238.80597014926"/>
    <n v="175.7560093047299"/>
    <d v="2020-09-30T00:00:00"/>
    <m/>
    <x v="0"/>
    <m/>
    <x v="23"/>
    <x v="6"/>
    <m/>
    <n v="3315000"/>
    <m/>
    <m/>
    <n v="11050000"/>
    <x v="0"/>
    <m/>
    <m/>
    <s v=""/>
    <m/>
    <s v=""/>
    <m/>
    <s v=""/>
  </r>
  <r>
    <s v="Botanica Cottages"/>
    <x v="0"/>
    <m/>
    <x v="0"/>
    <x v="0"/>
    <x v="0"/>
    <x v="0"/>
    <s v="Limerick"/>
    <x v="11"/>
    <s v="Philadelphia"/>
    <s v="Bel Canto"/>
    <n v="216254"/>
    <n v="198"/>
    <m/>
    <m/>
    <n v="1999"/>
    <x v="31"/>
    <n v="38250000"/>
    <n v="44750000"/>
    <n v="226010.101010101"/>
    <n v="206.93258853015436"/>
    <d v="2020-09-30T00:00:00"/>
    <m/>
    <x v="0"/>
    <m/>
    <x v="24"/>
    <x v="7"/>
    <m/>
    <n v="2619600"/>
    <m/>
    <m/>
    <n v="13098000"/>
    <x v="0"/>
    <m/>
    <m/>
    <s v=""/>
    <m/>
    <s v=""/>
    <m/>
    <s v=""/>
  </r>
  <r>
    <s v="Apple Glen"/>
    <x v="0"/>
    <m/>
    <x v="0"/>
    <x v="1"/>
    <x v="0"/>
    <x v="0"/>
    <s v="New Berlin"/>
    <x v="1"/>
    <s v="Milwaukee"/>
    <s v="Direct"/>
    <n v="76960"/>
    <n v="80"/>
    <m/>
    <m/>
    <n v="1986"/>
    <x v="32"/>
    <n v="7500000"/>
    <n v="9700000"/>
    <n v="121250"/>
    <n v="126.03950103950103"/>
    <d v="2020-09-30T00:00:00"/>
    <m/>
    <x v="0"/>
    <m/>
    <x v="0"/>
    <x v="0"/>
    <m/>
    <m/>
    <n v="7500000"/>
    <m/>
    <n v="7500000"/>
    <x v="0"/>
    <m/>
    <m/>
    <s v=""/>
    <m/>
    <s v=""/>
    <m/>
    <s v=""/>
  </r>
  <r>
    <s v="Hawthorne Terrace"/>
    <x v="0"/>
    <m/>
    <x v="0"/>
    <x v="1"/>
    <x v="0"/>
    <x v="0"/>
    <s v="Wauwatosa"/>
    <x v="1"/>
    <s v="Milwaukee"/>
    <s v="Direct"/>
    <n v="92375"/>
    <n v="100"/>
    <m/>
    <m/>
    <s v="1931/1986"/>
    <x v="32"/>
    <n v="10000000"/>
    <n v="11340000"/>
    <n v="113400"/>
    <n v="122.76048714479026"/>
    <d v="2020-09-30T00:00:00"/>
    <m/>
    <x v="0"/>
    <m/>
    <x v="0"/>
    <x v="0"/>
    <m/>
    <m/>
    <n v="10000000"/>
    <m/>
    <n v="10000000"/>
    <x v="0"/>
    <m/>
    <m/>
    <s v=""/>
    <m/>
    <s v=""/>
    <m/>
    <s v=""/>
  </r>
  <r>
    <s v="Park Crossing"/>
    <x v="0"/>
    <m/>
    <x v="0"/>
    <x v="0"/>
    <x v="0"/>
    <x v="0"/>
    <s v="Lilburn"/>
    <x v="10"/>
    <s v="Atlanta"/>
    <s v="OREI"/>
    <n v="285412"/>
    <n v="280"/>
    <m/>
    <m/>
    <n v="1985"/>
    <x v="33"/>
    <n v="31050000"/>
    <n v="37040000"/>
    <n v="132285.71428571429"/>
    <n v="129.77730438804255"/>
    <d v="2020-09-30T00:00:00"/>
    <m/>
    <x v="0"/>
    <m/>
    <x v="0"/>
    <x v="8"/>
    <m/>
    <n v="1279600"/>
    <m/>
    <m/>
    <n v="12796000"/>
    <x v="0"/>
    <m/>
    <m/>
    <s v=""/>
    <m/>
    <s v=""/>
    <m/>
    <s v=""/>
  </r>
  <r>
    <s v="1300 Plum Grove Road"/>
    <x v="0"/>
    <m/>
    <x v="0"/>
    <x v="0"/>
    <x v="1"/>
    <x v="3"/>
    <s v="Schaumburg"/>
    <x v="8"/>
    <s v="Chicago"/>
    <s v="Direct"/>
    <n v="72461"/>
    <m/>
    <m/>
    <m/>
    <n v="1984"/>
    <x v="34"/>
    <n v="3200000"/>
    <n v="3790000"/>
    <s v="N/A"/>
    <n v="52.303998012724087"/>
    <d v="2020-09-30T00:00:00"/>
    <m/>
    <x v="0"/>
    <m/>
    <x v="0"/>
    <x v="9"/>
    <m/>
    <m/>
    <m/>
    <m/>
    <n v="1900000"/>
    <x v="0"/>
    <m/>
    <m/>
    <s v=""/>
    <m/>
    <s v=""/>
    <m/>
    <s v=""/>
  </r>
  <r>
    <s v="Turnbury at Countryside"/>
    <x v="0"/>
    <m/>
    <x v="0"/>
    <x v="0"/>
    <x v="0"/>
    <x v="0"/>
    <s v="Clearwater"/>
    <x v="3"/>
    <s v="Tampa"/>
    <s v="Direct"/>
    <n v="293770"/>
    <n v="350"/>
    <m/>
    <m/>
    <n v="1974"/>
    <x v="35"/>
    <n v="39100000"/>
    <n v="41200000"/>
    <n v="117714.28571428571"/>
    <n v="140.24577050073185"/>
    <d v="2020-09-30T00:00:00"/>
    <m/>
    <x v="0"/>
    <m/>
    <x v="25"/>
    <x v="10"/>
    <m/>
    <m/>
    <m/>
    <m/>
    <n v="18200000"/>
    <x v="0"/>
    <m/>
    <m/>
    <s v=""/>
    <m/>
    <s v=""/>
    <m/>
    <s v=""/>
  </r>
  <r>
    <s v="Park Avenue"/>
    <x v="0"/>
    <m/>
    <x v="0"/>
    <x v="0"/>
    <x v="0"/>
    <x v="0"/>
    <s v="Gainesville"/>
    <x v="3"/>
    <s v="Gainesville"/>
    <s v="Direct"/>
    <n v="288960"/>
    <n v="298"/>
    <m/>
    <m/>
    <n v="2016"/>
    <x v="36"/>
    <n v="56000000"/>
    <n v="57580000"/>
    <n v="193221.47651006712"/>
    <n v="199.26633444075304"/>
    <d v="2020-09-30T00:00:00"/>
    <m/>
    <x v="0"/>
    <m/>
    <x v="26"/>
    <x v="11"/>
    <m/>
    <m/>
    <m/>
    <m/>
    <n v="19700000"/>
    <x v="0"/>
    <m/>
    <m/>
    <s v=""/>
    <m/>
    <s v=""/>
    <m/>
    <s v=""/>
  </r>
  <r>
    <s v="City Chase"/>
    <x v="0"/>
    <s v="Toro"/>
    <x v="0"/>
    <x v="0"/>
    <x v="0"/>
    <x v="0"/>
    <s v="Houston"/>
    <x v="0"/>
    <s v="Houston"/>
    <s v="Direct"/>
    <n v="278802"/>
    <n v="366"/>
    <m/>
    <m/>
    <n v="1981"/>
    <x v="37"/>
    <n v="32000000"/>
    <n v="32000000"/>
    <n v="87431.693989071035"/>
    <n v="114.77679500147057"/>
    <d v="2020-09-30T00:00:00"/>
    <m/>
    <x v="0"/>
    <m/>
    <x v="27"/>
    <x v="12"/>
    <n v="4432217.1945701363"/>
    <m/>
    <m/>
    <m/>
    <n v="10352941.176470589"/>
    <x v="0"/>
    <m/>
    <m/>
    <s v=""/>
    <m/>
    <s v=""/>
    <m/>
    <s v=""/>
  </r>
  <r>
    <s v="City Terrace"/>
    <x v="0"/>
    <s v="Toro"/>
    <x v="0"/>
    <x v="0"/>
    <x v="0"/>
    <x v="0"/>
    <s v="Houston"/>
    <x v="0"/>
    <s v="Houston"/>
    <s v="Direct"/>
    <n v="146892"/>
    <n v="122"/>
    <m/>
    <m/>
    <n v="1971"/>
    <x v="37"/>
    <n v="15000000"/>
    <n v="15000000"/>
    <n v="122950.81967213115"/>
    <n v="102.11584020913324"/>
    <d v="2020-09-30T00:00:00"/>
    <m/>
    <x v="0"/>
    <m/>
    <x v="28"/>
    <x v="13"/>
    <n v="2077601.8099547511"/>
    <m/>
    <m/>
    <m/>
    <n v="4852941.176470588"/>
    <x v="0"/>
    <m/>
    <m/>
    <s v=""/>
    <m/>
    <s v=""/>
    <m/>
    <s v=""/>
  </r>
  <r>
    <s v="City Gate of Champions"/>
    <x v="0"/>
    <s v="Toro"/>
    <x v="0"/>
    <x v="0"/>
    <x v="0"/>
    <x v="0"/>
    <s v="Houston"/>
    <x v="0"/>
    <s v="Houston"/>
    <s v="Direct"/>
    <n v="243092"/>
    <n v="278"/>
    <m/>
    <m/>
    <n v="1978"/>
    <x v="37"/>
    <n v="23750000"/>
    <n v="23750000"/>
    <n v="85431.654676258986"/>
    <n v="97.699636351669326"/>
    <d v="2020-09-30T00:00:00"/>
    <m/>
    <x v="0"/>
    <m/>
    <x v="29"/>
    <x v="14"/>
    <n v="3289536.1990950224"/>
    <m/>
    <m/>
    <m/>
    <n v="7683823.5294117648"/>
    <x v="0"/>
    <m/>
    <m/>
    <s v=""/>
    <m/>
    <s v=""/>
    <m/>
    <s v=""/>
  </r>
  <r>
    <s v="City Station"/>
    <x v="0"/>
    <s v="Toro"/>
    <x v="0"/>
    <x v="0"/>
    <x v="0"/>
    <x v="0"/>
    <s v="Houston"/>
    <x v="0"/>
    <s v="Houston"/>
    <s v="Direct"/>
    <n v="348292"/>
    <n v="432"/>
    <m/>
    <m/>
    <n v="1981"/>
    <x v="37"/>
    <n v="30000000"/>
    <n v="30000000"/>
    <n v="69444.444444444438"/>
    <n v="86.134622672929609"/>
    <d v="2020-09-30T00:00:00"/>
    <m/>
    <x v="0"/>
    <m/>
    <x v="30"/>
    <x v="15"/>
    <n v="4155203.6199095021"/>
    <m/>
    <m/>
    <m/>
    <n v="9705882.3529411759"/>
    <x v="0"/>
    <m/>
    <m/>
    <s v=""/>
    <m/>
    <s v=""/>
    <m/>
    <s v=""/>
  </r>
  <r>
    <s v="Ashford Walnut Creek"/>
    <x v="0"/>
    <s v="Toro"/>
    <x v="0"/>
    <x v="0"/>
    <x v="0"/>
    <x v="0"/>
    <s v="Oklahoma City"/>
    <x v="12"/>
    <s v="Oklahoma City"/>
    <s v="Direct"/>
    <n v="84912"/>
    <n v="104"/>
    <m/>
    <m/>
    <n v="1986"/>
    <x v="37"/>
    <n v="6500000"/>
    <n v="6500000"/>
    <n v="62500"/>
    <n v="76.54983983418127"/>
    <d v="2020-09-30T00:00:00"/>
    <m/>
    <x v="0"/>
    <m/>
    <x v="31"/>
    <x v="16"/>
    <n v="900294.11764705891"/>
    <m/>
    <m/>
    <m/>
    <n v="2102941.1764705884"/>
    <x v="0"/>
    <m/>
    <m/>
    <s v=""/>
    <m/>
    <s v=""/>
    <m/>
    <s v=""/>
  </r>
  <r>
    <s v="Ashford Northwest"/>
    <x v="0"/>
    <s v="Toro"/>
    <x v="0"/>
    <x v="0"/>
    <x v="0"/>
    <x v="0"/>
    <s v="Oklahoma City"/>
    <x v="12"/>
    <s v="Oklahoma City"/>
    <s v="Direct"/>
    <n v="359678"/>
    <n v="458"/>
    <m/>
    <m/>
    <n v="1984"/>
    <x v="37"/>
    <n v="33500000"/>
    <n v="33500000"/>
    <n v="73144.10480349345"/>
    <n v="93.138863094212041"/>
    <d v="2020-09-30T00:00:00"/>
    <m/>
    <x v="0"/>
    <m/>
    <x v="32"/>
    <x v="17"/>
    <n v="4639977.3755656108"/>
    <m/>
    <m/>
    <m/>
    <n v="10838235.294117648"/>
    <x v="0"/>
    <m/>
    <m/>
    <s v=""/>
    <m/>
    <s v=""/>
    <m/>
    <s v=""/>
  </r>
  <r>
    <s v="Ashford Park"/>
    <x v="0"/>
    <s v="Toro"/>
    <x v="0"/>
    <x v="0"/>
    <x v="0"/>
    <x v="0"/>
    <s v="Oklahoma City"/>
    <x v="12"/>
    <s v="Oklahoma City"/>
    <s v="Direct"/>
    <n v="129548"/>
    <n v="152"/>
    <m/>
    <m/>
    <n v="1985"/>
    <x v="37"/>
    <n v="11500000"/>
    <n v="11500000"/>
    <n v="75657.894736842107"/>
    <n v="88.770185568283566"/>
    <d v="2020-09-30T00:00:00"/>
    <m/>
    <x v="0"/>
    <m/>
    <x v="33"/>
    <x v="18"/>
    <n v="1592828.0542986426"/>
    <m/>
    <m/>
    <m/>
    <n v="3720588.2352941176"/>
    <x v="0"/>
    <m/>
    <m/>
    <s v=""/>
    <m/>
    <s v=""/>
    <m/>
    <s v=""/>
  </r>
  <r>
    <s v="The Warwick"/>
    <x v="0"/>
    <s v="Toro"/>
    <x v="0"/>
    <x v="0"/>
    <x v="0"/>
    <x v="0"/>
    <s v="Oklahoma City"/>
    <x v="12"/>
    <s v="Oklahoma City"/>
    <s v="Direct"/>
    <n v="398395"/>
    <n v="423"/>
    <m/>
    <m/>
    <n v="1978"/>
    <x v="37"/>
    <n v="41000000"/>
    <n v="41000000"/>
    <n v="96926.713947990545"/>
    <n v="102.9129381643846"/>
    <d v="2020-09-30T00:00:00"/>
    <m/>
    <x v="0"/>
    <m/>
    <x v="34"/>
    <x v="19"/>
    <n v="5678778.2805429874"/>
    <m/>
    <m/>
    <m/>
    <n v="13264705.882352943"/>
    <x v="0"/>
    <m/>
    <m/>
    <s v=""/>
    <m/>
    <s v=""/>
    <m/>
    <s v=""/>
  </r>
  <r>
    <s v="Ashford Ridge"/>
    <x v="0"/>
    <s v="Toro"/>
    <x v="0"/>
    <x v="0"/>
    <x v="0"/>
    <x v="0"/>
    <s v="Tulsa"/>
    <x v="12"/>
    <s v="Tulsa"/>
    <s v="Direct"/>
    <n v="130550"/>
    <n v="142"/>
    <m/>
    <m/>
    <n v="1984"/>
    <x v="37"/>
    <n v="9250000"/>
    <n v="9250000"/>
    <n v="65140.845070422532"/>
    <n v="70.854078896974343"/>
    <d v="2020-09-30T00:00:00"/>
    <m/>
    <x v="0"/>
    <m/>
    <x v="35"/>
    <x v="20"/>
    <n v="1281187.7828054298"/>
    <m/>
    <m/>
    <m/>
    <n v="2992647.0588235292"/>
    <x v="0"/>
    <m/>
    <m/>
    <s v=""/>
    <m/>
    <s v=""/>
    <m/>
    <s v=""/>
  </r>
  <r>
    <s v="Ashford Overlook"/>
    <x v="0"/>
    <s v="Toro"/>
    <x v="0"/>
    <x v="0"/>
    <x v="0"/>
    <x v="0"/>
    <s v="Tulsa"/>
    <x v="12"/>
    <s v="Tulsa"/>
    <s v="Direct"/>
    <n v="227444"/>
    <n v="284"/>
    <m/>
    <m/>
    <n v="1984"/>
    <x v="37"/>
    <n v="18500000"/>
    <n v="18500000"/>
    <n v="65140.845070422532"/>
    <n v="81.338703153303669"/>
    <d v="2020-09-30T00:00:00"/>
    <m/>
    <x v="0"/>
    <m/>
    <x v="36"/>
    <x v="21"/>
    <n v="2562375.5656108595"/>
    <m/>
    <m/>
    <m/>
    <n v="5985294.1176470583"/>
    <x v="0"/>
    <m/>
    <m/>
    <s v=""/>
    <m/>
    <s v=""/>
    <m/>
    <s v=""/>
  </r>
  <r>
    <s v="Douglas Terrace"/>
    <x v="0"/>
    <m/>
    <x v="0"/>
    <x v="1"/>
    <x v="0"/>
    <x v="0"/>
    <s v="Racine"/>
    <x v="1"/>
    <s v="Milwaukee"/>
    <s v="Direct"/>
    <n v="163760"/>
    <n v="202"/>
    <m/>
    <m/>
    <n v="1966"/>
    <x v="38"/>
    <n v="14000000"/>
    <n v="13940000"/>
    <n v="69009.900990099006"/>
    <n v="85.124572545188073"/>
    <d v="2020-09-30T00:00:00"/>
    <m/>
    <x v="0"/>
    <m/>
    <x v="0"/>
    <x v="0"/>
    <m/>
    <m/>
    <n v="8179995.3200000003"/>
    <m/>
    <n v="8179995.3200000003"/>
    <x v="0"/>
    <m/>
    <m/>
    <s v=""/>
    <m/>
    <s v=""/>
    <m/>
    <s v=""/>
  </r>
  <r>
    <s v="Gateway Pines"/>
    <x v="0"/>
    <m/>
    <x v="0"/>
    <x v="1"/>
    <x v="0"/>
    <x v="0"/>
    <s v="Forney"/>
    <x v="0"/>
    <s v="Dallas"/>
    <s v="Direct"/>
    <n v="272856"/>
    <n v="337"/>
    <m/>
    <m/>
    <n v="2019"/>
    <x v="39"/>
    <n v="46700000"/>
    <n v="47900000"/>
    <n v="142136.49851632048"/>
    <n v="175.55047350983668"/>
    <d v="2020-09-30T00:00:00"/>
    <m/>
    <x v="0"/>
    <m/>
    <x v="0"/>
    <x v="0"/>
    <m/>
    <m/>
    <n v="23058734"/>
    <m/>
    <n v="23058734"/>
    <x v="0"/>
    <m/>
    <m/>
    <s v=""/>
    <m/>
    <s v=""/>
    <m/>
    <s v=""/>
  </r>
  <r>
    <s v="Main Street Plaza"/>
    <x v="0"/>
    <m/>
    <x v="0"/>
    <x v="1"/>
    <x v="0"/>
    <x v="0"/>
    <s v="Waukesha"/>
    <x v="1"/>
    <s v="Milwaukee"/>
    <s v="Direct"/>
    <n v="45820"/>
    <n v="78"/>
    <m/>
    <m/>
    <n v="1998"/>
    <x v="39"/>
    <n v="6735000"/>
    <n v="7780000"/>
    <n v="99743.58974358975"/>
    <n v="169.79484941073767"/>
    <d v="2020-09-30T00:00:00"/>
    <m/>
    <x v="0"/>
    <m/>
    <x v="0"/>
    <x v="0"/>
    <m/>
    <m/>
    <n v="3056134.61"/>
    <m/>
    <n v="3056134.61"/>
    <x v="0"/>
    <m/>
    <m/>
    <s v=""/>
    <m/>
    <s v=""/>
    <m/>
    <s v=""/>
  </r>
  <r>
    <s v="Morgan at Northshore"/>
    <x v="0"/>
    <m/>
    <x v="0"/>
    <x v="0"/>
    <x v="0"/>
    <x v="0"/>
    <s v="Pittsburgh"/>
    <x v="11"/>
    <s v="Pittsburgh"/>
    <s v="Coastal Ridge"/>
    <n v="185884"/>
    <n v="232"/>
    <m/>
    <m/>
    <n v="1997"/>
    <x v="40"/>
    <n v="54000000"/>
    <n v="58360000"/>
    <n v="251551.72413793104"/>
    <n v="313.95924339910914"/>
    <d v="2020-09-30T00:00:00"/>
    <m/>
    <x v="0"/>
    <m/>
    <x v="37"/>
    <x v="11"/>
    <m/>
    <n v="1005000"/>
    <m/>
    <m/>
    <n v="20100000"/>
    <x v="0"/>
    <m/>
    <m/>
    <s v=""/>
    <m/>
    <s v=""/>
    <m/>
    <s v=""/>
  </r>
  <r>
    <s v="Belvedere Springswood"/>
    <x v="0"/>
    <m/>
    <x v="0"/>
    <x v="0"/>
    <x v="0"/>
    <x v="0"/>
    <s v="Houston"/>
    <x v="0"/>
    <s v="Houston"/>
    <s v="Direct"/>
    <n v="323522"/>
    <n v="342"/>
    <m/>
    <m/>
    <n v="2014"/>
    <x v="41"/>
    <n v="54150000"/>
    <n v="54150000"/>
    <n v="158333.33333333334"/>
    <n v="167.37656171759571"/>
    <d v="2020-09-30T00:00:00"/>
    <m/>
    <x v="0"/>
    <m/>
    <x v="0"/>
    <x v="22"/>
    <m/>
    <m/>
    <n v="15055000"/>
    <m/>
    <n v="20465000"/>
    <x v="0"/>
    <m/>
    <m/>
    <s v=""/>
    <m/>
    <s v=""/>
    <m/>
    <s v=""/>
  </r>
  <r>
    <s v="Diamond Mesa"/>
    <x v="0"/>
    <m/>
    <x v="0"/>
    <x v="0"/>
    <x v="0"/>
    <x v="0"/>
    <s v="Albuqueque"/>
    <x v="13"/>
    <s v="Albuqueque"/>
    <s v="CRA"/>
    <n v="493096"/>
    <n v="456"/>
    <m/>
    <m/>
    <n v="2015"/>
    <x v="42"/>
    <n v="73000000"/>
    <n v="73000000"/>
    <n v="160087.71929824562"/>
    <n v="148.04419423398284"/>
    <d v="2020-09-30T00:00:00"/>
    <m/>
    <x v="0"/>
    <m/>
    <x v="0"/>
    <x v="23"/>
    <m/>
    <n v="2350000"/>
    <n v="15769000"/>
    <m/>
    <n v="26194000"/>
    <x v="0"/>
    <m/>
    <m/>
    <s v=""/>
    <m/>
    <s v=""/>
    <m/>
    <s v=""/>
  </r>
  <r>
    <s v="Southtech II"/>
    <x v="0"/>
    <m/>
    <x v="0"/>
    <x v="0"/>
    <x v="1"/>
    <x v="3"/>
    <s v="Bloomington"/>
    <x v="2"/>
    <s v="Minneapolis"/>
    <s v="Hoyt"/>
    <n v="114631"/>
    <m/>
    <m/>
    <m/>
    <n v="1987"/>
    <x v="43"/>
    <n v="6000000"/>
    <n v="6000000"/>
    <s v="N/A"/>
    <n v="52.341862148982386"/>
    <d v="2020-09-30T00:00:00"/>
    <m/>
    <x v="0"/>
    <m/>
    <x v="0"/>
    <x v="24"/>
    <m/>
    <m/>
    <m/>
    <m/>
    <n v="3250000"/>
    <x v="0"/>
    <m/>
    <m/>
    <s v=""/>
    <m/>
    <s v=""/>
    <m/>
    <s v=""/>
  </r>
  <r>
    <s v="Pinewood"/>
    <x v="0"/>
    <m/>
    <x v="0"/>
    <x v="0"/>
    <x v="0"/>
    <x v="0"/>
    <s v="Augusta"/>
    <x v="10"/>
    <s v="Augusta"/>
    <s v="Sterling Group"/>
    <n v="164480"/>
    <n v="160"/>
    <m/>
    <m/>
    <n v="1983"/>
    <x v="44"/>
    <n v="15200000"/>
    <n v="15200000"/>
    <n v="95000"/>
    <n v="92.41245136186771"/>
    <d v="2020-10-29T00:00:00"/>
    <m/>
    <x v="0"/>
    <m/>
    <x v="0"/>
    <x v="25"/>
    <m/>
    <n v="872000"/>
    <m/>
    <m/>
    <n v="8720000"/>
    <x v="0"/>
    <m/>
    <m/>
    <s v=""/>
    <m/>
    <s v=""/>
    <m/>
    <s v=""/>
  </r>
  <r>
    <s v="Agricultural Drive"/>
    <x v="0"/>
    <m/>
    <x v="0"/>
    <x v="1"/>
    <x v="1"/>
    <x v="3"/>
    <s v="Madison"/>
    <x v="1"/>
    <s v="Madison"/>
    <s v="Direct"/>
    <n v="51000"/>
    <m/>
    <m/>
    <m/>
    <s v="1995/1998"/>
    <x v="45"/>
    <n v="3050000"/>
    <n v="3050000"/>
    <s v="N/A"/>
    <n v="59.803921568627452"/>
    <d v="2020-10-20T00:00:00"/>
    <m/>
    <x v="0"/>
    <m/>
    <x v="0"/>
    <x v="0"/>
    <m/>
    <m/>
    <n v="1538205"/>
    <m/>
    <n v="1538205"/>
    <x v="0"/>
    <m/>
    <m/>
    <s v=""/>
    <m/>
    <s v=""/>
    <m/>
    <s v=""/>
  </r>
  <r>
    <s v="Stone Canyon"/>
    <x v="0"/>
    <m/>
    <x v="0"/>
    <x v="0"/>
    <x v="0"/>
    <x v="0"/>
    <s v="Houston"/>
    <x v="0"/>
    <s v="Houston"/>
    <s v="Direct"/>
    <n v="193060"/>
    <n v="216"/>
    <m/>
    <m/>
    <n v="1998"/>
    <x v="44"/>
    <n v="27500000"/>
    <n v="27500000"/>
    <n v="127314.81481481482"/>
    <n v="142.4427639075935"/>
    <d v="2020-10-29T00:00:00"/>
    <m/>
    <x v="0"/>
    <m/>
    <x v="0"/>
    <x v="26"/>
    <n v="8000000"/>
    <m/>
    <m/>
    <m/>
    <n v="10700000"/>
    <x v="0"/>
    <m/>
    <m/>
    <s v=""/>
    <m/>
    <s v=""/>
    <m/>
    <s v=""/>
  </r>
  <r>
    <s v="Park at Palermo"/>
    <x v="2"/>
    <m/>
    <x v="0"/>
    <x v="0"/>
    <x v="0"/>
    <x v="0"/>
    <s v="Tampa"/>
    <x v="3"/>
    <s v="Tampa"/>
    <s v="Blue Roc Premier"/>
    <n v="165460"/>
    <n v="204"/>
    <m/>
    <m/>
    <n v="1986"/>
    <x v="46"/>
    <n v="27200000"/>
    <n v="27200000"/>
    <n v="133333.33333333334"/>
    <n v="164.39018493895804"/>
    <d v="2020-11-17T00:00:00"/>
    <m/>
    <x v="0"/>
    <m/>
    <x v="0"/>
    <x v="27"/>
    <m/>
    <n v="940000"/>
    <m/>
    <m/>
    <n v="9400000"/>
    <x v="0"/>
    <m/>
    <m/>
    <s v=""/>
    <m/>
    <s v=""/>
    <m/>
    <s v=""/>
  </r>
  <r>
    <s v="Avalon Apartments"/>
    <x v="2"/>
    <m/>
    <x v="0"/>
    <x v="0"/>
    <x v="0"/>
    <x v="0"/>
    <s v="Charlotte"/>
    <x v="14"/>
    <s v="Charlotte"/>
    <s v="OREI"/>
    <n v="243140"/>
    <n v="240"/>
    <m/>
    <m/>
    <s v="1999/2002"/>
    <x v="47"/>
    <n v="32220000"/>
    <n v="32220000"/>
    <n v="134250"/>
    <n v="132.5162457843218"/>
    <d v="2020-11-17T00:00:00"/>
    <m/>
    <x v="0"/>
    <m/>
    <x v="0"/>
    <x v="28"/>
    <m/>
    <n v="1265200"/>
    <m/>
    <m/>
    <n v="12652000"/>
    <x v="0"/>
    <m/>
    <m/>
    <s v=""/>
    <m/>
    <s v=""/>
    <m/>
    <s v=""/>
  </r>
  <r>
    <s v="Des Moines Grubb Portfolio"/>
    <x v="2"/>
    <m/>
    <x v="0"/>
    <x v="0"/>
    <x v="0"/>
    <x v="0"/>
    <s v="Des Moines"/>
    <x v="9"/>
    <s v="Des Moines"/>
    <s v="Artisan Capital"/>
    <n v="593419"/>
    <n v="540"/>
    <m/>
    <m/>
    <s v="2014/2017/2020"/>
    <x v="48"/>
    <n v="64500000"/>
    <n v="64500000"/>
    <n v="119444.44444444444"/>
    <n v="108.69217197292301"/>
    <d v="2020-11-17T00:00:00"/>
    <m/>
    <x v="0"/>
    <m/>
    <x v="0"/>
    <x v="29"/>
    <m/>
    <n v="2485000"/>
    <m/>
    <m/>
    <n v="24850000"/>
    <x v="0"/>
    <m/>
    <m/>
    <s v=""/>
    <m/>
    <s v=""/>
    <m/>
    <s v=""/>
  </r>
  <r>
    <s v="Glenbrook "/>
    <x v="1"/>
    <m/>
    <x v="0"/>
    <x v="0"/>
    <x v="0"/>
    <x v="0"/>
    <s v="Dallas"/>
    <x v="0"/>
    <s v="Dallas"/>
    <s v="Direct"/>
    <n v="89196"/>
    <n v="84"/>
    <m/>
    <m/>
    <m/>
    <x v="49"/>
    <n v="1008000"/>
    <s v="N/A - Sold"/>
    <s v="N/A - Sold"/>
    <s v="N/A - Sold"/>
    <s v="N/A - Sold"/>
    <n v="1031000"/>
    <x v="0"/>
    <m/>
    <x v="0"/>
    <x v="0"/>
    <m/>
    <m/>
    <m/>
    <m/>
    <n v="1031000"/>
    <x v="0"/>
    <d v="1993-02-01T00:00:00"/>
    <n v="2080000"/>
    <n v="4.506849315068493"/>
    <n v="2143815"/>
    <n v="2.0793549951503394"/>
    <m/>
    <n v="0.23949214178107836"/>
  </r>
  <r>
    <s v="Pineview"/>
    <x v="1"/>
    <m/>
    <x v="0"/>
    <x v="0"/>
    <x v="0"/>
    <x v="0"/>
    <s v="Dallas"/>
    <x v="0"/>
    <s v="Dallas"/>
    <s v="Direct"/>
    <n v="123850"/>
    <n v="152"/>
    <m/>
    <m/>
    <m/>
    <x v="50"/>
    <n v="1400000"/>
    <s v="N/A - Sold"/>
    <s v="N/A - Sold"/>
    <s v="N/A - Sold"/>
    <s v="N/A - Sold"/>
    <n v="725190"/>
    <x v="0"/>
    <m/>
    <x v="0"/>
    <x v="0"/>
    <m/>
    <m/>
    <m/>
    <m/>
    <n v="725190"/>
    <x v="0"/>
    <d v="1998-12-06T00:00:00"/>
    <n v="2000000"/>
    <n v="9.3534246575342461"/>
    <n v="1237435"/>
    <n v="1.7063597126270356"/>
    <m/>
    <n v="7.5518832779398956E-2"/>
  </r>
  <r>
    <s v="Meadow Creek"/>
    <x v="1"/>
    <m/>
    <x v="0"/>
    <x v="0"/>
    <x v="0"/>
    <x v="0"/>
    <s v="Dallas"/>
    <x v="0"/>
    <s v="Dallas"/>
    <s v="Direct"/>
    <n v="102672"/>
    <n v="128"/>
    <m/>
    <m/>
    <m/>
    <x v="51"/>
    <n v="2000000"/>
    <s v="N/A - Sold"/>
    <s v="N/A - Sold"/>
    <s v="N/A - Sold"/>
    <s v="N/A - Sold"/>
    <n v="644073.92000000004"/>
    <x v="0"/>
    <m/>
    <x v="0"/>
    <x v="0"/>
    <m/>
    <m/>
    <m/>
    <m/>
    <n v="644073.92000000004"/>
    <x v="0"/>
    <d v="2000-03-15T00:00:00"/>
    <n v="3200000"/>
    <n v="10.257534246575343"/>
    <n v="2399038.15"/>
    <n v="3.7247869778673848"/>
    <m/>
    <n v="0.26563761937008423"/>
  </r>
  <r>
    <s v="Sutton Square"/>
    <x v="1"/>
    <m/>
    <x v="0"/>
    <x v="0"/>
    <x v="0"/>
    <x v="0"/>
    <s v="Dallas"/>
    <x v="0"/>
    <s v="Dallas"/>
    <s v="Direct"/>
    <n v="121631"/>
    <n v="154"/>
    <m/>
    <m/>
    <m/>
    <x v="52"/>
    <n v="1700000"/>
    <s v="N/A - Sold"/>
    <s v="N/A - Sold"/>
    <s v="N/A - Sold"/>
    <s v="N/A - Sold"/>
    <n v="560000"/>
    <x v="0"/>
    <m/>
    <x v="0"/>
    <x v="0"/>
    <m/>
    <m/>
    <m/>
    <m/>
    <n v="560000"/>
    <x v="0"/>
    <d v="2001-03-22T00:00:00"/>
    <n v="3575000"/>
    <n v="9.3835616438356162"/>
    <n v="2715023.9699999997"/>
    <n v="4.8482570892857142"/>
    <m/>
    <n v="0.41010622995307605"/>
  </r>
  <r>
    <s v="Woodstock"/>
    <x v="1"/>
    <m/>
    <x v="0"/>
    <x v="0"/>
    <x v="0"/>
    <x v="0"/>
    <s v="Dallas"/>
    <x v="0"/>
    <s v="Dallas"/>
    <s v="Direct"/>
    <n v="108772"/>
    <n v="140"/>
    <m/>
    <m/>
    <m/>
    <x v="53"/>
    <n v="971974"/>
    <s v="N/A - Sold"/>
    <s v="N/A - Sold"/>
    <s v="N/A - Sold"/>
    <s v="N/A - Sold"/>
    <n v="565000"/>
    <x v="0"/>
    <m/>
    <x v="0"/>
    <x v="0"/>
    <m/>
    <m/>
    <m/>
    <m/>
    <n v="565000"/>
    <x v="0"/>
    <d v="1998-04-20T00:00:00"/>
    <n v="1400000"/>
    <n v="5.720547945205479"/>
    <n v="672548.58"/>
    <n v="1.1903514690265486"/>
    <m/>
    <n v="3.3275041280981917E-2"/>
  </r>
  <r>
    <s v="Sterling Falls"/>
    <x v="1"/>
    <m/>
    <x v="0"/>
    <x v="0"/>
    <x v="0"/>
    <x v="0"/>
    <s v="Dallas"/>
    <x v="0"/>
    <s v="Dallas"/>
    <s v="Direct"/>
    <n v="111764"/>
    <n v="168"/>
    <m/>
    <m/>
    <m/>
    <x v="54"/>
    <n v="2613436"/>
    <s v="N/A - Sold"/>
    <s v="N/A - Sold"/>
    <s v="N/A - Sold"/>
    <s v="N/A - Sold"/>
    <n v="709047"/>
    <x v="0"/>
    <m/>
    <x v="0"/>
    <x v="0"/>
    <m/>
    <m/>
    <m/>
    <m/>
    <n v="709047"/>
    <x v="0"/>
    <d v="1998-09-30T00:00:00"/>
    <n v="4450000"/>
    <n v="5.7589041095890412"/>
    <n v="2570074"/>
    <n v="3.6246877851538755"/>
    <m/>
    <n v="0.45576167534784229"/>
  </r>
  <r>
    <s v="Sterling Pointe"/>
    <x v="1"/>
    <m/>
    <x v="0"/>
    <x v="0"/>
    <x v="0"/>
    <x v="0"/>
    <s v="Dallas"/>
    <x v="0"/>
    <s v="Dallas"/>
    <s v="Direct"/>
    <n v="144032"/>
    <n v="216"/>
    <m/>
    <m/>
    <m/>
    <x v="55"/>
    <n v="2500000"/>
    <s v="N/A - Sold"/>
    <s v="N/A - Sold"/>
    <s v="N/A - Sold"/>
    <s v="N/A - Sold"/>
    <n v="750000"/>
    <x v="0"/>
    <m/>
    <x v="0"/>
    <x v="0"/>
    <m/>
    <m/>
    <m/>
    <m/>
    <n v="750000"/>
    <x v="0"/>
    <d v="1997-12-09T00:00:00"/>
    <n v="3350000"/>
    <n v="4.1972602739726028"/>
    <n v="1698535"/>
    <n v="2.2647133333333334"/>
    <m/>
    <n v="0.30131877719756311"/>
  </r>
  <r>
    <s v="Chenault Creek"/>
    <x v="1"/>
    <m/>
    <x v="0"/>
    <x v="0"/>
    <x v="0"/>
    <x v="0"/>
    <s v="Dallas"/>
    <x v="0"/>
    <s v="Dallas"/>
    <s v="Direct"/>
    <n v="149660"/>
    <n v="228"/>
    <m/>
    <m/>
    <m/>
    <x v="56"/>
    <n v="2500000"/>
    <s v="N/A - Sold"/>
    <s v="N/A - Sold"/>
    <s v="N/A - Sold"/>
    <s v="N/A - Sold"/>
    <n v="800000"/>
    <x v="0"/>
    <m/>
    <x v="0"/>
    <x v="0"/>
    <m/>
    <m/>
    <m/>
    <m/>
    <n v="800000"/>
    <x v="0"/>
    <d v="1998-06-26T00:00:00"/>
    <n v="4400000"/>
    <n v="4.5287671232876709"/>
    <n v="3439205"/>
    <n v="4.2990062499999997"/>
    <m/>
    <n v="0.7284557055353903"/>
  </r>
  <r>
    <s v="Snug Harbor"/>
    <x v="1"/>
    <m/>
    <x v="0"/>
    <x v="0"/>
    <x v="0"/>
    <x v="0"/>
    <s v="Dallas"/>
    <x v="0"/>
    <s v="Dallas"/>
    <s v="Direct"/>
    <n v="178878"/>
    <n v="240"/>
    <m/>
    <m/>
    <m/>
    <x v="57"/>
    <n v="4577000"/>
    <s v="N/A - Sold"/>
    <s v="N/A - Sold"/>
    <s v="N/A - Sold"/>
    <s v="N/A - Sold"/>
    <n v="1325100"/>
    <x v="0"/>
    <m/>
    <x v="0"/>
    <x v="0"/>
    <m/>
    <m/>
    <m/>
    <m/>
    <n v="1325100"/>
    <x v="0"/>
    <d v="2000-03-15T00:00:00"/>
    <n v="7375000"/>
    <n v="6.1506849315068495"/>
    <n v="4611817"/>
    <n v="3.4803539355520337"/>
    <m/>
    <n v="0.40326467103629943"/>
  </r>
  <r>
    <s v="New Berlin Center (Original TNBC)"/>
    <x v="1"/>
    <m/>
    <x v="0"/>
    <x v="0"/>
    <x v="1"/>
    <x v="3"/>
    <s v="New Berlin"/>
    <x v="1"/>
    <s v="Milwaukee"/>
    <s v="Direct"/>
    <n v="114990"/>
    <m/>
    <m/>
    <m/>
    <m/>
    <x v="58"/>
    <n v="2000000"/>
    <s v="N/A - Sold"/>
    <s v="N/A - Sold"/>
    <s v="N/A - Sold"/>
    <s v="N/A - Sold"/>
    <n v="700000"/>
    <x v="0"/>
    <m/>
    <x v="0"/>
    <x v="0"/>
    <m/>
    <m/>
    <m/>
    <m/>
    <n v="700000"/>
    <x v="0"/>
    <d v="2014-11-14T00:00:00"/>
    <n v="3620000"/>
    <n v="20.238356164383561"/>
    <n v="4885625.17"/>
    <n v="6.9794645285714285"/>
    <m/>
    <n v="0.29545208513991761"/>
  </r>
  <r>
    <s v="Franklin Business Center"/>
    <x v="1"/>
    <m/>
    <x v="0"/>
    <x v="0"/>
    <x v="1"/>
    <x v="3"/>
    <s v="Milwaukee"/>
    <x v="1"/>
    <s v="Milwaukee"/>
    <s v="Direct"/>
    <n v="80307"/>
    <m/>
    <m/>
    <m/>
    <m/>
    <x v="59"/>
    <n v="3000000"/>
    <s v="N/A - Sold"/>
    <s v="N/A - Sold"/>
    <s v="N/A - Sold"/>
    <s v="N/A - Sold"/>
    <n v="1047782.35"/>
    <x v="0"/>
    <m/>
    <x v="0"/>
    <x v="0"/>
    <m/>
    <m/>
    <m/>
    <m/>
    <n v="1047782.35"/>
    <x v="0"/>
    <d v="2006-01-13T00:00:00"/>
    <n v="4900000"/>
    <n v="10.627397260273973"/>
    <n v="2714434.2800000003"/>
    <n v="2.5906470747479191"/>
    <m/>
    <n v="0.14967418981257807"/>
  </r>
  <r>
    <s v="Watertown Buildings"/>
    <x v="1"/>
    <m/>
    <x v="0"/>
    <x v="0"/>
    <x v="1"/>
    <x v="5"/>
    <s v="Brookfield"/>
    <x v="1"/>
    <s v="Milwaukee"/>
    <s v="Direct"/>
    <n v="22528"/>
    <m/>
    <m/>
    <m/>
    <m/>
    <x v="59"/>
    <n v="640000"/>
    <s v="N/A - Sold"/>
    <s v="N/A - Sold"/>
    <s v="N/A - Sold"/>
    <s v="N/A - Sold"/>
    <n v="130500"/>
    <x v="0"/>
    <m/>
    <x v="0"/>
    <x v="0"/>
    <m/>
    <m/>
    <m/>
    <m/>
    <n v="130500"/>
    <x v="0"/>
    <d v="2014-03-15T00:00:00"/>
    <n v="934773.89"/>
    <n v="18.8"/>
    <n v="1199701.4099999999"/>
    <n v="9.1931142528735634"/>
    <m/>
    <n v="0.43580394962093422"/>
  </r>
  <r>
    <s v="2525 Mayfair Rd"/>
    <x v="1"/>
    <m/>
    <x v="0"/>
    <x v="0"/>
    <x v="1"/>
    <x v="5"/>
    <s v="Wauwatosa"/>
    <x v="1"/>
    <s v="Milwaukee"/>
    <s v="Direct"/>
    <n v="31470"/>
    <m/>
    <m/>
    <m/>
    <m/>
    <x v="60"/>
    <n v="1400000"/>
    <s v="N/A - Sold"/>
    <s v="N/A - Sold"/>
    <s v="N/A - Sold"/>
    <s v="N/A - Sold"/>
    <n v="575000"/>
    <x v="0"/>
    <m/>
    <x v="0"/>
    <x v="0"/>
    <m/>
    <m/>
    <m/>
    <m/>
    <n v="575000"/>
    <x v="0"/>
    <d v="2012-05-31T00:00:00"/>
    <n v="3950000"/>
    <n v="16.758904109589039"/>
    <n v="2452646.4300000002"/>
    <n v="4.2654720521739131"/>
    <m/>
    <n v="0.19484997532180454"/>
  </r>
  <r>
    <s v="1205 Building"/>
    <x v="1"/>
    <m/>
    <x v="0"/>
    <x v="0"/>
    <x v="1"/>
    <x v="5"/>
    <s v="West Allis"/>
    <x v="1"/>
    <s v="Milwaukee"/>
    <s v="Direct"/>
    <n v="85141"/>
    <m/>
    <m/>
    <m/>
    <m/>
    <x v="61"/>
    <n v="1500000"/>
    <s v="N/A - Sold"/>
    <s v="N/A - Sold"/>
    <s v="N/A - Sold"/>
    <s v="N/A - Sold"/>
    <n v="796267.35"/>
    <x v="0"/>
    <m/>
    <x v="0"/>
    <x v="0"/>
    <m/>
    <m/>
    <m/>
    <m/>
    <n v="796267.35"/>
    <x v="0"/>
    <d v="2005-01-25T00:00:00"/>
    <n v="6900000"/>
    <n v="9.1589041095890416"/>
    <n v="1953990.27"/>
    <n v="2.4539374495262178"/>
    <m/>
    <n v="0.15874578793810032"/>
  </r>
  <r>
    <s v="Lincoln Plaza"/>
    <x v="1"/>
    <m/>
    <x v="0"/>
    <x v="0"/>
    <x v="1"/>
    <x v="1"/>
    <s v="Milwaukee"/>
    <x v="1"/>
    <s v="Milwaukee"/>
    <s v="Direct"/>
    <n v="39065"/>
    <m/>
    <m/>
    <m/>
    <m/>
    <x v="62"/>
    <n v="3000000"/>
    <s v="N/A - Sold"/>
    <s v="N/A - Sold"/>
    <s v="N/A - Sold"/>
    <s v="N/A - Sold"/>
    <n v="875000"/>
    <x v="0"/>
    <m/>
    <x v="0"/>
    <x v="0"/>
    <m/>
    <m/>
    <m/>
    <m/>
    <n v="875000"/>
    <x v="0"/>
    <d v="1996-09-30T00:00:00"/>
    <n v="3450000"/>
    <n v="0.59178082191780823"/>
    <n v="1282000"/>
    <n v="1.4651428571428571"/>
    <m/>
    <n v="0.78600529100529093"/>
  </r>
  <r>
    <s v="Gateway"/>
    <x v="1"/>
    <m/>
    <x v="0"/>
    <x v="0"/>
    <x v="1"/>
    <x v="5"/>
    <s v="Brookfield"/>
    <x v="1"/>
    <s v="Milwaukee"/>
    <s v="Direct"/>
    <n v="115000"/>
    <m/>
    <m/>
    <m/>
    <m/>
    <x v="63"/>
    <n v="5150000"/>
    <s v="N/A - Sold"/>
    <s v="N/A - Sold"/>
    <s v="N/A - Sold"/>
    <s v="N/A - Sold"/>
    <n v="2450000"/>
    <x v="0"/>
    <m/>
    <x v="0"/>
    <x v="0"/>
    <m/>
    <m/>
    <m/>
    <m/>
    <n v="2450000"/>
    <x v="0"/>
    <d v="2016-03-18T00:00:00"/>
    <n v="10500000"/>
    <n v="19.975342465753425"/>
    <n v="3297746.38"/>
    <n v="1.3460189306122448"/>
    <m/>
    <n v="1.7322302794331283E-2"/>
  </r>
  <r>
    <s v="Trinity Oaks"/>
    <x v="1"/>
    <m/>
    <x v="0"/>
    <x v="0"/>
    <x v="0"/>
    <x v="0"/>
    <s v="Dallas"/>
    <x v="0"/>
    <s v="Dallas"/>
    <s v="Direct"/>
    <n v="168674"/>
    <n v="202"/>
    <m/>
    <m/>
    <m/>
    <x v="64"/>
    <n v="4775000"/>
    <s v="N/A - Sold"/>
    <s v="N/A - Sold"/>
    <s v="N/A - Sold"/>
    <s v="N/A - Sold"/>
    <n v="1732380.5"/>
    <x v="0"/>
    <m/>
    <x v="0"/>
    <x v="0"/>
    <m/>
    <m/>
    <m/>
    <m/>
    <n v="1732380.5"/>
    <x v="0"/>
    <d v="2014-01-31T00:00:00"/>
    <n v="9600000"/>
    <n v="17.767123287671232"/>
    <n v="6854128.0199999996"/>
    <n v="3.9564795493830598"/>
    <m/>
    <n v="0.16640170170004887"/>
  </r>
  <r>
    <s v="Ashwaubenon Plaza"/>
    <x v="1"/>
    <m/>
    <x v="0"/>
    <x v="0"/>
    <x v="1"/>
    <x v="1"/>
    <s v="Green Bay"/>
    <x v="1"/>
    <s v="Green Bay"/>
    <s v="Direct"/>
    <n v="211642"/>
    <m/>
    <m/>
    <m/>
    <m/>
    <x v="65"/>
    <n v="8452000"/>
    <s v="N/A - Sold"/>
    <s v="N/A - Sold"/>
    <s v="N/A - Sold"/>
    <s v="N/A - Sold"/>
    <n v="2450000"/>
    <x v="0"/>
    <m/>
    <x v="0"/>
    <x v="0"/>
    <m/>
    <m/>
    <m/>
    <m/>
    <n v="2450000"/>
    <x v="0"/>
    <d v="1999-08-17T00:00:00"/>
    <n v="15600000"/>
    <n v="2.7260273972602738"/>
    <n v="8424761.5"/>
    <n v="3.4386781632653061"/>
    <m/>
    <n v="0.89459048200184599"/>
  </r>
  <r>
    <s v="Falls Business Center I &amp; II"/>
    <x v="1"/>
    <m/>
    <x v="0"/>
    <x v="0"/>
    <x v="1"/>
    <x v="3"/>
    <s v="Menomonee Falls"/>
    <x v="1"/>
    <s v="Milwaukee"/>
    <s v="Direct"/>
    <n v="78152"/>
    <m/>
    <m/>
    <m/>
    <m/>
    <x v="66"/>
    <n v="2500000"/>
    <s v="N/A - Sold"/>
    <s v="N/A - Sold"/>
    <s v="N/A - Sold"/>
    <s v="N/A - Sold"/>
    <n v="819465.82"/>
    <x v="0"/>
    <m/>
    <x v="0"/>
    <x v="0"/>
    <m/>
    <m/>
    <m/>
    <m/>
    <n v="819465.82"/>
    <x v="0"/>
    <d v="2005-02-17T00:00:00"/>
    <n v="4475000"/>
    <n v="7.720547945205479"/>
    <n v="2714989.98"/>
    <n v="3.3131216870033704"/>
    <m/>
    <n v="0.2996058962939071"/>
  </r>
  <r>
    <s v="Fountains at Palm Harbor"/>
    <x v="1"/>
    <m/>
    <x v="0"/>
    <x v="0"/>
    <x v="0"/>
    <x v="0"/>
    <s v="Tampa"/>
    <x v="3"/>
    <s v="Tampa"/>
    <s v="Direct"/>
    <n v="195832"/>
    <n v="264"/>
    <m/>
    <m/>
    <m/>
    <x v="67"/>
    <n v="7700000"/>
    <s v="N/A - Sold"/>
    <s v="N/A - Sold"/>
    <s v="N/A - Sold"/>
    <s v="N/A - Sold"/>
    <n v="1550001"/>
    <x v="0"/>
    <m/>
    <x v="0"/>
    <x v="0"/>
    <m/>
    <m/>
    <m/>
    <m/>
    <n v="1550001"/>
    <x v="0"/>
    <d v="2004-05-27T00:00:00"/>
    <n v="11500000"/>
    <n v="6.5726027397260278"/>
    <n v="5511591.8700000001"/>
    <n v="3.5558634284752073"/>
    <m/>
    <n v="0.38886625735450214"/>
  </r>
  <r>
    <s v="Waterchase"/>
    <x v="1"/>
    <m/>
    <x v="0"/>
    <x v="0"/>
    <x v="0"/>
    <x v="0"/>
    <s v="Dallas"/>
    <x v="0"/>
    <s v="Dallas"/>
    <s v="Direct"/>
    <n v="143328"/>
    <n v="200"/>
    <m/>
    <m/>
    <m/>
    <x v="68"/>
    <n v="4600000"/>
    <s v="N/A - Sold"/>
    <s v="N/A - Sold"/>
    <s v="N/A - Sold"/>
    <s v="N/A - Sold"/>
    <n v="1357789"/>
    <x v="0"/>
    <m/>
    <x v="0"/>
    <x v="0"/>
    <m/>
    <m/>
    <m/>
    <m/>
    <n v="1357789"/>
    <x v="0"/>
    <d v="2016-06-01T00:00:00"/>
    <n v="13000000"/>
    <n v="18.18082191780822"/>
    <n v="11443764.719999999"/>
    <n v="8.4282349613968002"/>
    <m/>
    <n v="0.40857531056507407"/>
  </r>
  <r>
    <s v="St. Francis Germantown"/>
    <x v="1"/>
    <m/>
    <x v="0"/>
    <x v="0"/>
    <x v="1"/>
    <x v="5"/>
    <s v="Germantown"/>
    <x v="1"/>
    <s v="Milwaukee"/>
    <s v="Direct"/>
    <n v="16430"/>
    <m/>
    <m/>
    <m/>
    <m/>
    <x v="69"/>
    <n v="1150000"/>
    <s v="N/A - Sold"/>
    <s v="N/A - Sold"/>
    <s v="N/A - Sold"/>
    <s v="N/A - Sold"/>
    <n v="316951"/>
    <x v="0"/>
    <m/>
    <x v="0"/>
    <x v="0"/>
    <m/>
    <m/>
    <m/>
    <m/>
    <n v="316951"/>
    <x v="0"/>
    <d v="2014-04-10T00:00:00"/>
    <n v="1400000"/>
    <n v="15.512328767123288"/>
    <n v="1117022.07"/>
    <n v="3.524273688992936"/>
    <m/>
    <n v="0.16272693332434152"/>
  </r>
  <r>
    <s v="St. Francis Tosa"/>
    <x v="1"/>
    <m/>
    <x v="0"/>
    <x v="0"/>
    <x v="1"/>
    <x v="5"/>
    <s v="Milwaukee"/>
    <x v="1"/>
    <s v="Milwaukee"/>
    <s v="Direct"/>
    <n v="13220"/>
    <m/>
    <m/>
    <m/>
    <m/>
    <x v="69"/>
    <n v="900000"/>
    <s v="N/A - Sold"/>
    <s v="N/A - Sold"/>
    <s v="N/A - Sold"/>
    <s v="N/A - Sold"/>
    <n v="248049"/>
    <x v="0"/>
    <m/>
    <x v="0"/>
    <x v="0"/>
    <m/>
    <m/>
    <m/>
    <m/>
    <n v="248049"/>
    <x v="0"/>
    <d v="2015-08-26T00:00:00"/>
    <n v="865000"/>
    <n v="16.890410958904109"/>
    <n v="654436.4"/>
    <n v="2.6383351676483278"/>
    <m/>
    <n v="9.6997945854280551E-2"/>
  </r>
  <r>
    <s v="Autumn Breeze"/>
    <x v="1"/>
    <m/>
    <x v="0"/>
    <x v="0"/>
    <x v="0"/>
    <x v="0"/>
    <s v="Dallas"/>
    <x v="0"/>
    <s v="Dallas"/>
    <s v="Direct"/>
    <n v="215400"/>
    <n v="240"/>
    <m/>
    <m/>
    <m/>
    <x v="70"/>
    <n v="9525000"/>
    <s v="N/A - Sold"/>
    <s v="N/A - Sold"/>
    <s v="N/A - Sold"/>
    <s v="N/A - Sold"/>
    <n v="2460000"/>
    <x v="0"/>
    <m/>
    <x v="0"/>
    <x v="0"/>
    <m/>
    <m/>
    <m/>
    <m/>
    <n v="2460000"/>
    <x v="0"/>
    <d v="2012-04-18T00:00:00"/>
    <n v="8425000"/>
    <n v="13.471232876712328"/>
    <n v="881670"/>
    <n v="0.35840243902439023"/>
    <m/>
    <n v="-4.7627234036220774E-2"/>
  </r>
  <r>
    <s v="Windtree"/>
    <x v="1"/>
    <m/>
    <x v="0"/>
    <x v="0"/>
    <x v="0"/>
    <x v="0"/>
    <s v="Dallas"/>
    <x v="0"/>
    <s v="Dallas"/>
    <s v="Direct"/>
    <n v="195928"/>
    <n v="280"/>
    <m/>
    <m/>
    <m/>
    <x v="71"/>
    <n v="7950000"/>
    <s v="N/A - Sold"/>
    <s v="N/A - Sold"/>
    <s v="N/A - Sold"/>
    <s v="N/A - Sold"/>
    <n v="1660000"/>
    <x v="0"/>
    <m/>
    <x v="0"/>
    <x v="0"/>
    <m/>
    <m/>
    <m/>
    <m/>
    <n v="1660000"/>
    <x v="0"/>
    <d v="2014-04-30T00:00:00"/>
    <n v="11750000"/>
    <n v="15.33972602739726"/>
    <n v="6049233"/>
    <n v="3.6441162650602408"/>
    <m/>
    <n v="0.17237050129433612"/>
  </r>
  <r>
    <s v="Green Bay"/>
    <x v="1"/>
    <m/>
    <x v="0"/>
    <x v="0"/>
    <x v="1"/>
    <x v="1"/>
    <s v="Green Bay"/>
    <x v="1"/>
    <s v="Green Bay"/>
    <s v="Direct"/>
    <n v="20000"/>
    <m/>
    <m/>
    <m/>
    <m/>
    <x v="72"/>
    <n v="1000000"/>
    <s v="N/A - Sold"/>
    <s v="N/A - Sold"/>
    <s v="N/A - Sold"/>
    <s v="N/A - Sold"/>
    <n v="600132"/>
    <x v="0"/>
    <m/>
    <x v="0"/>
    <x v="0"/>
    <m/>
    <m/>
    <m/>
    <m/>
    <n v="600132"/>
    <x v="0"/>
    <d v="2013-07-12T00:00:00"/>
    <n v="1485000"/>
    <n v="14.452054794520548"/>
    <n v="1018737.9"/>
    <n v="1.6975230449301155"/>
    <m/>
    <n v="4.8264627753458224E-2"/>
  </r>
  <r>
    <s v="Palms at Livingston"/>
    <x v="1"/>
    <m/>
    <x v="0"/>
    <x v="0"/>
    <x v="0"/>
    <x v="0"/>
    <s v="Tampa"/>
    <x v="3"/>
    <s v="Tampa"/>
    <s v="Direct"/>
    <n v="171500"/>
    <n v="236"/>
    <m/>
    <m/>
    <m/>
    <x v="73"/>
    <n v="7850000"/>
    <s v="N/A - Sold"/>
    <s v="N/A - Sold"/>
    <s v="N/A - Sold"/>
    <s v="N/A - Sold"/>
    <n v="2225000"/>
    <x v="0"/>
    <m/>
    <x v="0"/>
    <x v="0"/>
    <m/>
    <m/>
    <m/>
    <m/>
    <n v="2225000"/>
    <x v="0"/>
    <d v="2004-06-01T00:00:00"/>
    <n v="8500000"/>
    <n v="5.0191780821917806"/>
    <n v="5825524.1999999993"/>
    <n v="2.6182131235955053"/>
    <m/>
    <n v="0.32240599896962852"/>
  </r>
  <r>
    <s v="Lilly Creek"/>
    <x v="1"/>
    <m/>
    <x v="0"/>
    <x v="0"/>
    <x v="1"/>
    <x v="3"/>
    <s v="Milwaukee"/>
    <x v="1"/>
    <s v="Milwaukee"/>
    <s v="Direct"/>
    <n v="33000"/>
    <m/>
    <m/>
    <m/>
    <m/>
    <x v="74"/>
    <n v="1185000"/>
    <s v="N/A - Sold"/>
    <s v="N/A - Sold"/>
    <s v="N/A - Sold"/>
    <s v="N/A - Sold"/>
    <n v="1232012"/>
    <x v="0"/>
    <m/>
    <x v="0"/>
    <x v="0"/>
    <m/>
    <m/>
    <m/>
    <m/>
    <n v="1232012"/>
    <x v="0"/>
    <d v="2012-05-01T00:00:00"/>
    <n v="1410000"/>
    <n v="11.849315068493151"/>
    <n v="1980021.5299999998"/>
    <n v="1.6071446787855961"/>
    <m/>
    <n v="5.1238799481327757E-2"/>
  </r>
  <r>
    <s v="Edgewater Plaza"/>
    <x v="1"/>
    <m/>
    <x v="0"/>
    <x v="0"/>
    <x v="1"/>
    <x v="1"/>
    <s v="Milwaukee"/>
    <x v="1"/>
    <s v="Milwaukee"/>
    <s v="Direct"/>
    <n v="180000"/>
    <m/>
    <m/>
    <m/>
    <m/>
    <x v="75"/>
    <n v="925000"/>
    <s v="N/A - Sold"/>
    <s v="N/A - Sold"/>
    <s v="N/A - Sold"/>
    <s v="N/A - Sold"/>
    <n v="1000001"/>
    <x v="0"/>
    <m/>
    <x v="0"/>
    <x v="0"/>
    <m/>
    <m/>
    <m/>
    <m/>
    <n v="1000001"/>
    <x v="0"/>
    <d v="2003-04-15T00:00:00"/>
    <n v="1040000"/>
    <n v="2.7753424657534245"/>
    <n v="1004276.03"/>
    <n v="1.0042750257249744"/>
    <m/>
    <n v="1.5403597133421725E-3"/>
  </r>
  <r>
    <s v="Helgesen Properties (2340)"/>
    <x v="1"/>
    <m/>
    <x v="0"/>
    <x v="0"/>
    <x v="1"/>
    <x v="3"/>
    <s v="Delavan"/>
    <x v="1"/>
    <s v="Milwaukee"/>
    <s v="Direct"/>
    <n v="160000"/>
    <m/>
    <m/>
    <m/>
    <m/>
    <x v="76"/>
    <n v="2000000"/>
    <s v="N/A - Sold"/>
    <s v="N/A - Sold"/>
    <s v="N/A - Sold"/>
    <s v="N/A - Sold"/>
    <n v="1300000"/>
    <x v="0"/>
    <m/>
    <x v="0"/>
    <x v="0"/>
    <m/>
    <m/>
    <m/>
    <m/>
    <n v="1300000"/>
    <x v="0"/>
    <d v="2005-10-17T00:00:00"/>
    <n v="3650000"/>
    <n v="5.2136986301369861"/>
    <n v="2485015.13"/>
    <n v="1.9115500999999999"/>
    <m/>
    <n v="0.17483751261166577"/>
  </r>
  <r>
    <s v="Helgesen Properties (3070)"/>
    <x v="1"/>
    <m/>
    <x v="0"/>
    <x v="0"/>
    <x v="1"/>
    <x v="3"/>
    <s v="Delavan"/>
    <x v="1"/>
    <s v="Milwaukee"/>
    <s v="Direct"/>
    <n v="80000"/>
    <m/>
    <m/>
    <m/>
    <m/>
    <x v="76"/>
    <n v="2000000"/>
    <s v="N/A - Sold"/>
    <s v="N/A - Sold"/>
    <s v="N/A - Sold"/>
    <s v="N/A - Sold"/>
    <s v="Equity in 2340"/>
    <x v="0"/>
    <m/>
    <x v="0"/>
    <x v="0"/>
    <m/>
    <m/>
    <m/>
    <m/>
    <n v="0"/>
    <x v="0"/>
    <d v="2005-08-01T00:00:00"/>
    <n v="2400000"/>
    <n v="5.0027397260273974"/>
    <s v="Returns in 2340"/>
    <m/>
    <m/>
    <m/>
  </r>
  <r>
    <s v="Helegesen (1 building)"/>
    <x v="1"/>
    <m/>
    <x v="0"/>
    <x v="0"/>
    <x v="1"/>
    <x v="3"/>
    <s v="Janesville"/>
    <x v="1"/>
    <s v="Milwaukee"/>
    <s v="Direct"/>
    <n v="248250"/>
    <m/>
    <m/>
    <m/>
    <m/>
    <x v="76"/>
    <n v="6000000"/>
    <s v="N/A - Sold"/>
    <s v="N/A - Sold"/>
    <s v="N/A - Sold"/>
    <s v="N/A - Sold"/>
    <s v="Equity in 2340"/>
    <x v="0"/>
    <m/>
    <x v="0"/>
    <x v="0"/>
    <m/>
    <m/>
    <m/>
    <m/>
    <n v="0"/>
    <x v="0"/>
    <d v="2001-07-08T00:00:00"/>
    <n v="6200000"/>
    <n v="0.9342465753424658"/>
    <s v="Returns in 2340"/>
    <m/>
    <m/>
    <m/>
  </r>
  <r>
    <s v="3077 Mayfair"/>
    <x v="1"/>
    <m/>
    <x v="0"/>
    <x v="0"/>
    <x v="1"/>
    <x v="5"/>
    <s v="Milwaukee"/>
    <x v="1"/>
    <s v="Milwaukee"/>
    <s v="Direct"/>
    <n v="45535"/>
    <m/>
    <m/>
    <m/>
    <m/>
    <x v="76"/>
    <n v="3350000"/>
    <s v="N/A - Sold"/>
    <s v="N/A - Sold"/>
    <s v="N/A - Sold"/>
    <s v="N/A - Sold"/>
    <n v="1105557"/>
    <x v="0"/>
    <m/>
    <x v="0"/>
    <x v="0"/>
    <m/>
    <m/>
    <m/>
    <m/>
    <n v="1105557"/>
    <x v="0"/>
    <d v="2006-04-13T00:00:00"/>
    <n v="5300000"/>
    <n v="5.7013698630136984"/>
    <n v="3466425.97"/>
    <n v="3.1354565798054739"/>
    <m/>
    <n v="0.37455149045122443"/>
  </r>
  <r>
    <s v="JB Executive"/>
    <x v="1"/>
    <m/>
    <x v="0"/>
    <x v="0"/>
    <x v="1"/>
    <x v="5"/>
    <s v="Tampa"/>
    <x v="3"/>
    <s v="Tampa"/>
    <s v="Direct"/>
    <n v="27000"/>
    <m/>
    <m/>
    <m/>
    <m/>
    <x v="77"/>
    <n v="825000"/>
    <s v="N/A - Sold"/>
    <s v="N/A - Sold"/>
    <s v="N/A - Sold"/>
    <s v="N/A - Sold"/>
    <n v="137480.26999999999"/>
    <x v="0"/>
    <m/>
    <x v="0"/>
    <x v="0"/>
    <m/>
    <m/>
    <m/>
    <m/>
    <n v="137480.26999999999"/>
    <x v="0"/>
    <d v="2005-06-24T00:00:00"/>
    <n v="1800000"/>
    <n v="4.8794520547945206"/>
    <n v="1023419.73"/>
    <n v="7.4441207454713325"/>
    <m/>
    <n v="1.3206648355401664"/>
  </r>
  <r>
    <s v="Athens Town Center"/>
    <x v="1"/>
    <m/>
    <x v="0"/>
    <x v="0"/>
    <x v="1"/>
    <x v="1"/>
    <s v="Athens"/>
    <x v="15"/>
    <s v="Huntsville"/>
    <s v="Direct"/>
    <n v="209562"/>
    <m/>
    <m/>
    <m/>
    <m/>
    <x v="78"/>
    <n v="8550000"/>
    <s v="N/A - Sold"/>
    <s v="N/A - Sold"/>
    <s v="N/A - Sold"/>
    <s v="N/A - Sold"/>
    <n v="1850000"/>
    <x v="0"/>
    <m/>
    <x v="0"/>
    <x v="0"/>
    <m/>
    <m/>
    <m/>
    <m/>
    <n v="1850000"/>
    <x v="0"/>
    <d v="2007-09-20T00:00:00"/>
    <n v="11100000"/>
    <n v="6.5616438356164384"/>
    <n v="4996632.9800000004"/>
    <n v="2.7008826918918922"/>
    <m/>
    <n v="0.25921594260565373"/>
  </r>
  <r>
    <s v="2675 N. Mayfair"/>
    <x v="1"/>
    <m/>
    <x v="0"/>
    <x v="0"/>
    <x v="1"/>
    <x v="5"/>
    <s v="Milwaukee"/>
    <x v="1"/>
    <s v="Milwaukee"/>
    <s v="Direct"/>
    <n v="102000"/>
    <m/>
    <m/>
    <m/>
    <m/>
    <x v="79"/>
    <n v="9045000"/>
    <s v="N/A - Sold"/>
    <s v="N/A - Sold"/>
    <s v="N/A - Sold"/>
    <s v="N/A - Sold"/>
    <n v="1900001"/>
    <x v="0"/>
    <m/>
    <x v="0"/>
    <x v="0"/>
    <m/>
    <m/>
    <m/>
    <m/>
    <n v="1900001"/>
    <x v="0"/>
    <d v="2014-08-03T00:00:00"/>
    <n v="7255743.7800000003"/>
    <n v="13.38082191780822"/>
    <n v="477436.89"/>
    <n v="0.25128244143029399"/>
    <m/>
    <n v="-5.5954526797285555E-2"/>
  </r>
  <r>
    <s v="Port Richey Village"/>
    <x v="1"/>
    <m/>
    <x v="0"/>
    <x v="0"/>
    <x v="0"/>
    <x v="0"/>
    <s v="Tampa"/>
    <x v="3"/>
    <s v="Tampa"/>
    <s v="Direct"/>
    <n v="312240"/>
    <n v="420"/>
    <m/>
    <m/>
    <m/>
    <x v="80"/>
    <n v="14100000"/>
    <s v="N/A - Sold"/>
    <s v="N/A - Sold"/>
    <s v="N/A - Sold"/>
    <s v="N/A - Sold"/>
    <n v="2725001"/>
    <x v="0"/>
    <m/>
    <x v="0"/>
    <x v="0"/>
    <m/>
    <m/>
    <m/>
    <m/>
    <n v="2725001"/>
    <x v="0"/>
    <d v="2005-09-01T00:00:00"/>
    <n v="24000000"/>
    <n v="4.2547945205479456"/>
    <n v="10917689.720000001"/>
    <n v="4.0064901700953506"/>
    <m/>
    <n v="0.70661230655814733"/>
  </r>
  <r>
    <s v="Westbrook"/>
    <x v="1"/>
    <m/>
    <x v="0"/>
    <x v="0"/>
    <x v="1"/>
    <x v="3"/>
    <s v="Milwaukee"/>
    <x v="1"/>
    <s v="Milwaukee"/>
    <s v="Direct"/>
    <n v="67000"/>
    <m/>
    <m/>
    <m/>
    <m/>
    <x v="81"/>
    <n v="2200000"/>
    <s v="N/A - Sold"/>
    <s v="N/A - Sold"/>
    <s v="N/A - Sold"/>
    <s v="N/A - Sold"/>
    <n v="550000"/>
    <x v="0"/>
    <m/>
    <x v="0"/>
    <x v="0"/>
    <m/>
    <m/>
    <m/>
    <m/>
    <n v="550000"/>
    <x v="0"/>
    <d v="2005-07-12T00:00:00"/>
    <n v="3425000"/>
    <n v="3.3287671232876712"/>
    <n v="1556008.05"/>
    <n v="2.8291055454545457"/>
    <m/>
    <n v="0.54948438196782645"/>
  </r>
  <r>
    <s v="Amberly"/>
    <x v="1"/>
    <m/>
    <x v="0"/>
    <x v="0"/>
    <x v="1"/>
    <x v="1"/>
    <s v="Tampa Palms"/>
    <x v="3"/>
    <s v="Tampa"/>
    <s v="Direct"/>
    <n v="87352"/>
    <m/>
    <m/>
    <m/>
    <m/>
    <x v="82"/>
    <n v="8175000"/>
    <s v="N/A - Sold"/>
    <s v="N/A - Sold"/>
    <s v="N/A - Sold"/>
    <s v="N/A - Sold"/>
    <n v="2325001"/>
    <x v="0"/>
    <m/>
    <x v="0"/>
    <x v="0"/>
    <m/>
    <m/>
    <m/>
    <m/>
    <n v="2325001"/>
    <x v="0"/>
    <d v="2007-04-15T00:00:00"/>
    <n v="13500000"/>
    <n v="4.3315068493150681"/>
    <n v="7351589.4199999999"/>
    <n v="3.1619725840978132"/>
    <m/>
    <n v="0.49912713042106382"/>
  </r>
  <r>
    <s v="Holiday Tower"/>
    <x v="1"/>
    <m/>
    <x v="0"/>
    <x v="0"/>
    <x v="1"/>
    <x v="5"/>
    <s v="Holiday"/>
    <x v="3"/>
    <s v="Tampa"/>
    <s v="Direct"/>
    <n v="54441"/>
    <m/>
    <m/>
    <m/>
    <m/>
    <x v="83"/>
    <n v="2145000"/>
    <s v="N/A - Sold"/>
    <s v="N/A - Sold"/>
    <s v="N/A - Sold"/>
    <s v="N/A - Sold"/>
    <n v="770001"/>
    <x v="0"/>
    <m/>
    <x v="0"/>
    <x v="0"/>
    <m/>
    <m/>
    <m/>
    <m/>
    <n v="770001"/>
    <x v="0"/>
    <d v="2004-06-07T00:00:00"/>
    <n v="3500000"/>
    <n v="1.4328767123287671"/>
    <n v="1448101"/>
    <n v="1.8806482069503805"/>
    <m/>
    <n v="0.61460152110303812"/>
  </r>
  <r>
    <s v="Woodmeadow"/>
    <x v="1"/>
    <m/>
    <x v="0"/>
    <x v="0"/>
    <x v="0"/>
    <x v="0"/>
    <s v="North Richland Hills"/>
    <x v="0"/>
    <s v="Dallas"/>
    <s v="Direct"/>
    <n v="164619"/>
    <n v="222"/>
    <m/>
    <m/>
    <m/>
    <x v="84"/>
    <n v="6000000"/>
    <s v="N/A - Sold"/>
    <s v="N/A - Sold"/>
    <s v="N/A - Sold"/>
    <s v="N/A - Sold"/>
    <n v="2550001"/>
    <x v="0"/>
    <m/>
    <x v="0"/>
    <x v="0"/>
    <m/>
    <m/>
    <m/>
    <m/>
    <n v="2550001"/>
    <x v="0"/>
    <d v="2017-11-30T00:00:00"/>
    <n v="19250000"/>
    <n v="14.635616438356164"/>
    <n v="14501345.479474343"/>
    <n v="5.6867999186958524"/>
    <m/>
    <n v="0.32023249163683754"/>
  </r>
  <r>
    <s v="Armand Place"/>
    <x v="1"/>
    <m/>
    <x v="0"/>
    <x v="0"/>
    <x v="0"/>
    <x v="0"/>
    <s v="Houston"/>
    <x v="0"/>
    <s v="Houston"/>
    <s v="Direct"/>
    <n v="226704"/>
    <n v="244"/>
    <m/>
    <m/>
    <m/>
    <x v="85"/>
    <n v="9275000"/>
    <s v="N/A - Sold"/>
    <s v="N/A - Sold"/>
    <s v="N/A - Sold"/>
    <s v="N/A - Sold"/>
    <n v="3320000"/>
    <x v="0"/>
    <m/>
    <x v="0"/>
    <x v="0"/>
    <m/>
    <m/>
    <m/>
    <m/>
    <n v="3320000"/>
    <x v="0"/>
    <d v="2013-03-23T00:00:00"/>
    <n v="11750000"/>
    <n v="8.5616438356164384"/>
    <n v="6735334"/>
    <n v="2.0287150602409638"/>
    <m/>
    <n v="0.12015391903614457"/>
  </r>
  <r>
    <s v="Meadowood"/>
    <x v="1"/>
    <m/>
    <x v="0"/>
    <x v="0"/>
    <x v="1"/>
    <x v="1"/>
    <s v="Madison"/>
    <x v="1"/>
    <s v="Madison"/>
    <s v="Direct"/>
    <n v="54445"/>
    <m/>
    <m/>
    <m/>
    <m/>
    <x v="86"/>
    <n v="4000000"/>
    <s v="N/A - Sold"/>
    <s v="N/A - Sold"/>
    <s v="N/A - Sold"/>
    <s v="N/A - Sold"/>
    <n v="1000000"/>
    <x v="0"/>
    <m/>
    <x v="0"/>
    <x v="0"/>
    <m/>
    <m/>
    <m/>
    <m/>
    <n v="1000000"/>
    <x v="0"/>
    <d v="2017-11-15T00:00:00"/>
    <n v="3250000"/>
    <n v="12.843835616438357"/>
    <n v="1611553.3399999999"/>
    <n v="1.6115533399999999"/>
    <m/>
    <n v="4.7614541190273023E-2"/>
  </r>
  <r>
    <s v="Fountains"/>
    <x v="1"/>
    <m/>
    <x v="0"/>
    <x v="0"/>
    <x v="1"/>
    <x v="1"/>
    <s v="Bradenton"/>
    <x v="3"/>
    <s v="Tampa"/>
    <s v="Direct"/>
    <n v="74065"/>
    <m/>
    <m/>
    <m/>
    <m/>
    <x v="87"/>
    <n v="5415000"/>
    <s v="N/A - Sold"/>
    <s v="N/A - Sold"/>
    <s v="N/A - Sold"/>
    <s v="N/A - Sold"/>
    <n v="1675000"/>
    <x v="0"/>
    <m/>
    <x v="0"/>
    <x v="0"/>
    <m/>
    <m/>
    <m/>
    <m/>
    <n v="1675000"/>
    <x v="0"/>
    <d v="2011-09-30T00:00:00"/>
    <n v="3850000"/>
    <n v="6.5397260273972604"/>
    <n v="0"/>
    <n v="0"/>
    <m/>
    <n v="-0.15291160452450775"/>
  </r>
  <r>
    <s v="Cortez Commons - WDC HLP Investors"/>
    <x v="1"/>
    <m/>
    <x v="0"/>
    <x v="0"/>
    <x v="1"/>
    <x v="1"/>
    <s v="Bradenton"/>
    <x v="3"/>
    <s v="Tampa"/>
    <s v="Direct"/>
    <n v="126054"/>
    <m/>
    <m/>
    <m/>
    <m/>
    <x v="88"/>
    <n v="8100000"/>
    <s v="N/A - Sold"/>
    <s v="N/A - Sold"/>
    <s v="N/A - Sold"/>
    <s v="N/A - Sold"/>
    <n v="2450000"/>
    <x v="0"/>
    <m/>
    <x v="0"/>
    <x v="0"/>
    <m/>
    <m/>
    <m/>
    <m/>
    <n v="2450000"/>
    <x v="0"/>
    <d v="2020-01-10T00:00:00"/>
    <m/>
    <n v="14.75068493150685"/>
    <n v="71009.73"/>
    <n v="2.8983563265306121E-2"/>
    <m/>
    <n v="-6.5828566011917389E-2"/>
  </r>
  <r>
    <s v="Hales Corners Shopping Ctr."/>
    <x v="1"/>
    <m/>
    <x v="0"/>
    <x v="0"/>
    <x v="1"/>
    <x v="1"/>
    <s v="Hales Corners"/>
    <x v="1"/>
    <s v="Milwaukee"/>
    <s v="Direct"/>
    <n v="95173"/>
    <m/>
    <m/>
    <m/>
    <m/>
    <x v="89"/>
    <n v="6025000"/>
    <s v="N/A - Sold"/>
    <s v="N/A - Sold"/>
    <s v="N/A - Sold"/>
    <s v="N/A - Sold"/>
    <n v="1800000"/>
    <x v="0"/>
    <m/>
    <x v="0"/>
    <x v="0"/>
    <m/>
    <m/>
    <m/>
    <m/>
    <n v="1800000"/>
    <x v="0"/>
    <d v="2011-01-07T00:00:00"/>
    <n v="4400000"/>
    <n v="5.1424657534246574"/>
    <n v="97818.232052690306"/>
    <n v="5.4343462251494612E-2"/>
    <m/>
    <n v="-0.18389165491646481"/>
  </r>
  <r>
    <s v="Normandale Village"/>
    <x v="1"/>
    <m/>
    <x v="0"/>
    <x v="0"/>
    <x v="1"/>
    <x v="1"/>
    <s v="Bloomington"/>
    <x v="2"/>
    <s v="Minneapolis"/>
    <s v="Direct"/>
    <n v="140193"/>
    <m/>
    <m/>
    <m/>
    <m/>
    <x v="90"/>
    <n v="16000000"/>
    <s v="N/A - Sold"/>
    <s v="N/A - Sold"/>
    <s v="N/A - Sold"/>
    <s v="N/A - Sold"/>
    <n v="5200001"/>
    <x v="0"/>
    <m/>
    <x v="0"/>
    <x v="0"/>
    <m/>
    <m/>
    <m/>
    <m/>
    <n v="5200001"/>
    <x v="0"/>
    <d v="2015-12-22T00:00:00"/>
    <n v="19950000"/>
    <n v="8.4657534246575334"/>
    <n v="7503966.6083333325"/>
    <n v="1.4430702240890594"/>
    <m/>
    <n v="5.2336774042882415E-2"/>
  </r>
  <r>
    <s v="Gentry's Walk"/>
    <x v="1"/>
    <m/>
    <x v="0"/>
    <x v="0"/>
    <x v="0"/>
    <x v="0"/>
    <s v="Bedford"/>
    <x v="0"/>
    <s v="Dallas"/>
    <s v="Direct"/>
    <n v="203892"/>
    <n v="266"/>
    <m/>
    <m/>
    <m/>
    <x v="91"/>
    <n v="9350000"/>
    <s v="N/A - Sold"/>
    <s v="N/A - Sold"/>
    <s v="N/A - Sold"/>
    <s v="N/A - Sold"/>
    <n v="4000000"/>
    <x v="0"/>
    <m/>
    <x v="0"/>
    <x v="0"/>
    <m/>
    <m/>
    <m/>
    <m/>
    <n v="4000000"/>
    <x v="0"/>
    <d v="2016-10-26T00:00:00"/>
    <n v="18500000"/>
    <n v="8.2410958904109588"/>
    <n v="11332625.99"/>
    <n v="2.8331564975000001"/>
    <m/>
    <n v="0.22244086488946144"/>
  </r>
  <r>
    <s v="Pinebrook"/>
    <x v="1"/>
    <m/>
    <x v="0"/>
    <x v="0"/>
    <x v="0"/>
    <x v="0"/>
    <s v="Jacksonville"/>
    <x v="3"/>
    <s v="Jacksonville"/>
    <s v="Direct"/>
    <n v="164096"/>
    <n v="208"/>
    <m/>
    <m/>
    <m/>
    <x v="92"/>
    <n v="7120000"/>
    <s v="N/A - Sold"/>
    <s v="N/A - Sold"/>
    <s v="N/A - Sold"/>
    <s v="N/A - Sold"/>
    <n v="2200001"/>
    <x v="0"/>
    <m/>
    <x v="0"/>
    <x v="0"/>
    <m/>
    <m/>
    <m/>
    <m/>
    <n v="2200001"/>
    <x v="0"/>
    <d v="2016-05-06T00:00:00"/>
    <n v="10200000"/>
    <n v="7.1863013698630134"/>
    <n v="2856467.74"/>
    <n v="1.2983938370937105"/>
    <m/>
    <n v="4.1522588844530826E-2"/>
  </r>
  <r>
    <s v="Springtree"/>
    <x v="1"/>
    <m/>
    <x v="0"/>
    <x v="0"/>
    <x v="0"/>
    <x v="0"/>
    <s v="Dallas"/>
    <x v="0"/>
    <s v="Dallas"/>
    <s v="Direct"/>
    <n v="115184"/>
    <n v="128"/>
    <m/>
    <m/>
    <m/>
    <x v="93"/>
    <n v="2500000"/>
    <s v="N/A - Sold"/>
    <s v="N/A - Sold"/>
    <s v="N/A - Sold"/>
    <s v="N/A - Sold"/>
    <n v="1300000"/>
    <x v="0"/>
    <m/>
    <x v="0"/>
    <x v="0"/>
    <m/>
    <m/>
    <m/>
    <m/>
    <n v="1300000"/>
    <x v="0"/>
    <d v="2012-04-17T00:00:00"/>
    <n v="3705000"/>
    <n v="2.6273972602739728"/>
    <n v="785782"/>
    <n v="0.60444769230769235"/>
    <m/>
    <n v="-0.15054910563888665"/>
  </r>
  <r>
    <s v="WIAPTS"/>
    <x v="1"/>
    <m/>
    <x v="0"/>
    <x v="0"/>
    <x v="0"/>
    <x v="0"/>
    <s v="WI Apts - Various"/>
    <x v="1"/>
    <m/>
    <s v="Direct"/>
    <n v="123541"/>
    <n v="143"/>
    <m/>
    <m/>
    <m/>
    <x v="94"/>
    <n v="4114080"/>
    <s v="N/A - Sold"/>
    <s v="N/A - Sold"/>
    <s v="N/A - Sold"/>
    <s v="N/A - Sold"/>
    <n v="450000"/>
    <x v="0"/>
    <m/>
    <x v="0"/>
    <x v="0"/>
    <m/>
    <m/>
    <m/>
    <m/>
    <n v="450000"/>
    <x v="0"/>
    <d v="2016-12-12T00:00:00"/>
    <n v="5006500"/>
    <n v="5.4547945205479449"/>
    <n v="927045.61"/>
    <n v="2.0601013555555556"/>
    <m/>
    <n v="0.19434304107372066"/>
  </r>
  <r>
    <s v="Cortez Commons - Private Fund"/>
    <x v="1"/>
    <m/>
    <x v="0"/>
    <x v="0"/>
    <x v="1"/>
    <x v="1"/>
    <s v="Bradenton"/>
    <x v="3"/>
    <s v="Tampa"/>
    <s v="Direct"/>
    <m/>
    <m/>
    <m/>
    <m/>
    <m/>
    <x v="95"/>
    <m/>
    <s v="N/A - Sold"/>
    <s v="N/A - Sold"/>
    <s v="N/A - Sold"/>
    <s v="N/A - Sold"/>
    <m/>
    <x v="4"/>
    <m/>
    <x v="0"/>
    <x v="0"/>
    <m/>
    <m/>
    <m/>
    <m/>
    <n v="4393100"/>
    <x v="18"/>
    <d v="2020-01-10T00:00:00"/>
    <n v="8100000"/>
    <n v="7.463013698630137"/>
    <n v="6782747.6850228338"/>
    <n v="1.53"/>
    <n v="7.1400000000000005E-2"/>
    <n v="7.2886743685167468E-2"/>
  </r>
  <r>
    <s v="Village Green"/>
    <x v="1"/>
    <s v="Wisconsin Land Inv"/>
    <x v="1"/>
    <x v="0"/>
    <x v="2"/>
    <x v="2"/>
    <s v="Fredonia"/>
    <x v="1"/>
    <s v="Milwaukee"/>
    <s v="Direct"/>
    <m/>
    <m/>
    <n v="24"/>
    <n v="20"/>
    <s v="N/A"/>
    <x v="96"/>
    <n v="307500"/>
    <s v="N/A - Sold"/>
    <s v="N/A"/>
    <s v="N/A - Sold"/>
    <s v="N/A - Sold"/>
    <m/>
    <x v="5"/>
    <m/>
    <x v="0"/>
    <x v="0"/>
    <m/>
    <m/>
    <m/>
    <m/>
    <n v="393914.44"/>
    <x v="19"/>
    <d v="2019-12-03T00:00:00"/>
    <n v="878840"/>
    <n v="6.9232876712328766"/>
    <n v="768904.1"/>
    <n v="1.9519571305890691"/>
    <n v="0.43180000000000002"/>
    <n v="0.13750073314800562"/>
  </r>
  <r>
    <s v="RM Broadlands"/>
    <x v="1"/>
    <s v="Wisconsin Land Inv"/>
    <x v="1"/>
    <x v="0"/>
    <x v="2"/>
    <x v="2"/>
    <s v="North Prairie"/>
    <x v="1"/>
    <s v="Milwaukee"/>
    <s v="Direct"/>
    <m/>
    <m/>
    <n v="19"/>
    <m/>
    <s v="N/A"/>
    <x v="97"/>
    <n v="350000"/>
    <s v="N/A - Sold"/>
    <s v="N/A"/>
    <s v="N/A - Sold"/>
    <s v="N/A - Sold"/>
    <m/>
    <x v="6"/>
    <m/>
    <x v="0"/>
    <x v="0"/>
    <m/>
    <n v="180000"/>
    <m/>
    <m/>
    <n v="360000"/>
    <x v="20"/>
    <d v="2016-05-23T00:00:00"/>
    <n v="986350"/>
    <n v="3.3068493150684932"/>
    <n v="864798.89"/>
    <n v="2.4022191388888889"/>
    <n v="0.79490000000000005"/>
    <n v="0.42403478516523979"/>
  </r>
  <r>
    <s v="GDM Uplands"/>
    <x v="1"/>
    <s v="Wisconsin Land Inv"/>
    <x v="0"/>
    <x v="0"/>
    <x v="2"/>
    <x v="2"/>
    <s v="Mequon"/>
    <x v="1"/>
    <s v="Milwaukee"/>
    <s v="Direct"/>
    <m/>
    <m/>
    <n v="5"/>
    <m/>
    <s v="N/A"/>
    <x v="98"/>
    <n v="325000"/>
    <s v="N/A - Sold"/>
    <s v="N/A"/>
    <s v="N/A - Sold"/>
    <s v="N/A - Sold"/>
    <m/>
    <x v="6"/>
    <m/>
    <x v="0"/>
    <x v="0"/>
    <m/>
    <n v="180000"/>
    <m/>
    <m/>
    <n v="360000"/>
    <x v="20"/>
    <d v="2014-12-30T00:00:00"/>
    <n v="591506"/>
    <n v="1.747945205479452"/>
    <n v="489536.08"/>
    <n v="1.3598224444444444"/>
    <n v="0.2407"/>
    <n v="0.20585453326367123"/>
  </r>
  <r>
    <s v="Saddlebrook"/>
    <x v="1"/>
    <m/>
    <x v="0"/>
    <x v="0"/>
    <x v="0"/>
    <x v="0"/>
    <s v="Jacksonville"/>
    <x v="3"/>
    <s v="Jacksonville"/>
    <s v="Landings Group"/>
    <n v="269832"/>
    <n v="195"/>
    <m/>
    <m/>
    <m/>
    <x v="99"/>
    <n v="4100000"/>
    <s v="N/A - Sold"/>
    <s v="N/A - Sold"/>
    <s v="N/A - Sold"/>
    <s v="N/A - Sold"/>
    <m/>
    <x v="7"/>
    <m/>
    <x v="0"/>
    <x v="0"/>
    <m/>
    <n v="621875"/>
    <m/>
    <m/>
    <n v="4975000"/>
    <x v="21"/>
    <d v="2017-03-24T00:00:00"/>
    <n v="17500000"/>
    <n v="3.8"/>
    <n v="14095900.6"/>
    <n v="2.8333468542713569"/>
    <n v="0.34939999999999999"/>
    <n v="0.48245969849246229"/>
  </r>
  <r>
    <s v="Windridge"/>
    <x v="1"/>
    <m/>
    <x v="0"/>
    <x v="0"/>
    <x v="0"/>
    <x v="0"/>
    <s v="Dallas"/>
    <x v="0"/>
    <s v="Dallas"/>
    <s v="Direct"/>
    <n v="547548"/>
    <n v="720"/>
    <m/>
    <m/>
    <m/>
    <x v="100"/>
    <n v="28800000"/>
    <s v="N/A - Sold"/>
    <s v="N/A - Sold"/>
    <s v="N/A - Sold"/>
    <s v="N/A - Sold"/>
    <m/>
    <x v="8"/>
    <m/>
    <x v="0"/>
    <x v="0"/>
    <n v="4000000"/>
    <m/>
    <m/>
    <m/>
    <n v="10350000"/>
    <x v="22"/>
    <d v="2015-03-31T00:00:00"/>
    <n v="43250000"/>
    <n v="1.6684931506849314"/>
    <n v="21987148.210000001"/>
    <n v="2.1243621458937199"/>
    <n v="0.58940000000000003"/>
    <n v="0.67387879023186825"/>
  </r>
  <r>
    <s v="Avian Estates"/>
    <x v="1"/>
    <s v="Wisconsin Land Inv"/>
    <x v="1"/>
    <x v="0"/>
    <x v="2"/>
    <x v="2"/>
    <s v="Franklin"/>
    <x v="1"/>
    <s v="Milwaukee"/>
    <s v="Direct"/>
    <m/>
    <m/>
    <n v="13"/>
    <m/>
    <s v="N/A"/>
    <x v="101"/>
    <n v="325000"/>
    <s v="N/A - Sold"/>
    <s v="N/A"/>
    <s v="N/A - Sold"/>
    <s v="N/A - Sold"/>
    <m/>
    <x v="9"/>
    <m/>
    <x v="0"/>
    <x v="0"/>
    <m/>
    <m/>
    <m/>
    <m/>
    <n v="502073"/>
    <x v="23"/>
    <d v="2016-01-29T00:00:00"/>
    <n v="1403700"/>
    <n v="2.2438356164383562"/>
    <n v="712782.25"/>
    <n v="1.4196785128855764"/>
    <n v="0.22500000000000001"/>
    <n v="0.18703621148136187"/>
  </r>
  <r>
    <s v="Oak Creek Land"/>
    <x v="1"/>
    <s v="Wisconsin Land Inv"/>
    <x v="1"/>
    <x v="0"/>
    <x v="2"/>
    <x v="2"/>
    <s v="Oak Creek"/>
    <x v="1"/>
    <s v="Milwaukee"/>
    <s v="Direct"/>
    <m/>
    <m/>
    <m/>
    <n v="75"/>
    <s v="N/A"/>
    <x v="4"/>
    <n v="450000"/>
    <s v="N/A - Sold"/>
    <s v="N/A"/>
    <s v="N/A - Sold"/>
    <s v="N/A - Sold"/>
    <m/>
    <x v="10"/>
    <m/>
    <x v="0"/>
    <x v="0"/>
    <m/>
    <n v="175000"/>
    <m/>
    <m/>
    <n v="350000"/>
    <x v="24"/>
    <d v="2015-11-04T00:00:00"/>
    <n v="868133"/>
    <n v="1.4273972602739726"/>
    <n v="565500"/>
    <n v="1.6157142857142857"/>
    <n v="0.4022"/>
    <n v="0.43135453797641898"/>
  </r>
  <r>
    <s v="Quadrant"/>
    <x v="1"/>
    <m/>
    <x v="0"/>
    <x v="0"/>
    <x v="1"/>
    <x v="5"/>
    <s v="Brooklyn Park"/>
    <x v="2"/>
    <s v="Minneapolis"/>
    <s v="Hempel"/>
    <n v="103362"/>
    <m/>
    <m/>
    <m/>
    <m/>
    <x v="102"/>
    <n v="2525000"/>
    <s v="N/A - Sold"/>
    <s v="N/A - Sold"/>
    <s v="N/A - Sold"/>
    <s v="N/A - Sold"/>
    <m/>
    <x v="11"/>
    <m/>
    <x v="0"/>
    <x v="0"/>
    <m/>
    <n v="210000"/>
    <m/>
    <m/>
    <n v="2100000"/>
    <x v="25"/>
    <d v="2017-10-30T00:00:00"/>
    <n v="9200000"/>
    <n v="3.3123287671232875"/>
    <n v="5659949.4400000004"/>
    <n v="2.695214019047619"/>
    <n v="0.378"/>
    <n v="0.51178917862066253"/>
  </r>
  <r>
    <s v="Fox Chase"/>
    <x v="1"/>
    <s v="Wisconsin Land Inv"/>
    <x v="1"/>
    <x v="0"/>
    <x v="2"/>
    <x v="2"/>
    <s v="Eagle"/>
    <x v="1"/>
    <s v="Milwaukee"/>
    <s v="Direct"/>
    <m/>
    <m/>
    <n v="70"/>
    <m/>
    <s v="N/A"/>
    <x v="103"/>
    <n v="580000"/>
    <s v="N/A - Sold"/>
    <s v="N/A"/>
    <s v="N/A - Sold"/>
    <s v="N/A - Sold"/>
    <m/>
    <x v="12"/>
    <m/>
    <x v="0"/>
    <x v="0"/>
    <m/>
    <n v="320000"/>
    <m/>
    <m/>
    <n v="480000"/>
    <x v="26"/>
    <d v="2019-12-01T00:00:00"/>
    <n v="2254204"/>
    <n v="5.3369863013698629"/>
    <n v="1534031.91"/>
    <n v="3.1958998125"/>
    <n v="0.30740000000000001"/>
    <n v="0.41144940018608833"/>
  </r>
  <r>
    <s v="Waukesha Industrial Buildings"/>
    <x v="1"/>
    <m/>
    <x v="0"/>
    <x v="0"/>
    <x v="1"/>
    <x v="3"/>
    <s v="Waukesha"/>
    <x v="1"/>
    <s v="Milwaukee"/>
    <s v="Direct"/>
    <n v="203922"/>
    <m/>
    <m/>
    <m/>
    <m/>
    <x v="104"/>
    <n v="3200000"/>
    <s v="N/A - Sold"/>
    <s v="N/A - Sold"/>
    <s v="N/A - Sold"/>
    <s v="N/A - Sold"/>
    <m/>
    <x v="13"/>
    <m/>
    <x v="0"/>
    <x v="0"/>
    <m/>
    <m/>
    <m/>
    <m/>
    <n v="1447832"/>
    <x v="27"/>
    <d v="2020-02-14T00:00:00"/>
    <n v="4700000"/>
    <n v="5.4328767123287669"/>
    <n v="3918048.95"/>
    <n v="2.7061488832958522"/>
    <n v="0.28849999999999998"/>
    <n v="0.31404152415682607"/>
  </r>
  <r>
    <s v="Northwoods"/>
    <x v="1"/>
    <m/>
    <x v="0"/>
    <x v="0"/>
    <x v="0"/>
    <x v="0"/>
    <s v="Jacksonville"/>
    <x v="3"/>
    <s v="Jacksonville"/>
    <s v="Direct"/>
    <n v="105461"/>
    <n v="152"/>
    <m/>
    <m/>
    <m/>
    <x v="105"/>
    <n v="4750000"/>
    <s v="N/A - Sold"/>
    <s v="N/A - Sold"/>
    <s v="N/A - Sold"/>
    <s v="N/A - Sold"/>
    <m/>
    <x v="14"/>
    <m/>
    <x v="0"/>
    <x v="0"/>
    <n v="805000"/>
    <m/>
    <m/>
    <m/>
    <n v="2339100"/>
    <x v="28"/>
    <d v="2016-08-30T00:00:00"/>
    <n v="7000000"/>
    <n v="1.9150684931506849"/>
    <n v="4286641.76"/>
    <n v="1.8326030353554785"/>
    <n v="0.39350000000000002"/>
    <n v="0.43476410286802525"/>
  </r>
  <r>
    <s v="Albertville Crossing"/>
    <x v="1"/>
    <m/>
    <x v="0"/>
    <x v="0"/>
    <x v="1"/>
    <x v="1"/>
    <s v="Albertville"/>
    <x v="2"/>
    <s v="Minneapolis"/>
    <s v="Hempel"/>
    <n v="104706"/>
    <m/>
    <m/>
    <m/>
    <m/>
    <x v="106"/>
    <n v="9000000"/>
    <s v="N/A - Sold"/>
    <s v="N/A - Sold"/>
    <s v="N/A - Sold"/>
    <s v="N/A - Sold"/>
    <m/>
    <x v="15"/>
    <m/>
    <x v="0"/>
    <x v="0"/>
    <m/>
    <n v="495000"/>
    <m/>
    <m/>
    <n v="3300000"/>
    <x v="29"/>
    <d v="2018-02-23T00:00:00"/>
    <n v="13975000"/>
    <n v="3.2301369863013698"/>
    <n v="7011746"/>
    <n v="2.1247715151515152"/>
    <n v="0.29299999999999998"/>
    <n v="0.3482117074048372"/>
  </r>
  <r>
    <s v="River Road I &amp; II"/>
    <x v="1"/>
    <m/>
    <x v="0"/>
    <x v="0"/>
    <x v="1"/>
    <x v="3"/>
    <s v="Fridley"/>
    <x v="2"/>
    <s v="Minneapolis"/>
    <s v="Hoyt"/>
    <n v="149039"/>
    <m/>
    <m/>
    <m/>
    <m/>
    <x v="107"/>
    <n v="6314000"/>
    <s v="N/A - Sold"/>
    <s v="N/A - Sold"/>
    <s v="N/A - Sold"/>
    <s v="N/A - Sold"/>
    <m/>
    <x v="0"/>
    <n v="1940445"/>
    <x v="0"/>
    <x v="0"/>
    <m/>
    <n v="1940445"/>
    <m/>
    <m/>
    <n v="3880890"/>
    <x v="30"/>
    <d v="2017-06-02T00:00:00"/>
    <n v="10600000"/>
    <n v="2.0904109589041098"/>
    <n v="7554968.8799999999"/>
    <n v="1.9467103885964301"/>
    <n v="0.40129999999999999"/>
    <n v="0.45288242704809567"/>
  </r>
  <r>
    <s v="Presidio"/>
    <x v="1"/>
    <m/>
    <x v="0"/>
    <x v="0"/>
    <x v="0"/>
    <x v="0"/>
    <s v="Allen"/>
    <x v="0"/>
    <s v="Dallas"/>
    <s v="Direct"/>
    <n v="200512"/>
    <n v="202"/>
    <m/>
    <m/>
    <m/>
    <x v="108"/>
    <n v="18550000"/>
    <s v="N/A - Sold"/>
    <s v="N/A - Sold"/>
    <s v="N/A - Sold"/>
    <s v="N/A - Sold"/>
    <m/>
    <x v="16"/>
    <n v="1000000"/>
    <x v="0"/>
    <x v="0"/>
    <n v="3325000"/>
    <m/>
    <m/>
    <m/>
    <n v="7700000"/>
    <x v="31"/>
    <d v="2018-10-17T00:00:00"/>
    <n v="27250000"/>
    <n v="3.2602739726027399"/>
    <n v="15867238.050000001"/>
    <n v="2.0606802662337662"/>
    <n v="0.2727"/>
    <n v="0.32533470350867627"/>
  </r>
  <r>
    <s v="Crossroads"/>
    <x v="1"/>
    <m/>
    <x v="0"/>
    <x v="0"/>
    <x v="0"/>
    <x v="0"/>
    <s v="Richfield"/>
    <x v="2"/>
    <s v="Minneapolis"/>
    <s v="Soderberg"/>
    <n v="435200"/>
    <n v="698"/>
    <m/>
    <m/>
    <m/>
    <x v="109"/>
    <n v="41000000"/>
    <s v="N/A - Sold"/>
    <s v="N/A - Sold"/>
    <s v="N/A - Sold"/>
    <s v="N/A - Sold"/>
    <m/>
    <x v="17"/>
    <n v="9500000"/>
    <x v="0"/>
    <x v="0"/>
    <n v="11500000"/>
    <m/>
    <m/>
    <m/>
    <n v="22500000"/>
    <x v="32"/>
    <d v="2018-11-28T00:00:00"/>
    <n v="95100000"/>
    <n v="3.1671232876712327"/>
    <n v="68359673.060000002"/>
    <n v="3.0382076915555558"/>
    <n v="0.46050000000000002"/>
    <n v="0.64355173652056907"/>
  </r>
  <r>
    <s v="River Road III &amp; IV"/>
    <x v="1"/>
    <m/>
    <x v="0"/>
    <x v="0"/>
    <x v="1"/>
    <x v="3"/>
    <s v="Fridley"/>
    <x v="2"/>
    <s v="Minneapolis"/>
    <s v="Hoyt"/>
    <n v="120022"/>
    <m/>
    <m/>
    <m/>
    <m/>
    <x v="110"/>
    <n v="6525000"/>
    <s v="N/A - Sold"/>
    <s v="N/A - Sold"/>
    <s v="N/A - Sold"/>
    <s v="N/A - Sold"/>
    <m/>
    <x v="0"/>
    <n v="1614000"/>
    <x v="0"/>
    <x v="0"/>
    <m/>
    <n v="1614000"/>
    <m/>
    <m/>
    <n v="3228000"/>
    <x v="33"/>
    <d v="2017-06-02T00:00:00"/>
    <n v="8375000"/>
    <n v="1.3424657534246576"/>
    <n v="4717661.6933333334"/>
    <n v="1.46148131763734"/>
    <n v="0.3508"/>
    <n v="0.34375649170944711"/>
  </r>
  <r>
    <s v="Park at Forest Hill (fka Greens at Irene)"/>
    <x v="1"/>
    <m/>
    <x v="0"/>
    <x v="0"/>
    <x v="0"/>
    <x v="0"/>
    <s v="Memphis"/>
    <x v="16"/>
    <s v="Memphis"/>
    <s v="CRA"/>
    <n v="553698"/>
    <n v="600"/>
    <m/>
    <m/>
    <m/>
    <x v="111"/>
    <n v="39100000"/>
    <s v="N/A - Sold"/>
    <s v="N/A - Sold"/>
    <s v="N/A - Sold"/>
    <s v="N/A - Sold"/>
    <m/>
    <x v="0"/>
    <n v="3300000"/>
    <x v="0"/>
    <x v="0"/>
    <m/>
    <n v="1400000"/>
    <n v="9300000"/>
    <m/>
    <n v="14000000"/>
    <x v="34"/>
    <d v="2020-01-15T00:00:00"/>
    <n v="64000000"/>
    <n v="3.4465753424657533"/>
    <n v="38300113.834069259"/>
    <n v="2.7357224167192329"/>
    <n v="0.37930000000000003"/>
    <n v="0.5036078554074086"/>
  </r>
  <r>
    <s v="Oasis"/>
    <x v="1"/>
    <m/>
    <x v="0"/>
    <x v="0"/>
    <x v="0"/>
    <x v="0"/>
    <s v="Largo"/>
    <x v="3"/>
    <s v="Tampa"/>
    <s v="Direct"/>
    <n v="247015"/>
    <n v="304"/>
    <m/>
    <m/>
    <m/>
    <x v="112"/>
    <n v="23150000"/>
    <s v="N/A - Sold"/>
    <s v="N/A - Sold"/>
    <s v="N/A - Sold"/>
    <s v="N/A - Sold"/>
    <m/>
    <x v="18"/>
    <n v="5000000"/>
    <x v="38"/>
    <x v="0"/>
    <n v="5900000"/>
    <m/>
    <m/>
    <m/>
    <n v="12900000"/>
    <x v="35"/>
    <d v="2018-10-19T00:00:00"/>
    <n v="32500000"/>
    <n v="2.0931506849315067"/>
    <n v="21583057.440000001"/>
    <n v="1.6731052279069769"/>
    <n v="0.29899999999999999"/>
    <n v="0.32157514160477296"/>
  </r>
  <r>
    <s v="Argyle"/>
    <x v="1"/>
    <m/>
    <x v="0"/>
    <x v="0"/>
    <x v="0"/>
    <x v="0"/>
    <s v="Fort Collins"/>
    <x v="17"/>
    <s v="Fort Collins"/>
    <s v="Four Mile"/>
    <n v="258584"/>
    <n v="280"/>
    <m/>
    <m/>
    <m/>
    <x v="113"/>
    <n v="51250000"/>
    <s v="N/A - Sold"/>
    <s v="N/A - Sold"/>
    <s v="N/A - Sold"/>
    <s v="N/A - Sold"/>
    <m/>
    <x v="18"/>
    <n v="7500000"/>
    <x v="39"/>
    <x v="0"/>
    <m/>
    <n v="1845000"/>
    <m/>
    <m/>
    <n v="18450000"/>
    <x v="36"/>
    <d v="2019-03-15T00:00:00"/>
    <n v="63500000"/>
    <n v="2.4602739726027396"/>
    <n v="30916001.940000005"/>
    <n v="1.6756640617886183"/>
    <n v="0.2626"/>
    <n v="0.27462960195194391"/>
  </r>
  <r>
    <s v="Pewaukee Plaza"/>
    <x v="1"/>
    <m/>
    <x v="0"/>
    <x v="0"/>
    <x v="1"/>
    <x v="1"/>
    <s v="Pewaukee"/>
    <x v="1"/>
    <s v="Milwaukee"/>
    <s v="Direct"/>
    <n v="69530"/>
    <m/>
    <m/>
    <m/>
    <m/>
    <x v="114"/>
    <n v="1750000"/>
    <s v="N/A - Sold"/>
    <s v="N/A - Sold"/>
    <s v="N/A - Sold"/>
    <s v="N/A - Sold"/>
    <m/>
    <x v="0"/>
    <m/>
    <x v="40"/>
    <x v="0"/>
    <m/>
    <m/>
    <m/>
    <m/>
    <n v="1975000"/>
    <x v="0"/>
    <d v="2018-09-06T00:00:00"/>
    <n v="5500000"/>
    <n v="1.6164383561643836"/>
    <n v="4184434.9899999998"/>
    <n v="2.1187012607594937"/>
    <n v="0.62619999999999998"/>
    <n v="0.69207789860544933"/>
  </r>
  <r>
    <s v="Grafton Commons"/>
    <x v="1"/>
    <m/>
    <x v="0"/>
    <x v="0"/>
    <x v="1"/>
    <x v="1"/>
    <s v="Grafton"/>
    <x v="1"/>
    <s v="Milwaukee"/>
    <s v="Berengaria"/>
    <n v="239177"/>
    <m/>
    <m/>
    <m/>
    <m/>
    <x v="115"/>
    <n v="33500000"/>
    <s v="N/A - Sold"/>
    <s v="N/A - Sold"/>
    <s v="N/A - Sold"/>
    <s v="N/A - Sold"/>
    <m/>
    <x v="0"/>
    <n v="1500000"/>
    <x v="41"/>
    <x v="0"/>
    <m/>
    <n v="4000000"/>
    <m/>
    <m/>
    <n v="12000000"/>
    <x v="9"/>
    <d v="2019-12-19T00:00:00"/>
    <n v="36035000"/>
    <n v="1.8986301369863015"/>
    <n v="15876002.100000001"/>
    <n v="1.3230001750000002"/>
    <n v="0.17660000000000001"/>
    <n v="0.17012274729437235"/>
  </r>
  <r>
    <s v="One Corporate Center II"/>
    <x v="1"/>
    <m/>
    <x v="0"/>
    <x v="0"/>
    <x v="3"/>
    <x v="4"/>
    <s v="Edina"/>
    <x v="2"/>
    <s v="Minneapolis"/>
    <s v="Hempel"/>
    <n v="109703"/>
    <m/>
    <m/>
    <m/>
    <m/>
    <x v="116"/>
    <n v="2500000"/>
    <s v="N/A - Paid off"/>
    <s v="N/A"/>
    <s v="N/A - Paid off"/>
    <s v="N/A - Paid off"/>
    <m/>
    <x v="0"/>
    <m/>
    <x v="42"/>
    <x v="0"/>
    <m/>
    <m/>
    <m/>
    <m/>
    <n v="2500000"/>
    <x v="0"/>
    <d v="2019-08-07T00:00:00"/>
    <n v="2500000"/>
    <n v="0.34246575342465752"/>
    <n v="2608010"/>
    <n v="1.043204"/>
    <m/>
    <n v="0.12615567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2A6A51-B9EA-4F5F-9D9E-C563A6817E1C}" name="PivotTable11"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20:H25" firstHeaderRow="0" firstDataRow="1" firstDataCol="1" rowPageCount="3" colPageCount="1"/>
  <pivotFields count="43">
    <pivotField dataField="1" showAll="0"/>
    <pivotField axis="axisPage" showAll="0">
      <items count="4">
        <item x="0"/>
        <item x="1"/>
        <item x="2"/>
        <item t="default"/>
      </items>
    </pivotField>
    <pivotField showAll="0"/>
    <pivotField axis="axisPage" showAll="0">
      <items count="3">
        <item x="1"/>
        <item x="0"/>
        <item t="default"/>
      </items>
    </pivotField>
    <pivotField axis="axisPage" showAll="0">
      <items count="3">
        <item x="1"/>
        <item x="0"/>
        <item t="default"/>
      </items>
    </pivotField>
    <pivotField axis="axisRow" showAll="0">
      <items count="10">
        <item m="1" x="4"/>
        <item m="1" x="6"/>
        <item x="2"/>
        <item x="3"/>
        <item m="1" x="5"/>
        <item x="0"/>
        <item m="1" x="8"/>
        <item m="1" x="7"/>
        <item x="1"/>
        <item t="default"/>
      </items>
    </pivotField>
    <pivotField showAll="0"/>
    <pivotField showAll="0"/>
    <pivotField showAll="0"/>
    <pivotField showAll="0"/>
    <pivotField showAll="0"/>
    <pivotField dataField="1" showAll="0"/>
    <pivotField dataField="1"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pivotField dataField="1" showAll="0"/>
    <pivotField showAll="0"/>
    <pivotField dataField="1"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5"/>
  </rowFields>
  <rowItems count="5">
    <i>
      <x v="2"/>
    </i>
    <i>
      <x v="3"/>
    </i>
    <i>
      <x v="5"/>
    </i>
    <i>
      <x v="8"/>
    </i>
    <i t="grand">
      <x/>
    </i>
  </rowItems>
  <colFields count="1">
    <field x="-2"/>
  </colFields>
  <colItems count="6">
    <i>
      <x/>
    </i>
    <i i="1">
      <x v="1"/>
    </i>
    <i i="2">
      <x v="2"/>
    </i>
    <i i="3">
      <x v="3"/>
    </i>
    <i i="4">
      <x v="4"/>
    </i>
    <i i="5">
      <x v="5"/>
    </i>
  </colItems>
  <pageFields count="3">
    <pageField fld="1" item="1" hier="-1"/>
    <pageField fld="3" item="1" hier="-1"/>
    <pageField fld="4" item="1" hier="-1"/>
  </pageFields>
  <dataFields count="6">
    <dataField name="Count of Property" fld="0" subtotal="count" baseField="0" baseItem="0"/>
    <dataField name="Sum of Size (SF)" fld="11" baseField="0" baseItem="0"/>
    <dataField name="Sum of Units" fld="12" baseField="0" baseItem="0"/>
    <dataField name="Sum of Sales Price" fld="34" baseField="0" baseItem="0"/>
    <dataField name="Sum of Total Equity" fld="31" baseField="0" baseItem="0"/>
    <dataField name="Sum of Total Property Distributions" fld="36" baseField="4" baseItem="8" numFmtId="164"/>
  </dataFields>
  <formats count="12">
    <format dxfId="387">
      <pivotArea outline="0" collapsedLevelsAreSubtotals="1" fieldPosition="0"/>
    </format>
    <format dxfId="386">
      <pivotArea outline="0" collapsedLevelsAreSubtotals="1" fieldPosition="0">
        <references count="1">
          <reference field="4294967294" count="1" selected="0">
            <x v="5"/>
          </reference>
        </references>
      </pivotArea>
    </format>
    <format dxfId="385">
      <pivotArea type="all" dataOnly="0" outline="0" fieldPosition="0"/>
    </format>
    <format dxfId="384">
      <pivotArea outline="0" collapsedLevelsAreSubtotals="1" fieldPosition="0"/>
    </format>
    <format dxfId="383">
      <pivotArea field="5" type="button" dataOnly="0" labelOnly="1" outline="0" axis="axisRow" fieldPosition="0"/>
    </format>
    <format dxfId="382">
      <pivotArea dataOnly="0" labelOnly="1" fieldPosition="0">
        <references count="1">
          <reference field="5" count="0"/>
        </references>
      </pivotArea>
    </format>
    <format dxfId="381">
      <pivotArea dataOnly="0" labelOnly="1" grandRow="1" outline="0" fieldPosition="0"/>
    </format>
    <format dxfId="380">
      <pivotArea dataOnly="0" labelOnly="1" outline="0" fieldPosition="0">
        <references count="1">
          <reference field="4294967294" count="5">
            <x v="0"/>
            <x v="1"/>
            <x v="2"/>
            <x v="3"/>
            <x v="5"/>
          </reference>
        </references>
      </pivotArea>
    </format>
    <format dxfId="379">
      <pivotArea field="5" type="button" dataOnly="0" labelOnly="1" outline="0" axis="axisRow" fieldPosition="0"/>
    </format>
    <format dxfId="378">
      <pivotArea dataOnly="0" labelOnly="1" outline="0" fieldPosition="0">
        <references count="1">
          <reference field="4294967294" count="5">
            <x v="0"/>
            <x v="1"/>
            <x v="2"/>
            <x v="3"/>
            <x v="5"/>
          </reference>
        </references>
      </pivotArea>
    </format>
    <format dxfId="377">
      <pivotArea dataOnly="0" labelOnly="1" outline="0" fieldPosition="0">
        <references count="1">
          <reference field="4294967294" count="5">
            <x v="0"/>
            <x v="1"/>
            <x v="2"/>
            <x v="3"/>
            <x v="5"/>
          </reference>
        </references>
      </pivotArea>
    </format>
    <format dxfId="376">
      <pivotArea field="5"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5D117C4-26FA-4C45-BA64-1A594B613F6B}" name="PivotTable12"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52:G55" firstHeaderRow="0" firstDataRow="1" firstDataCol="1" rowPageCount="3" colPageCount="1"/>
  <pivotFields count="43">
    <pivotField showAll="0"/>
    <pivotField axis="axisPage" showAll="0">
      <items count="4">
        <item x="0"/>
        <item x="1"/>
        <item x="2"/>
        <item t="default"/>
      </items>
    </pivotField>
    <pivotField showAll="0"/>
    <pivotField axis="axisPage" showAll="0">
      <items count="3">
        <item x="1"/>
        <item x="0"/>
        <item t="default"/>
      </items>
    </pivotField>
    <pivotField axis="axisPage" multipleItemSelectionAllowed="1" showAll="0">
      <items count="3">
        <item x="1"/>
        <item h="1" x="0"/>
        <item t="default"/>
      </items>
    </pivotField>
    <pivotField axis="axisRow" showAll="0">
      <items count="10">
        <item m="1" x="4"/>
        <item m="1" x="6"/>
        <item x="2"/>
        <item x="3"/>
        <item m="1" x="5"/>
        <item x="0"/>
        <item m="1" x="8"/>
        <item m="1" x="7"/>
        <item x="1"/>
        <item t="default"/>
      </items>
    </pivotField>
    <pivotField showAll="0"/>
    <pivotField showAll="0"/>
    <pivotField showAll="0"/>
    <pivotField showAll="0"/>
    <pivotField showAll="0"/>
    <pivotField dataField="1" showAll="0"/>
    <pivotField dataField="1" showAll="0"/>
    <pivotField showAll="0"/>
    <pivotField showAll="0"/>
    <pivotField showAll="0"/>
    <pivotField numFmtId="14" showAll="0">
      <items count="15">
        <item x="0"/>
        <item x="1"/>
        <item x="2"/>
        <item x="3"/>
        <item x="4"/>
        <item x="5"/>
        <item x="6"/>
        <item x="7"/>
        <item x="8"/>
        <item x="9"/>
        <item x="10"/>
        <item x="11"/>
        <item x="12"/>
        <item x="13"/>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5"/>
  </rowFields>
  <rowItems count="3">
    <i>
      <x v="5"/>
    </i>
    <i>
      <x v="8"/>
    </i>
    <i t="grand">
      <x/>
    </i>
  </rowItems>
  <colFields count="1">
    <field x="-2"/>
  </colFields>
  <colItems count="5">
    <i>
      <x/>
    </i>
    <i i="1">
      <x v="1"/>
    </i>
    <i i="2">
      <x v="2"/>
    </i>
    <i i="3">
      <x v="3"/>
    </i>
    <i i="4">
      <x v="4"/>
    </i>
  </colItems>
  <pageFields count="3">
    <pageField fld="1" item="0" hier="-1"/>
    <pageField fld="3" hier="-1"/>
    <pageField fld="4" hier="-1"/>
  </pageFields>
  <dataFields count="5">
    <dataField name="Sum of Size (SF)" fld="11" baseField="0" baseItem="0"/>
    <dataField name="Sum of Units" fld="12" baseField="0" baseItem="0"/>
    <dataField name="Sum of Purchase Price" fld="17" baseField="0" baseItem="0"/>
    <dataField name="Sum of Fair Market Value Estimate" fld="18" baseField="5" baseItem="5"/>
    <dataField name="Sum of Total Equity" fld="31" baseField="0" baseItem="0"/>
  </dataFields>
  <formats count="12">
    <format dxfId="316">
      <pivotArea outline="0" collapsedLevelsAreSubtotals="1" fieldPosition="0"/>
    </format>
    <format dxfId="315">
      <pivotArea type="all" dataOnly="0" outline="0" fieldPosition="0"/>
    </format>
    <format dxfId="314">
      <pivotArea outline="0" collapsedLevelsAreSubtotals="1" fieldPosition="0"/>
    </format>
    <format dxfId="313">
      <pivotArea field="5" type="button" dataOnly="0" labelOnly="1" outline="0" axis="axisRow" fieldPosition="0"/>
    </format>
    <format dxfId="312">
      <pivotArea dataOnly="0" labelOnly="1" fieldPosition="0">
        <references count="1">
          <reference field="5" count="0"/>
        </references>
      </pivotArea>
    </format>
    <format dxfId="311">
      <pivotArea dataOnly="0" labelOnly="1" grandRow="1" outline="0" fieldPosition="0"/>
    </format>
    <format dxfId="310">
      <pivotArea dataOnly="0" labelOnly="1" outline="0" fieldPosition="0">
        <references count="1">
          <reference field="4294967294" count="2">
            <x v="0"/>
            <x v="1"/>
          </reference>
        </references>
      </pivotArea>
    </format>
    <format dxfId="309">
      <pivotArea field="5" type="button" dataOnly="0" labelOnly="1" outline="0" axis="axisRow" fieldPosition="0"/>
    </format>
    <format dxfId="308">
      <pivotArea dataOnly="0" labelOnly="1" outline="0" fieldPosition="0">
        <references count="1">
          <reference field="4294967294" count="2">
            <x v="0"/>
            <x v="1"/>
          </reference>
        </references>
      </pivotArea>
    </format>
    <format dxfId="307">
      <pivotArea dataOnly="0" labelOnly="1" outline="0" fieldPosition="0">
        <references count="1">
          <reference field="4294967294" count="2">
            <x v="0"/>
            <x v="1"/>
          </reference>
        </references>
      </pivotArea>
    </format>
    <format dxfId="306">
      <pivotArea field="5" type="button" dataOnly="0" labelOnly="1" outline="0" axis="axisRow" fieldPosition="0"/>
    </format>
    <format dxfId="305">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7404C87-1944-4BA8-9459-74AACDFB909F}" name="PivotTable9"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9:C10" firstHeaderRow="1" firstDataRow="1" firstDataCol="1" rowPageCount="3" colPageCount="1"/>
  <pivotFields count="43">
    <pivotField dataField="1" showAll="0"/>
    <pivotField axis="axisPage" showAll="0">
      <items count="4">
        <item x="0"/>
        <item x="1"/>
        <item x="2"/>
        <item t="default"/>
      </items>
    </pivotField>
    <pivotField showAll="0"/>
    <pivotField axis="axisPage" showAll="0">
      <items count="3">
        <item x="1"/>
        <item x="0"/>
        <item t="default"/>
      </items>
    </pivotField>
    <pivotField axis="axisPage" showAll="0">
      <items count="3">
        <item x="1"/>
        <item x="0"/>
        <item t="default"/>
      </items>
    </pivotField>
    <pivotField axis="axisRow" showAll="0">
      <items count="10">
        <item m="1" x="4"/>
        <item m="1" x="6"/>
        <item x="2"/>
        <item x="3"/>
        <item m="1" x="5"/>
        <item x="0"/>
        <item m="1" x="8"/>
        <item m="1" x="7"/>
        <item x="1"/>
        <item t="default"/>
      </items>
    </pivotField>
    <pivotField showAll="0"/>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5"/>
  </rowFields>
  <rowItems count="1">
    <i t="grand">
      <x/>
    </i>
  </rowItems>
  <colItems count="1">
    <i/>
  </colItems>
  <pageFields count="3">
    <pageField fld="1" item="1" hier="-1"/>
    <pageField fld="3" item="1" hier="-1"/>
    <pageField fld="4" item="0" hier="-1"/>
  </pageFields>
  <dataFields count="1">
    <dataField name="Count of Property" fld="0" subtotal="count" baseField="0" baseItem="0"/>
  </dataFields>
  <formats count="7">
    <format dxfId="323">
      <pivotArea outline="0" collapsedLevelsAreSubtotals="1" fieldPosition="0"/>
    </format>
    <format dxfId="322">
      <pivotArea type="all" dataOnly="0" outline="0" fieldPosition="0"/>
    </format>
    <format dxfId="321">
      <pivotArea outline="0" collapsedLevelsAreSubtotals="1" fieldPosition="0"/>
    </format>
    <format dxfId="320">
      <pivotArea field="5" type="button" dataOnly="0" labelOnly="1" outline="0" axis="axisRow" fieldPosition="0"/>
    </format>
    <format dxfId="319">
      <pivotArea dataOnly="0" labelOnly="1" fieldPosition="0">
        <references count="1">
          <reference field="5" count="0"/>
        </references>
      </pivotArea>
    </format>
    <format dxfId="318">
      <pivotArea dataOnly="0" labelOnly="1" grandRow="1" outline="0" fieldPosition="0"/>
    </format>
    <format dxfId="31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839EE0F-FAA8-47CA-B283-1E89CC6469D4}" name="PivotTable16"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86:F88" firstHeaderRow="0" firstDataRow="1" firstDataCol="1" rowPageCount="3" colPageCount="1"/>
  <pivotFields count="43">
    <pivotField showAll="0"/>
    <pivotField axis="axisRow" showAll="0">
      <items count="4">
        <item x="0"/>
        <item x="1"/>
        <item x="2"/>
        <item t="default"/>
      </items>
    </pivotField>
    <pivotField showAll="0"/>
    <pivotField axis="axisPage" showAll="0">
      <items count="3">
        <item x="1"/>
        <item x="0"/>
        <item t="default"/>
      </items>
    </pivotField>
    <pivotField axis="axisPage" multipleItemSelectionAllowed="1" showAll="0">
      <items count="3">
        <item x="1"/>
        <item h="1" x="0"/>
        <item t="default"/>
      </items>
    </pivotField>
    <pivotField axis="axisPage" multipleItemSelectionAllowed="1" showAll="0">
      <items count="10">
        <item m="1" x="4"/>
        <item m="1" x="6"/>
        <item h="1" x="2"/>
        <item h="1" x="3"/>
        <item m="1" x="5"/>
        <item x="0"/>
        <item m="1" x="8"/>
        <item m="1" x="7"/>
        <item x="1"/>
        <item t="default"/>
      </items>
    </pivotField>
    <pivotField showAll="0"/>
    <pivotField showAll="0"/>
    <pivotField showAll="0"/>
    <pivotField showAll="0"/>
    <pivotField showAll="0"/>
    <pivotField dataField="1" showAll="0"/>
    <pivotField dataField="1"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pivotField showAll="0"/>
    <pivotField showAll="0"/>
    <pivotField showAll="0"/>
    <pivotField showAll="0"/>
    <pivotField showAll="0"/>
    <pivotField showAll="0"/>
    <pivotField dataField="1"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1"/>
  </rowFields>
  <rowItems count="2">
    <i>
      <x/>
    </i>
    <i t="grand">
      <x/>
    </i>
  </rowItems>
  <colFields count="1">
    <field x="-2"/>
  </colFields>
  <colItems count="4">
    <i>
      <x/>
    </i>
    <i i="1">
      <x v="1"/>
    </i>
    <i i="2">
      <x v="2"/>
    </i>
    <i i="3">
      <x v="3"/>
    </i>
  </colItems>
  <pageFields count="3">
    <pageField fld="3" hier="-1"/>
    <pageField fld="4" hier="-1"/>
    <pageField fld="5" hier="-1"/>
  </pageFields>
  <dataFields count="4">
    <dataField name="Sum of Size (SF)" fld="11" baseField="0" baseItem="0"/>
    <dataField name="Sum of Units" fld="12" baseField="0" baseItem="0"/>
    <dataField name="Sum of Sales Price &amp; Estimated FV" fld="40" baseField="0" baseItem="0"/>
    <dataField name="Sum of Total Equity" fld="31" baseField="0" baseItem="0"/>
  </dataFields>
  <formats count="10">
    <format dxfId="333">
      <pivotArea outline="0" collapsedLevelsAreSubtotals="1" fieldPosition="0"/>
    </format>
    <format dxfId="332">
      <pivotArea type="all" dataOnly="0" outline="0" fieldPosition="0"/>
    </format>
    <format dxfId="331">
      <pivotArea outline="0" collapsedLevelsAreSubtotals="1" fieldPosition="0"/>
    </format>
    <format dxfId="330">
      <pivotArea field="5" type="button" dataOnly="0" labelOnly="1" outline="0" axis="axisPage" fieldPosition="2"/>
    </format>
    <format dxfId="329">
      <pivotArea dataOnly="0" labelOnly="1" grandRow="1" outline="0" fieldPosition="0"/>
    </format>
    <format dxfId="328">
      <pivotArea dataOnly="0" labelOnly="1" outline="0" fieldPosition="0">
        <references count="1">
          <reference field="4294967294" count="2">
            <x v="0"/>
            <x v="1"/>
          </reference>
        </references>
      </pivotArea>
    </format>
    <format dxfId="327">
      <pivotArea field="5" type="button" dataOnly="0" labelOnly="1" outline="0" axis="axisPage" fieldPosition="2"/>
    </format>
    <format dxfId="326">
      <pivotArea dataOnly="0" labelOnly="1" outline="0" fieldPosition="0">
        <references count="1">
          <reference field="4294967294" count="3">
            <x v="0"/>
            <x v="1"/>
            <x v="2"/>
          </reference>
        </references>
      </pivotArea>
    </format>
    <format dxfId="325">
      <pivotArea field="5" type="button" dataOnly="0" labelOnly="1" outline="0" axis="axisPage" fieldPosition="2"/>
    </format>
    <format dxfId="324">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7004F6F-FDF5-46F9-AC6C-8BDFC07ACA07}" name="PivotTable1"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44:C45" firstHeaderRow="1" firstDataRow="1" firstDataCol="1" rowPageCount="3" colPageCount="1"/>
  <pivotFields count="43">
    <pivotField dataField="1" showAll="0"/>
    <pivotField axis="axisPage" showAll="0">
      <items count="4">
        <item x="0"/>
        <item x="1"/>
        <item x="2"/>
        <item t="default"/>
      </items>
    </pivotField>
    <pivotField showAll="0"/>
    <pivotField axis="axisPage" showAll="0">
      <items count="3">
        <item x="1"/>
        <item x="0"/>
        <item t="default"/>
      </items>
    </pivotField>
    <pivotField axis="axisPage" multipleItemSelectionAllowed="1" showAll="0">
      <items count="3">
        <item x="1"/>
        <item h="1" x="0"/>
        <item t="default"/>
      </items>
    </pivotField>
    <pivotField axis="axisRow" showAll="0">
      <items count="10">
        <item m="1" x="4"/>
        <item m="1" x="6"/>
        <item x="2"/>
        <item x="3"/>
        <item m="1" x="5"/>
        <item x="0"/>
        <item m="1" x="8"/>
        <item m="1" x="7"/>
        <item x="1"/>
        <item t="default"/>
      </items>
    </pivotField>
    <pivotField showAll="0"/>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5"/>
  </rowFields>
  <rowItems count="1">
    <i t="grand">
      <x/>
    </i>
  </rowItems>
  <colItems count="1">
    <i/>
  </colItems>
  <pageFields count="3">
    <pageField fld="1" item="2" hier="-1"/>
    <pageField fld="3" item="1" hier="-1"/>
    <pageField fld="4" hier="-1"/>
  </pageFields>
  <dataFields count="1">
    <dataField name="Count of Property" fld="0" subtotal="count" baseField="0" baseItem="0"/>
  </dataFields>
  <formats count="11">
    <format dxfId="344">
      <pivotArea outline="0" collapsedLevelsAreSubtotals="1" fieldPosition="0"/>
    </format>
    <format dxfId="343">
      <pivotArea type="all" dataOnly="0" outline="0" fieldPosition="0"/>
    </format>
    <format dxfId="342">
      <pivotArea outline="0" collapsedLevelsAreSubtotals="1" fieldPosition="0"/>
    </format>
    <format dxfId="341">
      <pivotArea field="5" type="button" dataOnly="0" labelOnly="1" outline="0" axis="axisRow" fieldPosition="0"/>
    </format>
    <format dxfId="340">
      <pivotArea dataOnly="0" labelOnly="1" fieldPosition="0">
        <references count="1">
          <reference field="5" count="0"/>
        </references>
      </pivotArea>
    </format>
    <format dxfId="339">
      <pivotArea dataOnly="0" labelOnly="1" grandRow="1" outline="0" fieldPosition="0"/>
    </format>
    <format dxfId="338">
      <pivotArea dataOnly="0" labelOnly="1" outline="0" fieldPosition="0">
        <references count="1">
          <reference field="4294967294" count="1">
            <x v="0"/>
          </reference>
        </references>
      </pivotArea>
    </format>
    <format dxfId="337">
      <pivotArea field="5" type="button" dataOnly="0" labelOnly="1" outline="0" axis="axisRow" fieldPosition="0"/>
    </format>
    <format dxfId="336">
      <pivotArea dataOnly="0" labelOnly="1" outline="0" fieldPosition="0">
        <references count="1">
          <reference field="4294967294" count="1">
            <x v="0"/>
          </reference>
        </references>
      </pivotArea>
    </format>
    <format dxfId="335">
      <pivotArea dataOnly="0" labelOnly="1" outline="0" fieldPosition="0">
        <references count="1">
          <reference field="4294967294" count="1">
            <x v="0"/>
          </reference>
        </references>
      </pivotArea>
    </format>
    <format dxfId="334">
      <pivotArea field="5"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BAB4879-A3D7-4BA4-A2D0-C52DC5794740}" name="PivotTable2"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63:G64" firstHeaderRow="0" firstDataRow="1" firstDataCol="1" rowPageCount="3" colPageCount="1"/>
  <pivotFields count="43">
    <pivotField showAll="0"/>
    <pivotField axis="axisPage" showAll="0">
      <items count="4">
        <item x="0"/>
        <item x="1"/>
        <item x="2"/>
        <item t="default"/>
      </items>
    </pivotField>
    <pivotField showAll="0"/>
    <pivotField axis="axisPage" showAll="0">
      <items count="3">
        <item x="1"/>
        <item x="0"/>
        <item t="default"/>
      </items>
    </pivotField>
    <pivotField axis="axisPage" multipleItemSelectionAllowed="1" showAll="0">
      <items count="3">
        <item x="1"/>
        <item h="1" x="0"/>
        <item t="default"/>
      </items>
    </pivotField>
    <pivotField axis="axisRow" showAll="0">
      <items count="10">
        <item m="1" x="4"/>
        <item m="1" x="6"/>
        <item x="2"/>
        <item x="3"/>
        <item m="1" x="5"/>
        <item x="0"/>
        <item m="1" x="8"/>
        <item m="1" x="7"/>
        <item x="1"/>
        <item t="default"/>
      </items>
    </pivotField>
    <pivotField showAll="0"/>
    <pivotField showAll="0"/>
    <pivotField showAll="0"/>
    <pivotField showAll="0"/>
    <pivotField showAll="0"/>
    <pivotField dataField="1" showAll="0"/>
    <pivotField dataField="1" showAll="0"/>
    <pivotField showAll="0"/>
    <pivotField showAll="0"/>
    <pivotField showAll="0"/>
    <pivotField numFmtId="14" showAll="0">
      <items count="15">
        <item x="0"/>
        <item x="1"/>
        <item x="2"/>
        <item x="3"/>
        <item x="4"/>
        <item x="5"/>
        <item x="6"/>
        <item x="7"/>
        <item x="8"/>
        <item x="9"/>
        <item x="10"/>
        <item x="11"/>
        <item x="12"/>
        <item x="13"/>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5"/>
  </rowFields>
  <rowItems count="1">
    <i t="grand">
      <x/>
    </i>
  </rowItems>
  <colFields count="1">
    <field x="-2"/>
  </colFields>
  <colItems count="5">
    <i>
      <x/>
    </i>
    <i i="1">
      <x v="1"/>
    </i>
    <i i="2">
      <x v="2"/>
    </i>
    <i i="3">
      <x v="3"/>
    </i>
    <i i="4">
      <x v="4"/>
    </i>
  </colItems>
  <pageFields count="3">
    <pageField fld="1" item="2" hier="-1"/>
    <pageField fld="3" hier="-1"/>
    <pageField fld="4" hier="-1"/>
  </pageFields>
  <dataFields count="5">
    <dataField name="Sum of Size (SF)" fld="11" baseField="0" baseItem="0"/>
    <dataField name="Sum of Units" fld="12" baseField="0" baseItem="0"/>
    <dataField name="Sum of Purchase Price" fld="17" baseField="0" baseItem="0"/>
    <dataField name="Sum of Fair Market Value Estimate" fld="18" baseField="5" baseItem="5"/>
    <dataField name="Sum of Total Equity" fld="31" baseField="0" baseItem="0"/>
  </dataFields>
  <formats count="12">
    <format dxfId="356">
      <pivotArea outline="0" collapsedLevelsAreSubtotals="1" fieldPosition="0"/>
    </format>
    <format dxfId="355">
      <pivotArea type="all" dataOnly="0" outline="0" fieldPosition="0"/>
    </format>
    <format dxfId="354">
      <pivotArea outline="0" collapsedLevelsAreSubtotals="1" fieldPosition="0"/>
    </format>
    <format dxfId="353">
      <pivotArea field="5" type="button" dataOnly="0" labelOnly="1" outline="0" axis="axisRow" fieldPosition="0"/>
    </format>
    <format dxfId="352">
      <pivotArea dataOnly="0" labelOnly="1" fieldPosition="0">
        <references count="1">
          <reference field="5" count="0"/>
        </references>
      </pivotArea>
    </format>
    <format dxfId="351">
      <pivotArea dataOnly="0" labelOnly="1" grandRow="1" outline="0" fieldPosition="0"/>
    </format>
    <format dxfId="350">
      <pivotArea dataOnly="0" labelOnly="1" outline="0" fieldPosition="0">
        <references count="1">
          <reference field="4294967294" count="2">
            <x v="0"/>
            <x v="1"/>
          </reference>
        </references>
      </pivotArea>
    </format>
    <format dxfId="349">
      <pivotArea field="5" type="button" dataOnly="0" labelOnly="1" outline="0" axis="axisRow" fieldPosition="0"/>
    </format>
    <format dxfId="348">
      <pivotArea dataOnly="0" labelOnly="1" outline="0" fieldPosition="0">
        <references count="1">
          <reference field="4294967294" count="2">
            <x v="0"/>
            <x v="1"/>
          </reference>
        </references>
      </pivotArea>
    </format>
    <format dxfId="347">
      <pivotArea dataOnly="0" labelOnly="1" outline="0" fieldPosition="0">
        <references count="1">
          <reference field="4294967294" count="2">
            <x v="0"/>
            <x v="1"/>
          </reference>
        </references>
      </pivotArea>
    </format>
    <format dxfId="346">
      <pivotArea field="5" type="button" dataOnly="0" labelOnly="1" outline="0" axis="axisRow" fieldPosition="0"/>
    </format>
    <format dxfId="345">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AD56C24-C43C-42EA-B2B5-AD86B768A164}" name="PivotTable14"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35:C38" firstHeaderRow="1" firstDataRow="1" firstDataCol="1" rowPageCount="3" colPageCount="1"/>
  <pivotFields count="43">
    <pivotField dataField="1" showAll="0"/>
    <pivotField axis="axisPage" showAll="0">
      <items count="4">
        <item x="0"/>
        <item x="1"/>
        <item x="2"/>
        <item t="default"/>
      </items>
    </pivotField>
    <pivotField showAll="0"/>
    <pivotField axis="axisPage" showAll="0">
      <items count="3">
        <item x="1"/>
        <item x="0"/>
        <item t="default"/>
      </items>
    </pivotField>
    <pivotField axis="axisPage" multipleItemSelectionAllowed="1" showAll="0">
      <items count="3">
        <item x="1"/>
        <item h="1" x="0"/>
        <item t="default"/>
      </items>
    </pivotField>
    <pivotField axis="axisRow" showAll="0">
      <items count="10">
        <item m="1" x="4"/>
        <item m="1" x="6"/>
        <item x="2"/>
        <item x="3"/>
        <item m="1" x="5"/>
        <item x="0"/>
        <item m="1" x="8"/>
        <item m="1" x="7"/>
        <item x="1"/>
        <item t="default"/>
      </items>
    </pivotField>
    <pivotField showAll="0"/>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5"/>
  </rowFields>
  <rowItems count="3">
    <i>
      <x v="5"/>
    </i>
    <i>
      <x v="8"/>
    </i>
    <i t="grand">
      <x/>
    </i>
  </rowItems>
  <colItems count="1">
    <i/>
  </colItems>
  <pageFields count="3">
    <pageField fld="1" item="0" hier="-1"/>
    <pageField fld="3" item="1" hier="-1"/>
    <pageField fld="4" hier="-1"/>
  </pageFields>
  <dataFields count="1">
    <dataField name="Count of Property" fld="0" subtotal="count" baseField="0" baseItem="0"/>
  </dataFields>
  <formats count="11">
    <format dxfId="367">
      <pivotArea outline="0" collapsedLevelsAreSubtotals="1" fieldPosition="0"/>
    </format>
    <format dxfId="366">
      <pivotArea type="all" dataOnly="0" outline="0" fieldPosition="0"/>
    </format>
    <format dxfId="365">
      <pivotArea outline="0" collapsedLevelsAreSubtotals="1" fieldPosition="0"/>
    </format>
    <format dxfId="364">
      <pivotArea field="5" type="button" dataOnly="0" labelOnly="1" outline="0" axis="axisRow" fieldPosition="0"/>
    </format>
    <format dxfId="363">
      <pivotArea dataOnly="0" labelOnly="1" fieldPosition="0">
        <references count="1">
          <reference field="5" count="0"/>
        </references>
      </pivotArea>
    </format>
    <format dxfId="362">
      <pivotArea dataOnly="0" labelOnly="1" grandRow="1" outline="0" fieldPosition="0"/>
    </format>
    <format dxfId="361">
      <pivotArea dataOnly="0" labelOnly="1" outline="0" fieldPosition="0">
        <references count="1">
          <reference field="4294967294" count="1">
            <x v="0"/>
          </reference>
        </references>
      </pivotArea>
    </format>
    <format dxfId="360">
      <pivotArea field="5" type="button" dataOnly="0" labelOnly="1" outline="0" axis="axisRow" fieldPosition="0"/>
    </format>
    <format dxfId="359">
      <pivotArea dataOnly="0" labelOnly="1" outline="0" fieldPosition="0">
        <references count="1">
          <reference field="4294967294" count="1">
            <x v="0"/>
          </reference>
        </references>
      </pivotArea>
    </format>
    <format dxfId="358">
      <pivotArea dataOnly="0" labelOnly="1" outline="0" fieldPosition="0">
        <references count="1">
          <reference field="4294967294" count="1">
            <x v="0"/>
          </reference>
        </references>
      </pivotArea>
    </format>
    <format dxfId="357">
      <pivotArea field="5"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9D05C77-BF1C-426F-8E4E-4DFAE35976CD}" name="PivotTable15"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75:C77" firstHeaderRow="1" firstDataRow="1" firstDataCol="1" rowPageCount="3" colPageCount="1"/>
  <pivotFields count="43">
    <pivotField showAll="0"/>
    <pivotField axis="axisRow" dataField="1" showAll="0">
      <items count="4">
        <item x="0"/>
        <item x="1"/>
        <item x="2"/>
        <item t="default"/>
      </items>
    </pivotField>
    <pivotField showAll="0"/>
    <pivotField axis="axisPage" showAll="0">
      <items count="3">
        <item x="1"/>
        <item x="0"/>
        <item t="default"/>
      </items>
    </pivotField>
    <pivotField axis="axisPage" multipleItemSelectionAllowed="1" showAll="0">
      <items count="3">
        <item x="1"/>
        <item h="1" x="0"/>
        <item t="default"/>
      </items>
    </pivotField>
    <pivotField axis="axisPage" multipleItemSelectionAllowed="1" showAll="0">
      <items count="10">
        <item m="1" x="4"/>
        <item m="1" x="6"/>
        <item h="1" x="2"/>
        <item h="1" x="3"/>
        <item m="1" x="5"/>
        <item x="0"/>
        <item m="1" x="8"/>
        <item m="1" x="7"/>
        <item x="1"/>
        <item t="default"/>
      </items>
    </pivotField>
    <pivotField showAll="0"/>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1"/>
  </rowFields>
  <rowItems count="2">
    <i>
      <x/>
    </i>
    <i t="grand">
      <x/>
    </i>
  </rowItems>
  <colItems count="1">
    <i/>
  </colItems>
  <pageFields count="3">
    <pageField fld="3" item="1" hier="-1"/>
    <pageField fld="4" hier="-1"/>
    <pageField fld="5" hier="-1"/>
  </pageFields>
  <dataFields count="1">
    <dataField name="Count of Status" fld="1" subtotal="count" baseField="0" baseItem="0"/>
  </dataFields>
  <formats count="8">
    <format dxfId="375">
      <pivotArea outline="0" collapsedLevelsAreSubtotals="1" fieldPosition="0"/>
    </format>
    <format dxfId="374">
      <pivotArea type="all" dataOnly="0" outline="0" fieldPosition="0"/>
    </format>
    <format dxfId="373">
      <pivotArea outline="0" collapsedLevelsAreSubtotals="1" fieldPosition="0"/>
    </format>
    <format dxfId="372">
      <pivotArea field="5" type="button" dataOnly="0" labelOnly="1" outline="0" axis="axisPage" fieldPosition="2"/>
    </format>
    <format dxfId="371">
      <pivotArea dataOnly="0" labelOnly="1" fieldPosition="0">
        <references count="1">
          <reference field="5" count="0"/>
        </references>
      </pivotArea>
    </format>
    <format dxfId="370">
      <pivotArea dataOnly="0" labelOnly="1" grandRow="1" outline="0" fieldPosition="0"/>
    </format>
    <format dxfId="369">
      <pivotArea field="5" type="button" dataOnly="0" labelOnly="1" outline="0" axis="axisPage" fieldPosition="2"/>
    </format>
    <format dxfId="368">
      <pivotArea field="5" type="button" dataOnly="0" labelOnly="1" outline="0" axis="axisPage" fieldPosition="2"/>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DF9F1DB-B8F3-4F57-89B7-6777D8905717}" name="PivotTable3"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1" rowHeaderCaption="State">
  <location ref="B112:D126" firstHeaderRow="0" firstDataRow="1" firstDataCol="1" rowPageCount="2" colPageCount="1"/>
  <pivotFields count="43">
    <pivotField showAll="0"/>
    <pivotField axis="axisPage" multipleItemSelectionAllowed="1" showAll="0">
      <items count="4">
        <item x="0"/>
        <item x="2"/>
        <item x="1"/>
        <item t="default"/>
      </items>
    </pivotField>
    <pivotField showAll="0"/>
    <pivotField showAll="0"/>
    <pivotField showAll="0"/>
    <pivotField showAll="0"/>
    <pivotField showAll="0"/>
    <pivotField showAll="0"/>
    <pivotField axis="axisRow" showAll="0">
      <items count="19">
        <item x="15"/>
        <item x="4"/>
        <item x="17"/>
        <item x="3"/>
        <item x="10"/>
        <item x="8"/>
        <item x="9"/>
        <item x="7"/>
        <item x="2"/>
        <item x="5"/>
        <item x="13"/>
        <item x="6"/>
        <item x="12"/>
        <item x="11"/>
        <item x="16"/>
        <item x="0"/>
        <item x="1"/>
        <item x="14"/>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multipleItemSelectionAllowed="1" showAll="0"/>
    <pivotField showAll="0"/>
    <pivotField multipleItemSelectionAllowed="1" showAll="0"/>
    <pivotField axis="axisPage" dataField="1" multipleItemSelectionAllowed="1" showAll="0">
      <items count="36">
        <item x="5"/>
        <item x="4"/>
        <item x="16"/>
        <item x="20"/>
        <item x="9"/>
        <item m="1" x="31"/>
        <item m="1" x="34"/>
        <item x="13"/>
        <item x="21"/>
        <item x="3"/>
        <item x="6"/>
        <item x="2"/>
        <item m="1" x="30"/>
        <item x="15"/>
        <item x="22"/>
        <item x="1"/>
        <item x="12"/>
        <item m="1" x="32"/>
        <item x="7"/>
        <item x="19"/>
        <item x="23"/>
        <item x="8"/>
        <item x="10"/>
        <item x="11"/>
        <item h="1" x="0"/>
        <item x="14"/>
        <item x="17"/>
        <item x="18"/>
        <item x="24"/>
        <item m="1" x="33"/>
        <item x="26"/>
        <item x="25"/>
        <item x="27"/>
        <item x="28"/>
        <item x="29"/>
        <item t="default"/>
      </items>
    </pivotField>
    <pivotField showAll="0"/>
    <pivotField showAll="0"/>
    <pivotField showAll="0"/>
    <pivotField showAll="0"/>
    <pivotField numFmtId="164" showAll="0"/>
    <pivotField numFmtId="164" multipleItemSelectionAllowed="1" showAll="0"/>
    <pivotField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8"/>
  </rowFields>
  <rowItems count="14">
    <i>
      <x v="1"/>
    </i>
    <i>
      <x v="3"/>
    </i>
    <i>
      <x v="4"/>
    </i>
    <i>
      <x v="5"/>
    </i>
    <i>
      <x v="6"/>
    </i>
    <i>
      <x v="7"/>
    </i>
    <i>
      <x v="8"/>
    </i>
    <i>
      <x v="10"/>
    </i>
    <i>
      <x v="11"/>
    </i>
    <i>
      <x v="12"/>
    </i>
    <i>
      <x v="13"/>
    </i>
    <i>
      <x v="15"/>
    </i>
    <i>
      <x v="17"/>
    </i>
    <i t="grand">
      <x/>
    </i>
  </rowItems>
  <colFields count="1">
    <field x="-2"/>
  </colFields>
  <colItems count="2">
    <i>
      <x/>
    </i>
    <i i="1">
      <x v="1"/>
    </i>
  </colItems>
  <pageFields count="2">
    <pageField fld="26" hier="-1"/>
    <pageField fld="1" hier="-1"/>
  </pageFields>
  <dataFields count="2">
    <dataField name="Sum of Fund IV Equity" fld="26" baseField="0" baseItem="0"/>
    <dataField name="Percent of Total" fld="26" showDataAs="percentOfTotal" baseField="8" baseItem="0" numFmtId="10"/>
  </dataFields>
  <formats count="12">
    <format dxfId="247">
      <pivotArea type="all" dataOnly="0" outline="0" fieldPosition="0"/>
    </format>
    <format dxfId="246">
      <pivotArea outline="0" collapsedLevelsAreSubtotals="1" fieldPosition="0"/>
    </format>
    <format dxfId="245">
      <pivotArea field="8" type="button" dataOnly="0" labelOnly="1" outline="0" axis="axisRow" fieldPosition="0"/>
    </format>
    <format dxfId="244">
      <pivotArea dataOnly="0" labelOnly="1" fieldPosition="0">
        <references count="1">
          <reference field="8" count="0"/>
        </references>
      </pivotArea>
    </format>
    <format dxfId="243">
      <pivotArea dataOnly="0" labelOnly="1" grandRow="1" outline="0" fieldPosition="0"/>
    </format>
    <format dxfId="242">
      <pivotArea dataOnly="0" labelOnly="1" outline="0" axis="axisValues" fieldPosition="0"/>
    </format>
    <format dxfId="241">
      <pivotArea outline="0" collapsedLevelsAreSubtotals="1" fieldPosition="0"/>
    </format>
    <format dxfId="240">
      <pivotArea field="8" type="button" dataOnly="0" labelOnly="1" outline="0" axis="axisRow" fieldPosition="0"/>
    </format>
    <format dxfId="239">
      <pivotArea dataOnly="0" labelOnly="1" outline="0" axis="axisValues" fieldPosition="0"/>
    </format>
    <format dxfId="238">
      <pivotArea dataOnly="0" labelOnly="1" outline="0" axis="axisValues" fieldPosition="0"/>
    </format>
    <format dxfId="237">
      <pivotArea outline="0" fieldPosition="0">
        <references count="1">
          <reference field="4294967294" count="1">
            <x v="1"/>
          </reference>
        </references>
      </pivotArea>
    </format>
    <format dxfId="236">
      <pivotArea dataOnly="0" labelOnly="1" outline="0" fieldPosition="0">
        <references count="1">
          <reference field="4294967294" count="2">
            <x v="0"/>
            <x v="1"/>
          </reference>
        </references>
      </pivotArea>
    </format>
  </formats>
  <chartFormats count="26">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pivotArea type="data" outline="0" fieldPosition="0">
        <references count="2">
          <reference field="4294967294" count="1" selected="0">
            <x v="0"/>
          </reference>
          <reference field="8" count="1" selected="0">
            <x v="8"/>
          </reference>
        </references>
      </pivotArea>
    </chartFormat>
    <chartFormat chart="10" format="3">
      <pivotArea type="data" outline="0" fieldPosition="0">
        <references count="2">
          <reference field="4294967294" count="1" selected="0">
            <x v="0"/>
          </reference>
          <reference field="8" count="1" selected="0">
            <x v="7"/>
          </reference>
        </references>
      </pivotArea>
    </chartFormat>
    <chartFormat chart="10" format="4">
      <pivotArea type="data" outline="0" fieldPosition="0">
        <references count="2">
          <reference field="4294967294" count="1" selected="0">
            <x v="0"/>
          </reference>
          <reference field="8" count="1" selected="0">
            <x v="6"/>
          </reference>
        </references>
      </pivotArea>
    </chartFormat>
    <chartFormat chart="10" format="5">
      <pivotArea type="data" outline="0" fieldPosition="0">
        <references count="2">
          <reference field="4294967294" count="1" selected="0">
            <x v="0"/>
          </reference>
          <reference field="8" count="1" selected="0">
            <x v="1"/>
          </reference>
        </references>
      </pivotArea>
    </chartFormat>
    <chartFormat chart="10" format="6">
      <pivotArea type="data" outline="0" fieldPosition="0">
        <references count="2">
          <reference field="4294967294" count="1" selected="0">
            <x v="0"/>
          </reference>
          <reference field="8" count="1" selected="0">
            <x v="3"/>
          </reference>
        </references>
      </pivotArea>
    </chartFormat>
    <chartFormat chart="10" format="7">
      <pivotArea type="data" outline="0" fieldPosition="0">
        <references count="2">
          <reference field="4294967294" count="1" selected="0">
            <x v="0"/>
          </reference>
          <reference field="8" count="1" selected="0">
            <x v="4"/>
          </reference>
        </references>
      </pivotArea>
    </chartFormat>
    <chartFormat chart="10" format="8">
      <pivotArea type="data" outline="0" fieldPosition="0">
        <references count="2">
          <reference field="4294967294" count="1" selected="0">
            <x v="0"/>
          </reference>
          <reference field="8" count="1" selected="0">
            <x v="5"/>
          </reference>
        </references>
      </pivotArea>
    </chartFormat>
    <chartFormat chart="10" format="9">
      <pivotArea type="data" outline="0" fieldPosition="0">
        <references count="2">
          <reference field="4294967294" count="1" selected="0">
            <x v="0"/>
          </reference>
          <reference field="8" count="1" selected="0">
            <x v="10"/>
          </reference>
        </references>
      </pivotArea>
    </chartFormat>
    <chartFormat chart="10" format="10">
      <pivotArea type="data" outline="0" fieldPosition="0">
        <references count="2">
          <reference field="4294967294" count="1" selected="0">
            <x v="0"/>
          </reference>
          <reference field="8" count="1" selected="0">
            <x v="11"/>
          </reference>
        </references>
      </pivotArea>
    </chartFormat>
    <chartFormat chart="10" format="11">
      <pivotArea type="data" outline="0" fieldPosition="0">
        <references count="2">
          <reference field="4294967294" count="1" selected="0">
            <x v="0"/>
          </reference>
          <reference field="8" count="1" selected="0">
            <x v="12"/>
          </reference>
        </references>
      </pivotArea>
    </chartFormat>
    <chartFormat chart="10" format="12">
      <pivotArea type="data" outline="0" fieldPosition="0">
        <references count="2">
          <reference field="4294967294" count="1" selected="0">
            <x v="0"/>
          </reference>
          <reference field="8" count="1" selected="0">
            <x v="13"/>
          </reference>
        </references>
      </pivotArea>
    </chartFormat>
    <chartFormat chart="10" format="13">
      <pivotArea type="data" outline="0" fieldPosition="0">
        <references count="2">
          <reference field="4294967294" count="1" selected="0">
            <x v="0"/>
          </reference>
          <reference field="8" count="1" selected="0">
            <x v="15"/>
          </reference>
        </references>
      </pivotArea>
    </chartFormat>
    <chartFormat chart="10" format="14">
      <pivotArea type="data" outline="0" fieldPosition="0">
        <references count="2">
          <reference field="4294967294" count="1" selected="0">
            <x v="1"/>
          </reference>
          <reference field="8" count="1" selected="0">
            <x v="1"/>
          </reference>
        </references>
      </pivotArea>
    </chartFormat>
    <chartFormat chart="10" format="15">
      <pivotArea type="data" outline="0" fieldPosition="0">
        <references count="2">
          <reference field="4294967294" count="1" selected="0">
            <x v="1"/>
          </reference>
          <reference field="8" count="1" selected="0">
            <x v="3"/>
          </reference>
        </references>
      </pivotArea>
    </chartFormat>
    <chartFormat chart="10" format="16">
      <pivotArea type="data" outline="0" fieldPosition="0">
        <references count="2">
          <reference field="4294967294" count="1" selected="0">
            <x v="1"/>
          </reference>
          <reference field="8" count="1" selected="0">
            <x v="4"/>
          </reference>
        </references>
      </pivotArea>
    </chartFormat>
    <chartFormat chart="10" format="17">
      <pivotArea type="data" outline="0" fieldPosition="0">
        <references count="2">
          <reference field="4294967294" count="1" selected="0">
            <x v="1"/>
          </reference>
          <reference field="8" count="1" selected="0">
            <x v="5"/>
          </reference>
        </references>
      </pivotArea>
    </chartFormat>
    <chartFormat chart="10" format="18">
      <pivotArea type="data" outline="0" fieldPosition="0">
        <references count="2">
          <reference field="4294967294" count="1" selected="0">
            <x v="1"/>
          </reference>
          <reference field="8" count="1" selected="0">
            <x v="6"/>
          </reference>
        </references>
      </pivotArea>
    </chartFormat>
    <chartFormat chart="10" format="19">
      <pivotArea type="data" outline="0" fieldPosition="0">
        <references count="2">
          <reference field="4294967294" count="1" selected="0">
            <x v="1"/>
          </reference>
          <reference field="8" count="1" selected="0">
            <x v="7"/>
          </reference>
        </references>
      </pivotArea>
    </chartFormat>
    <chartFormat chart="10" format="20">
      <pivotArea type="data" outline="0" fieldPosition="0">
        <references count="2">
          <reference field="4294967294" count="1" selected="0">
            <x v="1"/>
          </reference>
          <reference field="8" count="1" selected="0">
            <x v="8"/>
          </reference>
        </references>
      </pivotArea>
    </chartFormat>
    <chartFormat chart="10" format="21">
      <pivotArea type="data" outline="0" fieldPosition="0">
        <references count="2">
          <reference field="4294967294" count="1" selected="0">
            <x v="1"/>
          </reference>
          <reference field="8" count="1" selected="0">
            <x v="10"/>
          </reference>
        </references>
      </pivotArea>
    </chartFormat>
    <chartFormat chart="10" format="22">
      <pivotArea type="data" outline="0" fieldPosition="0">
        <references count="2">
          <reference field="4294967294" count="1" selected="0">
            <x v="1"/>
          </reference>
          <reference field="8" count="1" selected="0">
            <x v="11"/>
          </reference>
        </references>
      </pivotArea>
    </chartFormat>
    <chartFormat chart="10" format="23">
      <pivotArea type="data" outline="0" fieldPosition="0">
        <references count="2">
          <reference field="4294967294" count="1" selected="0">
            <x v="1"/>
          </reference>
          <reference field="8" count="1" selected="0">
            <x v="12"/>
          </reference>
        </references>
      </pivotArea>
    </chartFormat>
    <chartFormat chart="10" format="24">
      <pivotArea type="data" outline="0" fieldPosition="0">
        <references count="2">
          <reference field="4294967294" count="1" selected="0">
            <x v="1"/>
          </reference>
          <reference field="8" count="1" selected="0">
            <x v="13"/>
          </reference>
        </references>
      </pivotArea>
    </chartFormat>
    <chartFormat chart="10" format="25">
      <pivotArea type="data" outline="0" fieldPosition="0">
        <references count="2">
          <reference field="4294967294" count="1" selected="0">
            <x v="1"/>
          </reference>
          <reference field="8"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D38B979-5F40-4164-8BD2-F2BB5D64D169}" name="PivotTable2"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0" rowHeaderCaption="State">
  <location ref="B84:D99" firstHeaderRow="0" firstDataRow="1" firstDataCol="1" rowPageCount="1" colPageCount="1"/>
  <pivotFields count="43">
    <pivotField showAll="0"/>
    <pivotField showAll="0"/>
    <pivotField showAll="0"/>
    <pivotField showAll="0"/>
    <pivotField showAll="0"/>
    <pivotField showAll="0"/>
    <pivotField showAll="0"/>
    <pivotField showAll="0"/>
    <pivotField axis="axisRow" showAll="0">
      <items count="19">
        <item x="15"/>
        <item x="4"/>
        <item x="17"/>
        <item x="3"/>
        <item x="10"/>
        <item x="8"/>
        <item x="9"/>
        <item x="7"/>
        <item x="2"/>
        <item x="5"/>
        <item x="13"/>
        <item x="6"/>
        <item x="12"/>
        <item x="11"/>
        <item x="16"/>
        <item x="0"/>
        <item x="1"/>
        <item x="14"/>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multipleItemSelectionAllowed="1" showAll="0"/>
    <pivotField showAll="0"/>
    <pivotField axis="axisPage" dataField="1" multipleItemSelectionAllowed="1" showAll="0">
      <items count="49">
        <item m="1" x="47"/>
        <item x="35"/>
        <item x="33"/>
        <item x="28"/>
        <item x="36"/>
        <item m="1" x="45"/>
        <item x="30"/>
        <item x="27"/>
        <item m="1" x="46"/>
        <item x="34"/>
        <item x="19"/>
        <item x="18"/>
        <item x="13"/>
        <item x="38"/>
        <item x="7"/>
        <item x="14"/>
        <item x="40"/>
        <item x="42"/>
        <item x="6"/>
        <item x="10"/>
        <item x="23"/>
        <item x="4"/>
        <item x="24"/>
        <item x="25"/>
        <item x="37"/>
        <item x="26"/>
        <item x="3"/>
        <item x="41"/>
        <item x="9"/>
        <item x="17"/>
        <item m="1" x="43"/>
        <item x="5"/>
        <item x="20"/>
        <item x="8"/>
        <item x="39"/>
        <item x="16"/>
        <item x="11"/>
        <item x="21"/>
        <item x="2"/>
        <item x="12"/>
        <item x="15"/>
        <item m="1" x="44"/>
        <item h="1" x="0"/>
        <item x="1"/>
        <item x="29"/>
        <item x="31"/>
        <item x="32"/>
        <item x="22"/>
        <item t="default"/>
      </items>
    </pivotField>
    <pivotField showAll="0"/>
    <pivotField showAll="0"/>
    <pivotField showAll="0"/>
    <pivotField showAll="0"/>
    <pivotField showAll="0"/>
    <pivotField numFmtId="164" showAll="0"/>
    <pivotField numFmtId="164" multipleItemSelectionAllowed="1" showAll="0"/>
    <pivotField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8"/>
  </rowFields>
  <rowItems count="15">
    <i>
      <x v="1"/>
    </i>
    <i>
      <x v="2"/>
    </i>
    <i>
      <x v="3"/>
    </i>
    <i>
      <x v="4"/>
    </i>
    <i>
      <x v="5"/>
    </i>
    <i>
      <x v="6"/>
    </i>
    <i>
      <x v="7"/>
    </i>
    <i>
      <x v="8"/>
    </i>
    <i>
      <x v="9"/>
    </i>
    <i>
      <x v="11"/>
    </i>
    <i>
      <x v="12"/>
    </i>
    <i>
      <x v="13"/>
    </i>
    <i>
      <x v="15"/>
    </i>
    <i>
      <x v="16"/>
    </i>
    <i t="grand">
      <x/>
    </i>
  </rowItems>
  <colFields count="1">
    <field x="-2"/>
  </colFields>
  <colItems count="2">
    <i>
      <x/>
    </i>
    <i i="1">
      <x v="1"/>
    </i>
  </colItems>
  <pageFields count="1">
    <pageField fld="25" hier="-1"/>
  </pageFields>
  <dataFields count="2">
    <dataField name="Sum of Fund III Equity" fld="25" baseField="0" baseItem="0"/>
    <dataField name="Percent of Total" fld="25" showDataAs="percentOfTotal" baseField="8" baseItem="0" numFmtId="10"/>
  </dataFields>
  <formats count="12">
    <format dxfId="259">
      <pivotArea type="all" dataOnly="0" outline="0" fieldPosition="0"/>
    </format>
    <format dxfId="258">
      <pivotArea outline="0" collapsedLevelsAreSubtotals="1" fieldPosition="0"/>
    </format>
    <format dxfId="257">
      <pivotArea field="8" type="button" dataOnly="0" labelOnly="1" outline="0" axis="axisRow" fieldPosition="0"/>
    </format>
    <format dxfId="256">
      <pivotArea dataOnly="0" labelOnly="1" fieldPosition="0">
        <references count="1">
          <reference field="8" count="0"/>
        </references>
      </pivotArea>
    </format>
    <format dxfId="255">
      <pivotArea dataOnly="0" labelOnly="1" grandRow="1" outline="0" fieldPosition="0"/>
    </format>
    <format dxfId="254">
      <pivotArea dataOnly="0" labelOnly="1" outline="0" axis="axisValues" fieldPosition="0"/>
    </format>
    <format dxfId="253">
      <pivotArea outline="0" collapsedLevelsAreSubtotals="1" fieldPosition="0"/>
    </format>
    <format dxfId="252">
      <pivotArea field="8" type="button" dataOnly="0" labelOnly="1" outline="0" axis="axisRow" fieldPosition="0"/>
    </format>
    <format dxfId="251">
      <pivotArea dataOnly="0" labelOnly="1" outline="0" axis="axisValues" fieldPosition="0"/>
    </format>
    <format dxfId="250">
      <pivotArea dataOnly="0" labelOnly="1" outline="0" axis="axisValues" fieldPosition="0"/>
    </format>
    <format dxfId="249">
      <pivotArea outline="0" fieldPosition="0">
        <references count="1">
          <reference field="4294967294" count="1">
            <x v="1"/>
          </reference>
        </references>
      </pivotArea>
    </format>
    <format dxfId="248">
      <pivotArea dataOnly="0" labelOnly="1" outline="0" fieldPosition="0">
        <references count="1">
          <reference field="4294967294" count="2">
            <x v="0"/>
            <x v="1"/>
          </reference>
        </references>
      </pivotArea>
    </format>
  </formats>
  <chartFormats count="30">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pivotArea type="data" outline="0" fieldPosition="0">
        <references count="2">
          <reference field="4294967294" count="1" selected="0">
            <x v="0"/>
          </reference>
          <reference field="8" count="1" selected="0">
            <x v="1"/>
          </reference>
        </references>
      </pivotArea>
    </chartFormat>
    <chartFormat chart="9" format="3">
      <pivotArea type="data" outline="0" fieldPosition="0">
        <references count="2">
          <reference field="4294967294" count="1" selected="0">
            <x v="0"/>
          </reference>
          <reference field="8" count="1" selected="0">
            <x v="2"/>
          </reference>
        </references>
      </pivotArea>
    </chartFormat>
    <chartFormat chart="9" format="4">
      <pivotArea type="data" outline="0" fieldPosition="0">
        <references count="2">
          <reference field="4294967294" count="1" selected="0">
            <x v="0"/>
          </reference>
          <reference field="8" count="1" selected="0">
            <x v="3"/>
          </reference>
        </references>
      </pivotArea>
    </chartFormat>
    <chartFormat chart="9" format="5">
      <pivotArea type="data" outline="0" fieldPosition="0">
        <references count="2">
          <reference field="4294967294" count="1" selected="0">
            <x v="0"/>
          </reference>
          <reference field="8" count="1" selected="0">
            <x v="4"/>
          </reference>
        </references>
      </pivotArea>
    </chartFormat>
    <chartFormat chart="9" format="6">
      <pivotArea type="data" outline="0" fieldPosition="0">
        <references count="2">
          <reference field="4294967294" count="1" selected="0">
            <x v="0"/>
          </reference>
          <reference field="8" count="1" selected="0">
            <x v="5"/>
          </reference>
        </references>
      </pivotArea>
    </chartFormat>
    <chartFormat chart="9" format="7">
      <pivotArea type="data" outline="0" fieldPosition="0">
        <references count="2">
          <reference field="4294967294" count="1" selected="0">
            <x v="0"/>
          </reference>
          <reference field="8" count="1" selected="0">
            <x v="6"/>
          </reference>
        </references>
      </pivotArea>
    </chartFormat>
    <chartFormat chart="9" format="8">
      <pivotArea type="data" outline="0" fieldPosition="0">
        <references count="2">
          <reference field="4294967294" count="1" selected="0">
            <x v="0"/>
          </reference>
          <reference field="8" count="1" selected="0">
            <x v="7"/>
          </reference>
        </references>
      </pivotArea>
    </chartFormat>
    <chartFormat chart="9" format="9">
      <pivotArea type="data" outline="0" fieldPosition="0">
        <references count="2">
          <reference field="4294967294" count="1" selected="0">
            <x v="0"/>
          </reference>
          <reference field="8" count="1" selected="0">
            <x v="8"/>
          </reference>
        </references>
      </pivotArea>
    </chartFormat>
    <chartFormat chart="9" format="10">
      <pivotArea type="data" outline="0" fieldPosition="0">
        <references count="2">
          <reference field="4294967294" count="1" selected="0">
            <x v="0"/>
          </reference>
          <reference field="8" count="1" selected="0">
            <x v="9"/>
          </reference>
        </references>
      </pivotArea>
    </chartFormat>
    <chartFormat chart="9" format="11">
      <pivotArea type="data" outline="0" fieldPosition="0">
        <references count="2">
          <reference field="4294967294" count="1" selected="0">
            <x v="0"/>
          </reference>
          <reference field="8" count="1" selected="0">
            <x v="11"/>
          </reference>
        </references>
      </pivotArea>
    </chartFormat>
    <chartFormat chart="9" format="12">
      <pivotArea type="data" outline="0" fieldPosition="0">
        <references count="2">
          <reference field="4294967294" count="1" selected="0">
            <x v="0"/>
          </reference>
          <reference field="8" count="1" selected="0">
            <x v="12"/>
          </reference>
        </references>
      </pivotArea>
    </chartFormat>
    <chartFormat chart="9" format="13">
      <pivotArea type="data" outline="0" fieldPosition="0">
        <references count="2">
          <reference field="4294967294" count="1" selected="0">
            <x v="0"/>
          </reference>
          <reference field="8" count="1" selected="0">
            <x v="13"/>
          </reference>
        </references>
      </pivotArea>
    </chartFormat>
    <chartFormat chart="9" format="14">
      <pivotArea type="data" outline="0" fieldPosition="0">
        <references count="2">
          <reference field="4294967294" count="1" selected="0">
            <x v="0"/>
          </reference>
          <reference field="8" count="1" selected="0">
            <x v="15"/>
          </reference>
        </references>
      </pivotArea>
    </chartFormat>
    <chartFormat chart="9" format="15">
      <pivotArea type="data" outline="0" fieldPosition="0">
        <references count="2">
          <reference field="4294967294" count="1" selected="0">
            <x v="0"/>
          </reference>
          <reference field="8" count="1" selected="0">
            <x v="16"/>
          </reference>
        </references>
      </pivotArea>
    </chartFormat>
    <chartFormat chart="9" format="16">
      <pivotArea type="data" outline="0" fieldPosition="0">
        <references count="2">
          <reference field="4294967294" count="1" selected="0">
            <x v="1"/>
          </reference>
          <reference field="8" count="1" selected="0">
            <x v="1"/>
          </reference>
        </references>
      </pivotArea>
    </chartFormat>
    <chartFormat chart="9" format="17">
      <pivotArea type="data" outline="0" fieldPosition="0">
        <references count="2">
          <reference field="4294967294" count="1" selected="0">
            <x v="1"/>
          </reference>
          <reference field="8" count="1" selected="0">
            <x v="2"/>
          </reference>
        </references>
      </pivotArea>
    </chartFormat>
    <chartFormat chart="9" format="18">
      <pivotArea type="data" outline="0" fieldPosition="0">
        <references count="2">
          <reference field="4294967294" count="1" selected="0">
            <x v="1"/>
          </reference>
          <reference field="8" count="1" selected="0">
            <x v="3"/>
          </reference>
        </references>
      </pivotArea>
    </chartFormat>
    <chartFormat chart="9" format="19">
      <pivotArea type="data" outline="0" fieldPosition="0">
        <references count="2">
          <reference field="4294967294" count="1" selected="0">
            <x v="1"/>
          </reference>
          <reference field="8" count="1" selected="0">
            <x v="4"/>
          </reference>
        </references>
      </pivotArea>
    </chartFormat>
    <chartFormat chart="9" format="20">
      <pivotArea type="data" outline="0" fieldPosition="0">
        <references count="2">
          <reference field="4294967294" count="1" selected="0">
            <x v="1"/>
          </reference>
          <reference field="8" count="1" selected="0">
            <x v="5"/>
          </reference>
        </references>
      </pivotArea>
    </chartFormat>
    <chartFormat chart="9" format="21">
      <pivotArea type="data" outline="0" fieldPosition="0">
        <references count="2">
          <reference field="4294967294" count="1" selected="0">
            <x v="1"/>
          </reference>
          <reference field="8" count="1" selected="0">
            <x v="6"/>
          </reference>
        </references>
      </pivotArea>
    </chartFormat>
    <chartFormat chart="9" format="22">
      <pivotArea type="data" outline="0" fieldPosition="0">
        <references count="2">
          <reference field="4294967294" count="1" selected="0">
            <x v="1"/>
          </reference>
          <reference field="8" count="1" selected="0">
            <x v="7"/>
          </reference>
        </references>
      </pivotArea>
    </chartFormat>
    <chartFormat chart="9" format="23">
      <pivotArea type="data" outline="0" fieldPosition="0">
        <references count="2">
          <reference field="4294967294" count="1" selected="0">
            <x v="1"/>
          </reference>
          <reference field="8" count="1" selected="0">
            <x v="8"/>
          </reference>
        </references>
      </pivotArea>
    </chartFormat>
    <chartFormat chart="9" format="24">
      <pivotArea type="data" outline="0" fieldPosition="0">
        <references count="2">
          <reference field="4294967294" count="1" selected="0">
            <x v="1"/>
          </reference>
          <reference field="8" count="1" selected="0">
            <x v="9"/>
          </reference>
        </references>
      </pivotArea>
    </chartFormat>
    <chartFormat chart="9" format="25">
      <pivotArea type="data" outline="0" fieldPosition="0">
        <references count="2">
          <reference field="4294967294" count="1" selected="0">
            <x v="1"/>
          </reference>
          <reference field="8" count="1" selected="0">
            <x v="11"/>
          </reference>
        </references>
      </pivotArea>
    </chartFormat>
    <chartFormat chart="9" format="26">
      <pivotArea type="data" outline="0" fieldPosition="0">
        <references count="2">
          <reference field="4294967294" count="1" selected="0">
            <x v="1"/>
          </reference>
          <reference field="8" count="1" selected="0">
            <x v="12"/>
          </reference>
        </references>
      </pivotArea>
    </chartFormat>
    <chartFormat chart="9" format="27">
      <pivotArea type="data" outline="0" fieldPosition="0">
        <references count="2">
          <reference field="4294967294" count="1" selected="0">
            <x v="1"/>
          </reference>
          <reference field="8" count="1" selected="0">
            <x v="13"/>
          </reference>
        </references>
      </pivotArea>
    </chartFormat>
    <chartFormat chart="9" format="28">
      <pivotArea type="data" outline="0" fieldPosition="0">
        <references count="2">
          <reference field="4294967294" count="1" selected="0">
            <x v="1"/>
          </reference>
          <reference field="8" count="1" selected="0">
            <x v="15"/>
          </reference>
        </references>
      </pivotArea>
    </chartFormat>
    <chartFormat chart="9" format="29">
      <pivotArea type="data" outline="0" fieldPosition="0">
        <references count="2">
          <reference field="4294967294" count="1" selected="0">
            <x v="1"/>
          </reference>
          <reference field="8"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08B47A4-D094-4575-9736-2540409E3B36}" name="PivotTable13"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 rowHeaderCaption="State">
  <location ref="B6:D25" firstHeaderRow="0" firstDataRow="1" firstDataCol="1"/>
  <pivotFields count="43">
    <pivotField showAll="0"/>
    <pivotField showAll="0"/>
    <pivotField showAll="0"/>
    <pivotField showAll="0"/>
    <pivotField showAll="0"/>
    <pivotField showAll="0"/>
    <pivotField showAll="0"/>
    <pivotField showAll="0"/>
    <pivotField axis="axisRow" showAll="0">
      <items count="19">
        <item x="15"/>
        <item x="4"/>
        <item x="17"/>
        <item x="3"/>
        <item x="10"/>
        <item x="8"/>
        <item x="9"/>
        <item x="7"/>
        <item x="2"/>
        <item x="5"/>
        <item x="13"/>
        <item x="6"/>
        <item x="12"/>
        <item x="11"/>
        <item x="16"/>
        <item x="0"/>
        <item x="1"/>
        <item x="14"/>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8"/>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Sum of Total Equity" fld="31" baseField="0" baseItem="0" numFmtId="164"/>
    <dataField name="Percent of Total" fld="31" showDataAs="percentOfTotal" baseField="8" baseItem="9" numFmtId="10"/>
  </dataFields>
  <formats count="12">
    <format dxfId="271">
      <pivotArea type="all" dataOnly="0" outline="0" fieldPosition="0"/>
    </format>
    <format dxfId="270">
      <pivotArea outline="0" collapsedLevelsAreSubtotals="1" fieldPosition="0"/>
    </format>
    <format dxfId="269">
      <pivotArea field="8" type="button" dataOnly="0" labelOnly="1" outline="0" axis="axisRow" fieldPosition="0"/>
    </format>
    <format dxfId="268">
      <pivotArea dataOnly="0" labelOnly="1" fieldPosition="0">
        <references count="1">
          <reference field="8" count="0"/>
        </references>
      </pivotArea>
    </format>
    <format dxfId="267">
      <pivotArea dataOnly="0" labelOnly="1" grandRow="1" outline="0" fieldPosition="0"/>
    </format>
    <format dxfId="266">
      <pivotArea dataOnly="0" labelOnly="1" outline="0" axis="axisValues" fieldPosition="0"/>
    </format>
    <format dxfId="265">
      <pivotArea outline="0" collapsedLevelsAreSubtotals="1" fieldPosition="0"/>
    </format>
    <format dxfId="264">
      <pivotArea outline="0" fieldPosition="0">
        <references count="1">
          <reference field="4294967294" count="1">
            <x v="1"/>
          </reference>
        </references>
      </pivotArea>
    </format>
    <format dxfId="263">
      <pivotArea dataOnly="0" labelOnly="1" outline="0" fieldPosition="0">
        <references count="1">
          <reference field="4294967294" count="2">
            <x v="0"/>
            <x v="1"/>
          </reference>
        </references>
      </pivotArea>
    </format>
    <format dxfId="262">
      <pivotArea field="8" type="button" dataOnly="0" labelOnly="1" outline="0" axis="axisRow" fieldPosition="0"/>
    </format>
    <format dxfId="261">
      <pivotArea dataOnly="0" labelOnly="1" outline="0" fieldPosition="0">
        <references count="1">
          <reference field="4294967294" count="2">
            <x v="0"/>
            <x v="1"/>
          </reference>
        </references>
      </pivotArea>
    </format>
    <format dxfId="260">
      <pivotArea field="8"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FCA4F7-F8C9-4583-9BC1-8E84406A473B}" name="PivotTable16"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98:F102" firstHeaderRow="0" firstDataRow="1" firstDataCol="1" rowPageCount="3" colPageCount="1"/>
  <pivotFields count="43">
    <pivotField showAll="0"/>
    <pivotField axis="axisRow" showAll="0">
      <items count="4">
        <item x="0"/>
        <item x="1"/>
        <item x="2"/>
        <item t="default"/>
      </items>
    </pivotField>
    <pivotField showAll="0"/>
    <pivotField axis="axisPage" showAll="0">
      <items count="3">
        <item x="1"/>
        <item x="0"/>
        <item t="default"/>
      </items>
    </pivotField>
    <pivotField axis="axisPage" multipleItemSelectionAllowed="1" showAll="0">
      <items count="3">
        <item h="1" x="1"/>
        <item x="0"/>
        <item t="default"/>
      </items>
    </pivotField>
    <pivotField axis="axisPage" multipleItemSelectionAllowed="1" showAll="0">
      <items count="10">
        <item m="1" x="4"/>
        <item m="1" x="6"/>
        <item h="1" x="2"/>
        <item h="1" x="3"/>
        <item m="1" x="5"/>
        <item x="0"/>
        <item m="1" x="8"/>
        <item m="1" x="7"/>
        <item x="1"/>
        <item t="default"/>
      </items>
    </pivotField>
    <pivotField showAll="0"/>
    <pivotField showAll="0"/>
    <pivotField showAll="0"/>
    <pivotField showAll="0"/>
    <pivotField showAll="0"/>
    <pivotField dataField="1" showAll="0"/>
    <pivotField dataField="1"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pivotField showAll="0"/>
    <pivotField showAll="0"/>
    <pivotField showAll="0"/>
    <pivotField showAll="0"/>
    <pivotField showAll="0"/>
    <pivotField showAll="0"/>
    <pivotField dataField="1"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1"/>
  </rowFields>
  <rowItems count="4">
    <i>
      <x/>
    </i>
    <i>
      <x v="1"/>
    </i>
    <i>
      <x v="2"/>
    </i>
    <i t="grand">
      <x/>
    </i>
  </rowItems>
  <colFields count="1">
    <field x="-2"/>
  </colFields>
  <colItems count="4">
    <i>
      <x/>
    </i>
    <i i="1">
      <x v="1"/>
    </i>
    <i i="2">
      <x v="2"/>
    </i>
    <i i="3">
      <x v="3"/>
    </i>
  </colItems>
  <pageFields count="3">
    <pageField fld="3" hier="-1"/>
    <pageField fld="4" hier="-1"/>
    <pageField fld="5" hier="-1"/>
  </pageFields>
  <dataFields count="4">
    <dataField name="Sum of Size (SF)" fld="11" baseField="0" baseItem="0"/>
    <dataField name="Sum of Units" fld="12" baseField="0" baseItem="0"/>
    <dataField name="Sum of Sales Price &amp; Estimated FV" fld="40" baseField="0" baseItem="0"/>
    <dataField name="Sum of Total Equity" fld="31" baseField="0" baseItem="0"/>
  </dataFields>
  <formats count="12">
    <format dxfId="399">
      <pivotArea outline="0" collapsedLevelsAreSubtotals="1" fieldPosition="0"/>
    </format>
    <format dxfId="398">
      <pivotArea type="all" dataOnly="0" outline="0" fieldPosition="0"/>
    </format>
    <format dxfId="397">
      <pivotArea outline="0" collapsedLevelsAreSubtotals="1" fieldPosition="0"/>
    </format>
    <format dxfId="396">
      <pivotArea field="5" type="button" dataOnly="0" labelOnly="1" outline="0" axis="axisPage" fieldPosition="2"/>
    </format>
    <format dxfId="395">
      <pivotArea dataOnly="0" labelOnly="1" grandRow="1" outline="0" fieldPosition="0"/>
    </format>
    <format dxfId="394">
      <pivotArea dataOnly="0" labelOnly="1" outline="0" fieldPosition="0">
        <references count="1">
          <reference field="4294967294" count="2">
            <x v="0"/>
            <x v="1"/>
          </reference>
        </references>
      </pivotArea>
    </format>
    <format dxfId="393">
      <pivotArea field="5" type="button" dataOnly="0" labelOnly="1" outline="0" axis="axisPage" fieldPosition="2"/>
    </format>
    <format dxfId="392">
      <pivotArea field="5" type="button" dataOnly="0" labelOnly="1" outline="0" axis="axisPage" fieldPosition="2"/>
    </format>
    <format dxfId="391">
      <pivotArea field="1" type="button" dataOnly="0" labelOnly="1" outline="0" axis="axisRow" fieldPosition="0"/>
    </format>
    <format dxfId="390">
      <pivotArea dataOnly="0" labelOnly="1" outline="0" fieldPosition="0">
        <references count="1">
          <reference field="4294967294" count="4">
            <x v="0"/>
            <x v="1"/>
            <x v="2"/>
            <x v="3"/>
          </reference>
        </references>
      </pivotArea>
    </format>
    <format dxfId="389">
      <pivotArea field="1" type="button" dataOnly="0" labelOnly="1" outline="0" axis="axisRow" fieldPosition="0"/>
    </format>
    <format dxfId="388">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2D3FCED-6CE2-4464-921E-E91B5AE8F14A}" name="PivotTable15"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9" rowHeaderCaption="State">
  <location ref="B56:D67" firstHeaderRow="0" firstDataRow="1" firstDataCol="1" rowPageCount="1" colPageCount="1"/>
  <pivotFields count="43">
    <pivotField showAll="0"/>
    <pivotField showAll="0"/>
    <pivotField showAll="0"/>
    <pivotField showAll="0"/>
    <pivotField showAll="0"/>
    <pivotField showAll="0"/>
    <pivotField showAll="0"/>
    <pivotField showAll="0"/>
    <pivotField axis="axisRow" showAll="0">
      <items count="19">
        <item x="15"/>
        <item x="4"/>
        <item x="17"/>
        <item x="3"/>
        <item x="10"/>
        <item x="8"/>
        <item x="9"/>
        <item x="7"/>
        <item x="2"/>
        <item x="5"/>
        <item x="13"/>
        <item x="6"/>
        <item x="12"/>
        <item x="11"/>
        <item x="16"/>
        <item x="0"/>
        <item x="1"/>
        <item x="14"/>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numFmtId="164" showAll="0"/>
    <pivotField axis="axisPage" dataField="1" numFmtId="164" multipleItemSelectionAllowed="1" showAll="0">
      <items count="42">
        <item h="1" x="0"/>
        <item x="26"/>
        <item x="24"/>
        <item x="20"/>
        <item x="1"/>
        <item x="19"/>
        <item x="23"/>
        <item x="17"/>
        <item x="16"/>
        <item x="2"/>
        <item x="27"/>
        <item x="28"/>
        <item x="25"/>
        <item x="29"/>
        <item x="21"/>
        <item x="18"/>
        <item x="11"/>
        <item x="22"/>
        <item x="9"/>
        <item x="33"/>
        <item m="1" x="37"/>
        <item x="31"/>
        <item x="30"/>
        <item x="10"/>
        <item x="15"/>
        <item m="1" x="38"/>
        <item x="12"/>
        <item x="6"/>
        <item x="4"/>
        <item m="1" x="40"/>
        <item x="7"/>
        <item x="34"/>
        <item m="1" x="39"/>
        <item x="14"/>
        <item x="35"/>
        <item x="13"/>
        <item x="36"/>
        <item x="32"/>
        <item x="8"/>
        <item x="3"/>
        <item x="5"/>
        <item t="default"/>
      </items>
    </pivotField>
    <pivotField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8"/>
  </rowFields>
  <rowItems count="11">
    <i>
      <x v="1"/>
    </i>
    <i>
      <x v="2"/>
    </i>
    <i>
      <x v="3"/>
    </i>
    <i>
      <x v="5"/>
    </i>
    <i>
      <x v="7"/>
    </i>
    <i>
      <x v="8"/>
    </i>
    <i>
      <x v="11"/>
    </i>
    <i>
      <x v="14"/>
    </i>
    <i>
      <x v="15"/>
    </i>
    <i>
      <x v="16"/>
    </i>
    <i t="grand">
      <x/>
    </i>
  </rowItems>
  <colFields count="1">
    <field x="-2"/>
  </colFields>
  <colItems count="2">
    <i>
      <x/>
    </i>
    <i i="1">
      <x v="1"/>
    </i>
  </colItems>
  <pageFields count="1">
    <pageField fld="32" hier="-1"/>
  </pageFields>
  <dataFields count="2">
    <dataField name="Sum of Fund II Effective Equity" fld="32" baseField="0" baseItem="0"/>
    <dataField name="Percent of Total" fld="32" showDataAs="percentOfTotal" baseField="8" baseItem="3" numFmtId="10"/>
  </dataFields>
  <formats count="12">
    <format dxfId="283">
      <pivotArea type="all" dataOnly="0" outline="0" fieldPosition="0"/>
    </format>
    <format dxfId="282">
      <pivotArea outline="0" collapsedLevelsAreSubtotals="1" fieldPosition="0"/>
    </format>
    <format dxfId="281">
      <pivotArea field="8" type="button" dataOnly="0" labelOnly="1" outline="0" axis="axisRow" fieldPosition="0"/>
    </format>
    <format dxfId="280">
      <pivotArea dataOnly="0" labelOnly="1" fieldPosition="0">
        <references count="1">
          <reference field="8" count="0"/>
        </references>
      </pivotArea>
    </format>
    <format dxfId="279">
      <pivotArea dataOnly="0" labelOnly="1" grandRow="1" outline="0" fieldPosition="0"/>
    </format>
    <format dxfId="278">
      <pivotArea dataOnly="0" labelOnly="1" outline="0" axis="axisValues" fieldPosition="0"/>
    </format>
    <format dxfId="277">
      <pivotArea outline="0" collapsedLevelsAreSubtotals="1" fieldPosition="0"/>
    </format>
    <format dxfId="276">
      <pivotArea field="8" type="button" dataOnly="0" labelOnly="1" outline="0" axis="axisRow" fieldPosition="0"/>
    </format>
    <format dxfId="275">
      <pivotArea dataOnly="0" labelOnly="1" outline="0" axis="axisValues" fieldPosition="0"/>
    </format>
    <format dxfId="274">
      <pivotArea dataOnly="0" labelOnly="1" outline="0" axis="axisValues" fieldPosition="0"/>
    </format>
    <format dxfId="273">
      <pivotArea outline="0" fieldPosition="0">
        <references count="1">
          <reference field="4294967294" count="1">
            <x v="1"/>
          </reference>
        </references>
      </pivotArea>
    </format>
    <format dxfId="272">
      <pivotArea dataOnly="0" labelOnly="1" outline="0" fieldPosition="0">
        <references count="1">
          <reference field="4294967294" count="2">
            <x v="0"/>
            <x v="1"/>
          </reference>
        </references>
      </pivotArea>
    </format>
  </format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8" count="1" selected="0">
            <x v="1"/>
          </reference>
        </references>
      </pivotArea>
    </chartFormat>
    <chartFormat chart="4" format="2">
      <pivotArea type="data" outline="0" fieldPosition="0">
        <references count="2">
          <reference field="4294967294" count="1" selected="0">
            <x v="0"/>
          </reference>
          <reference field="8" count="1" selected="0">
            <x v="2"/>
          </reference>
        </references>
      </pivotArea>
    </chartFormat>
    <chartFormat chart="4" format="3">
      <pivotArea type="data" outline="0" fieldPosition="0">
        <references count="2">
          <reference field="4294967294" count="1" selected="0">
            <x v="0"/>
          </reference>
          <reference field="8" count="1" selected="0">
            <x v="3"/>
          </reference>
        </references>
      </pivotArea>
    </chartFormat>
    <chartFormat chart="4" format="4">
      <pivotArea type="data" outline="0" fieldPosition="0">
        <references count="2">
          <reference field="4294967294" count="1" selected="0">
            <x v="0"/>
          </reference>
          <reference field="8" count="1" selected="0">
            <x v="5"/>
          </reference>
        </references>
      </pivotArea>
    </chartFormat>
    <chartFormat chart="4" format="5">
      <pivotArea type="data" outline="0" fieldPosition="0">
        <references count="2">
          <reference field="4294967294" count="1" selected="0">
            <x v="0"/>
          </reference>
          <reference field="8" count="1" selected="0">
            <x v="7"/>
          </reference>
        </references>
      </pivotArea>
    </chartFormat>
    <chartFormat chart="4" format="6">
      <pivotArea type="data" outline="0" fieldPosition="0">
        <references count="2">
          <reference field="4294967294" count="1" selected="0">
            <x v="0"/>
          </reference>
          <reference field="8" count="1" selected="0">
            <x v="8"/>
          </reference>
        </references>
      </pivotArea>
    </chartFormat>
    <chartFormat chart="4" format="7">
      <pivotArea type="data" outline="0" fieldPosition="0">
        <references count="2">
          <reference field="4294967294" count="1" selected="0">
            <x v="0"/>
          </reference>
          <reference field="8" count="1" selected="0">
            <x v="11"/>
          </reference>
        </references>
      </pivotArea>
    </chartFormat>
    <chartFormat chart="4" format="8">
      <pivotArea type="data" outline="0" fieldPosition="0">
        <references count="2">
          <reference field="4294967294" count="1" selected="0">
            <x v="0"/>
          </reference>
          <reference field="8" count="1" selected="0">
            <x v="14"/>
          </reference>
        </references>
      </pivotArea>
    </chartFormat>
    <chartFormat chart="4" format="9">
      <pivotArea type="data" outline="0" fieldPosition="0">
        <references count="2">
          <reference field="4294967294" count="1" selected="0">
            <x v="0"/>
          </reference>
          <reference field="8" count="1" selected="0">
            <x v="15"/>
          </reference>
        </references>
      </pivotArea>
    </chartFormat>
    <chartFormat chart="4" format="10">
      <pivotArea type="data" outline="0" fieldPosition="0">
        <references count="2">
          <reference field="4294967294" count="1" selected="0">
            <x v="0"/>
          </reference>
          <reference field="8" count="1" selected="0">
            <x v="16"/>
          </reference>
        </references>
      </pivotArea>
    </chartFormat>
    <chartFormat chart="4"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4BCE7DD8-275D-45BE-88EC-30D1AD3EF399}" name="PivotTable14"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4" rowHeaderCaption="State">
  <location ref="B31:D37" firstHeaderRow="0" firstDataRow="1" firstDataCol="1" rowPageCount="1" colPageCount="1"/>
  <pivotFields count="43">
    <pivotField showAll="0"/>
    <pivotField showAll="0"/>
    <pivotField showAll="0"/>
    <pivotField showAll="0"/>
    <pivotField showAll="0"/>
    <pivotField showAll="0"/>
    <pivotField showAll="0"/>
    <pivotField showAll="0"/>
    <pivotField axis="axisRow" showAll="0">
      <items count="19">
        <item x="15"/>
        <item x="4"/>
        <item x="17"/>
        <item x="3"/>
        <item x="10"/>
        <item x="8"/>
        <item x="9"/>
        <item x="7"/>
        <item x="2"/>
        <item x="5"/>
        <item x="13"/>
        <item x="6"/>
        <item x="12"/>
        <item x="11"/>
        <item x="16"/>
        <item x="0"/>
        <item x="1"/>
        <item x="14"/>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Page" dataField="1" multipleItemSelectionAllowed="1" showAll="0">
      <items count="20">
        <item x="12"/>
        <item x="10"/>
        <item x="6"/>
        <item x="1"/>
        <item x="5"/>
        <item x="9"/>
        <item x="3"/>
        <item x="18"/>
        <item x="2"/>
        <item x="13"/>
        <item x="17"/>
        <item x="14"/>
        <item x="11"/>
        <item x="15"/>
        <item x="16"/>
        <item x="7"/>
        <item x="4"/>
        <item x="8"/>
        <item h="1" x="0"/>
        <item t="default"/>
      </items>
    </pivotField>
    <pivotField showAll="0"/>
    <pivotField showAll="0"/>
    <pivotField showAll="0"/>
    <pivotField showAll="0"/>
    <pivotField showAll="0"/>
    <pivotField showAll="0"/>
    <pivotField showAll="0"/>
    <pivotField numFmtId="164" showAll="0"/>
    <pivotField numFmtId="164" showAll="0"/>
    <pivotField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8"/>
  </rowFields>
  <rowItems count="6">
    <i>
      <x v="2"/>
    </i>
    <i>
      <x v="3"/>
    </i>
    <i>
      <x v="8"/>
    </i>
    <i>
      <x v="15"/>
    </i>
    <i>
      <x v="16"/>
    </i>
    <i t="grand">
      <x/>
    </i>
  </rowItems>
  <colFields count="1">
    <field x="-2"/>
  </colFields>
  <colItems count="2">
    <i>
      <x/>
    </i>
    <i i="1">
      <x v="1"/>
    </i>
  </colItems>
  <pageFields count="1">
    <pageField fld="23" hier="-1"/>
  </pageFields>
  <dataFields count="2">
    <dataField name="Sum of Fund I Equity" fld="23" baseField="0" baseItem="0"/>
    <dataField name="Percent of Total" fld="23" showDataAs="percentOfTotal" baseField="8" baseItem="8" numFmtId="10"/>
  </dataFields>
  <formats count="9">
    <format dxfId="292">
      <pivotArea type="all" dataOnly="0" outline="0" fieldPosition="0"/>
    </format>
    <format dxfId="291">
      <pivotArea outline="0" collapsedLevelsAreSubtotals="1" fieldPosition="0"/>
    </format>
    <format dxfId="290">
      <pivotArea field="8" type="button" dataOnly="0" labelOnly="1" outline="0" axis="axisRow" fieldPosition="0"/>
    </format>
    <format dxfId="289">
      <pivotArea dataOnly="0" labelOnly="1" fieldPosition="0">
        <references count="1">
          <reference field="8" count="0"/>
        </references>
      </pivotArea>
    </format>
    <format dxfId="288">
      <pivotArea dataOnly="0" labelOnly="1" grandRow="1" outline="0" fieldPosition="0"/>
    </format>
    <format dxfId="287">
      <pivotArea dataOnly="0" labelOnly="1" outline="0" axis="axisValues" fieldPosition="0"/>
    </format>
    <format dxfId="286">
      <pivotArea outline="0" collapsedLevelsAreSubtotals="1" fieldPosition="0"/>
    </format>
    <format dxfId="285">
      <pivotArea outline="0" fieldPosition="0">
        <references count="1">
          <reference field="4294967294" count="1">
            <x v="1"/>
          </reference>
        </references>
      </pivotArea>
    </format>
    <format dxfId="284">
      <pivotArea dataOnly="0" labelOnly="1" outline="0" fieldPosition="0">
        <references count="1">
          <reference field="4294967294" count="2">
            <x v="0"/>
            <x v="1"/>
          </reference>
        </references>
      </pivotArea>
    </format>
  </format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8" count="1" selected="0">
            <x v="2"/>
          </reference>
        </references>
      </pivotArea>
    </chartFormat>
    <chartFormat chart="1" format="2">
      <pivotArea type="data" outline="0" fieldPosition="0">
        <references count="2">
          <reference field="4294967294" count="1" selected="0">
            <x v="0"/>
          </reference>
          <reference field="8" count="1" selected="0">
            <x v="3"/>
          </reference>
        </references>
      </pivotArea>
    </chartFormat>
    <chartFormat chart="1" format="3">
      <pivotArea type="data" outline="0" fieldPosition="0">
        <references count="2">
          <reference field="4294967294" count="1" selected="0">
            <x v="0"/>
          </reference>
          <reference field="8" count="1" selected="0">
            <x v="8"/>
          </reference>
        </references>
      </pivotArea>
    </chartFormat>
    <chartFormat chart="1" format="4">
      <pivotArea type="data" outline="0" fieldPosition="0">
        <references count="2">
          <reference field="4294967294" count="1" selected="0">
            <x v="0"/>
          </reference>
          <reference field="8" count="1" selected="0">
            <x v="15"/>
          </reference>
        </references>
      </pivotArea>
    </chartFormat>
    <chartFormat chart="1" format="5">
      <pivotArea type="data" outline="0" fieldPosition="0">
        <references count="2">
          <reference field="4294967294" count="1" selected="0">
            <x v="0"/>
          </reference>
          <reference field="8" count="1" selected="0">
            <x v="16"/>
          </reference>
        </references>
      </pivotArea>
    </chartFormat>
    <chartFormat chart="1" format="6" series="1">
      <pivotArea type="data" outline="0" fieldPosition="0">
        <references count="1">
          <reference field="4294967294" count="1" selected="0">
            <x v="1"/>
          </reference>
        </references>
      </pivotArea>
    </chartFormat>
    <chartFormat chart="1" format="7">
      <pivotArea type="data" outline="0" fieldPosition="0">
        <references count="2">
          <reference field="4294967294" count="1" selected="0">
            <x v="1"/>
          </reference>
          <reference field="8" count="1" selected="0">
            <x v="2"/>
          </reference>
        </references>
      </pivotArea>
    </chartFormat>
    <chartFormat chart="1" format="8">
      <pivotArea type="data" outline="0" fieldPosition="0">
        <references count="2">
          <reference field="4294967294" count="1" selected="0">
            <x v="1"/>
          </reference>
          <reference field="8" count="1" selected="0">
            <x v="3"/>
          </reference>
        </references>
      </pivotArea>
    </chartFormat>
    <chartFormat chart="1" format="9">
      <pivotArea type="data" outline="0" fieldPosition="0">
        <references count="2">
          <reference field="4294967294" count="1" selected="0">
            <x v="1"/>
          </reference>
          <reference field="8" count="1" selected="0">
            <x v="8"/>
          </reference>
        </references>
      </pivotArea>
    </chartFormat>
    <chartFormat chart="1" format="10">
      <pivotArea type="data" outline="0" fieldPosition="0">
        <references count="2">
          <reference field="4294967294" count="1" selected="0">
            <x v="1"/>
          </reference>
          <reference field="8" count="1" selected="0">
            <x v="15"/>
          </reference>
        </references>
      </pivotArea>
    </chartFormat>
    <chartFormat chart="1" format="11">
      <pivotArea type="data" outline="0" fieldPosition="0">
        <references count="2">
          <reference field="4294967294" count="1" selected="0">
            <x v="1"/>
          </reference>
          <reference field="8"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FA6B7410-D3DE-45B7-8422-1146261D2C2F}" name="PivotTable4"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7" rowHeaderCaption="Asset Type">
  <location ref="B65:D72" firstHeaderRow="0" firstDataRow="1" firstDataCol="1" rowPageCount="1" colPageCount="1"/>
  <pivotFields count="43">
    <pivotField showAll="0"/>
    <pivotField showAll="0"/>
    <pivotField showAll="0"/>
    <pivotField showAll="0"/>
    <pivotField showAll="0"/>
    <pivotField showAll="0"/>
    <pivotField axis="axisRow" showAll="0">
      <items count="7">
        <item x="3"/>
        <item x="2"/>
        <item x="4"/>
        <item x="0"/>
        <item x="5"/>
        <item x="1"/>
        <item t="default"/>
      </items>
    </pivotField>
    <pivotField showAll="0"/>
    <pivotField showAll="0">
      <items count="19">
        <item x="15"/>
        <item x="4"/>
        <item x="17"/>
        <item x="3"/>
        <item x="10"/>
        <item x="8"/>
        <item x="9"/>
        <item x="7"/>
        <item x="2"/>
        <item x="5"/>
        <item x="13"/>
        <item x="6"/>
        <item x="12"/>
        <item x="11"/>
        <item x="16"/>
        <item x="0"/>
        <item x="1"/>
        <item x="14"/>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multipleItemSelectionAllowed="1" showAll="0"/>
    <pivotField showAll="0"/>
    <pivotField axis="axisPage" dataField="1" showAll="0">
      <items count="49">
        <item m="1" x="47"/>
        <item x="35"/>
        <item x="33"/>
        <item x="28"/>
        <item x="36"/>
        <item m="1" x="45"/>
        <item x="30"/>
        <item x="27"/>
        <item m="1" x="46"/>
        <item x="34"/>
        <item x="19"/>
        <item x="18"/>
        <item x="13"/>
        <item x="38"/>
        <item x="7"/>
        <item x="14"/>
        <item x="40"/>
        <item x="42"/>
        <item x="6"/>
        <item x="10"/>
        <item x="23"/>
        <item x="4"/>
        <item x="24"/>
        <item x="25"/>
        <item x="37"/>
        <item x="26"/>
        <item x="3"/>
        <item x="41"/>
        <item x="9"/>
        <item x="17"/>
        <item m="1" x="43"/>
        <item x="5"/>
        <item x="20"/>
        <item x="8"/>
        <item x="39"/>
        <item x="16"/>
        <item x="11"/>
        <item x="21"/>
        <item x="2"/>
        <item x="12"/>
        <item x="15"/>
        <item m="1" x="44"/>
        <item x="0"/>
        <item x="1"/>
        <item x="29"/>
        <item x="31"/>
        <item x="32"/>
        <item x="22"/>
        <item t="default"/>
      </items>
    </pivotField>
    <pivotField showAll="0"/>
    <pivotField showAll="0"/>
    <pivotField showAll="0"/>
    <pivotField showAll="0"/>
    <pivotField showAll="0"/>
    <pivotField numFmtId="164" showAll="0"/>
    <pivotField numFmtId="164" multipleItemSelectionAllowed="1" showAll="0"/>
    <pivotField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6"/>
  </rowFields>
  <rowItems count="7">
    <i>
      <x/>
    </i>
    <i>
      <x v="1"/>
    </i>
    <i>
      <x v="2"/>
    </i>
    <i>
      <x v="3"/>
    </i>
    <i>
      <x v="4"/>
    </i>
    <i>
      <x v="5"/>
    </i>
    <i t="grand">
      <x/>
    </i>
  </rowItems>
  <colFields count="1">
    <field x="-2"/>
  </colFields>
  <colItems count="2">
    <i>
      <x/>
    </i>
    <i i="1">
      <x v="1"/>
    </i>
  </colItems>
  <pageFields count="1">
    <pageField fld="25" hier="-1"/>
  </pageFields>
  <dataFields count="2">
    <dataField name="Sum of Fund III Equity" fld="25" baseField="0" baseItem="0"/>
    <dataField name="Percent of Total" fld="25" showDataAs="percentOfTotal" baseField="6" baseItem="0" numFmtId="10"/>
  </dataFields>
  <formats count="13">
    <format dxfId="189">
      <pivotArea type="all" dataOnly="0" outline="0" fieldPosition="0"/>
    </format>
    <format dxfId="188">
      <pivotArea outline="0" collapsedLevelsAreSubtotals="1" fieldPosition="0"/>
    </format>
    <format dxfId="187">
      <pivotArea field="8" type="button" dataOnly="0" labelOnly="1" outline="0"/>
    </format>
    <format dxfId="186">
      <pivotArea dataOnly="0" labelOnly="1" grandRow="1" outline="0" fieldPosition="0"/>
    </format>
    <format dxfId="185">
      <pivotArea dataOnly="0" labelOnly="1" outline="0" axis="axisValues" fieldPosition="0"/>
    </format>
    <format dxfId="184">
      <pivotArea outline="0" collapsedLevelsAreSubtotals="1" fieldPosition="0"/>
    </format>
    <format dxfId="183">
      <pivotArea field="8" type="button" dataOnly="0" labelOnly="1" outline="0"/>
    </format>
    <format dxfId="182">
      <pivotArea dataOnly="0" labelOnly="1" outline="0" axis="axisValues" fieldPosition="0"/>
    </format>
    <format dxfId="181">
      <pivotArea dataOnly="0" labelOnly="1" outline="0" axis="axisValues" fieldPosition="0"/>
    </format>
    <format dxfId="180">
      <pivotArea field="6" type="button" dataOnly="0" labelOnly="1" outline="0" axis="axisRow" fieldPosition="0"/>
    </format>
    <format dxfId="179">
      <pivotArea field="6" type="button" dataOnly="0" labelOnly="1" outline="0" axis="axisRow" fieldPosition="0"/>
    </format>
    <format dxfId="178">
      <pivotArea outline="0" fieldPosition="0">
        <references count="1">
          <reference field="4294967294" count="1">
            <x v="1"/>
          </reference>
        </references>
      </pivotArea>
    </format>
    <format dxfId="177">
      <pivotArea dataOnly="0" labelOnly="1" outline="0" fieldPosition="0">
        <references count="1">
          <reference field="4294967294" count="2">
            <x v="0"/>
            <x v="1"/>
          </reference>
        </references>
      </pivotArea>
    </format>
  </formats>
  <chartFormats count="1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pivotArea type="data" outline="0" fieldPosition="0">
        <references count="2">
          <reference field="4294967294" count="1" selected="0">
            <x v="0"/>
          </reference>
          <reference field="6" count="1" selected="0">
            <x v="2"/>
          </reference>
        </references>
      </pivotArea>
    </chartFormat>
    <chartFormat chart="6" format="3">
      <pivotArea type="data" outline="0" fieldPosition="0">
        <references count="2">
          <reference field="4294967294" count="1" selected="0">
            <x v="0"/>
          </reference>
          <reference field="6" count="1" selected="0">
            <x v="4"/>
          </reference>
        </references>
      </pivotArea>
    </chartFormat>
    <chartFormat chart="6" format="14">
      <pivotArea type="data" outline="0" fieldPosition="0">
        <references count="2">
          <reference field="4294967294" count="1" selected="0">
            <x v="0"/>
          </reference>
          <reference field="6" count="1" selected="0">
            <x v="0"/>
          </reference>
        </references>
      </pivotArea>
    </chartFormat>
    <chartFormat chart="6" format="15">
      <pivotArea type="data" outline="0" fieldPosition="0">
        <references count="2">
          <reference field="4294967294" count="1" selected="0">
            <x v="0"/>
          </reference>
          <reference field="6" count="1" selected="0">
            <x v="1"/>
          </reference>
        </references>
      </pivotArea>
    </chartFormat>
    <chartFormat chart="6" format="16">
      <pivotArea type="data" outline="0" fieldPosition="0">
        <references count="2">
          <reference field="4294967294" count="1" selected="0">
            <x v="0"/>
          </reference>
          <reference field="6" count="1" selected="0">
            <x v="3"/>
          </reference>
        </references>
      </pivotArea>
    </chartFormat>
    <chartFormat chart="6" format="17">
      <pivotArea type="data" outline="0" fieldPosition="0">
        <references count="2">
          <reference field="4294967294" count="1" selected="0">
            <x v="0"/>
          </reference>
          <reference field="6" count="1" selected="0">
            <x v="5"/>
          </reference>
        </references>
      </pivotArea>
    </chartFormat>
    <chartFormat chart="6" format="18">
      <pivotArea type="data" outline="0" fieldPosition="0">
        <references count="2">
          <reference field="4294967294" count="1" selected="0">
            <x v="1"/>
          </reference>
          <reference field="6" count="1" selected="0">
            <x v="0"/>
          </reference>
        </references>
      </pivotArea>
    </chartFormat>
    <chartFormat chart="6" format="19">
      <pivotArea type="data" outline="0" fieldPosition="0">
        <references count="2">
          <reference field="4294967294" count="1" selected="0">
            <x v="1"/>
          </reference>
          <reference field="6" count="1" selected="0">
            <x v="1"/>
          </reference>
        </references>
      </pivotArea>
    </chartFormat>
    <chartFormat chart="6" format="20">
      <pivotArea type="data" outline="0" fieldPosition="0">
        <references count="2">
          <reference field="4294967294" count="1" selected="0">
            <x v="1"/>
          </reference>
          <reference field="6" count="1" selected="0">
            <x v="2"/>
          </reference>
        </references>
      </pivotArea>
    </chartFormat>
    <chartFormat chart="6" format="21">
      <pivotArea type="data" outline="0" fieldPosition="0">
        <references count="2">
          <reference field="4294967294" count="1" selected="0">
            <x v="1"/>
          </reference>
          <reference field="6" count="1" selected="0">
            <x v="3"/>
          </reference>
        </references>
      </pivotArea>
    </chartFormat>
    <chartFormat chart="6" format="22">
      <pivotArea type="data" outline="0" fieldPosition="0">
        <references count="2">
          <reference field="4294967294" count="1" selected="0">
            <x v="1"/>
          </reference>
          <reference field="6" count="1" selected="0">
            <x v="4"/>
          </reference>
        </references>
      </pivotArea>
    </chartFormat>
    <chartFormat chart="6" format="23">
      <pivotArea type="data" outline="0" fieldPosition="0">
        <references count="2">
          <reference field="4294967294" count="1" selected="0">
            <x v="1"/>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9794F479-02FE-43E2-87A6-DBBBF52C0E40}" name="PivotTable14"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5" rowHeaderCaption="Asset Type">
  <location ref="B20:D27" firstHeaderRow="0" firstDataRow="1" firstDataCol="1" rowPageCount="1" colPageCount="1"/>
  <pivotFields count="43">
    <pivotField showAll="0"/>
    <pivotField showAll="0"/>
    <pivotField showAll="0"/>
    <pivotField showAll="0"/>
    <pivotField showAll="0"/>
    <pivotField showAll="0"/>
    <pivotField axis="axisRow" showAll="0">
      <items count="7">
        <item x="3"/>
        <item x="2"/>
        <item x="4"/>
        <item x="0"/>
        <item x="5"/>
        <item x="1"/>
        <item t="default"/>
      </items>
    </pivotField>
    <pivotField showAll="0"/>
    <pivotField showAll="0">
      <items count="19">
        <item x="15"/>
        <item x="4"/>
        <item x="17"/>
        <item x="3"/>
        <item x="10"/>
        <item x="8"/>
        <item x="9"/>
        <item x="7"/>
        <item x="2"/>
        <item x="5"/>
        <item x="13"/>
        <item x="6"/>
        <item x="12"/>
        <item x="11"/>
        <item x="16"/>
        <item x="0"/>
        <item x="1"/>
        <item x="14"/>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Page" dataField="1" multipleItemSelectionAllowed="1" showAll="0">
      <items count="20">
        <item x="12"/>
        <item x="10"/>
        <item x="6"/>
        <item x="1"/>
        <item x="5"/>
        <item x="9"/>
        <item x="3"/>
        <item x="18"/>
        <item x="2"/>
        <item x="13"/>
        <item x="17"/>
        <item x="14"/>
        <item x="11"/>
        <item x="15"/>
        <item x="16"/>
        <item x="7"/>
        <item x="4"/>
        <item x="8"/>
        <item x="0"/>
        <item t="default"/>
      </items>
    </pivotField>
    <pivotField showAll="0"/>
    <pivotField showAll="0"/>
    <pivotField showAll="0"/>
    <pivotField showAll="0"/>
    <pivotField showAll="0"/>
    <pivotField showAll="0"/>
    <pivotField showAll="0"/>
    <pivotField numFmtId="164" showAll="0"/>
    <pivotField numFmtId="164" showAll="0"/>
    <pivotField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6"/>
  </rowFields>
  <rowItems count="7">
    <i>
      <x/>
    </i>
    <i>
      <x v="1"/>
    </i>
    <i>
      <x v="2"/>
    </i>
    <i>
      <x v="3"/>
    </i>
    <i>
      <x v="4"/>
    </i>
    <i>
      <x v="5"/>
    </i>
    <i t="grand">
      <x/>
    </i>
  </rowItems>
  <colFields count="1">
    <field x="-2"/>
  </colFields>
  <colItems count="2">
    <i>
      <x/>
    </i>
    <i i="1">
      <x v="1"/>
    </i>
  </colItems>
  <pageFields count="1">
    <pageField fld="23" hier="-1"/>
  </pageFields>
  <dataFields count="2">
    <dataField name="Sum of Fund I Equity" fld="23" baseField="0" baseItem="0"/>
    <dataField name="Percent of Total" fld="23" showDataAs="percentOfTotal" baseField="8" baseItem="8" numFmtId="10"/>
  </dataFields>
  <formats count="8">
    <format dxfId="197">
      <pivotArea type="all" dataOnly="0" outline="0" fieldPosition="0"/>
    </format>
    <format dxfId="196">
      <pivotArea outline="0" collapsedLevelsAreSubtotals="1" fieldPosition="0"/>
    </format>
    <format dxfId="195">
      <pivotArea field="8" type="button" dataOnly="0" labelOnly="1" outline="0"/>
    </format>
    <format dxfId="194">
      <pivotArea dataOnly="0" labelOnly="1" grandRow="1" outline="0" fieldPosition="0"/>
    </format>
    <format dxfId="193">
      <pivotArea dataOnly="0" labelOnly="1" outline="0" axis="axisValues" fieldPosition="0"/>
    </format>
    <format dxfId="192">
      <pivotArea outline="0" collapsedLevelsAreSubtotals="1" fieldPosition="0"/>
    </format>
    <format dxfId="191">
      <pivotArea outline="0" fieldPosition="0">
        <references count="1">
          <reference field="4294967294" count="1">
            <x v="1"/>
          </reference>
        </references>
      </pivotArea>
    </format>
    <format dxfId="190">
      <pivotArea dataOnly="0" labelOnly="1" outline="0" fieldPosition="0">
        <references count="1">
          <reference field="4294967294" count="2">
            <x v="0"/>
            <x v="1"/>
          </reference>
        </references>
      </pivotArea>
    </format>
  </formats>
  <chartFormats count="16">
    <chartFormat chart="1" format="0"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8"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0"/>
          </reference>
        </references>
      </pivotArea>
    </chartFormat>
    <chartFormat chart="4" format="18" series="1">
      <pivotArea type="data" outline="0" fieldPosition="0">
        <references count="1">
          <reference field="4294967294" count="1" selected="0">
            <x v="1"/>
          </reference>
        </references>
      </pivotArea>
    </chartFormat>
    <chartFormat chart="4" format="24">
      <pivotArea type="data" outline="0" fieldPosition="0">
        <references count="2">
          <reference field="4294967294" count="1" selected="0">
            <x v="0"/>
          </reference>
          <reference field="6" count="1" selected="0">
            <x v="0"/>
          </reference>
        </references>
      </pivotArea>
    </chartFormat>
    <chartFormat chart="4" format="25">
      <pivotArea type="data" outline="0" fieldPosition="0">
        <references count="2">
          <reference field="4294967294" count="1" selected="0">
            <x v="0"/>
          </reference>
          <reference field="6" count="1" selected="0">
            <x v="1"/>
          </reference>
        </references>
      </pivotArea>
    </chartFormat>
    <chartFormat chart="4" format="26">
      <pivotArea type="data" outline="0" fieldPosition="0">
        <references count="2">
          <reference field="4294967294" count="1" selected="0">
            <x v="0"/>
          </reference>
          <reference field="6" count="1" selected="0">
            <x v="3"/>
          </reference>
        </references>
      </pivotArea>
    </chartFormat>
    <chartFormat chart="4" format="27">
      <pivotArea type="data" outline="0" fieldPosition="0">
        <references count="2">
          <reference field="4294967294" count="1" selected="0">
            <x v="0"/>
          </reference>
          <reference field="6" count="1" selected="0">
            <x v="4"/>
          </reference>
        </references>
      </pivotArea>
    </chartFormat>
    <chartFormat chart="4" format="28">
      <pivotArea type="data" outline="0" fieldPosition="0">
        <references count="2">
          <reference field="4294967294" count="1" selected="0">
            <x v="0"/>
          </reference>
          <reference field="6" count="1" selected="0">
            <x v="5"/>
          </reference>
        </references>
      </pivotArea>
    </chartFormat>
    <chartFormat chart="4" format="29">
      <pivotArea type="data" outline="0" fieldPosition="0">
        <references count="2">
          <reference field="4294967294" count="1" selected="0">
            <x v="1"/>
          </reference>
          <reference field="6" count="1" selected="0">
            <x v="0"/>
          </reference>
        </references>
      </pivotArea>
    </chartFormat>
    <chartFormat chart="4" format="30">
      <pivotArea type="data" outline="0" fieldPosition="0">
        <references count="2">
          <reference field="4294967294" count="1" selected="0">
            <x v="1"/>
          </reference>
          <reference field="6" count="1" selected="0">
            <x v="1"/>
          </reference>
        </references>
      </pivotArea>
    </chartFormat>
    <chartFormat chart="4" format="31">
      <pivotArea type="data" outline="0" fieldPosition="0">
        <references count="2">
          <reference field="4294967294" count="1" selected="0">
            <x v="1"/>
          </reference>
          <reference field="6" count="1" selected="0">
            <x v="3"/>
          </reference>
        </references>
      </pivotArea>
    </chartFormat>
    <chartFormat chart="4" format="32">
      <pivotArea type="data" outline="0" fieldPosition="0">
        <references count="2">
          <reference field="4294967294" count="1" selected="0">
            <x v="1"/>
          </reference>
          <reference field="6" count="1" selected="0">
            <x v="4"/>
          </reference>
        </references>
      </pivotArea>
    </chartFormat>
    <chartFormat chart="4" format="33">
      <pivotArea type="data" outline="0" fieldPosition="0">
        <references count="2">
          <reference field="4294967294" count="1" selected="0">
            <x v="1"/>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81E50408-D8EB-441A-80F3-6021FC256AC6}" name="PivotTable15"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6" rowHeaderCaption="Asset Type">
  <location ref="B41:D48" firstHeaderRow="0" firstDataRow="1" firstDataCol="1" rowPageCount="1" colPageCount="1"/>
  <pivotFields count="43">
    <pivotField showAll="0"/>
    <pivotField showAll="0"/>
    <pivotField showAll="0"/>
    <pivotField showAll="0"/>
    <pivotField showAll="0"/>
    <pivotField showAll="0"/>
    <pivotField axis="axisRow" showAll="0">
      <items count="7">
        <item x="3"/>
        <item x="2"/>
        <item x="4"/>
        <item x="0"/>
        <item x="5"/>
        <item x="1"/>
        <item t="default"/>
      </items>
    </pivotField>
    <pivotField showAll="0"/>
    <pivotField showAll="0">
      <items count="19">
        <item x="15"/>
        <item x="4"/>
        <item x="17"/>
        <item x="3"/>
        <item x="10"/>
        <item x="8"/>
        <item x="9"/>
        <item x="7"/>
        <item x="2"/>
        <item x="5"/>
        <item x="13"/>
        <item x="6"/>
        <item x="12"/>
        <item x="11"/>
        <item x="16"/>
        <item x="0"/>
        <item x="1"/>
        <item x="14"/>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numFmtId="164" showAll="0"/>
    <pivotField axis="axisPage" dataField="1" numFmtId="164" multipleItemSelectionAllowed="1" showAll="0">
      <items count="42">
        <item x="0"/>
        <item x="26"/>
        <item x="24"/>
        <item x="20"/>
        <item x="1"/>
        <item x="19"/>
        <item x="23"/>
        <item x="17"/>
        <item x="16"/>
        <item x="2"/>
        <item x="27"/>
        <item x="28"/>
        <item x="25"/>
        <item x="29"/>
        <item x="21"/>
        <item x="18"/>
        <item x="11"/>
        <item x="22"/>
        <item x="9"/>
        <item x="33"/>
        <item m="1" x="37"/>
        <item x="31"/>
        <item x="30"/>
        <item x="10"/>
        <item x="15"/>
        <item m="1" x="38"/>
        <item x="12"/>
        <item x="6"/>
        <item x="4"/>
        <item m="1" x="40"/>
        <item x="7"/>
        <item x="34"/>
        <item m="1" x="39"/>
        <item x="14"/>
        <item x="35"/>
        <item x="13"/>
        <item x="36"/>
        <item x="32"/>
        <item x="8"/>
        <item x="3"/>
        <item x="5"/>
        <item t="default"/>
      </items>
    </pivotField>
    <pivotField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6"/>
  </rowFields>
  <rowItems count="7">
    <i>
      <x/>
    </i>
    <i>
      <x v="1"/>
    </i>
    <i>
      <x v="2"/>
    </i>
    <i>
      <x v="3"/>
    </i>
    <i>
      <x v="4"/>
    </i>
    <i>
      <x v="5"/>
    </i>
    <i t="grand">
      <x/>
    </i>
  </rowItems>
  <colFields count="1">
    <field x="-2"/>
  </colFields>
  <colItems count="2">
    <i>
      <x/>
    </i>
    <i i="1">
      <x v="1"/>
    </i>
  </colItems>
  <pageFields count="1">
    <pageField fld="32" hier="-1"/>
  </pageFields>
  <dataFields count="2">
    <dataField name="Sum of Fund II Effective Equity" fld="32" baseField="0" baseItem="0"/>
    <dataField name="Percent ot Total" fld="32" showDataAs="percentOfTotal" baseField="6" baseItem="3" numFmtId="10"/>
  </dataFields>
  <formats count="14">
    <format dxfId="211">
      <pivotArea type="all" dataOnly="0" outline="0" fieldPosition="0"/>
    </format>
    <format dxfId="210">
      <pivotArea outline="0" collapsedLevelsAreSubtotals="1" fieldPosition="0"/>
    </format>
    <format dxfId="209">
      <pivotArea field="8" type="button" dataOnly="0" labelOnly="1" outline="0"/>
    </format>
    <format dxfId="208">
      <pivotArea dataOnly="0" labelOnly="1" grandRow="1" outline="0" fieldPosition="0"/>
    </format>
    <format dxfId="207">
      <pivotArea dataOnly="0" labelOnly="1" outline="0" axis="axisValues" fieldPosition="0"/>
    </format>
    <format dxfId="206">
      <pivotArea outline="0" collapsedLevelsAreSubtotals="1" fieldPosition="0"/>
    </format>
    <format dxfId="205">
      <pivotArea field="8" type="button" dataOnly="0" labelOnly="1" outline="0"/>
    </format>
    <format dxfId="204">
      <pivotArea dataOnly="0" labelOnly="1" outline="0" axis="axisValues" fieldPosition="0"/>
    </format>
    <format dxfId="203">
      <pivotArea dataOnly="0" labelOnly="1" outline="0" axis="axisValues" fieldPosition="0"/>
    </format>
    <format dxfId="202">
      <pivotArea outline="0" fieldPosition="0">
        <references count="1">
          <reference field="4294967294" count="1">
            <x v="1"/>
          </reference>
        </references>
      </pivotArea>
    </format>
    <format dxfId="201">
      <pivotArea field="6" type="button" dataOnly="0" labelOnly="1" outline="0" axis="axisRow" fieldPosition="0"/>
    </format>
    <format dxfId="200">
      <pivotArea dataOnly="0" labelOnly="1" outline="0" fieldPosition="0">
        <references count="1">
          <reference field="4294967294" count="2">
            <x v="0"/>
            <x v="1"/>
          </reference>
        </references>
      </pivotArea>
    </format>
    <format dxfId="199">
      <pivotArea field="6" type="button" dataOnly="0" labelOnly="1" outline="0" axis="axisRow" fieldPosition="0"/>
    </format>
    <format dxfId="198">
      <pivotArea dataOnly="0" labelOnly="1" outline="0" fieldPosition="0">
        <references count="1">
          <reference field="4294967294" count="2">
            <x v="0"/>
            <x v="1"/>
          </reference>
        </references>
      </pivotArea>
    </format>
  </formats>
  <chartFormats count="15">
    <chartFormat chart="4" format="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0"/>
          </reference>
        </references>
      </pivotArea>
    </chartFormat>
    <chartFormat chart="5" format="22" series="1">
      <pivotArea type="data" outline="0" fieldPosition="0">
        <references count="1">
          <reference field="4294967294" count="1" selected="0">
            <x v="1"/>
          </reference>
        </references>
      </pivotArea>
    </chartFormat>
    <chartFormat chart="5" format="23">
      <pivotArea type="data" outline="0" fieldPosition="0">
        <references count="2">
          <reference field="4294967294" count="1" selected="0">
            <x v="0"/>
          </reference>
          <reference field="6" count="1" selected="0">
            <x v="0"/>
          </reference>
        </references>
      </pivotArea>
    </chartFormat>
    <chartFormat chart="5" format="24">
      <pivotArea type="data" outline="0" fieldPosition="0">
        <references count="2">
          <reference field="4294967294" count="1" selected="0">
            <x v="0"/>
          </reference>
          <reference field="6" count="1" selected="0">
            <x v="1"/>
          </reference>
        </references>
      </pivotArea>
    </chartFormat>
    <chartFormat chart="5" format="25">
      <pivotArea type="data" outline="0" fieldPosition="0">
        <references count="2">
          <reference field="4294967294" count="1" selected="0">
            <x v="0"/>
          </reference>
          <reference field="6" count="1" selected="0">
            <x v="2"/>
          </reference>
        </references>
      </pivotArea>
    </chartFormat>
    <chartFormat chart="5" format="26">
      <pivotArea type="data" outline="0" fieldPosition="0">
        <references count="2">
          <reference field="4294967294" count="1" selected="0">
            <x v="0"/>
          </reference>
          <reference field="6" count="1" selected="0">
            <x v="3"/>
          </reference>
        </references>
      </pivotArea>
    </chartFormat>
    <chartFormat chart="5" format="27">
      <pivotArea type="data" outline="0" fieldPosition="0">
        <references count="2">
          <reference field="4294967294" count="1" selected="0">
            <x v="0"/>
          </reference>
          <reference field="6" count="1" selected="0">
            <x v="4"/>
          </reference>
        </references>
      </pivotArea>
    </chartFormat>
    <chartFormat chart="5" format="28">
      <pivotArea type="data" outline="0" fieldPosition="0">
        <references count="2">
          <reference field="4294967294" count="1" selected="0">
            <x v="0"/>
          </reference>
          <reference field="6" count="1" selected="0">
            <x v="5"/>
          </reference>
        </references>
      </pivotArea>
    </chartFormat>
    <chartFormat chart="5" format="29">
      <pivotArea type="data" outline="0" fieldPosition="0">
        <references count="2">
          <reference field="4294967294" count="1" selected="0">
            <x v="1"/>
          </reference>
          <reference field="6" count="1" selected="0">
            <x v="0"/>
          </reference>
        </references>
      </pivotArea>
    </chartFormat>
    <chartFormat chart="5" format="30">
      <pivotArea type="data" outline="0" fieldPosition="0">
        <references count="2">
          <reference field="4294967294" count="1" selected="0">
            <x v="1"/>
          </reference>
          <reference field="6" count="1" selected="0">
            <x v="1"/>
          </reference>
        </references>
      </pivotArea>
    </chartFormat>
    <chartFormat chart="5" format="31">
      <pivotArea type="data" outline="0" fieldPosition="0">
        <references count="2">
          <reference field="4294967294" count="1" selected="0">
            <x v="1"/>
          </reference>
          <reference field="6" count="1" selected="0">
            <x v="2"/>
          </reference>
        </references>
      </pivotArea>
    </chartFormat>
    <chartFormat chart="5" format="32">
      <pivotArea type="data" outline="0" fieldPosition="0">
        <references count="2">
          <reference field="4294967294" count="1" selected="0">
            <x v="1"/>
          </reference>
          <reference field="6" count="1" selected="0">
            <x v="3"/>
          </reference>
        </references>
      </pivotArea>
    </chartFormat>
    <chartFormat chart="5" format="33">
      <pivotArea type="data" outline="0" fieldPosition="0">
        <references count="2">
          <reference field="4294967294" count="1" selected="0">
            <x v="1"/>
          </reference>
          <reference field="6" count="1" selected="0">
            <x v="4"/>
          </reference>
        </references>
      </pivotArea>
    </chartFormat>
    <chartFormat chart="5" format="34">
      <pivotArea type="data" outline="0" fieldPosition="0">
        <references count="2">
          <reference field="4294967294" count="1" selected="0">
            <x v="1"/>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EB33D2F4-2CB2-45E6-83E7-D7EAD49CE02A}" name="PivotTable13"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2" rowHeaderCaption="Asset Type">
  <location ref="B5:D12" firstHeaderRow="0" firstDataRow="1" firstDataCol="1"/>
  <pivotFields count="43">
    <pivotField showAll="0"/>
    <pivotField showAll="0"/>
    <pivotField showAll="0"/>
    <pivotField showAll="0"/>
    <pivotField showAll="0"/>
    <pivotField showAll="0"/>
    <pivotField axis="axisRow" showAll="0">
      <items count="7">
        <item x="3"/>
        <item x="2"/>
        <item x="4"/>
        <item x="0"/>
        <item x="5"/>
        <item x="1"/>
        <item t="default"/>
      </items>
    </pivotField>
    <pivotField showAll="0"/>
    <pivotField showAll="0">
      <items count="19">
        <item x="15"/>
        <item x="4"/>
        <item x="17"/>
        <item x="3"/>
        <item x="10"/>
        <item x="8"/>
        <item x="9"/>
        <item x="7"/>
        <item x="2"/>
        <item x="5"/>
        <item x="13"/>
        <item x="6"/>
        <item x="12"/>
        <item x="11"/>
        <item x="16"/>
        <item x="0"/>
        <item x="1"/>
        <item x="14"/>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6"/>
  </rowFields>
  <rowItems count="7">
    <i>
      <x/>
    </i>
    <i>
      <x v="1"/>
    </i>
    <i>
      <x v="2"/>
    </i>
    <i>
      <x v="3"/>
    </i>
    <i>
      <x v="4"/>
    </i>
    <i>
      <x v="5"/>
    </i>
    <i t="grand">
      <x/>
    </i>
  </rowItems>
  <colFields count="1">
    <field x="-2"/>
  </colFields>
  <colItems count="2">
    <i>
      <x/>
    </i>
    <i i="1">
      <x v="1"/>
    </i>
  </colItems>
  <dataFields count="2">
    <dataField name="Sum of Total Equity" fld="31" baseField="0" baseItem="0" numFmtId="164"/>
    <dataField name="Percent of Total" fld="31" showDataAs="percentOfTotal" baseField="8" baseItem="9" numFmtId="10"/>
  </dataFields>
  <formats count="11">
    <format dxfId="222">
      <pivotArea type="all" dataOnly="0" outline="0" fieldPosition="0"/>
    </format>
    <format dxfId="221">
      <pivotArea outline="0" collapsedLevelsAreSubtotals="1" fieldPosition="0"/>
    </format>
    <format dxfId="220">
      <pivotArea field="8" type="button" dataOnly="0" labelOnly="1" outline="0"/>
    </format>
    <format dxfId="219">
      <pivotArea dataOnly="0" labelOnly="1" grandRow="1" outline="0" fieldPosition="0"/>
    </format>
    <format dxfId="218">
      <pivotArea dataOnly="0" labelOnly="1" outline="0" axis="axisValues" fieldPosition="0"/>
    </format>
    <format dxfId="217">
      <pivotArea outline="0" collapsedLevelsAreSubtotals="1" fieldPosition="0"/>
    </format>
    <format dxfId="216">
      <pivotArea outline="0" fieldPosition="0">
        <references count="1">
          <reference field="4294967294" count="1">
            <x v="1"/>
          </reference>
        </references>
      </pivotArea>
    </format>
    <format dxfId="215">
      <pivotArea field="8" type="button" dataOnly="0" labelOnly="1" outline="0"/>
    </format>
    <format dxfId="214">
      <pivotArea dataOnly="0" labelOnly="1" outline="0" fieldPosition="0">
        <references count="1">
          <reference field="4294967294" count="2">
            <x v="0"/>
            <x v="1"/>
          </reference>
        </references>
      </pivotArea>
    </format>
    <format dxfId="213">
      <pivotArea field="8" type="button" dataOnly="0" labelOnly="1" outline="0"/>
    </format>
    <format dxfId="212">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4CEC72C7-570E-49CD-BC8B-12C7C04B2D74}" name="PivotTable5"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8" rowHeaderCaption="Asset Type">
  <location ref="B89:D96" firstHeaderRow="0" firstDataRow="1" firstDataCol="1" rowPageCount="1" colPageCount="1"/>
  <pivotFields count="43">
    <pivotField showAll="0"/>
    <pivotField showAll="0"/>
    <pivotField showAll="0"/>
    <pivotField showAll="0"/>
    <pivotField showAll="0"/>
    <pivotField showAll="0"/>
    <pivotField axis="axisRow" showAll="0">
      <items count="7">
        <item x="3"/>
        <item x="2"/>
        <item x="4"/>
        <item x="0"/>
        <item x="5"/>
        <item x="1"/>
        <item t="default"/>
      </items>
    </pivotField>
    <pivotField showAll="0"/>
    <pivotField showAll="0">
      <items count="19">
        <item x="15"/>
        <item x="4"/>
        <item x="17"/>
        <item x="3"/>
        <item x="10"/>
        <item x="8"/>
        <item x="9"/>
        <item x="7"/>
        <item x="2"/>
        <item x="5"/>
        <item x="13"/>
        <item x="6"/>
        <item x="12"/>
        <item x="11"/>
        <item x="16"/>
        <item x="0"/>
        <item x="1"/>
        <item x="14"/>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multipleItemSelectionAllowed="1" showAll="0"/>
    <pivotField showAll="0"/>
    <pivotField showAll="0"/>
    <pivotField axis="axisPage" dataField="1" multipleItemSelectionAllowed="1" showAll="0">
      <items count="36">
        <item x="5"/>
        <item x="4"/>
        <item x="16"/>
        <item x="20"/>
        <item x="9"/>
        <item m="1" x="31"/>
        <item m="1" x="34"/>
        <item x="13"/>
        <item x="21"/>
        <item x="3"/>
        <item x="6"/>
        <item x="2"/>
        <item m="1" x="30"/>
        <item x="15"/>
        <item x="22"/>
        <item x="1"/>
        <item x="12"/>
        <item m="1" x="32"/>
        <item x="7"/>
        <item x="19"/>
        <item x="23"/>
        <item x="8"/>
        <item x="10"/>
        <item x="11"/>
        <item x="0"/>
        <item x="14"/>
        <item x="17"/>
        <item x="18"/>
        <item x="24"/>
        <item m="1" x="33"/>
        <item x="26"/>
        <item x="25"/>
        <item x="27"/>
        <item x="28"/>
        <item x="29"/>
        <item t="default"/>
      </items>
    </pivotField>
    <pivotField showAll="0"/>
    <pivotField showAll="0"/>
    <pivotField showAll="0"/>
    <pivotField showAll="0"/>
    <pivotField numFmtId="164" showAll="0"/>
    <pivotField numFmtId="164" multipleItemSelectionAllowed="1" showAll="0"/>
    <pivotField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6"/>
  </rowFields>
  <rowItems count="7">
    <i>
      <x/>
    </i>
    <i>
      <x v="1"/>
    </i>
    <i>
      <x v="2"/>
    </i>
    <i>
      <x v="3"/>
    </i>
    <i>
      <x v="4"/>
    </i>
    <i>
      <x v="5"/>
    </i>
    <i t="grand">
      <x/>
    </i>
  </rowItems>
  <colFields count="1">
    <field x="-2"/>
  </colFields>
  <colItems count="2">
    <i>
      <x/>
    </i>
    <i i="1">
      <x v="1"/>
    </i>
  </colItems>
  <pageFields count="1">
    <pageField fld="26" hier="-1"/>
  </pageFields>
  <dataFields count="2">
    <dataField name="Sum of Fund IV Equity" fld="26" baseField="0" baseItem="0"/>
    <dataField name="Percent of Total" fld="26" showDataAs="percentOfTotal" baseField="6" baseItem="0" numFmtId="10"/>
  </dataFields>
  <formats count="13">
    <format dxfId="235">
      <pivotArea type="all" dataOnly="0" outline="0" fieldPosition="0"/>
    </format>
    <format dxfId="234">
      <pivotArea outline="0" collapsedLevelsAreSubtotals="1" fieldPosition="0"/>
    </format>
    <format dxfId="233">
      <pivotArea field="8" type="button" dataOnly="0" labelOnly="1" outline="0"/>
    </format>
    <format dxfId="232">
      <pivotArea dataOnly="0" labelOnly="1" grandRow="1" outline="0" fieldPosition="0"/>
    </format>
    <format dxfId="231">
      <pivotArea dataOnly="0" labelOnly="1" outline="0" axis="axisValues" fieldPosition="0"/>
    </format>
    <format dxfId="230">
      <pivotArea outline="0" collapsedLevelsAreSubtotals="1" fieldPosition="0"/>
    </format>
    <format dxfId="229">
      <pivotArea field="8" type="button" dataOnly="0" labelOnly="1" outline="0"/>
    </format>
    <format dxfId="228">
      <pivotArea dataOnly="0" labelOnly="1" outline="0" axis="axisValues" fieldPosition="0"/>
    </format>
    <format dxfId="227">
      <pivotArea dataOnly="0" labelOnly="1" outline="0" axis="axisValues" fieldPosition="0"/>
    </format>
    <format dxfId="226">
      <pivotArea field="6" type="button" dataOnly="0" labelOnly="1" outline="0" axis="axisRow" fieldPosition="0"/>
    </format>
    <format dxfId="225">
      <pivotArea outline="0" fieldPosition="0">
        <references count="1">
          <reference field="4294967294" count="1">
            <x v="1"/>
          </reference>
        </references>
      </pivotArea>
    </format>
    <format dxfId="224">
      <pivotArea dataOnly="0" labelOnly="1" outline="0" fieldPosition="0">
        <references count="1">
          <reference field="4294967294" count="2">
            <x v="0"/>
            <x v="1"/>
          </reference>
        </references>
      </pivotArea>
    </format>
    <format dxfId="223">
      <pivotArea field="6" type="button" dataOnly="0" labelOnly="1" outline="0" axis="axisRow" fieldPosition="0"/>
    </format>
  </formats>
  <chartFormats count="6">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6">
      <pivotArea type="data" outline="0" fieldPosition="0">
        <references count="2">
          <reference field="4294967294" count="1" selected="0">
            <x v="0"/>
          </reference>
          <reference field="6" count="1" selected="0">
            <x v="0"/>
          </reference>
        </references>
      </pivotArea>
    </chartFormat>
    <chartFormat chart="7" format="7">
      <pivotArea type="data" outline="0" fieldPosition="0">
        <references count="2">
          <reference field="4294967294" count="1" selected="0">
            <x v="0"/>
          </reference>
          <reference field="6" count="1" selected="0">
            <x v="3"/>
          </reference>
        </references>
      </pivotArea>
    </chartFormat>
    <chartFormat chart="7" format="8">
      <pivotArea type="data" outline="0" fieldPosition="0">
        <references count="2">
          <reference field="4294967294" count="1" selected="0">
            <x v="1"/>
          </reference>
          <reference field="6" count="1" selected="0">
            <x v="0"/>
          </reference>
        </references>
      </pivotArea>
    </chartFormat>
    <chartFormat chart="7" format="9">
      <pivotArea type="data" outline="0" fieldPosition="0">
        <references count="2">
          <reference field="4294967294" count="1" selected="0">
            <x v="1"/>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2707F510-C73A-4DDC-AD19-02839E725B20}" name="PivotTable18" cacheId="0" applyNumberFormats="0" applyBorderFormats="0" applyFontFormats="0" applyPatternFormats="0" applyAlignmentFormats="0" applyWidthHeightFormats="1" dataCaption="Values" updatedVersion="6" minRefreshableVersion="3" itemPrintTitles="1" createdVersion="6" indent="0" outline="1" outlineData="1" multipleFieldFilters="0" rowHeaderCaption="Asset Type">
  <location ref="B9:J16" firstHeaderRow="0" firstDataRow="1" firstDataCol="1" rowPageCount="2" colPageCount="1"/>
  <pivotFields count="43">
    <pivotField showAll="0"/>
    <pivotField axis="axisPage" multipleItemSelectionAllowed="1" showAll="0">
      <items count="4">
        <item x="0"/>
        <item h="1" x="2"/>
        <item h="1" x="1"/>
        <item t="default"/>
      </items>
    </pivotField>
    <pivotField showAll="0"/>
    <pivotField showAll="0"/>
    <pivotField axis="axisPage" showAll="0">
      <items count="3">
        <item x="1"/>
        <item x="0"/>
        <item t="default"/>
      </items>
    </pivotField>
    <pivotField showAll="0"/>
    <pivotField axis="axisRow" showAll="0">
      <items count="7">
        <item x="3"/>
        <item x="2"/>
        <item x="4"/>
        <item x="0"/>
        <item x="5"/>
        <item x="1"/>
        <item t="default"/>
      </items>
    </pivotField>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dataField="1" showAll="0"/>
    <pivotField dataField="1" showAll="0"/>
    <pivotField showAll="0"/>
    <pivotField dataField="1" showAll="0"/>
    <pivotField dataField="1" showAll="0"/>
    <pivotField dataField="1" showAll="0"/>
    <pivotField showAll="0"/>
    <pivotField dataField="1" showAll="0"/>
    <pivotField dataField="1" showAll="0"/>
    <pivotField numFmtId="164" showAll="0"/>
    <pivotField dataField="1" numFmtId="164" showAll="0"/>
    <pivotField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6"/>
  </rowFields>
  <rowItems count="7">
    <i>
      <x/>
    </i>
    <i>
      <x v="1"/>
    </i>
    <i>
      <x v="2"/>
    </i>
    <i>
      <x v="3"/>
    </i>
    <i>
      <x v="4"/>
    </i>
    <i>
      <x v="5"/>
    </i>
    <i t="grand">
      <x/>
    </i>
  </rowItems>
  <colFields count="1">
    <field x="-2"/>
  </colFields>
  <colItems count="8">
    <i>
      <x/>
    </i>
    <i i="1">
      <x v="1"/>
    </i>
    <i i="2">
      <x v="2"/>
    </i>
    <i i="3">
      <x v="3"/>
    </i>
    <i i="4">
      <x v="4"/>
    </i>
    <i i="5">
      <x v="5"/>
    </i>
    <i i="6">
      <x v="6"/>
    </i>
    <i i="7">
      <x v="7"/>
    </i>
  </colItems>
  <pageFields count="2">
    <pageField fld="4" hier="-1"/>
    <pageField fld="1" hier="-1"/>
  </pageFields>
  <dataFields count="8">
    <dataField name="Sum of MLG Capital Historical Deal Equity" fld="22" baseField="6" baseItem="3"/>
    <dataField name="Sum of Fund I Equity" fld="23" baseField="0" baseItem="0"/>
    <dataField name="Sum of Fund II Effective Equity" fld="32" baseField="0" baseItem="0"/>
    <dataField name="Sum of Fund III Equity" fld="25" baseField="0" baseItem="0"/>
    <dataField name="Sum of Fund IV Equity" fld="26" baseField="0" baseItem="0"/>
    <dataField name="Sum of MLG Co-Investor Equity" fld="27" baseField="0" baseItem="0"/>
    <dataField name="Sum of Managed Account (1031) Equity" fld="29" baseField="0" baseItem="0"/>
    <dataField name="Sum of Legacy Fund Equity" fld="30" baseField="6" baseItem="3"/>
  </dataFields>
  <formats count="19">
    <format dxfId="156">
      <pivotArea outline="0" collapsedLevelsAreSubtotals="1" fieldPosition="0"/>
    </format>
    <format dxfId="155">
      <pivotArea type="all" dataOnly="0" outline="0" fieldPosition="0"/>
    </format>
    <format dxfId="154">
      <pivotArea outline="0" collapsedLevelsAreSubtotals="1" fieldPosition="0"/>
    </format>
    <format dxfId="153">
      <pivotArea field="6" type="button" dataOnly="0" labelOnly="1" outline="0" axis="axisRow" fieldPosition="0"/>
    </format>
    <format dxfId="152">
      <pivotArea dataOnly="0" labelOnly="1" fieldPosition="0">
        <references count="1">
          <reference field="6" count="0"/>
        </references>
      </pivotArea>
    </format>
    <format dxfId="151">
      <pivotArea dataOnly="0" labelOnly="1" grandRow="1" outline="0" fieldPosition="0"/>
    </format>
    <format dxfId="150">
      <pivotArea dataOnly="0" labelOnly="1" outline="0" axis="axisValues" fieldPosition="0"/>
    </format>
    <format dxfId="149">
      <pivotArea dataOnly="0" labelOnly="1" outline="0" axis="axisValues" fieldPosition="0"/>
    </format>
    <format dxfId="148">
      <pivotArea dataOnly="0" labelOnly="1" outline="0" axis="axisValues" fieldPosition="0"/>
    </format>
    <format dxfId="147">
      <pivotArea field="6" type="button" dataOnly="0" labelOnly="1" outline="0" axis="axisRow" fieldPosition="0"/>
    </format>
    <format dxfId="146">
      <pivotArea dataOnly="0" labelOnly="1" outline="0" fieldPosition="0">
        <references count="1">
          <reference field="4294967294" count="6">
            <x v="1"/>
            <x v="2"/>
            <x v="3"/>
            <x v="4"/>
            <x v="5"/>
            <x v="6"/>
          </reference>
        </references>
      </pivotArea>
    </format>
    <format dxfId="145">
      <pivotArea dataOnly="0" labelOnly="1" outline="0" fieldPosition="0">
        <references count="1">
          <reference field="4294967294" count="6">
            <x v="1"/>
            <x v="2"/>
            <x v="3"/>
            <x v="4"/>
            <x v="5"/>
            <x v="6"/>
          </reference>
        </references>
      </pivotArea>
    </format>
    <format dxfId="144">
      <pivotArea dataOnly="0" labelOnly="1" outline="0" fieldPosition="0">
        <references count="1">
          <reference field="4294967294" count="1">
            <x v="0"/>
          </reference>
        </references>
      </pivotArea>
    </format>
    <format dxfId="143">
      <pivotArea dataOnly="0" labelOnly="1" outline="0" fieldPosition="0">
        <references count="1">
          <reference field="4294967294" count="1">
            <x v="7"/>
          </reference>
        </references>
      </pivotArea>
    </format>
    <format dxfId="142">
      <pivotArea field="6" type="button" dataOnly="0" labelOnly="1" outline="0" axis="axisRow" fieldPosition="0"/>
    </format>
    <format dxfId="141">
      <pivotArea dataOnly="0" labelOnly="1" outline="0" fieldPosition="0">
        <references count="1">
          <reference field="1" count="0"/>
        </references>
      </pivotArea>
    </format>
    <format dxfId="140">
      <pivotArea dataOnly="0" labelOnly="1" outline="0" fieldPosition="0">
        <references count="1">
          <reference field="1" count="0"/>
        </references>
      </pivotArea>
    </format>
    <format dxfId="139">
      <pivotArea field="1" type="button" dataOnly="0" labelOnly="1" outline="0" axis="axisPage" fieldPosition="1"/>
    </format>
    <format dxfId="138">
      <pivotArea field="1" type="button" dataOnly="0" labelOnly="1" outline="0" axis="axisPage" fieldPosition="1"/>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22A56485-8A70-45BC-81F8-580EA0581959}" name="PivotTable20" cacheId="0" applyNumberFormats="0" applyBorderFormats="0" applyFontFormats="0" applyPatternFormats="0" applyAlignmentFormats="0" applyWidthHeightFormats="1" dataCaption="Values" updatedVersion="6" minRefreshableVersion="3" itemPrintTitles="1" createdVersion="6" indent="0" outline="1" outlineData="1" multipleFieldFilters="0" rowHeaderCaption="Asset Type">
  <location ref="M9:N16" firstHeaderRow="1" firstDataRow="1" firstDataCol="1" rowPageCount="2" colPageCount="1"/>
  <pivotFields count="43">
    <pivotField showAll="0"/>
    <pivotField axis="axisPage" multipleItemSelectionAllowed="1" showAll="0">
      <items count="4">
        <item x="0"/>
        <item h="1" x="2"/>
        <item h="1" x="1"/>
        <item t="default"/>
      </items>
    </pivotField>
    <pivotField showAll="0"/>
    <pivotField showAll="0"/>
    <pivotField axis="axisPage" showAll="0">
      <items count="3">
        <item x="1"/>
        <item x="0"/>
        <item t="default"/>
      </items>
    </pivotField>
    <pivotField showAll="0"/>
    <pivotField axis="axisRow" showAll="0">
      <items count="7">
        <item x="3"/>
        <item x="2"/>
        <item x="4"/>
        <item x="0"/>
        <item x="5"/>
        <item x="1"/>
        <item t="default"/>
      </items>
    </pivotField>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6"/>
  </rowFields>
  <rowItems count="7">
    <i>
      <x/>
    </i>
    <i>
      <x v="1"/>
    </i>
    <i>
      <x v="2"/>
    </i>
    <i>
      <x v="3"/>
    </i>
    <i>
      <x v="4"/>
    </i>
    <i>
      <x v="5"/>
    </i>
    <i t="grand">
      <x/>
    </i>
  </rowItems>
  <colItems count="1">
    <i/>
  </colItems>
  <pageFields count="2">
    <pageField fld="4" hier="-1"/>
    <pageField fld="1" hier="-1"/>
  </pageFields>
  <dataFields count="1">
    <dataField name="Sum of Total Equity" fld="31" baseField="0" baseItem="0"/>
  </dataFields>
  <formats count="11">
    <format dxfId="167">
      <pivotArea outline="0" collapsedLevelsAreSubtotals="1" fieldPosition="0"/>
    </format>
    <format dxfId="166">
      <pivotArea type="all" dataOnly="0" outline="0" fieldPosition="0"/>
    </format>
    <format dxfId="165">
      <pivotArea outline="0" collapsedLevelsAreSubtotals="1" fieldPosition="0"/>
    </format>
    <format dxfId="164">
      <pivotArea field="6" type="button" dataOnly="0" labelOnly="1" outline="0" axis="axisRow" fieldPosition="0"/>
    </format>
    <format dxfId="163">
      <pivotArea dataOnly="0" labelOnly="1" fieldPosition="0">
        <references count="1">
          <reference field="6" count="0"/>
        </references>
      </pivotArea>
    </format>
    <format dxfId="162">
      <pivotArea dataOnly="0" labelOnly="1" grandRow="1" outline="0" fieldPosition="0"/>
    </format>
    <format dxfId="161">
      <pivotArea dataOnly="0" labelOnly="1" outline="0" axis="axisValues" fieldPosition="0"/>
    </format>
    <format dxfId="160">
      <pivotArea dataOnly="0" labelOnly="1" outline="0" axis="axisValues" fieldPosition="0"/>
    </format>
    <format dxfId="159">
      <pivotArea dataOnly="0" labelOnly="1" outline="0" axis="axisValues" fieldPosition="0"/>
    </format>
    <format dxfId="158">
      <pivotArea field="6" type="button" dataOnly="0" labelOnly="1" outline="0" axis="axisRow" fieldPosition="0"/>
    </format>
    <format dxfId="157">
      <pivotArea field="6"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56270B61-B565-4B95-B596-1E1B469D435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2:E53" firstHeaderRow="0" firstDataRow="1" firstDataCol="1" rowPageCount="1" colPageCount="1"/>
  <pivotFields count="43">
    <pivotField showAll="0"/>
    <pivotField axis="axisPage" multipleItemSelectionAllowed="1" showAll="0">
      <items count="4">
        <item x="0"/>
        <item h="1"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dataField="1"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ataField="1" numFmtId="164" showAll="0"/>
    <pivotField numFmtId="164" showAll="0"/>
    <pivotField showAll="0"/>
    <pivotField showAll="0"/>
    <pivotField showAll="0"/>
    <pivotField showAll="0"/>
    <pivotField showAll="0"/>
    <pivotField showAll="0"/>
    <pivotField showAll="0"/>
    <pivotField dragToRow="0" dragToCol="0" dragToPage="0" showAll="0" defaultSubtotal="0"/>
    <pivotField axis="axisRow" showAll="0">
      <items count="7">
        <item sd="0" x="0"/>
        <item sd="0" x="1"/>
        <item sd="0" x="2"/>
        <item sd="0" x="3"/>
        <item sd="0" x="4"/>
        <item x="5"/>
        <item t="default"/>
      </items>
    </pivotField>
    <pivotField axis="axisRow" showAll="0">
      <items count="3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x="34"/>
        <item t="default"/>
      </items>
    </pivotField>
  </pivotFields>
  <rowFields count="3">
    <field x="42"/>
    <field x="41"/>
    <field x="16"/>
  </rowFields>
  <rowItems count="31">
    <i>
      <x v="1"/>
    </i>
    <i>
      <x v="2"/>
    </i>
    <i>
      <x v="4"/>
    </i>
    <i>
      <x v="5"/>
    </i>
    <i>
      <x v="6"/>
    </i>
    <i>
      <x v="7"/>
    </i>
    <i>
      <x v="8"/>
    </i>
    <i>
      <x v="9"/>
    </i>
    <i>
      <x v="10"/>
    </i>
    <i>
      <x v="11"/>
    </i>
    <i>
      <x v="12"/>
    </i>
    <i>
      <x v="13"/>
    </i>
    <i>
      <x v="14"/>
    </i>
    <i>
      <x v="15"/>
    </i>
    <i>
      <x v="16"/>
    </i>
    <i>
      <x v="17"/>
    </i>
    <i>
      <x v="18"/>
    </i>
    <i>
      <x v="20"/>
    </i>
    <i>
      <x v="21"/>
    </i>
    <i>
      <x v="22"/>
    </i>
    <i>
      <x v="24"/>
    </i>
    <i>
      <x v="25"/>
    </i>
    <i>
      <x v="26"/>
    </i>
    <i>
      <x v="27"/>
    </i>
    <i>
      <x v="28"/>
    </i>
    <i>
      <x v="29"/>
    </i>
    <i>
      <x v="30"/>
    </i>
    <i>
      <x v="31"/>
    </i>
    <i>
      <x v="32"/>
    </i>
    <i>
      <x v="33"/>
    </i>
    <i t="grand">
      <x/>
    </i>
  </rowItems>
  <colFields count="1">
    <field x="-2"/>
  </colFields>
  <colItems count="3">
    <i>
      <x/>
    </i>
    <i i="1">
      <x v="1"/>
    </i>
    <i i="2">
      <x v="2"/>
    </i>
  </colItems>
  <pageFields count="1">
    <pageField fld="1" hier="-1"/>
  </pageFields>
  <dataFields count="3">
    <dataField name="Sum of Purchase Price" fld="17" baseField="0" baseItem="0" numFmtId="164"/>
    <dataField name="Sum of Total Equity" fld="31" baseField="0" baseItem="0"/>
    <dataField name="Sum of Sponsor 3rd Party Equity" fld="28" baseField="0" baseItem="0"/>
  </dataFields>
  <formats count="9">
    <format dxfId="176">
      <pivotArea outline="0" collapsedLevelsAreSubtotals="1" fieldPosition="0"/>
    </format>
    <format dxfId="175">
      <pivotArea type="all" dataOnly="0" outline="0" fieldPosition="0"/>
    </format>
    <format dxfId="174">
      <pivotArea outline="0" collapsedLevelsAreSubtotals="1" fieldPosition="0"/>
    </format>
    <format dxfId="173">
      <pivotArea field="42" type="button" dataOnly="0" labelOnly="1" outline="0" axis="axisRow" fieldPosition="0"/>
    </format>
    <format dxfId="172">
      <pivotArea dataOnly="0" labelOnly="1" fieldPosition="0">
        <references count="1">
          <reference field="42" count="30">
            <x v="1"/>
            <x v="2"/>
            <x v="4"/>
            <x v="5"/>
            <x v="6"/>
            <x v="7"/>
            <x v="8"/>
            <x v="9"/>
            <x v="10"/>
            <x v="11"/>
            <x v="12"/>
            <x v="13"/>
            <x v="14"/>
            <x v="15"/>
            <x v="16"/>
            <x v="17"/>
            <x v="18"/>
            <x v="20"/>
            <x v="21"/>
            <x v="22"/>
            <x v="24"/>
            <x v="25"/>
            <x v="26"/>
            <x v="27"/>
            <x v="28"/>
            <x v="29"/>
            <x v="30"/>
            <x v="31"/>
            <x v="32"/>
            <x v="33"/>
          </reference>
        </references>
      </pivotArea>
    </format>
    <format dxfId="171">
      <pivotArea dataOnly="0" labelOnly="1" grandRow="1" outline="0" fieldPosition="0"/>
    </format>
    <format dxfId="170">
      <pivotArea dataOnly="0" labelOnly="1" outline="0" fieldPosition="0">
        <references count="1">
          <reference field="4294967294" count="3">
            <x v="0"/>
            <x v="1"/>
            <x v="2"/>
          </reference>
        </references>
      </pivotArea>
    </format>
    <format dxfId="169">
      <pivotArea field="42" type="button" dataOnly="0" labelOnly="1" outline="0" axis="axisRow" fieldPosition="0"/>
    </format>
    <format dxfId="168">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62E6CE-B105-4046-99DF-6AA407D47797}" name="PivotTable2"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58:C60" firstHeaderRow="1" firstDataRow="1" firstDataCol="1" rowPageCount="3" colPageCount="1"/>
  <pivotFields count="43">
    <pivotField dataField="1" showAll="0"/>
    <pivotField axis="axisPage" showAll="0">
      <items count="4">
        <item x="0"/>
        <item x="1"/>
        <item x="2"/>
        <item t="default"/>
      </items>
    </pivotField>
    <pivotField showAll="0"/>
    <pivotField axis="axisPage" showAll="0">
      <items count="3">
        <item x="1"/>
        <item x="0"/>
        <item t="default"/>
      </items>
    </pivotField>
    <pivotField axis="axisPage" multipleItemSelectionAllowed="1" showAll="0">
      <items count="3">
        <item h="1" x="1"/>
        <item x="0"/>
        <item t="default"/>
      </items>
    </pivotField>
    <pivotField axis="axisRow" showAll="0">
      <items count="10">
        <item m="1" x="4"/>
        <item m="1" x="6"/>
        <item x="2"/>
        <item x="3"/>
        <item m="1" x="5"/>
        <item x="0"/>
        <item m="1" x="8"/>
        <item m="1" x="7"/>
        <item x="1"/>
        <item t="default"/>
      </items>
    </pivotField>
    <pivotField showAll="0"/>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5"/>
  </rowFields>
  <rowItems count="2">
    <i>
      <x v="5"/>
    </i>
    <i t="grand">
      <x/>
    </i>
  </rowItems>
  <colItems count="1">
    <i/>
  </colItems>
  <pageFields count="3">
    <pageField fld="1" item="2" hier="-1"/>
    <pageField fld="3" item="1" hier="-1"/>
    <pageField fld="4" hier="-1"/>
  </pageFields>
  <dataFields count="1">
    <dataField name="Count of Property" fld="0" subtotal="count" baseField="0" baseItem="0"/>
  </dataFields>
  <formats count="11">
    <format dxfId="410">
      <pivotArea outline="0" collapsedLevelsAreSubtotals="1" fieldPosition="0"/>
    </format>
    <format dxfId="409">
      <pivotArea type="all" dataOnly="0" outline="0" fieldPosition="0"/>
    </format>
    <format dxfId="408">
      <pivotArea outline="0" collapsedLevelsAreSubtotals="1" fieldPosition="0"/>
    </format>
    <format dxfId="407">
      <pivotArea field="5" type="button" dataOnly="0" labelOnly="1" outline="0" axis="axisRow" fieldPosition="0"/>
    </format>
    <format dxfId="406">
      <pivotArea dataOnly="0" labelOnly="1" fieldPosition="0">
        <references count="1">
          <reference field="5" count="0"/>
        </references>
      </pivotArea>
    </format>
    <format dxfId="405">
      <pivotArea dataOnly="0" labelOnly="1" grandRow="1" outline="0" fieldPosition="0"/>
    </format>
    <format dxfId="404">
      <pivotArea dataOnly="0" labelOnly="1" outline="0" fieldPosition="0">
        <references count="1">
          <reference field="4294967294" count="1">
            <x v="0"/>
          </reference>
        </references>
      </pivotArea>
    </format>
    <format dxfId="403">
      <pivotArea field="5" type="button" dataOnly="0" labelOnly="1" outline="0" axis="axisRow" fieldPosition="0"/>
    </format>
    <format dxfId="402">
      <pivotArea dataOnly="0" labelOnly="1" outline="0" fieldPosition="0">
        <references count="1">
          <reference field="4294967294" count="1">
            <x v="0"/>
          </reference>
        </references>
      </pivotArea>
    </format>
    <format dxfId="401">
      <pivotArea dataOnly="0" labelOnly="1" outline="0" fieldPosition="0">
        <references count="1">
          <reference field="4294967294" count="1">
            <x v="0"/>
          </reference>
        </references>
      </pivotArea>
    </format>
    <format dxfId="400">
      <pivotArea field="5"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7CD7125F-E73D-4313-ACB7-D18DB5871440}" name="PivotTable5"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26:C29" firstHeaderRow="1" firstDataRow="1" firstDataCol="1"/>
  <pivotFields count="43">
    <pivotField showAll="0"/>
    <pivotField axis="axisRow" showAll="0">
      <items count="4">
        <item x="0"/>
        <item h="1"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numFmtId="164" showAll="0"/>
    <pivotField numFmtId="164" showAll="0"/>
    <pivotField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1"/>
  </rowFields>
  <rowItems count="3">
    <i>
      <x/>
    </i>
    <i>
      <x v="2"/>
    </i>
    <i t="grand">
      <x/>
    </i>
  </rowItems>
  <colItems count="1">
    <i/>
  </colItems>
  <dataFields count="1">
    <dataField name="Sum of Fund III Equity" fld="25" baseField="0" baseItem="0"/>
  </dataFields>
  <formats count="10">
    <format dxfId="102">
      <pivotArea outline="0" collapsedLevelsAreSubtotals="1" fieldPosition="0"/>
    </format>
    <format dxfId="101">
      <pivotArea dataOnly="0" labelOnly="1" outline="0" axis="axisValues" fieldPosition="0"/>
    </format>
    <format dxfId="100">
      <pivotArea type="all" dataOnly="0" outline="0" fieldPosition="0"/>
    </format>
    <format dxfId="99">
      <pivotArea outline="0" collapsedLevelsAreSubtotals="1" fieldPosition="0"/>
    </format>
    <format dxfId="98">
      <pivotArea field="1" type="button" dataOnly="0" labelOnly="1" outline="0" axis="axisRow" fieldPosition="0"/>
    </format>
    <format dxfId="97">
      <pivotArea dataOnly="0" labelOnly="1" fieldPosition="0">
        <references count="1">
          <reference field="1" count="0"/>
        </references>
      </pivotArea>
    </format>
    <format dxfId="96">
      <pivotArea dataOnly="0" labelOnly="1" grandRow="1" outline="0" fieldPosition="0"/>
    </format>
    <format dxfId="95">
      <pivotArea dataOnly="0" labelOnly="1" outline="0" axis="axisValues" fieldPosition="0"/>
    </format>
    <format dxfId="94">
      <pivotArea dataOnly="0" labelOnly="1" outline="0" axis="axisValues" fieldPosition="0"/>
    </format>
    <format dxfId="9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E052D45E-54F1-4072-870C-811E433E4AB9}" name="PivotTable4"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4:C17" firstHeaderRow="1" firstDataRow="1" firstDataCol="1"/>
  <pivotFields count="43">
    <pivotField showAll="0"/>
    <pivotField axis="axisRow" showAll="0">
      <items count="4">
        <item x="0"/>
        <item h="1"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dataField="1" numFmtId="164" showAll="0"/>
    <pivotField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1"/>
  </rowFields>
  <rowItems count="3">
    <i>
      <x/>
    </i>
    <i>
      <x v="2"/>
    </i>
    <i t="grand">
      <x/>
    </i>
  </rowItems>
  <colItems count="1">
    <i/>
  </colItems>
  <dataFields count="1">
    <dataField name="Sum of Fund II Effective Equity" fld="32" baseField="0" baseItem="0"/>
  </dataFields>
  <formats count="11">
    <format dxfId="113">
      <pivotArea outline="0" collapsedLevelsAreSubtotals="1" fieldPosition="0"/>
    </format>
    <format dxfId="112">
      <pivotArea dataOnly="0" labelOnly="1" outline="0" axis="axisValues" fieldPosition="0"/>
    </format>
    <format dxfId="111">
      <pivotArea type="all" dataOnly="0" outline="0" fieldPosition="0"/>
    </format>
    <format dxfId="110">
      <pivotArea outline="0" collapsedLevelsAreSubtotals="1" fieldPosition="0"/>
    </format>
    <format dxfId="109">
      <pivotArea field="1" type="button" dataOnly="0" labelOnly="1" outline="0" axis="axisRow" fieldPosition="0"/>
    </format>
    <format dxfId="108">
      <pivotArea dataOnly="0" labelOnly="1" fieldPosition="0">
        <references count="1">
          <reference field="1" count="0"/>
        </references>
      </pivotArea>
    </format>
    <format dxfId="107">
      <pivotArea dataOnly="0" labelOnly="1" grandRow="1" outline="0" fieldPosition="0"/>
    </format>
    <format dxfId="106">
      <pivotArea dataOnly="0" labelOnly="1" outline="0" axis="axisValues" fieldPosition="0"/>
    </format>
    <format dxfId="105">
      <pivotArea field="1" type="button" dataOnly="0" labelOnly="1" outline="0" axis="axisRow" fieldPosition="0"/>
    </format>
    <format dxfId="104">
      <pivotArea dataOnly="0" labelOnly="1" outline="0" axis="axisValues" fieldPosition="0"/>
    </format>
    <format dxfId="10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00DD87C9-000B-45FE-B9CA-6776DE56D084}" name="PivotTable3"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5:C8" firstHeaderRow="1" firstDataRow="1" firstDataCol="1"/>
  <pivotFields count="43">
    <pivotField showAll="0"/>
    <pivotField axis="axisRow" showAll="0">
      <items count="4">
        <item x="0"/>
        <item h="1"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numFmtId="164" showAll="0"/>
    <pivotField numFmtId="164" showAll="0"/>
    <pivotField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1"/>
  </rowFields>
  <rowItems count="3">
    <i>
      <x/>
    </i>
    <i>
      <x v="2"/>
    </i>
    <i t="grand">
      <x/>
    </i>
  </rowItems>
  <colItems count="1">
    <i/>
  </colItems>
  <dataFields count="1">
    <dataField name="Sum of Fund I Equity" fld="23" baseField="0" baseItem="0" numFmtId="164"/>
  </dataFields>
  <formats count="10">
    <format dxfId="123">
      <pivotArea outline="0" collapsedLevelsAreSubtotals="1" fieldPosition="0"/>
    </format>
    <format dxfId="122">
      <pivotArea dataOnly="0" labelOnly="1" outline="0" axis="axisValues" fieldPosition="0"/>
    </format>
    <format dxfId="121">
      <pivotArea type="all" dataOnly="0" outline="0" fieldPosition="0"/>
    </format>
    <format dxfId="120">
      <pivotArea outline="0" collapsedLevelsAreSubtotals="1" fieldPosition="0"/>
    </format>
    <format dxfId="119">
      <pivotArea field="1" type="button" dataOnly="0" labelOnly="1" outline="0" axis="axisRow" fieldPosition="0"/>
    </format>
    <format dxfId="118">
      <pivotArea dataOnly="0" labelOnly="1" fieldPosition="0">
        <references count="1">
          <reference field="1" count="0"/>
        </references>
      </pivotArea>
    </format>
    <format dxfId="117">
      <pivotArea dataOnly="0" labelOnly="1" grandRow="1" outline="0" fieldPosition="0"/>
    </format>
    <format dxfId="116">
      <pivotArea dataOnly="0" labelOnly="1" outline="0" axis="axisValues" fieldPosition="0"/>
    </format>
    <format dxfId="115">
      <pivotArea dataOnly="0" labelOnly="1" outline="0" axis="axisValues" fieldPosition="0"/>
    </format>
    <format dxfId="1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6AEA4D49-57F9-45D0-9795-A7C6AAE9C5E5}" name="PivotTable6"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38:C41" firstHeaderRow="1" firstDataRow="1" firstDataCol="1"/>
  <pivotFields count="43">
    <pivotField showAll="0"/>
    <pivotField axis="axisRow" showAll="0">
      <items count="4">
        <item x="0"/>
        <item h="1"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4" showAll="0"/>
    <pivotField numFmtId="164" showAll="0"/>
    <pivotField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1"/>
  </rowFields>
  <rowItems count="3">
    <i>
      <x/>
    </i>
    <i>
      <x v="2"/>
    </i>
    <i t="grand">
      <x/>
    </i>
  </rowItems>
  <colItems count="1">
    <i/>
  </colItems>
  <dataFields count="1">
    <dataField name="Sum of Fund IV Equity" fld="26" baseField="0" baseItem="0"/>
  </dataFields>
  <formats count="10">
    <format dxfId="133">
      <pivotArea outline="0" collapsedLevelsAreSubtotals="1" fieldPosition="0"/>
    </format>
    <format dxfId="132">
      <pivotArea dataOnly="0" labelOnly="1" outline="0" axis="axisValues" fieldPosition="0"/>
    </format>
    <format dxfId="131">
      <pivotArea type="all" dataOnly="0" outline="0" fieldPosition="0"/>
    </format>
    <format dxfId="130">
      <pivotArea outline="0" collapsedLevelsAreSubtotals="1" fieldPosition="0"/>
    </format>
    <format dxfId="129">
      <pivotArea field="1" type="button" dataOnly="0" labelOnly="1" outline="0" axis="axisRow" fieldPosition="0"/>
    </format>
    <format dxfId="128">
      <pivotArea dataOnly="0" labelOnly="1" fieldPosition="0">
        <references count="1">
          <reference field="1" count="0"/>
        </references>
      </pivotArea>
    </format>
    <format dxfId="127">
      <pivotArea dataOnly="0" labelOnly="1" grandRow="1" outline="0" fieldPosition="0"/>
    </format>
    <format dxfId="126">
      <pivotArea dataOnly="0" labelOnly="1" outline="0" axis="axisValues" fieldPosition="0"/>
    </format>
    <format dxfId="125">
      <pivotArea dataOnly="0" labelOnly="1" outline="0" axis="axisValues" fieldPosition="0"/>
    </format>
    <format dxfId="12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ADE83740-71AA-4DD7-A690-DE60AD5DE42E}" name="PivotTable8"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26:F28" firstHeaderRow="0" firstDataRow="1" firstDataCol="1" rowPageCount="2" colPageCount="1"/>
  <pivotFields count="43">
    <pivotField showAll="0"/>
    <pivotField axis="axisRow" showAll="0">
      <items count="4">
        <item x="0"/>
        <item x="2"/>
        <item h="1" x="1"/>
        <item t="default"/>
      </items>
    </pivotField>
    <pivotField showAll="0"/>
    <pivotField showAll="0"/>
    <pivotField axis="axisPage" showAll="0">
      <items count="3">
        <item x="1"/>
        <item x="0"/>
        <item t="default"/>
      </items>
    </pivotField>
    <pivotField axis="axisPage" showAll="0">
      <items count="10">
        <item m="1" x="4"/>
        <item x="1"/>
        <item m="1" x="6"/>
        <item x="2"/>
        <item x="3"/>
        <item m="1" x="5"/>
        <item x="0"/>
        <item m="1" x="8"/>
        <item m="1" x="7"/>
        <item t="default"/>
      </items>
    </pivotField>
    <pivotField showAll="0"/>
    <pivotField showAll="0"/>
    <pivotField showAll="0"/>
    <pivotField showAll="0"/>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1"/>
  </rowFields>
  <rowItems count="2">
    <i>
      <x/>
    </i>
    <i t="grand">
      <x/>
    </i>
  </rowItems>
  <colFields count="1">
    <field x="-2"/>
  </colFields>
  <colItems count="4">
    <i>
      <x/>
    </i>
    <i i="1">
      <x v="1"/>
    </i>
    <i i="2">
      <x v="2"/>
    </i>
    <i i="3">
      <x v="3"/>
    </i>
  </colItems>
  <pageFields count="2">
    <pageField fld="5" item="1" hier="-1"/>
    <pageField fld="4" item="1" hier="-1"/>
  </pageFields>
  <dataFields count="4">
    <dataField name="Sum of Size (SF)" fld="11" baseField="0" baseItem="0"/>
    <dataField name="Sum of Purchase Price" fld="17" baseField="0" baseItem="0"/>
    <dataField name="Sum of Fair Market Value Estimate" fld="18" baseField="1" baseItem="0"/>
    <dataField name="Sum of Total Equity" fld="31" baseField="0" baseItem="0"/>
  </dataFields>
  <formats count="14">
    <format dxfId="13">
      <pivotArea outline="0" collapsedLevelsAreSubtotals="1"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fieldPosition="0">
        <references count="1">
          <reference field="1" count="0"/>
        </references>
      </pivotArea>
    </format>
    <format dxfId="7">
      <pivotArea dataOnly="0" labelOnly="1" grandRow="1" outline="0" fieldPosition="0"/>
    </format>
    <format dxfId="6">
      <pivotArea dataOnly="0" labelOnly="1" outline="0" axis="axisValues" fieldPosition="0"/>
    </format>
    <format dxfId="5">
      <pivotArea dataOnly="0" labelOnly="1" outline="0" axis="axisValues" fieldPosition="0"/>
    </format>
    <format dxfId="4">
      <pivotArea dataOnly="0" labelOnly="1" outline="0" axis="axisValues" fieldPosition="0"/>
    </format>
    <format dxfId="3">
      <pivotArea field="1" type="button" dataOnly="0" labelOnly="1" outline="0" axis="axisRow" fieldPosition="0"/>
    </format>
    <format dxfId="2">
      <pivotArea dataOnly="0" labelOnly="1" outline="0" fieldPosition="0">
        <references count="1">
          <reference field="4294967294" count="4">
            <x v="0"/>
            <x v="1"/>
            <x v="2"/>
            <x v="3"/>
          </reference>
        </references>
      </pivotArea>
    </format>
    <format dxfId="1">
      <pivotArea field="1" type="button" dataOnly="0" labelOnly="1" outline="0" axis="axisRow" fieldPosition="0"/>
    </format>
    <format dxfId="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CB2716BE-14B3-499C-9A64-CE58B78094DC}" name="PivotTable7"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7:G10" firstHeaderRow="0" firstDataRow="1" firstDataCol="1" rowPageCount="2" colPageCount="1"/>
  <pivotFields count="43">
    <pivotField showAll="0"/>
    <pivotField axis="axisRow" showAll="0">
      <items count="4">
        <item x="0"/>
        <item x="2"/>
        <item h="1" x="1"/>
        <item t="default"/>
      </items>
    </pivotField>
    <pivotField showAll="0"/>
    <pivotField showAll="0"/>
    <pivotField axis="axisPage" showAll="0">
      <items count="3">
        <item x="1"/>
        <item x="0"/>
        <item t="default"/>
      </items>
    </pivotField>
    <pivotField axis="axisPage" showAll="0">
      <items count="10">
        <item m="1" x="4"/>
        <item x="1"/>
        <item m="1" x="6"/>
        <item x="2"/>
        <item x="3"/>
        <item m="1" x="5"/>
        <item x="0"/>
        <item m="1" x="8"/>
        <item m="1" x="7"/>
        <item t="default"/>
      </items>
    </pivotField>
    <pivotField showAll="0"/>
    <pivotField showAll="0"/>
    <pivotField showAll="0"/>
    <pivotField showAll="0"/>
    <pivotField showAll="0"/>
    <pivotField dataField="1"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1"/>
  </rowFields>
  <rowItems count="3">
    <i>
      <x/>
    </i>
    <i>
      <x v="1"/>
    </i>
    <i t="grand">
      <x/>
    </i>
  </rowItems>
  <colFields count="1">
    <field x="-2"/>
  </colFields>
  <colItems count="5">
    <i>
      <x/>
    </i>
    <i i="1">
      <x v="1"/>
    </i>
    <i i="2">
      <x v="2"/>
    </i>
    <i i="3">
      <x v="3"/>
    </i>
    <i i="4">
      <x v="4"/>
    </i>
  </colItems>
  <pageFields count="2">
    <pageField fld="5" item="6" hier="-1"/>
    <pageField fld="4" item="1" hier="-1"/>
  </pageFields>
  <dataFields count="5">
    <dataField name="Sum of Size (SF)" fld="11" baseField="0" baseItem="0"/>
    <dataField name="Sum of Units" fld="12" baseField="0" baseItem="0"/>
    <dataField name="Sum of Purchase Price" fld="17" baseField="0" baseItem="0"/>
    <dataField name="Sum of Fair Market Value Estimate" fld="18" baseField="1" baseItem="0"/>
    <dataField name="Sum of Total Equity" fld="31" baseField="0" baseItem="0"/>
  </dataFields>
  <formats count="14">
    <format dxfId="27">
      <pivotArea outline="0" collapsedLevelsAreSubtotals="1" fieldPosition="0"/>
    </format>
    <format dxfId="26">
      <pivotArea dataOnly="0" labelOnly="1" outline="0" axis="axisValues" fieldPosition="0"/>
    </format>
    <format dxfId="25">
      <pivotArea type="all" dataOnly="0" outline="0" fieldPosition="0"/>
    </format>
    <format dxfId="24">
      <pivotArea outline="0" collapsedLevelsAreSubtotals="1" fieldPosition="0"/>
    </format>
    <format dxfId="23">
      <pivotArea field="1" type="button" dataOnly="0" labelOnly="1" outline="0" axis="axisRow" fieldPosition="0"/>
    </format>
    <format dxfId="22">
      <pivotArea dataOnly="0" labelOnly="1" fieldPosition="0">
        <references count="1">
          <reference field="1" count="0"/>
        </references>
      </pivotArea>
    </format>
    <format dxfId="21">
      <pivotArea dataOnly="0" labelOnly="1" grandRow="1" outline="0" fieldPosition="0"/>
    </format>
    <format dxfId="20">
      <pivotArea dataOnly="0" labelOnly="1" outline="0" axis="axisValues" fieldPosition="0"/>
    </format>
    <format dxfId="19">
      <pivotArea dataOnly="0" labelOnly="1" outline="0" axis="axisValues" fieldPosition="0"/>
    </format>
    <format dxfId="18">
      <pivotArea dataOnly="0" labelOnly="1" outline="0" axis="axisValues" fieldPosition="0"/>
    </format>
    <format dxfId="17">
      <pivotArea field="1" type="button" dataOnly="0" labelOnly="1" outline="0" axis="axisRow" fieldPosition="0"/>
    </format>
    <format dxfId="16">
      <pivotArea dataOnly="0" labelOnly="1" outline="0" fieldPosition="0">
        <references count="1">
          <reference field="4294967294" count="5">
            <x v="0"/>
            <x v="1"/>
            <x v="2"/>
            <x v="3"/>
            <x v="4"/>
          </reference>
        </references>
      </pivotArea>
    </format>
    <format dxfId="15">
      <pivotArea field="1" type="button" dataOnly="0" labelOnly="1" outline="0" axis="axisRow" fieldPosition="0"/>
    </format>
    <format dxfId="14">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5BC7E420-A5AB-4526-85F9-62C2C6554850}" name="PivotTable11"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59:G61" firstHeaderRow="0" firstDataRow="1" firstDataCol="1" rowPageCount="2" colPageCount="1"/>
  <pivotFields count="43">
    <pivotField showAll="0"/>
    <pivotField axis="axisRow" showAll="0">
      <items count="4">
        <item h="1" x="0"/>
        <item h="1" x="2"/>
        <item x="1"/>
        <item t="default"/>
      </items>
    </pivotField>
    <pivotField showAll="0"/>
    <pivotField showAll="0"/>
    <pivotField axis="axisPage" showAll="0">
      <items count="3">
        <item x="1"/>
        <item x="0"/>
        <item t="default"/>
      </items>
    </pivotField>
    <pivotField axis="axisPage" showAll="0">
      <items count="10">
        <item m="1" x="4"/>
        <item x="1"/>
        <item m="1" x="6"/>
        <item x="2"/>
        <item x="3"/>
        <item m="1" x="5"/>
        <item x="0"/>
        <item m="1" x="8"/>
        <item m="1" x="7"/>
        <item t="default"/>
      </items>
    </pivotField>
    <pivotField showAll="0"/>
    <pivotField showAll="0"/>
    <pivotField showAll="0"/>
    <pivotField showAll="0"/>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pivotField dataField="1" showAll="0"/>
    <pivotField showAll="0"/>
    <pivotField dataField="1"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1"/>
  </rowFields>
  <rowItems count="2">
    <i>
      <x v="2"/>
    </i>
    <i t="grand">
      <x/>
    </i>
  </rowItems>
  <colFields count="1">
    <field x="-2"/>
  </colFields>
  <colItems count="5">
    <i>
      <x/>
    </i>
    <i i="1">
      <x v="1"/>
    </i>
    <i i="2">
      <x v="2"/>
    </i>
    <i i="3">
      <x v="3"/>
    </i>
    <i i="4">
      <x v="4"/>
    </i>
  </colItems>
  <pageFields count="2">
    <pageField fld="5" item="1" hier="-1"/>
    <pageField fld="4" item="1" hier="-1"/>
  </pageFields>
  <dataFields count="5">
    <dataField name="Sum of Size (SF)" fld="11" baseField="0" baseItem="0"/>
    <dataField name="Sum of Purchase Price" fld="17" baseField="0" baseItem="0"/>
    <dataField name="Sum of Sales Price" fld="34" baseField="0" baseItem="0"/>
    <dataField name="Sum of Total Equity" fld="31" baseField="0" baseItem="0"/>
    <dataField name="Sum of Total Property Distributions" fld="36" baseField="1" baseItem="0"/>
  </dataFields>
  <formats count="14">
    <format dxfId="41">
      <pivotArea outline="0" collapsedLevelsAreSubtotals="1" fieldPosition="0"/>
    </format>
    <format dxfId="40">
      <pivotArea dataOnly="0" labelOnly="1" outline="0" axis="axisValues" fieldPosition="0"/>
    </format>
    <format dxfId="39">
      <pivotArea type="all" dataOnly="0" outline="0" fieldPosition="0"/>
    </format>
    <format dxfId="38">
      <pivotArea outline="0" collapsedLevelsAreSubtotals="1" fieldPosition="0"/>
    </format>
    <format dxfId="37">
      <pivotArea field="1" type="button" dataOnly="0" labelOnly="1" outline="0" axis="axisRow" fieldPosition="0"/>
    </format>
    <format dxfId="36">
      <pivotArea dataOnly="0" labelOnly="1" fieldPosition="0">
        <references count="1">
          <reference field="1" count="0"/>
        </references>
      </pivotArea>
    </format>
    <format dxfId="35">
      <pivotArea dataOnly="0" labelOnly="1" grandRow="1" outline="0" fieldPosition="0"/>
    </format>
    <format dxfId="34">
      <pivotArea dataOnly="0" labelOnly="1" outline="0" axis="axisValues" fieldPosition="0"/>
    </format>
    <format dxfId="33">
      <pivotArea dataOnly="0" labelOnly="1" outline="0" axis="axisValues" fieldPosition="0"/>
    </format>
    <format dxfId="32">
      <pivotArea dataOnly="0" labelOnly="1" outline="0" axis="axisValues" fieldPosition="0"/>
    </format>
    <format dxfId="31">
      <pivotArea field="1" type="button" dataOnly="0" labelOnly="1" outline="0" axis="axisRow" fieldPosition="0"/>
    </format>
    <format dxfId="30">
      <pivotArea dataOnly="0" labelOnly="1" outline="0" fieldPosition="0">
        <references count="1">
          <reference field="4294967294" count="5">
            <x v="0"/>
            <x v="1"/>
            <x v="2"/>
            <x v="3"/>
            <x v="4"/>
          </reference>
        </references>
      </pivotArea>
    </format>
    <format dxfId="29">
      <pivotArea field="1" type="button" dataOnly="0" labelOnly="1" outline="0" axis="axisRow" fieldPosition="0"/>
    </format>
    <format dxfId="28">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6C75A605-0BC8-4531-98E5-507C64103138}" name="PivotTable10"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45:H47" firstHeaderRow="0" firstDataRow="1" firstDataCol="1" rowPageCount="2" colPageCount="1"/>
  <pivotFields count="43">
    <pivotField showAll="0"/>
    <pivotField axis="axisRow" showAll="0">
      <items count="4">
        <item h="1" x="0"/>
        <item h="1" x="2"/>
        <item x="1"/>
        <item t="default"/>
      </items>
    </pivotField>
    <pivotField showAll="0"/>
    <pivotField showAll="0"/>
    <pivotField axis="axisPage" showAll="0">
      <items count="3">
        <item x="1"/>
        <item x="0"/>
        <item t="default"/>
      </items>
    </pivotField>
    <pivotField axis="axisPage" showAll="0">
      <items count="10">
        <item m="1" x="4"/>
        <item x="1"/>
        <item m="1" x="6"/>
        <item x="2"/>
        <item x="3"/>
        <item m="1" x="5"/>
        <item x="0"/>
        <item m="1" x="8"/>
        <item m="1" x="7"/>
        <item t="default"/>
      </items>
    </pivotField>
    <pivotField showAll="0"/>
    <pivotField showAll="0"/>
    <pivotField showAll="0"/>
    <pivotField showAll="0"/>
    <pivotField showAll="0"/>
    <pivotField dataField="1"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pivotField dataField="1" showAll="0"/>
    <pivotField showAll="0"/>
    <pivotField dataField="1"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1"/>
  </rowFields>
  <rowItems count="2">
    <i>
      <x v="2"/>
    </i>
    <i t="grand">
      <x/>
    </i>
  </rowItems>
  <colFields count="1">
    <field x="-2"/>
  </colFields>
  <colItems count="6">
    <i>
      <x/>
    </i>
    <i i="1">
      <x v="1"/>
    </i>
    <i i="2">
      <x v="2"/>
    </i>
    <i i="3">
      <x v="3"/>
    </i>
    <i i="4">
      <x v="4"/>
    </i>
    <i i="5">
      <x v="5"/>
    </i>
  </colItems>
  <pageFields count="2">
    <pageField fld="5" item="6" hier="-1"/>
    <pageField fld="4" item="1" hier="-1"/>
  </pageFields>
  <dataFields count="6">
    <dataField name="Sum of Size (SF)" fld="11" baseField="0" baseItem="0"/>
    <dataField name="Sum of Units" fld="12" baseField="0" baseItem="0"/>
    <dataField name="Sum of Purchase Price" fld="17" baseField="0" baseItem="0"/>
    <dataField name="Sum of Sales Price" fld="34" baseField="0" baseItem="0"/>
    <dataField name="Sum of Total Equity" fld="31" baseField="0" baseItem="0"/>
    <dataField name="Sum of Total Property Distributions" fld="36" baseField="1" baseItem="0"/>
  </dataFields>
  <formats count="14">
    <format dxfId="55">
      <pivotArea outline="0" collapsedLevelsAreSubtotals="1" fieldPosition="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1" type="button" dataOnly="0" labelOnly="1" outline="0" axis="axisRow" fieldPosition="0"/>
    </format>
    <format dxfId="50">
      <pivotArea dataOnly="0" labelOnly="1" fieldPosition="0">
        <references count="1">
          <reference field="1" count="0"/>
        </references>
      </pivotArea>
    </format>
    <format dxfId="49">
      <pivotArea dataOnly="0" labelOnly="1" grandRow="1" outline="0" fieldPosition="0"/>
    </format>
    <format dxfId="48">
      <pivotArea dataOnly="0" labelOnly="1" outline="0" axis="axisValues" fieldPosition="0"/>
    </format>
    <format dxfId="47">
      <pivotArea dataOnly="0" labelOnly="1" outline="0" axis="axisValues" fieldPosition="0"/>
    </format>
    <format dxfId="46">
      <pivotArea dataOnly="0" labelOnly="1" outline="0" axis="axisValues" fieldPosition="0"/>
    </format>
    <format dxfId="45">
      <pivotArea field="1" type="button" dataOnly="0" labelOnly="1" outline="0" axis="axisRow" fieldPosition="0"/>
    </format>
    <format dxfId="44">
      <pivotArea dataOnly="0" labelOnly="1" outline="0" fieldPosition="0">
        <references count="1">
          <reference field="4294967294" count="6">
            <x v="0"/>
            <x v="1"/>
            <x v="2"/>
            <x v="3"/>
            <x v="4"/>
            <x v="5"/>
          </reference>
        </references>
      </pivotArea>
    </format>
    <format dxfId="43">
      <pivotArea field="1" type="button" dataOnly="0" labelOnly="1" outline="0" axis="axisRow" fieldPosition="0"/>
    </format>
    <format dxfId="42">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D90C49-7E39-4137-AC60-67B97C398D2C}" name="PivotTable12"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47:F52" firstHeaderRow="0" firstDataRow="1" firstDataCol="1" rowPageCount="3" colPageCount="1"/>
  <pivotFields count="43">
    <pivotField showAll="0"/>
    <pivotField axis="axisPage" showAll="0">
      <items count="4">
        <item x="0"/>
        <item x="1"/>
        <item x="2"/>
        <item t="default"/>
      </items>
    </pivotField>
    <pivotField showAll="0"/>
    <pivotField axis="axisPage" showAll="0">
      <items count="3">
        <item x="1"/>
        <item x="0"/>
        <item t="default"/>
      </items>
    </pivotField>
    <pivotField axis="axisPage" multipleItemSelectionAllowed="1" showAll="0">
      <items count="3">
        <item h="1" x="1"/>
        <item x="0"/>
        <item t="default"/>
      </items>
    </pivotField>
    <pivotField axis="axisRow" showAll="0">
      <items count="10">
        <item m="1" x="4"/>
        <item m="1" x="6"/>
        <item x="2"/>
        <item x="3"/>
        <item m="1" x="5"/>
        <item x="0"/>
        <item m="1" x="8"/>
        <item m="1" x="7"/>
        <item x="1"/>
        <item t="default"/>
      </items>
    </pivotField>
    <pivotField showAll="0"/>
    <pivotField showAll="0"/>
    <pivotField showAll="0"/>
    <pivotField showAll="0"/>
    <pivotField showAll="0"/>
    <pivotField dataField="1" showAll="0"/>
    <pivotField dataField="1"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5"/>
  </rowFields>
  <rowItems count="5">
    <i>
      <x v="2"/>
    </i>
    <i>
      <x v="3"/>
    </i>
    <i>
      <x v="5"/>
    </i>
    <i>
      <x v="8"/>
    </i>
    <i t="grand">
      <x/>
    </i>
  </rowItems>
  <colFields count="1">
    <field x="-2"/>
  </colFields>
  <colItems count="4">
    <i>
      <x/>
    </i>
    <i i="1">
      <x v="1"/>
    </i>
    <i i="2">
      <x v="2"/>
    </i>
    <i i="3">
      <x v="3"/>
    </i>
  </colItems>
  <pageFields count="3">
    <pageField fld="1" item="0" hier="-1"/>
    <pageField fld="3" hier="-1"/>
    <pageField fld="4" hier="-1"/>
  </pageFields>
  <dataFields count="4">
    <dataField name="Sum of Size (SF)" fld="11" baseField="0" baseItem="0"/>
    <dataField name="Sum of Units" fld="12" baseField="0" baseItem="0"/>
    <dataField name="Sum of Fair Market Value Estimate" fld="18" baseField="5" baseItem="5"/>
    <dataField name="Sum of Total Equity" fld="31" baseField="0" baseItem="0"/>
  </dataFields>
  <formats count="11">
    <format dxfId="421">
      <pivotArea outline="0" collapsedLevelsAreSubtotals="1" fieldPosition="0"/>
    </format>
    <format dxfId="420">
      <pivotArea type="all" dataOnly="0" outline="0" fieldPosition="0"/>
    </format>
    <format dxfId="419">
      <pivotArea outline="0" collapsedLevelsAreSubtotals="1" fieldPosition="0"/>
    </format>
    <format dxfId="418">
      <pivotArea field="5" type="button" dataOnly="0" labelOnly="1" outline="0" axis="axisRow" fieldPosition="0"/>
    </format>
    <format dxfId="417">
      <pivotArea dataOnly="0" labelOnly="1" fieldPosition="0">
        <references count="1">
          <reference field="5" count="0"/>
        </references>
      </pivotArea>
    </format>
    <format dxfId="416">
      <pivotArea dataOnly="0" labelOnly="1" grandRow="1" outline="0" fieldPosition="0"/>
    </format>
    <format dxfId="415">
      <pivotArea dataOnly="0" labelOnly="1" outline="0" fieldPosition="0">
        <references count="1">
          <reference field="4294967294" count="2">
            <x v="0"/>
            <x v="1"/>
          </reference>
        </references>
      </pivotArea>
    </format>
    <format dxfId="414">
      <pivotArea field="5" type="button" dataOnly="0" labelOnly="1" outline="0" axis="axisRow" fieldPosition="0"/>
    </format>
    <format dxfId="413">
      <pivotArea dataOnly="0" labelOnly="1" outline="0" fieldPosition="0">
        <references count="1">
          <reference field="4294967294" count="4">
            <x v="0"/>
            <x v="1"/>
            <x v="2"/>
            <x v="3"/>
          </reference>
        </references>
      </pivotArea>
    </format>
    <format dxfId="412">
      <pivotArea field="5" type="button" dataOnly="0" labelOnly="1" outline="0" axis="axisRow" fieldPosition="0"/>
    </format>
    <format dxfId="411">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7B03A5-0D69-4A53-B3CF-C574A780EDA2}" name="PivotTable9"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9:C14" firstHeaderRow="1" firstDataRow="1" firstDataCol="1" rowPageCount="3" colPageCount="1"/>
  <pivotFields count="43">
    <pivotField dataField="1" showAll="0"/>
    <pivotField axis="axisPage" showAll="0">
      <items count="4">
        <item x="0"/>
        <item x="1"/>
        <item x="2"/>
        <item t="default"/>
      </items>
    </pivotField>
    <pivotField showAll="0"/>
    <pivotField axis="axisPage" showAll="0">
      <items count="3">
        <item x="1"/>
        <item x="0"/>
        <item t="default"/>
      </items>
    </pivotField>
    <pivotField axis="axisPage" showAll="0">
      <items count="3">
        <item x="1"/>
        <item x="0"/>
        <item t="default"/>
      </items>
    </pivotField>
    <pivotField axis="axisRow" showAll="0">
      <items count="10">
        <item m="1" x="4"/>
        <item m="1" x="6"/>
        <item x="2"/>
        <item x="3"/>
        <item m="1" x="5"/>
        <item x="0"/>
        <item m="1" x="8"/>
        <item m="1" x="7"/>
        <item x="1"/>
        <item t="default"/>
      </items>
    </pivotField>
    <pivotField showAll="0"/>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5"/>
  </rowFields>
  <rowItems count="5">
    <i>
      <x v="2"/>
    </i>
    <i>
      <x v="3"/>
    </i>
    <i>
      <x v="5"/>
    </i>
    <i>
      <x v="8"/>
    </i>
    <i t="grand">
      <x/>
    </i>
  </rowItems>
  <colItems count="1">
    <i/>
  </colItems>
  <pageFields count="3">
    <pageField fld="1" item="1" hier="-1"/>
    <pageField fld="3" item="1" hier="-1"/>
    <pageField fld="4" item="1" hier="-1"/>
  </pageFields>
  <dataFields count="1">
    <dataField name="Count of Property" fld="0" subtotal="count" baseField="0" baseItem="0"/>
  </dataFields>
  <formats count="7">
    <format dxfId="428">
      <pivotArea outline="0" collapsedLevelsAreSubtotals="1" fieldPosition="0"/>
    </format>
    <format dxfId="427">
      <pivotArea type="all" dataOnly="0" outline="0" fieldPosition="0"/>
    </format>
    <format dxfId="426">
      <pivotArea outline="0" collapsedLevelsAreSubtotals="1" fieldPosition="0"/>
    </format>
    <format dxfId="425">
      <pivotArea field="5" type="button" dataOnly="0" labelOnly="1" outline="0" axis="axisRow" fieldPosition="0"/>
    </format>
    <format dxfId="424">
      <pivotArea dataOnly="0" labelOnly="1" fieldPosition="0">
        <references count="1">
          <reference field="5" count="0"/>
        </references>
      </pivotArea>
    </format>
    <format dxfId="423">
      <pivotArea dataOnly="0" labelOnly="1" grandRow="1" outline="0" fieldPosition="0"/>
    </format>
    <format dxfId="42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05A075-3D93-4B6D-97D8-8B5BE9406E9A}" name="PivotTable14"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35:C40" firstHeaderRow="1" firstDataRow="1" firstDataCol="1" rowPageCount="3" colPageCount="1"/>
  <pivotFields count="43">
    <pivotField dataField="1" showAll="0"/>
    <pivotField axis="axisPage" showAll="0">
      <items count="4">
        <item x="0"/>
        <item x="1"/>
        <item x="2"/>
        <item t="default"/>
      </items>
    </pivotField>
    <pivotField showAll="0"/>
    <pivotField axis="axisPage" showAll="0">
      <items count="3">
        <item x="1"/>
        <item x="0"/>
        <item t="default"/>
      </items>
    </pivotField>
    <pivotField axis="axisPage" multipleItemSelectionAllowed="1" showAll="0">
      <items count="3">
        <item h="1" x="1"/>
        <item x="0"/>
        <item t="default"/>
      </items>
    </pivotField>
    <pivotField axis="axisRow" showAll="0">
      <items count="10">
        <item m="1" x="4"/>
        <item m="1" x="6"/>
        <item x="2"/>
        <item x="3"/>
        <item m="1" x="5"/>
        <item x="0"/>
        <item m="1" x="8"/>
        <item m="1" x="7"/>
        <item x="1"/>
        <item t="default"/>
      </items>
    </pivotField>
    <pivotField showAll="0"/>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5"/>
  </rowFields>
  <rowItems count="5">
    <i>
      <x v="2"/>
    </i>
    <i>
      <x v="3"/>
    </i>
    <i>
      <x v="5"/>
    </i>
    <i>
      <x v="8"/>
    </i>
    <i t="grand">
      <x/>
    </i>
  </rowItems>
  <colItems count="1">
    <i/>
  </colItems>
  <pageFields count="3">
    <pageField fld="1" item="0" hier="-1"/>
    <pageField fld="3" item="1" hier="-1"/>
    <pageField fld="4" hier="-1"/>
  </pageFields>
  <dataFields count="1">
    <dataField name="Count of Property" fld="0" subtotal="count" baseField="0" baseItem="0"/>
  </dataFields>
  <formats count="11">
    <format dxfId="439">
      <pivotArea outline="0" collapsedLevelsAreSubtotals="1" fieldPosition="0"/>
    </format>
    <format dxfId="438">
      <pivotArea type="all" dataOnly="0" outline="0" fieldPosition="0"/>
    </format>
    <format dxfId="437">
      <pivotArea outline="0" collapsedLevelsAreSubtotals="1" fieldPosition="0"/>
    </format>
    <format dxfId="436">
      <pivotArea field="5" type="button" dataOnly="0" labelOnly="1" outline="0" axis="axisRow" fieldPosition="0"/>
    </format>
    <format dxfId="435">
      <pivotArea dataOnly="0" labelOnly="1" fieldPosition="0">
        <references count="1">
          <reference field="5" count="0"/>
        </references>
      </pivotArea>
    </format>
    <format dxfId="434">
      <pivotArea dataOnly="0" labelOnly="1" grandRow="1" outline="0" fieldPosition="0"/>
    </format>
    <format dxfId="433">
      <pivotArea dataOnly="0" labelOnly="1" outline="0" fieldPosition="0">
        <references count="1">
          <reference field="4294967294" count="1">
            <x v="0"/>
          </reference>
        </references>
      </pivotArea>
    </format>
    <format dxfId="432">
      <pivotArea field="5" type="button" dataOnly="0" labelOnly="1" outline="0" axis="axisRow" fieldPosition="0"/>
    </format>
    <format dxfId="431">
      <pivotArea dataOnly="0" labelOnly="1" outline="0" fieldPosition="0">
        <references count="1">
          <reference field="4294967294" count="1">
            <x v="0"/>
          </reference>
        </references>
      </pivotArea>
    </format>
    <format dxfId="430">
      <pivotArea dataOnly="0" labelOnly="1" outline="0" fieldPosition="0">
        <references count="1">
          <reference field="4294967294" count="1">
            <x v="0"/>
          </reference>
        </references>
      </pivotArea>
    </format>
    <format dxfId="429">
      <pivotArea field="5"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6D1AA6A-6EFA-48AB-8E24-7BDC82CCF80A}" name="PivotTable1"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70:F72" firstHeaderRow="0" firstDataRow="1" firstDataCol="1" rowPageCount="3" colPageCount="1"/>
  <pivotFields count="43">
    <pivotField showAll="0"/>
    <pivotField axis="axisPage" showAll="0">
      <items count="4">
        <item x="0"/>
        <item x="1"/>
        <item x="2"/>
        <item t="default"/>
      </items>
    </pivotField>
    <pivotField showAll="0"/>
    <pivotField axis="axisPage" showAll="0">
      <items count="3">
        <item x="1"/>
        <item x="0"/>
        <item t="default"/>
      </items>
    </pivotField>
    <pivotField axis="axisPage" multipleItemSelectionAllowed="1" showAll="0">
      <items count="3">
        <item h="1" x="1"/>
        <item x="0"/>
        <item t="default"/>
      </items>
    </pivotField>
    <pivotField axis="axisRow" showAll="0">
      <items count="10">
        <item m="1" x="4"/>
        <item m="1" x="6"/>
        <item x="2"/>
        <item x="3"/>
        <item m="1" x="5"/>
        <item x="0"/>
        <item m="1" x="8"/>
        <item m="1" x="7"/>
        <item x="1"/>
        <item t="default"/>
      </items>
    </pivotField>
    <pivotField showAll="0"/>
    <pivotField showAll="0"/>
    <pivotField showAll="0"/>
    <pivotField showAll="0"/>
    <pivotField showAll="0"/>
    <pivotField dataField="1" showAll="0"/>
    <pivotField dataField="1"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5"/>
  </rowFields>
  <rowItems count="2">
    <i>
      <x v="5"/>
    </i>
    <i t="grand">
      <x/>
    </i>
  </rowItems>
  <colFields count="1">
    <field x="-2"/>
  </colFields>
  <colItems count="4">
    <i>
      <x/>
    </i>
    <i i="1">
      <x v="1"/>
    </i>
    <i i="2">
      <x v="2"/>
    </i>
    <i i="3">
      <x v="3"/>
    </i>
  </colItems>
  <pageFields count="3">
    <pageField fld="1" item="2" hier="-1"/>
    <pageField fld="3" hier="-1"/>
    <pageField fld="4" hier="-1"/>
  </pageFields>
  <dataFields count="4">
    <dataField name="Sum of Size (SF)" fld="11" baseField="0" baseItem="0"/>
    <dataField name="Sum of Units" fld="12" baseField="0" baseItem="0"/>
    <dataField name="Sum of Fair Market Value Estimate" fld="18" baseField="5" baseItem="5"/>
    <dataField name="Sum of Total Equity" fld="31" baseField="0" baseItem="0"/>
  </dataFields>
  <formats count="11">
    <format dxfId="450">
      <pivotArea outline="0" collapsedLevelsAreSubtotals="1" fieldPosition="0"/>
    </format>
    <format dxfId="449">
      <pivotArea type="all" dataOnly="0" outline="0" fieldPosition="0"/>
    </format>
    <format dxfId="448">
      <pivotArea outline="0" collapsedLevelsAreSubtotals="1" fieldPosition="0"/>
    </format>
    <format dxfId="447">
      <pivotArea field="5" type="button" dataOnly="0" labelOnly="1" outline="0" axis="axisRow" fieldPosition="0"/>
    </format>
    <format dxfId="446">
      <pivotArea dataOnly="0" labelOnly="1" fieldPosition="0">
        <references count="1">
          <reference field="5" count="0"/>
        </references>
      </pivotArea>
    </format>
    <format dxfId="445">
      <pivotArea dataOnly="0" labelOnly="1" grandRow="1" outline="0" fieldPosition="0"/>
    </format>
    <format dxfId="444">
      <pivotArea dataOnly="0" labelOnly="1" outline="0" fieldPosition="0">
        <references count="1">
          <reference field="4294967294" count="2">
            <x v="0"/>
            <x v="1"/>
          </reference>
        </references>
      </pivotArea>
    </format>
    <format dxfId="443">
      <pivotArea field="5" type="button" dataOnly="0" labelOnly="1" outline="0" axis="axisRow" fieldPosition="0"/>
    </format>
    <format dxfId="442">
      <pivotArea dataOnly="0" labelOnly="1" outline="0" fieldPosition="0">
        <references count="1">
          <reference field="4294967294" count="4">
            <x v="0"/>
            <x v="1"/>
            <x v="2"/>
            <x v="3"/>
          </reference>
        </references>
      </pivotArea>
    </format>
    <format dxfId="441">
      <pivotArea field="5" type="button" dataOnly="0" labelOnly="1" outline="0" axis="axisRow" fieldPosition="0"/>
    </format>
    <format dxfId="44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B8535D-28AC-4669-9635-99AB5A5B2EEE}" name="PivotTable15"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87:C91" firstHeaderRow="1" firstDataRow="1" firstDataCol="1" rowPageCount="3" colPageCount="1"/>
  <pivotFields count="43">
    <pivotField showAll="0"/>
    <pivotField axis="axisRow" dataField="1" showAll="0">
      <items count="4">
        <item x="0"/>
        <item x="1"/>
        <item x="2"/>
        <item t="default"/>
      </items>
    </pivotField>
    <pivotField showAll="0"/>
    <pivotField axis="axisPage" showAll="0">
      <items count="3">
        <item x="1"/>
        <item x="0"/>
        <item t="default"/>
      </items>
    </pivotField>
    <pivotField axis="axisPage" multipleItemSelectionAllowed="1" showAll="0">
      <items count="3">
        <item h="1" x="1"/>
        <item x="0"/>
        <item t="default"/>
      </items>
    </pivotField>
    <pivotField axis="axisPage" multipleItemSelectionAllowed="1" showAll="0">
      <items count="10">
        <item m="1" x="4"/>
        <item m="1" x="6"/>
        <item h="1" x="2"/>
        <item h="1" x="3"/>
        <item m="1" x="5"/>
        <item x="0"/>
        <item m="1" x="8"/>
        <item m="1" x="7"/>
        <item x="1"/>
        <item t="default"/>
      </items>
    </pivotField>
    <pivotField showAll="0"/>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1"/>
  </rowFields>
  <rowItems count="4">
    <i>
      <x/>
    </i>
    <i>
      <x v="1"/>
    </i>
    <i>
      <x v="2"/>
    </i>
    <i t="grand">
      <x/>
    </i>
  </rowItems>
  <colItems count="1">
    <i/>
  </colItems>
  <pageFields count="3">
    <pageField fld="3" item="1" hier="-1"/>
    <pageField fld="4" hier="-1"/>
    <pageField fld="5" hier="-1"/>
  </pageFields>
  <dataFields count="1">
    <dataField name="Count of Status" fld="1" subtotal="count" baseField="0" baseItem="0"/>
  </dataFields>
  <formats count="8">
    <format dxfId="458">
      <pivotArea outline="0" collapsedLevelsAreSubtotals="1" fieldPosition="0"/>
    </format>
    <format dxfId="457">
      <pivotArea type="all" dataOnly="0" outline="0" fieldPosition="0"/>
    </format>
    <format dxfId="456">
      <pivotArea outline="0" collapsedLevelsAreSubtotals="1" fieldPosition="0"/>
    </format>
    <format dxfId="455">
      <pivotArea field="5" type="button" dataOnly="0" labelOnly="1" outline="0" axis="axisPage" fieldPosition="2"/>
    </format>
    <format dxfId="454">
      <pivotArea dataOnly="0" labelOnly="1" fieldPosition="0">
        <references count="1">
          <reference field="5" count="0"/>
        </references>
      </pivotArea>
    </format>
    <format dxfId="453">
      <pivotArea dataOnly="0" labelOnly="1" grandRow="1" outline="0" fieldPosition="0"/>
    </format>
    <format dxfId="452">
      <pivotArea field="5" type="button" dataOnly="0" labelOnly="1" outline="0" axis="axisPage" fieldPosition="2"/>
    </format>
    <format dxfId="451">
      <pivotArea field="5" type="button" dataOnly="0" labelOnly="1" outline="0" axis="axisPage" fieldPosition="2"/>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A64688F-B785-465F-8E11-FA3101A0E79F}" name="PivotTable11"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20:H21" firstHeaderRow="0" firstDataRow="1" firstDataCol="1" rowPageCount="3" colPageCount="1"/>
  <pivotFields count="43">
    <pivotField dataField="1" showAll="0"/>
    <pivotField axis="axisPage" showAll="0">
      <items count="4">
        <item x="0"/>
        <item x="1"/>
        <item x="2"/>
        <item t="default"/>
      </items>
    </pivotField>
    <pivotField showAll="0"/>
    <pivotField axis="axisPage" showAll="0">
      <items count="3">
        <item x="1"/>
        <item x="0"/>
        <item t="default"/>
      </items>
    </pivotField>
    <pivotField axis="axisPage" showAll="0">
      <items count="3">
        <item x="1"/>
        <item x="0"/>
        <item t="default"/>
      </items>
    </pivotField>
    <pivotField axis="axisRow" showAll="0">
      <items count="10">
        <item m="1" x="4"/>
        <item m="1" x="6"/>
        <item x="2"/>
        <item x="3"/>
        <item m="1" x="5"/>
        <item x="0"/>
        <item m="1" x="8"/>
        <item m="1" x="7"/>
        <item x="1"/>
        <item t="default"/>
      </items>
    </pivotField>
    <pivotField showAll="0"/>
    <pivotField showAll="0"/>
    <pivotField showAll="0"/>
    <pivotField showAll="0"/>
    <pivotField showAll="0"/>
    <pivotField dataField="1" showAll="0"/>
    <pivotField dataField="1"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pivotField dataField="1" showAll="0"/>
    <pivotField showAll="0"/>
    <pivotField dataField="1"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5"/>
  </rowFields>
  <rowItems count="1">
    <i t="grand">
      <x/>
    </i>
  </rowItems>
  <colFields count="1">
    <field x="-2"/>
  </colFields>
  <colItems count="6">
    <i>
      <x/>
    </i>
    <i i="1">
      <x v="1"/>
    </i>
    <i i="2">
      <x v="2"/>
    </i>
    <i i="3">
      <x v="3"/>
    </i>
    <i i="4">
      <x v="4"/>
    </i>
    <i i="5">
      <x v="5"/>
    </i>
  </colItems>
  <pageFields count="3">
    <pageField fld="1" item="1" hier="-1"/>
    <pageField fld="3" hier="-1"/>
    <pageField fld="4" item="0" hier="-1"/>
  </pageFields>
  <dataFields count="6">
    <dataField name="Count of Property" fld="0" subtotal="count" baseField="0" baseItem="0"/>
    <dataField name="Sum of Size (SF)" fld="11" baseField="0" baseItem="0"/>
    <dataField name="Sum of Units" fld="12" baseField="0" baseItem="0"/>
    <dataField name="Sum of Sales Price" fld="34" baseField="0" baseItem="0"/>
    <dataField name="Sum of Total Equity" fld="31" baseField="0" baseItem="0"/>
    <dataField name="Sum of Total Property Distributions" fld="36" baseField="4" baseItem="8" numFmtId="164"/>
  </dataFields>
  <formats count="12">
    <format dxfId="304">
      <pivotArea outline="0" collapsedLevelsAreSubtotals="1" fieldPosition="0"/>
    </format>
    <format dxfId="303">
      <pivotArea outline="0" collapsedLevelsAreSubtotals="1" fieldPosition="0">
        <references count="1">
          <reference field="4294967294" count="1" selected="0">
            <x v="5"/>
          </reference>
        </references>
      </pivotArea>
    </format>
    <format dxfId="302">
      <pivotArea type="all" dataOnly="0" outline="0" fieldPosition="0"/>
    </format>
    <format dxfId="301">
      <pivotArea outline="0" collapsedLevelsAreSubtotals="1" fieldPosition="0"/>
    </format>
    <format dxfId="300">
      <pivotArea field="5" type="button" dataOnly="0" labelOnly="1" outline="0" axis="axisRow" fieldPosition="0"/>
    </format>
    <format dxfId="299">
      <pivotArea dataOnly="0" labelOnly="1" fieldPosition="0">
        <references count="1">
          <reference field="5" count="0"/>
        </references>
      </pivotArea>
    </format>
    <format dxfId="298">
      <pivotArea dataOnly="0" labelOnly="1" grandRow="1" outline="0" fieldPosition="0"/>
    </format>
    <format dxfId="297">
      <pivotArea dataOnly="0" labelOnly="1" outline="0" fieldPosition="0">
        <references count="1">
          <reference field="4294967294" count="5">
            <x v="0"/>
            <x v="1"/>
            <x v="2"/>
            <x v="3"/>
            <x v="5"/>
          </reference>
        </references>
      </pivotArea>
    </format>
    <format dxfId="296">
      <pivotArea field="5" type="button" dataOnly="0" labelOnly="1" outline="0" axis="axisRow" fieldPosition="0"/>
    </format>
    <format dxfId="295">
      <pivotArea dataOnly="0" labelOnly="1" outline="0" fieldPosition="0">
        <references count="1">
          <reference field="4294967294" count="5">
            <x v="0"/>
            <x v="1"/>
            <x v="2"/>
            <x v="3"/>
            <x v="5"/>
          </reference>
        </references>
      </pivotArea>
    </format>
    <format dxfId="294">
      <pivotArea dataOnly="0" labelOnly="1" outline="0" fieldPosition="0">
        <references count="1">
          <reference field="4294967294" count="5">
            <x v="0"/>
            <x v="1"/>
            <x v="2"/>
            <x v="3"/>
            <x v="5"/>
          </reference>
        </references>
      </pivotArea>
    </format>
    <format dxfId="293">
      <pivotArea field="5"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3CC45F-1C1F-4D3B-AFA6-1CFF65F1B315}" name="Table1" displayName="Table1" ref="B4:AO144" totalsRowCount="1" headerRowDxfId="541" dataDxfId="540" totalsRowDxfId="539">
  <autoFilter ref="B4:AO143" xr:uid="{CD4257EF-7BCC-4DE6-BE00-BBADEF83F4CE}"/>
  <tableColumns count="40">
    <tableColumn id="1" xr3:uid="{9F1356AD-B9FC-4D08-969D-1D5CE910FB63}" name="Property" dataDxfId="538" totalsRowDxfId="537"/>
    <tableColumn id="20" xr3:uid="{9E7B20A4-4C02-49EB-993B-6D503522B795}" name="Status" dataDxfId="536" totalsRowDxfId="535"/>
    <tableColumn id="6" xr3:uid="{A6E7971D-31FF-4DDA-9F00-232903132224}" name="Portfolio" dataDxfId="534" totalsRowDxfId="533"/>
    <tableColumn id="11" xr3:uid="{67BB5E16-AECB-4798-907D-76C9C52F3D3A}" name="Include in Deal Count (Y/N)" dataDxfId="532" totalsRowDxfId="531"/>
    <tableColumn id="21" xr3:uid="{CC654F97-19D0-4A28-B685-FB8187D836B4}" name="Include in Summary" dataDxfId="530" totalsRowDxfId="529"/>
    <tableColumn id="13" xr3:uid="{A444671D-4D11-421B-B931-996B75981D0D}" name="Type" dataDxfId="528" totalsRowDxfId="527"/>
    <tableColumn id="2" xr3:uid="{E07DF0C7-87EF-497A-B8BF-447F99484BDF}" name="Sub Type" dataDxfId="526" totalsRowDxfId="525"/>
    <tableColumn id="4" xr3:uid="{94E28C0E-63E0-4697-B35D-28E40A7023C9}" name="City" dataDxfId="524" totalsRowDxfId="523"/>
    <tableColumn id="42" xr3:uid="{9A6A0226-6332-4012-8856-A32BF687DEE5}" name="State" dataDxfId="522" totalsRowDxfId="521"/>
    <tableColumn id="5" xr3:uid="{B2EE9ED6-EB4C-4155-B51B-B9188483677E}" name="MSA" dataDxfId="520" totalsRowDxfId="519"/>
    <tableColumn id="44" xr3:uid="{F6876489-0256-45D0-A3B7-49ECACB02127}" name="Sponsor" dataDxfId="518" totalsRowDxfId="517"/>
    <tableColumn id="7" xr3:uid="{DBF4DD71-1D9F-4B7F-9908-A368E0FACD0B}" name="Size (SF)" dataDxfId="516" totalsRowDxfId="515" dataCellStyle="Comma"/>
    <tableColumn id="8" xr3:uid="{EA433C93-B1E9-4466-86FD-992B747AF70B}" name="Units" dataDxfId="514" totalsRowDxfId="513" dataCellStyle="Comma"/>
    <tableColumn id="3" xr3:uid="{CA82A8DE-4841-4012-BEDF-3BE1A812DBDE}" name="Lots" dataDxfId="512" totalsRowDxfId="511" dataCellStyle="Comma"/>
    <tableColumn id="12" xr3:uid="{B7ECB543-FB3F-4F03-BD9D-6223E8EEB351}" name="Vacant Land" dataDxfId="510" totalsRowDxfId="509" dataCellStyle="Comma"/>
    <tableColumn id="9" xr3:uid="{9A8B473F-99DB-4C4E-A5CA-39EAD01A8BC1}" name="Year Built" dataDxfId="508" totalsRowDxfId="507"/>
    <tableColumn id="10" xr3:uid="{75310F43-32DF-4904-A2E2-E94BB5BA4D63}" name="Acquisition Date" dataDxfId="506" totalsRowDxfId="505"/>
    <tableColumn id="19" xr3:uid="{66BD77A3-90E3-4233-92DA-CBE3A996BC79}" name="Purchase Price" dataDxfId="504" totalsRowDxfId="503" dataCellStyle="Comma"/>
    <tableColumn id="18" xr3:uid="{5423E2C9-DC56-4D0F-917D-B06C44409F42}" name="Fair Market Value Estimate" totalsRowFunction="sum" dataDxfId="502" totalsRowDxfId="501" dataCellStyle="Comma"/>
    <tableColumn id="17" xr3:uid="{A7277291-4FD6-40CC-8447-2AB72A88FAA0}" name="Value Per Unit" dataDxfId="500" totalsRowDxfId="499" dataCellStyle="Comma">
      <calculatedColumnFormula>IF(Table1[[#This Row],[Sub Type]]="Multi-Family",Table1[[#This Row],[Fair Market Value Estimate]]/Table1[[#This Row],[Units]],"N/A")</calculatedColumnFormula>
    </tableColumn>
    <tableColumn id="41" xr3:uid="{0E9B143F-99E9-4313-86BE-073D2DFF61F2}" name="Value per Sq. ft." dataDxfId="498" totalsRowDxfId="497" dataCellStyle="Comma">
      <calculatedColumnFormula>Table1[[#This Row],[Fair Market Value Estimate]]/Table1[[#This Row],[Size (SF)]]</calculatedColumnFormula>
    </tableColumn>
    <tableColumn id="16" xr3:uid="{5233FA7D-7052-4AB4-92AB-C399627C11C4}" name="Valuation Date" dataDxfId="496" totalsRowDxfId="495">
      <calculatedColumnFormula>#REF!</calculatedColumnFormula>
    </tableColumn>
    <tableColumn id="37" xr3:uid="{85FA52DA-B1F2-4721-8949-BC0966EA60EA}" name="MLG Capital Historical Deal Equity" totalsRowFunction="sum" dataDxfId="494" totalsRowDxfId="493" dataCellStyle="Comma"/>
    <tableColumn id="15" xr3:uid="{5BA47851-12E1-4AA7-835F-4D8E5A3581C0}" name="Fund I Equity" totalsRowFunction="sum" dataDxfId="492" totalsRowDxfId="491" dataCellStyle="Comma"/>
    <tableColumn id="14" xr3:uid="{A12438E0-FD1E-4268-BA3E-37E7A87BB85A}" name="Fund II Equity" totalsRowFunction="sum" dataDxfId="490" totalsRowDxfId="489" dataCellStyle="Comma"/>
    <tableColumn id="36" xr3:uid="{D2A9A7BC-3A5E-4390-835E-379B765196A5}" name="Fund III Equity" totalsRowFunction="sum" dataDxfId="488" totalsRowDxfId="487" dataCellStyle="Comma"/>
    <tableColumn id="35" xr3:uid="{282A9B90-8132-4DA0-98EE-FDCF855F0A7A}" name="Fund IV Equity" totalsRowFunction="sum" dataDxfId="486" totalsRowDxfId="485" dataCellStyle="Comma"/>
    <tableColumn id="34" xr3:uid="{8BF6F9DE-0D33-4D71-BCEB-181305A42044}" name="MLG Co-Investor Equity" totalsRowFunction="sum" dataDxfId="484" totalsRowDxfId="483" dataCellStyle="Comma"/>
    <tableColumn id="33" xr3:uid="{54760DA8-8BBD-408D-B56E-D4D3E1A4A4F0}" name="Sponsor 3rd Party Equity" totalsRowFunction="sum" dataDxfId="482" totalsRowDxfId="481" dataCellStyle="Comma"/>
    <tableColumn id="39" xr3:uid="{18DA9715-C4F5-4747-8892-C9B0123B377D}" name="Managed Account (1031) Equity" totalsRowFunction="sum" dataDxfId="480" totalsRowDxfId="479" dataCellStyle="Comma"/>
    <tableColumn id="38" xr3:uid="{D1D16EE2-04E3-40A7-A4EE-662D25634E13}" name="Legacy Fund Equity" totalsRowFunction="sum" dataDxfId="478" totalsRowDxfId="477" dataCellStyle="Comma"/>
    <tableColumn id="32" xr3:uid="{5E5578D2-2942-4A91-8391-C6DFEDFA27BD}" name="Total Equity" totalsRowFunction="sum" dataDxfId="476" totalsRowDxfId="475" dataCellStyle="Comma">
      <calculatedColumnFormula>SUM(Table1[[#This Row],[MLG Capital Historical Deal Equity]:[Legacy Fund Equity]])</calculatedColumnFormula>
    </tableColumn>
    <tableColumn id="45" xr3:uid="{09716FA6-4C36-4DAC-B67C-B19DEA9DB14C}" name="Fund II Effective Equity" dataDxfId="474" totalsRowDxfId="473" dataCellStyle="Comma">
      <calculatedColumnFormula>Table1[[#This Row],[Fund I Equity]]*6/27.28+Table1[[#This Row],[Fund II Equity]]</calculatedColumnFormula>
    </tableColumn>
    <tableColumn id="31" xr3:uid="{2BB1A7B8-D82E-4FCC-AF74-E396AC9D6E68}" name="Date of Sale" dataDxfId="472" totalsRowDxfId="471"/>
    <tableColumn id="30" xr3:uid="{1EBA66E9-AABA-4686-A216-483CE715647C}" name="Sales Price" totalsRowFunction="sum" dataDxfId="470" totalsRowDxfId="469" dataCellStyle="Comma"/>
    <tableColumn id="29" xr3:uid="{7FA49838-65A2-4487-9D64-66843ED3F9EF}" name="Holding Period" dataDxfId="468" totalsRowDxfId="467">
      <calculatedColumnFormula>IF(Table1[[#This Row],[Status]]="Sold",(Table1[[#This Row],[Date of Sale]]-Table1[[#This Row],[Acquisition Date]])/365,"")</calculatedColumnFormula>
    </tableColumn>
    <tableColumn id="28" xr3:uid="{09EF264C-3C4A-4F5E-A949-F7A240CD332D}" name="Total Property Distributions" totalsRowFunction="sum" dataDxfId="466" totalsRowDxfId="465" dataCellStyle="Comma"/>
    <tableColumn id="27" xr3:uid="{779AA082-12FC-4804-B4EA-FDFBB2F790FB}" name="Multiple" dataDxfId="464" totalsRowDxfId="463" dataCellStyle="Comma">
      <calculatedColumnFormula>IF(Table1[[#This Row],[Status]]="Sold",Table1[[#This Row],[Total Property Distributions]]/Table1[[#This Row],[Total Equity]],"")</calculatedColumnFormula>
    </tableColumn>
    <tableColumn id="22" xr3:uid="{ADE547CD-E53B-4856-8BC6-27A3EC85BC6C}" name="IRR" dataDxfId="462" totalsRowDxfId="461" dataCellStyle="Comma"/>
    <tableColumn id="26" xr3:uid="{E86CED14-4072-447C-AEAE-532E48631A17}" name="Average Annual Return" dataDxfId="460" totalsRowDxfId="459" dataCellStyle="Percent">
      <calculatedColumnFormula>IF(Table1[[#This Row],[Status]]="Sold",((Table1[[#This Row],[Total Property Distributions]]-Table1[[#This Row],[Total Equity]])/Table1[[#This Row],[Total Equity]])/Table1[[#This Row],[Holding Period]],"")</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558600D-433B-40CB-9B25-BBBDA0AD8081}" name="Table3" displayName="Table3" ref="B5:D36" totalsRowShown="0" headerRowBorderDxfId="137" tableBorderDxfId="136">
  <autoFilter ref="B5:D36" xr:uid="{25CBA5B8-89F0-4F97-81F0-987FD8BD0CBB}"/>
  <tableColumns count="3">
    <tableColumn id="1" xr3:uid="{2DF28622-E714-4442-8EA3-CAB1AAC58A9C}" name="Entity/Deal Name" dataDxfId="135"/>
    <tableColumn id="2" xr3:uid="{75290B78-2F5D-499A-90A4-8AE146D32203}" name="9/30/2020"/>
    <tableColumn id="3" xr3:uid="{61C5547F-178E-4315-9833-4AC2256C2EC8}" name="6/30/2020" dataDxfId="134" dataCellStyle="Comm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FDCAE3-92A4-42F1-888F-CD34766E18CE}" name="Table2" displayName="Table2" ref="B3:R11" totalsRowCount="1" headerRowDxfId="92" dataDxfId="91" totalsRowDxfId="90">
  <autoFilter ref="B3:R10" xr:uid="{CC87638A-2A8A-4B18-AD94-FD1C4FB3EC45}"/>
  <tableColumns count="17">
    <tableColumn id="1" xr3:uid="{D9226550-903C-4F72-9DA3-56574E793A4A}" name="Property" dataDxfId="89" totalsRowDxfId="88"/>
    <tableColumn id="2" xr3:uid="{EDAD9616-C894-4CF9-8FE1-4BAFD2904589}" name="Status" dataDxfId="87" totalsRowDxfId="86"/>
    <tableColumn id="3" xr3:uid="{C34CE4DF-0A98-4765-B3B0-B1481BDDA88F}" name="City" dataDxfId="85" totalsRowDxfId="84"/>
    <tableColumn id="4" xr3:uid="{FFE6000F-4A91-48C1-BA13-C3C7103701EA}" name="State" dataDxfId="83" totalsRowDxfId="82"/>
    <tableColumn id="5" xr3:uid="{B158B3D4-0A81-4265-ABDC-6AD5925A24CA}" name="Acq. Date" dataDxfId="81" totalsRowDxfId="80"/>
    <tableColumn id="6" xr3:uid="{EBC9FB1F-C4C3-468B-824B-7094584F2C79}" name="Lots" dataDxfId="79" totalsRowDxfId="78"/>
    <tableColumn id="7" xr3:uid="{F9051F9A-1D02-44B0-BBB1-B972510B0FBB}" name="Vacant Land" dataDxfId="77" totalsRowDxfId="76"/>
    <tableColumn id="17" xr3:uid="{3B477DFF-2B9B-4B0A-ACB7-5B01218E556A}" name="Purchase Price" totalsRowFunction="sum" dataDxfId="75" totalsRowDxfId="74" dataCellStyle="Comma"/>
    <tableColumn id="8" xr3:uid="{496B0B7E-D2E5-46A0-8EF6-9548A78CE56D}" name="Fund I Equity" totalsRowFunction="sum" dataDxfId="73" totalsRowDxfId="72" dataCellStyle="Comma"/>
    <tableColumn id="9" xr3:uid="{C08798EF-C8EA-4F9A-90B5-41E92755345E}" name="3rd Party Equity" totalsRowFunction="sum" dataDxfId="71" totalsRowDxfId="70" dataCellStyle="Comma"/>
    <tableColumn id="10" xr3:uid="{109E82B0-A18A-4748-A605-D3C616C380F2}" name="Total Equity" totalsRowFunction="sum" dataDxfId="69" totalsRowDxfId="68" dataCellStyle="Comma">
      <calculatedColumnFormula>SUM(Table2[[#This Row],[Fund I Equity]:[3rd Party Equity]])</calculatedColumnFormula>
    </tableColumn>
    <tableColumn id="11" xr3:uid="{D4BC9685-4607-4DAD-96D5-9BA19DA15638}" name="Date of Sale" dataDxfId="67" totalsRowDxfId="66"/>
    <tableColumn id="12" xr3:uid="{E4CAD9E5-6036-4B0A-BE32-9A870D87C787}" name="Sales Price" dataDxfId="65" totalsRowDxfId="64"/>
    <tableColumn id="13" xr3:uid="{A84ACF70-936F-4F4B-A40B-A8EABE45A2A8}" name="Holding Period" dataDxfId="63" totalsRowDxfId="62" dataCellStyle="Comma">
      <calculatedColumnFormula>IF(Table2[[#This Row],[Status]]="Sold",(Table2[[#This Row],[Date of Sale]]-Table2[[#This Row],[Acq. Date]])/365,"")</calculatedColumnFormula>
    </tableColumn>
    <tableColumn id="14" xr3:uid="{FCE8C47A-0BFE-4AA0-9F1D-82E6578C8D20}" name="Total Property Distributions" dataDxfId="61" totalsRowDxfId="60" dataCellStyle="Comma"/>
    <tableColumn id="15" xr3:uid="{334C0716-7E78-458F-8420-2787300E97F1}" name="Multiple" dataDxfId="59" totalsRowDxfId="58" dataCellStyle="Comma">
      <calculatedColumnFormula>IF(Table2[[#This Row],[Status]]="sold",Table2[[#This Row],[Total Property Distributions]]/Table2[[#This Row],[Total Equity]],"")</calculatedColumnFormula>
    </tableColumn>
    <tableColumn id="16" xr3:uid="{DADFCD65-0937-4367-A6A7-449CAA45EB7C}" name="Average Annual Return" dataDxfId="57" totalsRowDxfId="56" dataCellStyle="Percent">
      <calculatedColumnFormula>IF(Table2[[#This Row],[Status]]="Sold",(Table2[[#This Row],[Total Property Distributions]]-Table2[[#This Row],[Total Equity]])/Table2[[#This Row],[Total Equity]]/Table2[[#This Row],[Holding Period]],"")</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9" dT="2020-05-21T02:27:00.45" personId="{D959910C-1E46-4C04-B597-5D665A8D9790}" id="{845ED332-017C-42FD-8AD7-BED0E0C6371A}">
    <text>Estimated FV on outstanding lots</text>
  </threadedComment>
  <threadedComment ref="Z16" dT="2020-05-19T21:39:15.93" personId="{D959910C-1E46-4C04-B597-5D665A8D9790}" id="{6509FDBC-2929-4190-B406-97CAF77268B6}">
    <text>Additional Cap Contribution 1/6/17</text>
  </threadedComment>
  <threadedComment ref="AD16" dT="2020-05-19T21:39:11.81" personId="{D959910C-1E46-4C04-B597-5D665A8D9790}" id="{9F47711E-64BE-4820-B4F4-43263AF69BD1}">
    <text>Additional Cap Contribution 1/6/17</text>
  </threadedComment>
  <threadedComment ref="AA22" dT="2020-05-19T21:33:34.98" personId="{D959910C-1E46-4C04-B597-5D665A8D9790}" id="{E225E7FD-6749-4B31-87E5-0F543470A250}">
    <text>Additional Capital Contribution on 5/8/2020</text>
  </threadedComment>
  <threadedComment ref="AD22" dT="2020-05-19T21:34:04.12" personId="{D959910C-1E46-4C04-B597-5D665A8D9790}" id="{CB3F0588-0A30-4725-8263-4B28F866B1E3}">
    <text>Additional Capital Contribution on 5/8/2020</text>
  </threadedComment>
  <threadedComment ref="T29" dT="2020-05-19T22:26:33.27" personId="{D959910C-1E46-4C04-B597-5D665A8D9790}" id="{BABA4BF0-6417-4432-B5FA-D3DD74E90BE7}">
    <text>Estimated FV on outstanding lots</text>
  </threadedComment>
  <threadedComment ref="M121" dT="2020-05-19T23:00:02.18" personId="{D959910C-1E46-4C04-B597-5D665A8D9790}" id="{F8387015-CBED-4280-8386-EF7AD170A004}">
    <text>Only include Cortez sq ft once</text>
  </threadedComment>
</ThreadedComment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9.xml"/><Relationship Id="rId7" Type="http://schemas.openxmlformats.org/officeDocument/2006/relationships/drawing" Target="../drawings/drawing1.xml"/><Relationship Id="rId2" Type="http://schemas.openxmlformats.org/officeDocument/2006/relationships/pivotTable" Target="../pivotTables/pivotTable18.xml"/><Relationship Id="rId1" Type="http://schemas.openxmlformats.org/officeDocument/2006/relationships/pivotTable" Target="../pivotTables/pivotTable17.xml"/><Relationship Id="rId6" Type="http://schemas.openxmlformats.org/officeDocument/2006/relationships/printerSettings" Target="../printerSettings/printerSettings5.bin"/><Relationship Id="rId5" Type="http://schemas.openxmlformats.org/officeDocument/2006/relationships/pivotTable" Target="../pivotTables/pivotTable21.xml"/><Relationship Id="rId4" Type="http://schemas.openxmlformats.org/officeDocument/2006/relationships/pivotTable" Target="../pivotTables/pivotTable20.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 Id="rId6" Type="http://schemas.openxmlformats.org/officeDocument/2006/relationships/drawing" Target="../drawings/drawing2.xml"/><Relationship Id="rId5" Type="http://schemas.openxmlformats.org/officeDocument/2006/relationships/pivotTable" Target="../pivotTables/pivotTable26.xml"/><Relationship Id="rId4" Type="http://schemas.openxmlformats.org/officeDocument/2006/relationships/pivotTable" Target="../pivotTables/pivotTable25.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29.xml"/><Relationship Id="rId2" Type="http://schemas.openxmlformats.org/officeDocument/2006/relationships/pivotTable" Target="../pivotTables/pivotTable28.xml"/><Relationship Id="rId1" Type="http://schemas.openxmlformats.org/officeDocument/2006/relationships/pivotTable" Target="../pivotTables/pivotTable27.xml"/><Relationship Id="rId4"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32.xml"/><Relationship Id="rId2" Type="http://schemas.openxmlformats.org/officeDocument/2006/relationships/pivotTable" Target="../pivotTables/pivotTable31.xml"/><Relationship Id="rId1" Type="http://schemas.openxmlformats.org/officeDocument/2006/relationships/pivotTable" Target="../pivotTables/pivotTable30.xml"/><Relationship Id="rId4" Type="http://schemas.openxmlformats.org/officeDocument/2006/relationships/pivotTable" Target="../pivotTables/pivotTable33.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36.xml"/><Relationship Id="rId7" Type="http://schemas.openxmlformats.org/officeDocument/2006/relationships/comments" Target="../comments4.xml"/><Relationship Id="rId2" Type="http://schemas.openxmlformats.org/officeDocument/2006/relationships/pivotTable" Target="../pivotTables/pivotTable35.xml"/><Relationship Id="rId1" Type="http://schemas.openxmlformats.org/officeDocument/2006/relationships/pivotTable" Target="../pivotTables/pivotTable34.xml"/><Relationship Id="rId6" Type="http://schemas.openxmlformats.org/officeDocument/2006/relationships/vmlDrawing" Target="../drawings/vmlDrawing4.vml"/><Relationship Id="rId5" Type="http://schemas.openxmlformats.org/officeDocument/2006/relationships/printerSettings" Target="../printerSettings/printerSettings8.bin"/><Relationship Id="rId4" Type="http://schemas.openxmlformats.org/officeDocument/2006/relationships/pivotTable" Target="../pivotTables/pivotTable37.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0EDE-C80F-4A11-82A1-CC20F5D64120}">
  <sheetPr filterMode="1">
    <tabColor theme="9" tint="0.59999389629810485"/>
  </sheetPr>
  <dimension ref="B2:E17"/>
  <sheetViews>
    <sheetView showGridLines="0" workbookViewId="0">
      <selection activeCell="C35" sqref="C35"/>
    </sheetView>
  </sheetViews>
  <sheetFormatPr defaultColWidth="9.140625" defaultRowHeight="15" x14ac:dyDescent="0.25"/>
  <cols>
    <col min="1" max="1" width="4.85546875" style="179" customWidth="1"/>
    <col min="2" max="3" width="13.140625" style="179" customWidth="1"/>
    <col min="4" max="4" width="59.140625" style="181" customWidth="1"/>
    <col min="5" max="5" width="55.5703125" style="179" customWidth="1"/>
    <col min="6" max="16384" width="9.140625" style="179"/>
  </cols>
  <sheetData>
    <row r="2" spans="2:5" x14ac:dyDescent="0.25">
      <c r="B2" s="177" t="s">
        <v>388</v>
      </c>
      <c r="C2" s="177" t="s">
        <v>482</v>
      </c>
      <c r="D2" s="178" t="s">
        <v>389</v>
      </c>
      <c r="E2" s="178" t="s">
        <v>478</v>
      </c>
    </row>
    <row r="3" spans="2:5" ht="90" hidden="1" x14ac:dyDescent="0.25">
      <c r="B3" s="176">
        <v>1</v>
      </c>
      <c r="C3" s="176" t="s">
        <v>483</v>
      </c>
      <c r="D3" s="180" t="s">
        <v>473</v>
      </c>
      <c r="E3" s="180" t="s">
        <v>485</v>
      </c>
    </row>
    <row r="4" spans="2:5" ht="30" hidden="1" x14ac:dyDescent="0.25">
      <c r="B4" s="176">
        <v>2</v>
      </c>
      <c r="C4" s="176" t="s">
        <v>483</v>
      </c>
      <c r="D4" s="180" t="s">
        <v>464</v>
      </c>
      <c r="E4" s="180" t="s">
        <v>493</v>
      </c>
    </row>
    <row r="5" spans="2:5" ht="75" hidden="1" x14ac:dyDescent="0.25">
      <c r="B5" s="176">
        <v>3</v>
      </c>
      <c r="C5" s="176" t="s">
        <v>483</v>
      </c>
      <c r="D5" s="180" t="s">
        <v>465</v>
      </c>
      <c r="E5" s="180" t="s">
        <v>512</v>
      </c>
    </row>
    <row r="6" spans="2:5" ht="45" hidden="1" x14ac:dyDescent="0.25">
      <c r="B6" s="176">
        <v>4</v>
      </c>
      <c r="C6" s="176" t="s">
        <v>483</v>
      </c>
      <c r="D6" s="180" t="s">
        <v>471</v>
      </c>
      <c r="E6" s="180" t="s">
        <v>511</v>
      </c>
    </row>
    <row r="7" spans="2:5" ht="45" hidden="1" x14ac:dyDescent="0.25">
      <c r="B7" s="176">
        <v>5</v>
      </c>
      <c r="C7" s="176" t="s">
        <v>483</v>
      </c>
      <c r="D7" s="180" t="s">
        <v>466</v>
      </c>
      <c r="E7" s="180" t="s">
        <v>480</v>
      </c>
    </row>
    <row r="8" spans="2:5" ht="60" hidden="1" x14ac:dyDescent="0.25">
      <c r="B8" s="176">
        <v>6</v>
      </c>
      <c r="C8" s="176" t="s">
        <v>483</v>
      </c>
      <c r="D8" s="180" t="s">
        <v>474</v>
      </c>
      <c r="E8" s="180" t="s">
        <v>236</v>
      </c>
    </row>
    <row r="9" spans="2:5" ht="60" hidden="1" x14ac:dyDescent="0.25">
      <c r="B9" s="176">
        <v>7</v>
      </c>
      <c r="C9" s="176" t="s">
        <v>483</v>
      </c>
      <c r="D9" s="180" t="s">
        <v>475</v>
      </c>
      <c r="E9" s="180" t="s">
        <v>484</v>
      </c>
    </row>
    <row r="10" spans="2:5" ht="30" hidden="1" x14ac:dyDescent="0.25">
      <c r="B10" s="176">
        <v>8</v>
      </c>
      <c r="C10" s="176" t="s">
        <v>483</v>
      </c>
      <c r="D10" s="180" t="s">
        <v>467</v>
      </c>
      <c r="E10" s="180" t="s">
        <v>481</v>
      </c>
    </row>
    <row r="11" spans="2:5" ht="30" hidden="1" x14ac:dyDescent="0.25">
      <c r="B11" s="176">
        <v>9</v>
      </c>
      <c r="C11" s="176" t="s">
        <v>483</v>
      </c>
      <c r="D11" s="180" t="s">
        <v>468</v>
      </c>
      <c r="E11" s="180" t="s">
        <v>509</v>
      </c>
    </row>
    <row r="12" spans="2:5" ht="30" hidden="1" x14ac:dyDescent="0.25">
      <c r="B12" s="176">
        <v>10</v>
      </c>
      <c r="C12" s="176" t="s">
        <v>483</v>
      </c>
      <c r="D12" s="180" t="s">
        <v>469</v>
      </c>
      <c r="E12" s="180" t="s">
        <v>510</v>
      </c>
    </row>
    <row r="13" spans="2:5" ht="90" hidden="1" x14ac:dyDescent="0.25">
      <c r="B13" s="176">
        <v>11</v>
      </c>
      <c r="C13" s="176" t="s">
        <v>483</v>
      </c>
      <c r="D13" s="180" t="s">
        <v>470</v>
      </c>
      <c r="E13" s="180" t="s">
        <v>486</v>
      </c>
    </row>
    <row r="14" spans="2:5" ht="45" hidden="1" x14ac:dyDescent="0.25">
      <c r="B14" s="176">
        <v>12</v>
      </c>
      <c r="C14" s="176" t="s">
        <v>483</v>
      </c>
      <c r="D14" s="180" t="s">
        <v>472</v>
      </c>
      <c r="E14" s="180" t="s">
        <v>494</v>
      </c>
    </row>
    <row r="15" spans="2:5" ht="60" hidden="1" x14ac:dyDescent="0.25">
      <c r="B15" s="176">
        <v>13</v>
      </c>
      <c r="C15" s="176" t="s">
        <v>483</v>
      </c>
      <c r="D15" s="180" t="s">
        <v>476</v>
      </c>
      <c r="E15" s="180" t="s">
        <v>479</v>
      </c>
    </row>
    <row r="16" spans="2:5" hidden="1" x14ac:dyDescent="0.25">
      <c r="B16" s="176">
        <v>14</v>
      </c>
      <c r="C16" s="176" t="s">
        <v>483</v>
      </c>
      <c r="D16" s="180" t="s">
        <v>477</v>
      </c>
      <c r="E16" s="180" t="s">
        <v>236</v>
      </c>
    </row>
    <row r="17" spans="2:5" x14ac:dyDescent="0.25">
      <c r="B17" s="176">
        <v>15</v>
      </c>
      <c r="C17" s="176"/>
      <c r="D17" s="180"/>
      <c r="E17" s="180"/>
    </row>
  </sheetData>
  <autoFilter ref="B2:E17" xr:uid="{9B83B382-E66D-4FA3-B86C-0BFC5B88CCFB}">
    <filterColumn colId="1">
      <filters blank="1"/>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A9D09-C43C-4A79-8E5D-298412814713}">
  <sheetPr>
    <tabColor theme="9" tint="0.59999389629810485"/>
  </sheetPr>
  <dimension ref="B2:J131"/>
  <sheetViews>
    <sheetView showGridLines="0" workbookViewId="0">
      <selection activeCell="J26" sqref="J26"/>
    </sheetView>
  </sheetViews>
  <sheetFormatPr defaultColWidth="9.140625" defaultRowHeight="12.75" x14ac:dyDescent="0.2"/>
  <cols>
    <col min="1" max="1" width="6.85546875" style="1" customWidth="1"/>
    <col min="2" max="2" width="19" style="1" bestFit="1" customWidth="1"/>
    <col min="3" max="3" width="24.85546875" style="1" bestFit="1" customWidth="1"/>
    <col min="4" max="4" width="13.5703125" style="1" bestFit="1" customWidth="1"/>
    <col min="5" max="8" width="36.140625" style="1" bestFit="1" customWidth="1"/>
    <col min="9" max="9" width="24.7109375" style="1" bestFit="1" customWidth="1"/>
    <col min="10" max="10" width="14.5703125" style="1" bestFit="1" customWidth="1"/>
    <col min="11" max="16384" width="9.140625" style="1"/>
  </cols>
  <sheetData>
    <row r="2" spans="2:10" x14ac:dyDescent="0.2">
      <c r="B2" s="91" t="s">
        <v>508</v>
      </c>
    </row>
    <row r="3" spans="2:10" x14ac:dyDescent="0.2">
      <c r="B3" s="154" t="str">
        <f>'Master Property List'!B2</f>
        <v>Last Update - 11/17/2020 - AEC</v>
      </c>
    </row>
    <row r="4" spans="2:10" x14ac:dyDescent="0.2">
      <c r="B4" s="91"/>
    </row>
    <row r="6" spans="2:10" s="115" customFormat="1" x14ac:dyDescent="0.2">
      <c r="B6" s="132" t="s">
        <v>3</v>
      </c>
      <c r="C6" s="115" t="s">
        <v>413</v>
      </c>
      <c r="D6" s="115" t="s">
        <v>462</v>
      </c>
      <c r="I6" s="91" t="s">
        <v>3</v>
      </c>
      <c r="J6" s="91" t="s">
        <v>487</v>
      </c>
    </row>
    <row r="7" spans="2:10" x14ac:dyDescent="0.2">
      <c r="B7" s="129" t="s">
        <v>341</v>
      </c>
      <c r="C7" s="74">
        <v>1850000</v>
      </c>
      <c r="D7" s="151">
        <v>2.084939288601408E-3</v>
      </c>
      <c r="I7" s="1" t="s">
        <v>341</v>
      </c>
      <c r="J7" s="175">
        <v>1850000</v>
      </c>
    </row>
    <row r="8" spans="2:10" x14ac:dyDescent="0.2">
      <c r="B8" s="129" t="s">
        <v>131</v>
      </c>
      <c r="C8" s="74">
        <v>43000000</v>
      </c>
      <c r="D8" s="151">
        <v>4.8460751032357051E-2</v>
      </c>
      <c r="I8" s="1" t="s">
        <v>131</v>
      </c>
      <c r="J8" s="175">
        <v>43000000</v>
      </c>
    </row>
    <row r="9" spans="2:10" x14ac:dyDescent="0.2">
      <c r="B9" s="129" t="s">
        <v>339</v>
      </c>
      <c r="C9" s="74">
        <v>18450000</v>
      </c>
      <c r="D9" s="151">
        <v>2.0793043175511339E-2</v>
      </c>
      <c r="I9" s="1" t="s">
        <v>339</v>
      </c>
      <c r="J9" s="175">
        <v>18450000</v>
      </c>
    </row>
    <row r="10" spans="2:10" x14ac:dyDescent="0.2">
      <c r="B10" s="129" t="s">
        <v>137</v>
      </c>
      <c r="C10" s="74">
        <v>99864685.270000011</v>
      </c>
      <c r="D10" s="151">
        <v>0.1125469220882364</v>
      </c>
      <c r="I10" s="1" t="s">
        <v>137</v>
      </c>
      <c r="J10" s="175">
        <v>99864685.270000011</v>
      </c>
    </row>
    <row r="11" spans="2:10" x14ac:dyDescent="0.2">
      <c r="B11" s="129" t="s">
        <v>135</v>
      </c>
      <c r="C11" s="74">
        <v>32566000</v>
      </c>
      <c r="D11" s="151">
        <v>3.6701693444645106E-2</v>
      </c>
      <c r="I11" s="1" t="s">
        <v>135</v>
      </c>
      <c r="J11" s="175">
        <v>32566000</v>
      </c>
    </row>
    <row r="12" spans="2:10" x14ac:dyDescent="0.2">
      <c r="B12" s="129" t="s">
        <v>139</v>
      </c>
      <c r="C12" s="74">
        <v>3654592.0358997742</v>
      </c>
      <c r="D12" s="151">
        <v>4.1187040645714844E-3</v>
      </c>
      <c r="I12" s="1" t="s">
        <v>139</v>
      </c>
      <c r="J12" s="175">
        <v>3654592.0358997742</v>
      </c>
    </row>
    <row r="13" spans="2:10" x14ac:dyDescent="0.2">
      <c r="B13" s="129" t="s">
        <v>134</v>
      </c>
      <c r="C13" s="74">
        <v>40338628</v>
      </c>
      <c r="D13" s="151">
        <v>4.5461400197555048E-2</v>
      </c>
      <c r="I13" s="1" t="s">
        <v>134</v>
      </c>
      <c r="J13" s="175">
        <v>40338628</v>
      </c>
    </row>
    <row r="14" spans="2:10" x14ac:dyDescent="0.2">
      <c r="B14" s="129" t="s">
        <v>306</v>
      </c>
      <c r="C14" s="74">
        <v>1899135.799346295</v>
      </c>
      <c r="D14" s="151">
        <v>2.1403150499710974E-3</v>
      </c>
      <c r="I14" s="1" t="s">
        <v>306</v>
      </c>
      <c r="J14" s="175">
        <v>1899135.799346295</v>
      </c>
    </row>
    <row r="15" spans="2:10" x14ac:dyDescent="0.2">
      <c r="B15" s="129" t="s">
        <v>132</v>
      </c>
      <c r="C15" s="74">
        <v>91081671.980000004</v>
      </c>
      <c r="D15" s="151">
        <v>0.1026485169635719</v>
      </c>
      <c r="I15" s="1" t="s">
        <v>132</v>
      </c>
      <c r="J15" s="175">
        <v>91081671.980000004</v>
      </c>
    </row>
    <row r="16" spans="2:10" x14ac:dyDescent="0.2">
      <c r="B16" s="129" t="s">
        <v>133</v>
      </c>
      <c r="C16" s="74">
        <v>13360000</v>
      </c>
      <c r="D16" s="151">
        <v>1.505664264633233E-2</v>
      </c>
      <c r="I16" s="1" t="s">
        <v>133</v>
      </c>
      <c r="J16" s="175">
        <v>13360000</v>
      </c>
    </row>
    <row r="17" spans="2:10" x14ac:dyDescent="0.2">
      <c r="B17" s="129" t="s">
        <v>118</v>
      </c>
      <c r="C17" s="74">
        <v>26194000</v>
      </c>
      <c r="D17" s="151">
        <v>2.9520486338175826E-2</v>
      </c>
      <c r="I17" s="1" t="s">
        <v>118</v>
      </c>
      <c r="J17" s="175">
        <v>26194000</v>
      </c>
    </row>
    <row r="18" spans="2:10" x14ac:dyDescent="0.2">
      <c r="B18" s="129" t="s">
        <v>305</v>
      </c>
      <c r="C18" s="74">
        <v>17046272.164753929</v>
      </c>
      <c r="D18" s="151">
        <v>1.9211050032696238E-2</v>
      </c>
      <c r="I18" s="1" t="s">
        <v>305</v>
      </c>
      <c r="J18" s="175">
        <v>17046272.164753929</v>
      </c>
    </row>
    <row r="19" spans="2:10" x14ac:dyDescent="0.2">
      <c r="B19" s="129" t="s">
        <v>138</v>
      </c>
      <c r="C19" s="74">
        <v>38904411.764705881</v>
      </c>
      <c r="D19" s="151">
        <v>4.3845046804411959E-2</v>
      </c>
      <c r="I19" s="1" t="s">
        <v>138</v>
      </c>
      <c r="J19" s="175">
        <v>38904411.764705881</v>
      </c>
    </row>
    <row r="20" spans="2:10" x14ac:dyDescent="0.2">
      <c r="B20" s="129" t="s">
        <v>136</v>
      </c>
      <c r="C20" s="74">
        <v>33198000</v>
      </c>
      <c r="D20" s="151">
        <v>3.7413953785399752E-2</v>
      </c>
      <c r="I20" s="1" t="s">
        <v>136</v>
      </c>
      <c r="J20" s="175">
        <v>33198000</v>
      </c>
    </row>
    <row r="21" spans="2:10" x14ac:dyDescent="0.2">
      <c r="B21" s="129" t="s">
        <v>340</v>
      </c>
      <c r="C21" s="74">
        <v>14000000</v>
      </c>
      <c r="D21" s="151">
        <v>1.577791894076741E-2</v>
      </c>
      <c r="I21" s="1" t="s">
        <v>340</v>
      </c>
      <c r="J21" s="175">
        <v>14000000</v>
      </c>
    </row>
    <row r="22" spans="2:10" x14ac:dyDescent="0.2">
      <c r="B22" s="129" t="s">
        <v>129</v>
      </c>
      <c r="C22" s="74">
        <v>298944850.53529406</v>
      </c>
      <c r="D22" s="151">
        <v>0.33690911567897852</v>
      </c>
      <c r="I22" s="1" t="s">
        <v>129</v>
      </c>
      <c r="J22" s="175">
        <v>298944850.53529406</v>
      </c>
    </row>
    <row r="23" spans="2:10" x14ac:dyDescent="0.2">
      <c r="B23" s="129" t="s">
        <v>130</v>
      </c>
      <c r="C23" s="74">
        <v>100311757.34</v>
      </c>
      <c r="D23" s="151">
        <v>0.11305076972260361</v>
      </c>
      <c r="I23" s="1" t="s">
        <v>130</v>
      </c>
      <c r="J23" s="175">
        <v>100311757.34</v>
      </c>
    </row>
    <row r="24" spans="2:10" x14ac:dyDescent="0.2">
      <c r="B24" s="129" t="s">
        <v>623</v>
      </c>
      <c r="C24" s="74">
        <v>12652000</v>
      </c>
      <c r="D24" s="151">
        <v>1.4258730745613521E-2</v>
      </c>
      <c r="I24" s="1" t="s">
        <v>623</v>
      </c>
      <c r="J24" s="175">
        <v>12652000</v>
      </c>
    </row>
    <row r="25" spans="2:10" ht="13.5" thickBot="1" x14ac:dyDescent="0.25">
      <c r="B25" s="129" t="s">
        <v>91</v>
      </c>
      <c r="C25" s="74">
        <v>887316004.88999999</v>
      </c>
      <c r="D25" s="151">
        <v>1</v>
      </c>
      <c r="I25" s="90" t="s">
        <v>191</v>
      </c>
      <c r="J25" s="190">
        <f>SUM(J7:J24)</f>
        <v>887316004.88999999</v>
      </c>
    </row>
    <row r="26" spans="2:10" ht="13.5" thickTop="1" x14ac:dyDescent="0.2">
      <c r="B26" s="129"/>
      <c r="C26" s="74"/>
    </row>
    <row r="27" spans="2:10" x14ac:dyDescent="0.2">
      <c r="B27" s="129"/>
      <c r="C27" s="74"/>
    </row>
    <row r="28" spans="2:10" x14ac:dyDescent="0.2">
      <c r="B28" s="129"/>
      <c r="C28" s="74"/>
    </row>
    <row r="29" spans="2:10" x14ac:dyDescent="0.2">
      <c r="B29" s="128" t="s">
        <v>59</v>
      </c>
      <c r="C29" s="1" t="s">
        <v>410</v>
      </c>
    </row>
    <row r="31" spans="2:10" x14ac:dyDescent="0.2">
      <c r="B31" s="128" t="s">
        <v>3</v>
      </c>
      <c r="C31" s="100" t="s">
        <v>433</v>
      </c>
      <c r="D31" s="100" t="s">
        <v>462</v>
      </c>
      <c r="H31" s="1" t="s">
        <v>488</v>
      </c>
    </row>
    <row r="32" spans="2:10" x14ac:dyDescent="0.2">
      <c r="B32" s="129" t="s">
        <v>339</v>
      </c>
      <c r="C32" s="74">
        <v>1000000</v>
      </c>
      <c r="D32" s="151">
        <v>2.9793850295693716E-2</v>
      </c>
    </row>
    <row r="33" spans="2:6" x14ac:dyDescent="0.2">
      <c r="B33" s="129" t="s">
        <v>137</v>
      </c>
      <c r="C33" s="74">
        <v>11280325</v>
      </c>
      <c r="D33" s="151">
        <v>0.33608431433677122</v>
      </c>
    </row>
    <row r="34" spans="2:6" x14ac:dyDescent="0.2">
      <c r="B34" s="129" t="s">
        <v>132</v>
      </c>
      <c r="C34" s="74">
        <v>7569829</v>
      </c>
      <c r="D34" s="151">
        <v>0.22553435199000088</v>
      </c>
    </row>
    <row r="35" spans="2:6" x14ac:dyDescent="0.2">
      <c r="B35" s="129" t="s">
        <v>129</v>
      </c>
      <c r="C35" s="74">
        <v>10475000</v>
      </c>
      <c r="D35" s="151">
        <v>0.31209058184739169</v>
      </c>
    </row>
    <row r="36" spans="2:6" x14ac:dyDescent="0.2">
      <c r="B36" s="129" t="s">
        <v>130</v>
      </c>
      <c r="C36" s="74">
        <v>3238819.44</v>
      </c>
      <c r="D36" s="151">
        <v>9.6496901530142565E-2</v>
      </c>
    </row>
    <row r="37" spans="2:6" x14ac:dyDescent="0.2">
      <c r="B37" s="129" t="s">
        <v>91</v>
      </c>
      <c r="C37" s="74">
        <v>33563973.439999998</v>
      </c>
      <c r="D37" s="151">
        <v>1</v>
      </c>
      <c r="E37" s="128"/>
      <c r="F37" s="128"/>
    </row>
    <row r="44" spans="2:6" ht="15" x14ac:dyDescent="0.25">
      <c r="B44"/>
      <c r="C44"/>
    </row>
    <row r="45" spans="2:6" ht="15" x14ac:dyDescent="0.25">
      <c r="B45"/>
      <c r="C45"/>
    </row>
    <row r="46" spans="2:6" ht="15" x14ac:dyDescent="0.25">
      <c r="B46"/>
      <c r="C46"/>
    </row>
    <row r="47" spans="2:6" ht="15" x14ac:dyDescent="0.25">
      <c r="B47"/>
      <c r="C47"/>
    </row>
    <row r="48" spans="2:6" ht="15" x14ac:dyDescent="0.25">
      <c r="B48"/>
      <c r="C48"/>
    </row>
    <row r="49" spans="2:6" ht="15" x14ac:dyDescent="0.25">
      <c r="B49"/>
      <c r="C49"/>
    </row>
    <row r="50" spans="2:6" ht="15" x14ac:dyDescent="0.25">
      <c r="B50"/>
      <c r="C50"/>
    </row>
    <row r="51" spans="2:6" ht="15" x14ac:dyDescent="0.25">
      <c r="B51"/>
      <c r="C51"/>
    </row>
    <row r="52" spans="2:6" ht="15" x14ac:dyDescent="0.25">
      <c r="B52"/>
      <c r="C52"/>
    </row>
    <row r="53" spans="2:6" ht="15" x14ac:dyDescent="0.25">
      <c r="B53"/>
      <c r="C53"/>
    </row>
    <row r="54" spans="2:6" x14ac:dyDescent="0.2">
      <c r="B54" s="128" t="s">
        <v>169</v>
      </c>
      <c r="C54" s="1" t="s">
        <v>410</v>
      </c>
    </row>
    <row r="55" spans="2:6" x14ac:dyDescent="0.2">
      <c r="C55" s="100"/>
      <c r="D55" s="100"/>
    </row>
    <row r="56" spans="2:6" x14ac:dyDescent="0.2">
      <c r="B56" s="144" t="s">
        <v>3</v>
      </c>
      <c r="C56" s="100" t="s">
        <v>434</v>
      </c>
      <c r="D56" s="100" t="s">
        <v>462</v>
      </c>
    </row>
    <row r="57" spans="2:6" s="76" customFormat="1" x14ac:dyDescent="0.2">
      <c r="B57" s="129" t="s">
        <v>131</v>
      </c>
      <c r="C57" s="74">
        <v>7500000</v>
      </c>
      <c r="D57" s="151">
        <v>9.1016674068250508E-2</v>
      </c>
      <c r="E57" s="144"/>
      <c r="F57" s="144"/>
    </row>
    <row r="58" spans="2:6" x14ac:dyDescent="0.2">
      <c r="B58" s="129" t="s">
        <v>339</v>
      </c>
      <c r="C58" s="74">
        <v>7719941.3489736067</v>
      </c>
      <c r="D58" s="151">
        <v>9.3685784744738793E-2</v>
      </c>
    </row>
    <row r="59" spans="2:6" x14ac:dyDescent="0.2">
      <c r="B59" s="129" t="s">
        <v>137</v>
      </c>
      <c r="C59" s="74">
        <v>9481009.897360703</v>
      </c>
      <c r="D59" s="151">
        <v>0.11505733168879151</v>
      </c>
    </row>
    <row r="60" spans="2:6" x14ac:dyDescent="0.2">
      <c r="B60" s="129" t="s">
        <v>139</v>
      </c>
      <c r="C60" s="74">
        <v>230131.27427381097</v>
      </c>
      <c r="D60" s="151">
        <v>2.7927710911320822E-3</v>
      </c>
    </row>
    <row r="61" spans="2:6" x14ac:dyDescent="0.2">
      <c r="B61" s="129" t="s">
        <v>306</v>
      </c>
      <c r="C61" s="74">
        <v>249089.55049397054</v>
      </c>
      <c r="D61" s="151">
        <v>3.0228403241488993E-3</v>
      </c>
    </row>
    <row r="62" spans="2:6" x14ac:dyDescent="0.2">
      <c r="B62" s="129" t="s">
        <v>132</v>
      </c>
      <c r="C62" s="74">
        <v>23432363.401759531</v>
      </c>
      <c r="D62" s="151">
        <v>0.28436477098489987</v>
      </c>
    </row>
    <row r="63" spans="2:6" x14ac:dyDescent="0.2">
      <c r="B63" s="129" t="s">
        <v>305</v>
      </c>
      <c r="C63" s="74">
        <v>2235779.1752322181</v>
      </c>
      <c r="D63" s="151">
        <v>2.7132424597425698E-2</v>
      </c>
    </row>
    <row r="64" spans="2:6" x14ac:dyDescent="0.2">
      <c r="B64" s="129" t="s">
        <v>340</v>
      </c>
      <c r="C64" s="74">
        <v>3300000</v>
      </c>
      <c r="D64" s="151">
        <v>4.0047336590030229E-2</v>
      </c>
    </row>
    <row r="65" spans="2:4" x14ac:dyDescent="0.2">
      <c r="B65" s="129" t="s">
        <v>129</v>
      </c>
      <c r="C65" s="74">
        <v>19121818.720498536</v>
      </c>
      <c r="D65" s="151">
        <v>0.2320539122767715</v>
      </c>
    </row>
    <row r="66" spans="2:4" x14ac:dyDescent="0.2">
      <c r="B66" s="129" t="s">
        <v>130</v>
      </c>
      <c r="C66" s="74">
        <v>9132350.3167155441</v>
      </c>
      <c r="D66" s="151">
        <v>0.11082615363381107</v>
      </c>
    </row>
    <row r="67" spans="2:4" x14ac:dyDescent="0.2">
      <c r="B67" s="129" t="s">
        <v>91</v>
      </c>
      <c r="C67" s="74">
        <v>82402483.685307905</v>
      </c>
      <c r="D67" s="151">
        <v>1</v>
      </c>
    </row>
    <row r="68" spans="2:4" ht="15" x14ac:dyDescent="0.25">
      <c r="B68"/>
      <c r="C68"/>
      <c r="D68"/>
    </row>
    <row r="69" spans="2:4" ht="15" x14ac:dyDescent="0.25">
      <c r="B69"/>
      <c r="C69"/>
      <c r="D69"/>
    </row>
    <row r="70" spans="2:4" ht="15" x14ac:dyDescent="0.25">
      <c r="B70"/>
      <c r="C70"/>
      <c r="D70"/>
    </row>
    <row r="71" spans="2:4" ht="15" x14ac:dyDescent="0.25">
      <c r="B71"/>
      <c r="C71"/>
      <c r="D71"/>
    </row>
    <row r="72" spans="2:4" ht="15" x14ac:dyDescent="0.25">
      <c r="B72"/>
      <c r="C72"/>
      <c r="D72"/>
    </row>
    <row r="73" spans="2:4" ht="15" x14ac:dyDescent="0.25">
      <c r="B73"/>
      <c r="C73"/>
      <c r="D73"/>
    </row>
    <row r="74" spans="2:4" ht="15" x14ac:dyDescent="0.25">
      <c r="B74"/>
      <c r="C74"/>
      <c r="D74"/>
    </row>
    <row r="75" spans="2:4" ht="15" x14ac:dyDescent="0.25">
      <c r="B75"/>
      <c r="C75"/>
    </row>
    <row r="82" spans="2:7" x14ac:dyDescent="0.2">
      <c r="B82" s="128" t="s">
        <v>61</v>
      </c>
      <c r="C82" s="1" t="s">
        <v>410</v>
      </c>
    </row>
    <row r="84" spans="2:7" x14ac:dyDescent="0.2">
      <c r="B84" s="144" t="s">
        <v>3</v>
      </c>
      <c r="C84" s="100" t="s">
        <v>436</v>
      </c>
      <c r="D84" s="100" t="s">
        <v>462</v>
      </c>
      <c r="E84" s="144"/>
      <c r="F84" s="144"/>
      <c r="G84" s="144"/>
    </row>
    <row r="85" spans="2:7" x14ac:dyDescent="0.2">
      <c r="B85" s="129" t="s">
        <v>131</v>
      </c>
      <c r="C85" s="74">
        <v>17650000</v>
      </c>
      <c r="D85" s="151">
        <v>0.1029837893856036</v>
      </c>
    </row>
    <row r="86" spans="2:7" x14ac:dyDescent="0.2">
      <c r="B86" s="129" t="s">
        <v>339</v>
      </c>
      <c r="C86" s="74">
        <v>8105000</v>
      </c>
      <c r="D86" s="151">
        <v>4.7290856258941479E-2</v>
      </c>
    </row>
    <row r="87" spans="2:7" x14ac:dyDescent="0.2">
      <c r="B87" s="129" t="s">
        <v>137</v>
      </c>
      <c r="C87" s="74">
        <v>17600000</v>
      </c>
      <c r="D87" s="151">
        <v>0.1026920506054744</v>
      </c>
    </row>
    <row r="88" spans="2:7" x14ac:dyDescent="0.2">
      <c r="B88" s="129" t="s">
        <v>135</v>
      </c>
      <c r="C88" s="74">
        <v>3867500</v>
      </c>
      <c r="D88" s="151">
        <v>2.2565994642992741E-2</v>
      </c>
    </row>
    <row r="89" spans="2:7" x14ac:dyDescent="0.2">
      <c r="B89" s="129" t="s">
        <v>139</v>
      </c>
      <c r="C89" s="74">
        <v>762866.10256511928</v>
      </c>
      <c r="D89" s="151">
        <v>4.4511525232851278E-3</v>
      </c>
    </row>
    <row r="90" spans="2:7" x14ac:dyDescent="0.2">
      <c r="B90" s="129" t="s">
        <v>134</v>
      </c>
      <c r="C90" s="74">
        <v>7616471</v>
      </c>
      <c r="D90" s="151">
        <v>4.444039916858683E-2</v>
      </c>
    </row>
    <row r="91" spans="2:7" x14ac:dyDescent="0.2">
      <c r="B91" s="129" t="s">
        <v>306</v>
      </c>
      <c r="C91" s="74">
        <v>825711.2171070847</v>
      </c>
      <c r="D91" s="151">
        <v>4.8178396643561707E-3</v>
      </c>
    </row>
    <row r="92" spans="2:7" x14ac:dyDescent="0.2">
      <c r="B92" s="129" t="s">
        <v>132</v>
      </c>
      <c r="C92" s="74">
        <v>19964870.990000002</v>
      </c>
      <c r="D92" s="151">
        <v>0.11649054216118455</v>
      </c>
    </row>
    <row r="93" spans="2:7" x14ac:dyDescent="0.2">
      <c r="B93" s="129" t="s">
        <v>133</v>
      </c>
      <c r="C93" s="74">
        <v>8188000</v>
      </c>
      <c r="D93" s="151">
        <v>4.7775142633955929E-2</v>
      </c>
    </row>
    <row r="94" spans="2:7" x14ac:dyDescent="0.2">
      <c r="B94" s="129" t="s">
        <v>305</v>
      </c>
      <c r="C94" s="74">
        <v>7411422.6803277954</v>
      </c>
      <c r="D94" s="151">
        <v>4.3243988235612651E-2</v>
      </c>
    </row>
    <row r="95" spans="2:7" x14ac:dyDescent="0.2">
      <c r="B95" s="129" t="s">
        <v>138</v>
      </c>
      <c r="C95" s="74">
        <v>1088235.2941176472</v>
      </c>
      <c r="D95" s="151">
        <v>6.349608743988224E-3</v>
      </c>
    </row>
    <row r="96" spans="2:7" x14ac:dyDescent="0.2">
      <c r="B96" s="129" t="s">
        <v>136</v>
      </c>
      <c r="C96" s="74">
        <v>9140714</v>
      </c>
      <c r="D96" s="151">
        <v>5.3334015037395925E-2</v>
      </c>
    </row>
    <row r="97" spans="2:8" x14ac:dyDescent="0.2">
      <c r="B97" s="129" t="s">
        <v>129</v>
      </c>
      <c r="C97" s="74">
        <v>46781764.705882356</v>
      </c>
      <c r="D97" s="151">
        <v>0.27296109935169699</v>
      </c>
    </row>
    <row r="98" spans="2:8" x14ac:dyDescent="0.2">
      <c r="B98" s="129" t="s">
        <v>130</v>
      </c>
      <c r="C98" s="74">
        <v>22383640.859999999</v>
      </c>
      <c r="D98" s="151">
        <v>0.13060352158692526</v>
      </c>
    </row>
    <row r="99" spans="2:8" x14ac:dyDescent="0.2">
      <c r="B99" s="129" t="s">
        <v>91</v>
      </c>
      <c r="C99" s="74">
        <v>171386196.85000002</v>
      </c>
      <c r="D99" s="151">
        <v>1</v>
      </c>
    </row>
    <row r="100" spans="2:8" ht="15" x14ac:dyDescent="0.25">
      <c r="B100"/>
      <c r="C100"/>
      <c r="D100"/>
    </row>
    <row r="101" spans="2:8" ht="15" x14ac:dyDescent="0.25">
      <c r="B101"/>
      <c r="C101"/>
      <c r="D101"/>
    </row>
    <row r="102" spans="2:8" ht="15" x14ac:dyDescent="0.25">
      <c r="B102"/>
      <c r="C102"/>
      <c r="D102"/>
    </row>
    <row r="109" spans="2:8" x14ac:dyDescent="0.2">
      <c r="B109" s="128" t="s">
        <v>62</v>
      </c>
      <c r="C109" s="1" t="s">
        <v>410</v>
      </c>
    </row>
    <row r="110" spans="2:8" x14ac:dyDescent="0.2">
      <c r="B110" s="128" t="s">
        <v>9</v>
      </c>
      <c r="C110" s="1" t="s">
        <v>394</v>
      </c>
    </row>
    <row r="112" spans="2:8" x14ac:dyDescent="0.2">
      <c r="B112" s="144" t="s">
        <v>3</v>
      </c>
      <c r="C112" s="100" t="s">
        <v>437</v>
      </c>
      <c r="D112" s="100" t="s">
        <v>462</v>
      </c>
      <c r="E112" s="128"/>
      <c r="F112" s="128"/>
      <c r="G112" s="128"/>
      <c r="H112" s="128"/>
    </row>
    <row r="113" spans="2:4" x14ac:dyDescent="0.2">
      <c r="B113" s="129" t="s">
        <v>131</v>
      </c>
      <c r="C113" s="74">
        <v>5542500</v>
      </c>
      <c r="D113" s="151">
        <v>2.8445850233145113E-2</v>
      </c>
    </row>
    <row r="114" spans="2:4" x14ac:dyDescent="0.2">
      <c r="B114" s="129" t="s">
        <v>137</v>
      </c>
      <c r="C114" s="74">
        <v>35660000</v>
      </c>
      <c r="D114" s="151">
        <v>0.18301831652033465</v>
      </c>
    </row>
    <row r="115" spans="2:4" x14ac:dyDescent="0.2">
      <c r="B115" s="129" t="s">
        <v>135</v>
      </c>
      <c r="C115" s="74">
        <v>23231900</v>
      </c>
      <c r="D115" s="151">
        <v>0.11923340514774992</v>
      </c>
    </row>
    <row r="116" spans="2:4" x14ac:dyDescent="0.2">
      <c r="B116" s="129" t="s">
        <v>139</v>
      </c>
      <c r="C116" s="74">
        <v>2239051.601140053</v>
      </c>
      <c r="D116" s="151">
        <v>1.1491515834066525E-2</v>
      </c>
    </row>
    <row r="117" spans="2:4" x14ac:dyDescent="0.2">
      <c r="B117" s="129" t="s">
        <v>134</v>
      </c>
      <c r="C117" s="74">
        <v>26365000</v>
      </c>
      <c r="D117" s="151">
        <v>0.13531345807791989</v>
      </c>
    </row>
    <row r="118" spans="2:4" x14ac:dyDescent="0.2">
      <c r="B118" s="129" t="s">
        <v>306</v>
      </c>
      <c r="C118" s="74">
        <v>366982.76315870433</v>
      </c>
      <c r="D118" s="151">
        <v>1.8834707657119111E-3</v>
      </c>
    </row>
    <row r="119" spans="2:4" x14ac:dyDescent="0.2">
      <c r="B119" s="129" t="s">
        <v>132</v>
      </c>
      <c r="C119" s="74">
        <v>3250000</v>
      </c>
      <c r="D119" s="151">
        <v>1.6680020434410758E-2</v>
      </c>
    </row>
    <row r="120" spans="2:4" x14ac:dyDescent="0.2">
      <c r="B120" s="129" t="s">
        <v>118</v>
      </c>
      <c r="C120" s="74">
        <v>8075000</v>
      </c>
      <c r="D120" s="151">
        <v>4.144343538703596E-2</v>
      </c>
    </row>
    <row r="121" spans="2:4" x14ac:dyDescent="0.2">
      <c r="B121" s="129" t="s">
        <v>305</v>
      </c>
      <c r="C121" s="74">
        <v>3293965.6357012424</v>
      </c>
      <c r="D121" s="151">
        <v>1.690566588115186E-2</v>
      </c>
    </row>
    <row r="122" spans="2:4" x14ac:dyDescent="0.2">
      <c r="B122" s="129" t="s">
        <v>138</v>
      </c>
      <c r="C122" s="74">
        <v>21160735.294117644</v>
      </c>
      <c r="D122" s="151">
        <v>0.10860353757324284</v>
      </c>
    </row>
    <row r="123" spans="2:4" x14ac:dyDescent="0.2">
      <c r="B123" s="129" t="s">
        <v>136</v>
      </c>
      <c r="C123" s="74">
        <v>20432686</v>
      </c>
      <c r="D123" s="151">
        <v>0.10486696000304573</v>
      </c>
    </row>
    <row r="124" spans="2:4" x14ac:dyDescent="0.2">
      <c r="B124" s="129" t="s">
        <v>129</v>
      </c>
      <c r="C124" s="74">
        <v>33839264.705882356</v>
      </c>
      <c r="D124" s="151">
        <v>0.17367373131678535</v>
      </c>
    </row>
    <row r="125" spans="2:4" x14ac:dyDescent="0.2">
      <c r="B125" s="129" t="s">
        <v>623</v>
      </c>
      <c r="C125" s="74">
        <v>11386800</v>
      </c>
      <c r="D125" s="151">
        <v>5.8440632825399512E-2</v>
      </c>
    </row>
    <row r="126" spans="2:4" x14ac:dyDescent="0.2">
      <c r="B126" s="129" t="s">
        <v>91</v>
      </c>
      <c r="C126" s="74">
        <v>194843886</v>
      </c>
      <c r="D126" s="151">
        <v>1</v>
      </c>
    </row>
    <row r="127" spans="2:4" ht="15" x14ac:dyDescent="0.25">
      <c r="B127"/>
      <c r="C127"/>
      <c r="D127"/>
    </row>
    <row r="128" spans="2:4" ht="15" x14ac:dyDescent="0.25">
      <c r="B128"/>
      <c r="C128"/>
      <c r="D128"/>
    </row>
    <row r="129" spans="2:4" ht="15" x14ac:dyDescent="0.25">
      <c r="B129"/>
      <c r="C129"/>
      <c r="D129"/>
    </row>
    <row r="130" spans="2:4" ht="15" x14ac:dyDescent="0.25">
      <c r="B130"/>
      <c r="C130"/>
      <c r="D130"/>
    </row>
    <row r="131" spans="2:4" ht="15" x14ac:dyDescent="0.25">
      <c r="B131"/>
      <c r="C131"/>
      <c r="D131"/>
    </row>
  </sheetData>
  <sheetProtection algorithmName="SHA-512" hashValue="TtPeiKPklLyQwVvYkTGGfqumzRWE1axCVQw9K336X346TqB4DO0v9fkcFtouc+XdR5Zuooq/7iQ9CMVzJsvlOg==" saltValue="h3+RUyTtUbBCZx1RA5CVjw==" spinCount="100000" sheet="1" objects="1" scenarios="1"/>
  <pageMargins left="0.7" right="0.7" top="0.75" bottom="0.75" header="0.3" footer="0.3"/>
  <pageSetup orientation="portrait" horizontalDpi="1200" verticalDpi="1200" r:id="rId6"/>
  <drawing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FD350-1140-468E-9D55-04087EC71C65}">
  <sheetPr>
    <tabColor theme="9" tint="0.59999389629810485"/>
  </sheetPr>
  <dimension ref="B2:D96"/>
  <sheetViews>
    <sheetView showGridLines="0" zoomScaleNormal="100" workbookViewId="0">
      <selection activeCell="C75" sqref="C75:C76"/>
    </sheetView>
  </sheetViews>
  <sheetFormatPr defaultColWidth="9.140625" defaultRowHeight="12.75" x14ac:dyDescent="0.2"/>
  <cols>
    <col min="1" max="1" width="6.85546875" style="1" customWidth="1"/>
    <col min="2" max="2" width="12.140625" style="1" bestFit="1" customWidth="1"/>
    <col min="3" max="3" width="18.28515625" style="1" bestFit="1" customWidth="1"/>
    <col min="4" max="4" width="13.5703125" style="1" bestFit="1" customWidth="1"/>
    <col min="5" max="8" width="36.140625" style="1" bestFit="1" customWidth="1"/>
    <col min="9" max="9" width="24.7109375" style="1" bestFit="1" customWidth="1"/>
    <col min="10" max="16384" width="9.140625" style="1"/>
  </cols>
  <sheetData>
    <row r="2" spans="2:4" x14ac:dyDescent="0.2">
      <c r="B2" s="91" t="s">
        <v>507</v>
      </c>
    </row>
    <row r="3" spans="2:4" x14ac:dyDescent="0.2">
      <c r="B3" s="154" t="str">
        <f>'Geo Sum'!B3</f>
        <v>Last Update - 11/17/2020 - AEC</v>
      </c>
    </row>
    <row r="5" spans="2:4" s="115" customFormat="1" x14ac:dyDescent="0.2">
      <c r="B5" s="128" t="s">
        <v>490</v>
      </c>
      <c r="C5" s="115" t="s">
        <v>413</v>
      </c>
      <c r="D5" s="115" t="s">
        <v>462</v>
      </c>
    </row>
    <row r="6" spans="2:4" x14ac:dyDescent="0.2">
      <c r="B6" s="129" t="s">
        <v>81</v>
      </c>
      <c r="C6" s="74">
        <v>92391279.739999995</v>
      </c>
      <c r="D6" s="151">
        <v>0.10412443732653476</v>
      </c>
    </row>
    <row r="7" spans="2:4" x14ac:dyDescent="0.2">
      <c r="B7" s="129" t="s">
        <v>221</v>
      </c>
      <c r="C7" s="74">
        <v>3916686</v>
      </c>
      <c r="D7" s="151">
        <v>4.4140824446027545E-3</v>
      </c>
    </row>
    <row r="8" spans="2:4" x14ac:dyDescent="0.2">
      <c r="B8" s="129" t="s">
        <v>141</v>
      </c>
      <c r="C8" s="74">
        <v>5000000</v>
      </c>
      <c r="D8" s="151">
        <v>5.6349710502740765E-3</v>
      </c>
    </row>
    <row r="9" spans="2:4" x14ac:dyDescent="0.2">
      <c r="B9" s="129" t="s">
        <v>97</v>
      </c>
      <c r="C9" s="74">
        <v>720246065.52999985</v>
      </c>
      <c r="D9" s="151">
        <v>0.81171314566707087</v>
      </c>
    </row>
    <row r="10" spans="2:4" x14ac:dyDescent="0.2">
      <c r="B10" s="129" t="s">
        <v>82</v>
      </c>
      <c r="C10" s="74">
        <v>12948737.619999999</v>
      </c>
      <c r="D10" s="151">
        <v>1.4593152325258967E-2</v>
      </c>
    </row>
    <row r="11" spans="2:4" x14ac:dyDescent="0.2">
      <c r="B11" s="129" t="s">
        <v>80</v>
      </c>
      <c r="C11" s="74">
        <v>52813236</v>
      </c>
      <c r="D11" s="151">
        <v>5.9520211186258533E-2</v>
      </c>
    </row>
    <row r="12" spans="2:4" x14ac:dyDescent="0.2">
      <c r="B12" s="129" t="s">
        <v>91</v>
      </c>
      <c r="C12" s="74">
        <v>887316004.88999987</v>
      </c>
      <c r="D12" s="151">
        <v>1</v>
      </c>
    </row>
    <row r="13" spans="2:4" x14ac:dyDescent="0.2">
      <c r="B13" s="129"/>
      <c r="C13" s="74"/>
      <c r="D13" s="151"/>
    </row>
    <row r="14" spans="2:4" ht="15" x14ac:dyDescent="0.25">
      <c r="B14"/>
      <c r="C14"/>
      <c r="D14"/>
    </row>
    <row r="15" spans="2:4" ht="15" x14ac:dyDescent="0.25">
      <c r="B15"/>
      <c r="C15"/>
      <c r="D15"/>
    </row>
    <row r="16" spans="2:4" x14ac:dyDescent="0.2">
      <c r="B16" s="129"/>
      <c r="C16" s="74"/>
    </row>
    <row r="17" spans="2:4" x14ac:dyDescent="0.2">
      <c r="B17" s="129"/>
      <c r="C17" s="74"/>
    </row>
    <row r="18" spans="2:4" x14ac:dyDescent="0.2">
      <c r="B18" s="128" t="s">
        <v>59</v>
      </c>
      <c r="C18" s="1" t="s">
        <v>394</v>
      </c>
    </row>
    <row r="20" spans="2:4" x14ac:dyDescent="0.2">
      <c r="B20" s="128" t="s">
        <v>490</v>
      </c>
      <c r="C20" s="100" t="s">
        <v>433</v>
      </c>
      <c r="D20" s="100" t="s">
        <v>462</v>
      </c>
    </row>
    <row r="21" spans="2:4" x14ac:dyDescent="0.2">
      <c r="B21" s="129" t="s">
        <v>81</v>
      </c>
      <c r="C21" s="74">
        <v>2822661</v>
      </c>
      <c r="D21" s="151">
        <v>8.4097939269493119E-2</v>
      </c>
    </row>
    <row r="22" spans="2:4" x14ac:dyDescent="0.2">
      <c r="B22" s="129" t="s">
        <v>221</v>
      </c>
      <c r="C22" s="74">
        <v>1790987.44</v>
      </c>
      <c r="D22" s="151">
        <v>5.3360411668827733E-2</v>
      </c>
    </row>
    <row r="23" spans="2:4" x14ac:dyDescent="0.2">
      <c r="B23" s="129" t="s">
        <v>141</v>
      </c>
      <c r="C23" s="74"/>
      <c r="D23" s="151">
        <v>0</v>
      </c>
    </row>
    <row r="24" spans="2:4" x14ac:dyDescent="0.2">
      <c r="B24" s="129" t="s">
        <v>97</v>
      </c>
      <c r="C24" s="74">
        <v>19862225</v>
      </c>
      <c r="D24" s="151">
        <v>0.59177215818938511</v>
      </c>
    </row>
    <row r="25" spans="2:4" x14ac:dyDescent="0.2">
      <c r="B25" s="129" t="s">
        <v>82</v>
      </c>
      <c r="C25" s="74">
        <v>1890000</v>
      </c>
      <c r="D25" s="151">
        <v>5.6310377058861126E-2</v>
      </c>
    </row>
    <row r="26" spans="2:4" x14ac:dyDescent="0.2">
      <c r="B26" s="129" t="s">
        <v>80</v>
      </c>
      <c r="C26" s="74">
        <v>7198100</v>
      </c>
      <c r="D26" s="151">
        <v>0.21445911381343294</v>
      </c>
    </row>
    <row r="27" spans="2:4" x14ac:dyDescent="0.2">
      <c r="B27" s="129" t="s">
        <v>91</v>
      </c>
      <c r="C27" s="74">
        <v>33563973.439999998</v>
      </c>
      <c r="D27" s="151">
        <v>1</v>
      </c>
    </row>
    <row r="28" spans="2:4" ht="15" x14ac:dyDescent="0.25">
      <c r="B28"/>
      <c r="C28"/>
    </row>
    <row r="29" spans="2:4" ht="15" x14ac:dyDescent="0.25">
      <c r="B29"/>
      <c r="C29"/>
    </row>
    <row r="30" spans="2:4" ht="15" x14ac:dyDescent="0.25">
      <c r="B30"/>
      <c r="C30"/>
    </row>
    <row r="31" spans="2:4" ht="15" x14ac:dyDescent="0.25">
      <c r="B31"/>
      <c r="C31"/>
    </row>
    <row r="32" spans="2:4" ht="15" x14ac:dyDescent="0.25">
      <c r="B32"/>
      <c r="C32"/>
    </row>
    <row r="33" spans="2:4" ht="15" x14ac:dyDescent="0.25">
      <c r="B33"/>
      <c r="C33"/>
    </row>
    <row r="34" spans="2:4" ht="15" x14ac:dyDescent="0.25">
      <c r="B34"/>
      <c r="C34"/>
    </row>
    <row r="35" spans="2:4" ht="15" x14ac:dyDescent="0.25">
      <c r="B35"/>
      <c r="C35"/>
    </row>
    <row r="36" spans="2:4" ht="15" x14ac:dyDescent="0.25">
      <c r="B36"/>
      <c r="C36"/>
    </row>
    <row r="37" spans="2:4" ht="15" x14ac:dyDescent="0.25">
      <c r="B37"/>
      <c r="C37"/>
    </row>
    <row r="38" spans="2:4" ht="15" x14ac:dyDescent="0.25">
      <c r="B38"/>
      <c r="C38"/>
    </row>
    <row r="39" spans="2:4" x14ac:dyDescent="0.2">
      <c r="B39" s="128" t="s">
        <v>169</v>
      </c>
      <c r="C39" s="1" t="s">
        <v>394</v>
      </c>
    </row>
    <row r="41" spans="2:4" s="115" customFormat="1" ht="25.5" x14ac:dyDescent="0.2">
      <c r="B41" s="131" t="s">
        <v>490</v>
      </c>
      <c r="C41" s="115" t="s">
        <v>434</v>
      </c>
      <c r="D41" s="115" t="s">
        <v>463</v>
      </c>
    </row>
    <row r="42" spans="2:4" x14ac:dyDescent="0.2">
      <c r="B42" s="129" t="s">
        <v>81</v>
      </c>
      <c r="C42" s="74">
        <v>16375264.868035192</v>
      </c>
      <c r="D42" s="151">
        <v>0.19872295270336424</v>
      </c>
    </row>
    <row r="43" spans="2:4" x14ac:dyDescent="0.2">
      <c r="B43" s="129" t="s">
        <v>221</v>
      </c>
      <c r="C43" s="74">
        <v>393912.19354838709</v>
      </c>
      <c r="D43" s="151">
        <v>4.7803436975604194E-3</v>
      </c>
    </row>
    <row r="44" spans="2:4" x14ac:dyDescent="0.2">
      <c r="B44" s="129" t="s">
        <v>141</v>
      </c>
      <c r="C44" s="74">
        <v>1000000</v>
      </c>
      <c r="D44" s="151">
        <v>1.2135556542433397E-2</v>
      </c>
    </row>
    <row r="45" spans="2:4" x14ac:dyDescent="0.2">
      <c r="B45" s="129" t="s">
        <v>97</v>
      </c>
      <c r="C45" s="74">
        <v>56186457.650117308</v>
      </c>
      <c r="D45" s="151">
        <v>0.68185393373203806</v>
      </c>
    </row>
    <row r="46" spans="2:4" x14ac:dyDescent="0.2">
      <c r="B46" s="129" t="s">
        <v>82</v>
      </c>
      <c r="C46" s="74">
        <v>415689.14956011728</v>
      </c>
      <c r="D46" s="151">
        <v>5.0446191785628565E-3</v>
      </c>
    </row>
    <row r="47" spans="2:4" x14ac:dyDescent="0.2">
      <c r="B47" s="129" t="s">
        <v>80</v>
      </c>
      <c r="C47" s="74">
        <v>8031159.824046921</v>
      </c>
      <c r="D47" s="151">
        <v>9.746259414604086E-2</v>
      </c>
    </row>
    <row r="48" spans="2:4" x14ac:dyDescent="0.2">
      <c r="B48" s="129" t="s">
        <v>91</v>
      </c>
      <c r="C48" s="74">
        <v>82402483.685307935</v>
      </c>
      <c r="D48" s="151">
        <v>1</v>
      </c>
    </row>
    <row r="49" spans="2:3" ht="15" x14ac:dyDescent="0.25">
      <c r="B49"/>
      <c r="C49"/>
    </row>
    <row r="50" spans="2:3" ht="15" x14ac:dyDescent="0.25">
      <c r="B50"/>
      <c r="C50"/>
    </row>
    <row r="51" spans="2:3" ht="15" x14ac:dyDescent="0.25">
      <c r="B51"/>
      <c r="C51"/>
    </row>
    <row r="52" spans="2:3" ht="15" x14ac:dyDescent="0.25">
      <c r="B52"/>
      <c r="C52"/>
    </row>
    <row r="53" spans="2:3" ht="15" x14ac:dyDescent="0.25">
      <c r="B53"/>
      <c r="C53"/>
    </row>
    <row r="54" spans="2:3" ht="15" x14ac:dyDescent="0.25">
      <c r="B54"/>
      <c r="C54"/>
    </row>
    <row r="55" spans="2:3" ht="15" x14ac:dyDescent="0.25">
      <c r="B55"/>
      <c r="C55"/>
    </row>
    <row r="56" spans="2:3" ht="15" x14ac:dyDescent="0.25">
      <c r="B56"/>
      <c r="C56"/>
    </row>
    <row r="57" spans="2:3" ht="15" x14ac:dyDescent="0.25">
      <c r="B57"/>
      <c r="C57"/>
    </row>
    <row r="58" spans="2:3" ht="15" x14ac:dyDescent="0.25">
      <c r="B58"/>
      <c r="C58"/>
    </row>
    <row r="59" spans="2:3" ht="15" x14ac:dyDescent="0.25">
      <c r="B59"/>
      <c r="C59"/>
    </row>
    <row r="63" spans="2:3" x14ac:dyDescent="0.2">
      <c r="B63" s="128" t="s">
        <v>61</v>
      </c>
      <c r="C63" s="1" t="s">
        <v>394</v>
      </c>
    </row>
    <row r="65" spans="2:4" x14ac:dyDescent="0.2">
      <c r="B65" s="131" t="s">
        <v>490</v>
      </c>
      <c r="C65" s="100" t="s">
        <v>436</v>
      </c>
      <c r="D65" s="100" t="s">
        <v>462</v>
      </c>
    </row>
    <row r="66" spans="2:4" x14ac:dyDescent="0.2">
      <c r="B66" s="129" t="s">
        <v>81</v>
      </c>
      <c r="C66" s="74">
        <v>29050672.990000002</v>
      </c>
      <c r="D66" s="151">
        <v>0.16950415800069141</v>
      </c>
    </row>
    <row r="67" spans="2:4" x14ac:dyDescent="0.2">
      <c r="B67" s="129" t="s">
        <v>221</v>
      </c>
      <c r="C67" s="74">
        <v>870698.56</v>
      </c>
      <c r="D67" s="151">
        <v>5.0803307150928236E-3</v>
      </c>
    </row>
    <row r="68" spans="2:4" x14ac:dyDescent="0.2">
      <c r="B68" s="129" t="s">
        <v>141</v>
      </c>
      <c r="C68" s="74">
        <v>4000000</v>
      </c>
      <c r="D68" s="151">
        <v>2.3339102410335093E-2</v>
      </c>
    </row>
    <row r="69" spans="2:4" x14ac:dyDescent="0.2">
      <c r="B69" s="129" t="s">
        <v>97</v>
      </c>
      <c r="C69" s="74">
        <v>127175627.30000001</v>
      </c>
      <c r="D69" s="151">
        <v>0.74204124741332689</v>
      </c>
    </row>
    <row r="70" spans="2:4" x14ac:dyDescent="0.2">
      <c r="B70" s="129" t="s">
        <v>82</v>
      </c>
      <c r="C70" s="74">
        <v>1814198</v>
      </c>
      <c r="D70" s="151">
        <v>1.0585438228656275E-2</v>
      </c>
    </row>
    <row r="71" spans="2:4" x14ac:dyDescent="0.2">
      <c r="B71" s="129" t="s">
        <v>80</v>
      </c>
      <c r="C71" s="74">
        <v>8475000</v>
      </c>
      <c r="D71" s="151">
        <v>4.9449723231897474E-2</v>
      </c>
    </row>
    <row r="72" spans="2:4" x14ac:dyDescent="0.2">
      <c r="B72" s="129" t="s">
        <v>91</v>
      </c>
      <c r="C72" s="74">
        <v>171386196.85000002</v>
      </c>
      <c r="D72" s="151">
        <v>1</v>
      </c>
    </row>
    <row r="75" spans="2:4" x14ac:dyDescent="0.2">
      <c r="C75" s="147">
        <v>3750000</v>
      </c>
    </row>
    <row r="76" spans="2:4" x14ac:dyDescent="0.2">
      <c r="C76" s="147">
        <f>C75+GETPIVOTDATA("Sum of Fund III Equity",$B$65)</f>
        <v>175136196.85000002</v>
      </c>
    </row>
    <row r="87" spans="2:4" x14ac:dyDescent="0.2">
      <c r="B87" s="128" t="s">
        <v>62</v>
      </c>
      <c r="C87" s="1" t="s">
        <v>394</v>
      </c>
    </row>
    <row r="89" spans="2:4" x14ac:dyDescent="0.2">
      <c r="B89" s="132" t="s">
        <v>490</v>
      </c>
      <c r="C89" s="100" t="s">
        <v>437</v>
      </c>
      <c r="D89" s="100" t="s">
        <v>462</v>
      </c>
    </row>
    <row r="90" spans="2:4" x14ac:dyDescent="0.2">
      <c r="B90" s="129" t="s">
        <v>81</v>
      </c>
      <c r="C90" s="74">
        <v>9150000</v>
      </c>
      <c r="D90" s="151">
        <v>4.6960672915341055E-2</v>
      </c>
    </row>
    <row r="91" spans="2:4" x14ac:dyDescent="0.2">
      <c r="B91" s="129" t="s">
        <v>221</v>
      </c>
      <c r="C91" s="74"/>
      <c r="D91" s="151">
        <v>0</v>
      </c>
    </row>
    <row r="92" spans="2:4" x14ac:dyDescent="0.2">
      <c r="B92" s="129" t="s">
        <v>141</v>
      </c>
      <c r="C92" s="74"/>
      <c r="D92" s="151">
        <v>0</v>
      </c>
    </row>
    <row r="93" spans="2:4" x14ac:dyDescent="0.2">
      <c r="B93" s="129" t="s">
        <v>97</v>
      </c>
      <c r="C93" s="74">
        <v>185693886</v>
      </c>
      <c r="D93" s="151">
        <v>0.95303932708465899</v>
      </c>
    </row>
    <row r="94" spans="2:4" x14ac:dyDescent="0.2">
      <c r="B94" s="129" t="s">
        <v>82</v>
      </c>
      <c r="C94" s="74"/>
      <c r="D94" s="151">
        <v>0</v>
      </c>
    </row>
    <row r="95" spans="2:4" x14ac:dyDescent="0.2">
      <c r="B95" s="129" t="s">
        <v>80</v>
      </c>
      <c r="C95" s="74"/>
      <c r="D95" s="151">
        <v>0</v>
      </c>
    </row>
    <row r="96" spans="2:4" x14ac:dyDescent="0.2">
      <c r="B96" s="129" t="s">
        <v>91</v>
      </c>
      <c r="C96" s="74">
        <v>194843886</v>
      </c>
      <c r="D96" s="151">
        <v>1</v>
      </c>
    </row>
  </sheetData>
  <sheetProtection algorithmName="SHA-512" hashValue="d5clgUUKuNSYAgQGSEuq+GWH9DdlbcJqfI1pW1vjvOdi/l2tO7HNS17E1pW/X9z05/bGLuUTFsnJ281OpY98pw==" saltValue="S0+LSaLODFZ3fl+aULLz6A==" spinCount="100000" sheet="1" objects="1" scenarios="1"/>
  <pageMargins left="0.7" right="0.7" top="0.75" bottom="0.75" header="0.3" footer="0.3"/>
  <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8C60F-1689-45AA-812F-235E15CFC51F}">
  <sheetPr>
    <tabColor theme="9" tint="0.59999389629810485"/>
  </sheetPr>
  <dimension ref="B2:Q86"/>
  <sheetViews>
    <sheetView showGridLines="0" topLeftCell="A46" workbookViewId="0">
      <selection activeCell="M15" sqref="M15"/>
    </sheetView>
  </sheetViews>
  <sheetFormatPr defaultColWidth="9.140625" defaultRowHeight="12.75" x14ac:dyDescent="0.2"/>
  <cols>
    <col min="1" max="1" width="4.28515625" style="1" customWidth="1"/>
    <col min="2" max="2" width="16" style="1" customWidth="1"/>
    <col min="3" max="3" width="16" style="1" bestFit="1" customWidth="1"/>
    <col min="4" max="4" width="12" style="1" bestFit="1" customWidth="1"/>
    <col min="5" max="5" width="13.28515625" style="1" bestFit="1" customWidth="1"/>
    <col min="6" max="6" width="12.42578125" style="1" bestFit="1" customWidth="1"/>
    <col min="7" max="7" width="12.7109375" style="1" bestFit="1" customWidth="1"/>
    <col min="8" max="8" width="13.5703125" style="1" bestFit="1" customWidth="1"/>
    <col min="9" max="9" width="12.85546875" style="1" bestFit="1" customWidth="1"/>
    <col min="10" max="10" width="12" style="1" bestFit="1" customWidth="1"/>
    <col min="11" max="11" width="12.5703125" style="1" customWidth="1"/>
    <col min="12" max="12" width="14.140625" style="1" customWidth="1"/>
    <col min="13" max="13" width="16.7109375" style="1" bestFit="1" customWidth="1"/>
    <col min="14" max="14" width="12" style="1" bestFit="1" customWidth="1"/>
    <col min="15" max="15" width="16" style="1" bestFit="1" customWidth="1"/>
    <col min="16" max="16384" width="9.140625" style="1"/>
  </cols>
  <sheetData>
    <row r="2" spans="2:17" x14ac:dyDescent="0.2">
      <c r="B2" s="91" t="s">
        <v>489</v>
      </c>
    </row>
    <row r="3" spans="2:17" x14ac:dyDescent="0.2">
      <c r="B3" s="154" t="str">
        <f>'Asset Class'!$B$3</f>
        <v>Last Update - 11/17/2020 - AEC</v>
      </c>
    </row>
    <row r="5" spans="2:17" x14ac:dyDescent="0.2">
      <c r="B5" s="129"/>
      <c r="C5" s="74"/>
    </row>
    <row r="6" spans="2:17" x14ac:dyDescent="0.2">
      <c r="B6" s="128" t="s">
        <v>402</v>
      </c>
      <c r="C6" s="1" t="s">
        <v>394</v>
      </c>
      <c r="M6" s="128" t="s">
        <v>402</v>
      </c>
      <c r="N6" s="1" t="s">
        <v>394</v>
      </c>
    </row>
    <row r="7" spans="2:17" x14ac:dyDescent="0.2">
      <c r="B7" s="229" t="s">
        <v>9</v>
      </c>
      <c r="C7" s="154" t="s">
        <v>49</v>
      </c>
      <c r="M7" s="128" t="s">
        <v>9</v>
      </c>
      <c r="N7" s="1" t="s">
        <v>49</v>
      </c>
    </row>
    <row r="9" spans="2:17" s="115" customFormat="1" ht="51" x14ac:dyDescent="0.2">
      <c r="B9" s="132" t="s">
        <v>490</v>
      </c>
      <c r="C9" s="115" t="s">
        <v>491</v>
      </c>
      <c r="D9" s="115" t="s">
        <v>433</v>
      </c>
      <c r="E9" s="115" t="s">
        <v>434</v>
      </c>
      <c r="F9" s="115" t="s">
        <v>436</v>
      </c>
      <c r="G9" s="115" t="s">
        <v>437</v>
      </c>
      <c r="H9" s="115" t="s">
        <v>447</v>
      </c>
      <c r="I9" s="115" t="s">
        <v>448</v>
      </c>
      <c r="J9" s="115" t="s">
        <v>492</v>
      </c>
      <c r="K9" s="187" t="s">
        <v>191</v>
      </c>
      <c r="M9" s="132" t="s">
        <v>490</v>
      </c>
      <c r="N9" s="115" t="s">
        <v>413</v>
      </c>
      <c r="O9" s="131"/>
      <c r="P9" s="131"/>
      <c r="Q9" s="131"/>
    </row>
    <row r="10" spans="2:17" x14ac:dyDescent="0.2">
      <c r="B10" s="129" t="s">
        <v>81</v>
      </c>
      <c r="C10" s="74"/>
      <c r="D10" s="74">
        <v>1374829</v>
      </c>
      <c r="E10" s="74">
        <v>10502381.744868034</v>
      </c>
      <c r="F10" s="74">
        <v>23150672.990000002</v>
      </c>
      <c r="G10" s="74">
        <v>9150000</v>
      </c>
      <c r="H10" s="74">
        <v>11725000</v>
      </c>
      <c r="I10" s="74">
        <v>3231447.59</v>
      </c>
      <c r="J10" s="74"/>
      <c r="K10" s="74">
        <f>SUM(C10:J10)</f>
        <v>59134331.324868038</v>
      </c>
      <c r="L10" s="74"/>
      <c r="M10" s="129" t="s">
        <v>81</v>
      </c>
      <c r="N10" s="74">
        <v>66285297.57</v>
      </c>
    </row>
    <row r="11" spans="2:17" x14ac:dyDescent="0.2">
      <c r="B11" s="129" t="s">
        <v>221</v>
      </c>
      <c r="C11" s="74"/>
      <c r="D11" s="74">
        <v>200000</v>
      </c>
      <c r="E11" s="74">
        <v>43988.269794721404</v>
      </c>
      <c r="F11" s="74">
        <v>870698.56</v>
      </c>
      <c r="G11" s="74"/>
      <c r="H11" s="74"/>
      <c r="I11" s="74"/>
      <c r="J11" s="74"/>
      <c r="K11" s="74">
        <f t="shared" ref="K11:K15" si="0">SUM(C11:J11)</f>
        <v>1114686.8297947214</v>
      </c>
      <c r="L11" s="74"/>
      <c r="M11" s="129" t="s">
        <v>221</v>
      </c>
      <c r="N11" s="74">
        <v>1470698.56</v>
      </c>
    </row>
    <row r="12" spans="2:17" x14ac:dyDescent="0.2">
      <c r="B12" s="129" t="s">
        <v>141</v>
      </c>
      <c r="C12" s="74"/>
      <c r="D12" s="74"/>
      <c r="E12" s="74">
        <v>1000000</v>
      </c>
      <c r="F12" s="74">
        <v>1500000</v>
      </c>
      <c r="G12" s="74"/>
      <c r="H12" s="74"/>
      <c r="I12" s="74"/>
      <c r="J12" s="74"/>
      <c r="K12" s="74">
        <f t="shared" si="0"/>
        <v>2500000</v>
      </c>
      <c r="L12" s="74"/>
      <c r="M12" s="129" t="s">
        <v>141</v>
      </c>
      <c r="N12" s="74">
        <v>2500000</v>
      </c>
    </row>
    <row r="13" spans="2:17" x14ac:dyDescent="0.2">
      <c r="B13" s="129" t="s">
        <v>97</v>
      </c>
      <c r="C13" s="74">
        <v>4406616</v>
      </c>
      <c r="D13" s="74">
        <v>750000</v>
      </c>
      <c r="E13" s="74">
        <v>25682889.101730205</v>
      </c>
      <c r="F13" s="74">
        <v>118070627.30000001</v>
      </c>
      <c r="G13" s="74">
        <v>143482086</v>
      </c>
      <c r="H13" s="74">
        <v>66745000</v>
      </c>
      <c r="I13" s="74">
        <v>88973863.930000007</v>
      </c>
      <c r="J13" s="74"/>
      <c r="K13" s="74">
        <f t="shared" si="0"/>
        <v>448111082.33173019</v>
      </c>
      <c r="L13" s="74"/>
      <c r="M13" s="129" t="s">
        <v>97</v>
      </c>
      <c r="N13" s="74">
        <v>545490381.1099999</v>
      </c>
    </row>
    <row r="14" spans="2:17" x14ac:dyDescent="0.2">
      <c r="B14" s="129" t="s">
        <v>82</v>
      </c>
      <c r="C14" s="74"/>
      <c r="D14" s="74"/>
      <c r="E14" s="74">
        <v>0</v>
      </c>
      <c r="F14" s="74">
        <v>1814198</v>
      </c>
      <c r="G14" s="74"/>
      <c r="H14" s="74"/>
      <c r="I14" s="74"/>
      <c r="J14" s="74"/>
      <c r="K14" s="74">
        <f t="shared" si="0"/>
        <v>1814198</v>
      </c>
      <c r="L14" s="74"/>
      <c r="M14" s="129" t="s">
        <v>82</v>
      </c>
      <c r="N14" s="74">
        <v>2418931</v>
      </c>
    </row>
    <row r="15" spans="2:17" x14ac:dyDescent="0.2">
      <c r="B15" s="129" t="s">
        <v>80</v>
      </c>
      <c r="C15" s="74">
        <v>2200001</v>
      </c>
      <c r="D15" s="74"/>
      <c r="E15" s="74">
        <v>4948000</v>
      </c>
      <c r="F15" s="74"/>
      <c r="G15" s="74"/>
      <c r="H15" s="74">
        <v>2000000</v>
      </c>
      <c r="I15" s="74"/>
      <c r="J15" s="74"/>
      <c r="K15" s="74">
        <f t="shared" si="0"/>
        <v>9148001</v>
      </c>
      <c r="L15" s="74"/>
      <c r="M15" s="129" t="s">
        <v>80</v>
      </c>
      <c r="N15" s="74">
        <v>9920001</v>
      </c>
    </row>
    <row r="16" spans="2:17" x14ac:dyDescent="0.2">
      <c r="B16" s="129" t="s">
        <v>91</v>
      </c>
      <c r="C16" s="74">
        <v>6606617</v>
      </c>
      <c r="D16" s="74">
        <v>2324829</v>
      </c>
      <c r="E16" s="74">
        <v>42177259.116392963</v>
      </c>
      <c r="F16" s="74">
        <v>145406196.85000002</v>
      </c>
      <c r="G16" s="74">
        <v>152632086</v>
      </c>
      <c r="H16" s="74">
        <v>80470000</v>
      </c>
      <c r="I16" s="74">
        <v>92205311.520000011</v>
      </c>
      <c r="J16" s="74"/>
      <c r="K16" s="186">
        <f>SUM(K10:K15)</f>
        <v>521822299.48639297</v>
      </c>
      <c r="L16" s="74"/>
      <c r="M16" s="129" t="s">
        <v>91</v>
      </c>
      <c r="N16" s="74">
        <v>628085309.23999989</v>
      </c>
    </row>
    <row r="17" spans="2:14" x14ac:dyDescent="0.2">
      <c r="B17" s="129"/>
      <c r="C17" s="74"/>
      <c r="D17" s="74"/>
      <c r="E17" s="74"/>
      <c r="F17" s="74"/>
      <c r="G17" s="74"/>
      <c r="H17" s="74"/>
      <c r="M17" s="129"/>
      <c r="N17" s="74"/>
    </row>
    <row r="18" spans="2:14" ht="15" x14ac:dyDescent="0.25">
      <c r="B18" s="228" t="s">
        <v>608</v>
      </c>
      <c r="C18"/>
      <c r="D18"/>
      <c r="E18"/>
      <c r="F18"/>
      <c r="G18"/>
      <c r="H18"/>
    </row>
    <row r="19" spans="2:14" ht="15" x14ac:dyDescent="0.25">
      <c r="B19" s="228"/>
      <c r="C19"/>
      <c r="D19"/>
      <c r="E19"/>
      <c r="F19"/>
      <c r="G19"/>
      <c r="H19"/>
    </row>
    <row r="20" spans="2:14" ht="15" x14ac:dyDescent="0.25">
      <c r="B20" s="128" t="s">
        <v>9</v>
      </c>
      <c r="C20" s="1" t="s">
        <v>410</v>
      </c>
      <c r="D20"/>
      <c r="E20"/>
      <c r="F20"/>
      <c r="G20"/>
      <c r="H20"/>
    </row>
    <row r="21" spans="2:14" ht="15" x14ac:dyDescent="0.25">
      <c r="B21" s="228"/>
      <c r="C21"/>
      <c r="D21"/>
      <c r="E21"/>
      <c r="F21"/>
      <c r="G21"/>
      <c r="H21"/>
    </row>
    <row r="22" spans="2:14" ht="39" x14ac:dyDescent="0.25">
      <c r="B22" s="144" t="s">
        <v>90</v>
      </c>
      <c r="C22" s="76" t="s">
        <v>432</v>
      </c>
      <c r="D22" s="76" t="s">
        <v>413</v>
      </c>
      <c r="E22" s="76" t="s">
        <v>588</v>
      </c>
      <c r="F22"/>
    </row>
    <row r="23" spans="2:14" ht="15" x14ac:dyDescent="0.25">
      <c r="B23" s="129" t="s">
        <v>558</v>
      </c>
      <c r="C23" s="74">
        <v>1008000</v>
      </c>
      <c r="D23" s="74">
        <v>1031000</v>
      </c>
      <c r="E23" s="74"/>
      <c r="F23"/>
    </row>
    <row r="24" spans="2:14" ht="15" x14ac:dyDescent="0.25">
      <c r="B24" s="129" t="s">
        <v>559</v>
      </c>
      <c r="C24" s="74">
        <v>3400000</v>
      </c>
      <c r="D24" s="74">
        <v>1369263.92</v>
      </c>
      <c r="E24" s="74"/>
      <c r="F24"/>
    </row>
    <row r="25" spans="2:14" ht="15" x14ac:dyDescent="0.25">
      <c r="B25" s="129" t="s">
        <v>560</v>
      </c>
      <c r="C25" s="74">
        <v>4654368</v>
      </c>
      <c r="D25" s="74">
        <v>1291616</v>
      </c>
      <c r="E25" s="74"/>
      <c r="F25"/>
    </row>
    <row r="26" spans="2:14" ht="15" x14ac:dyDescent="0.25">
      <c r="B26" s="129" t="s">
        <v>561</v>
      </c>
      <c r="C26" s="74">
        <v>7181045</v>
      </c>
      <c r="D26" s="74">
        <v>2099047</v>
      </c>
      <c r="E26" s="74"/>
      <c r="F26"/>
    </row>
    <row r="27" spans="2:14" ht="15" x14ac:dyDescent="0.25">
      <c r="B27" s="129" t="s">
        <v>562</v>
      </c>
      <c r="C27" s="74">
        <v>5000000</v>
      </c>
      <c r="D27" s="74">
        <v>1550000</v>
      </c>
      <c r="E27" s="74"/>
      <c r="F27"/>
    </row>
    <row r="28" spans="2:14" ht="15" x14ac:dyDescent="0.25">
      <c r="B28" s="129" t="s">
        <v>563</v>
      </c>
      <c r="C28" s="74">
        <v>6577000</v>
      </c>
      <c r="D28" s="74">
        <v>2025100</v>
      </c>
      <c r="E28" s="74"/>
      <c r="F28"/>
    </row>
    <row r="29" spans="2:14" ht="15" x14ac:dyDescent="0.25">
      <c r="B29" s="129" t="s">
        <v>564</v>
      </c>
      <c r="C29" s="74">
        <v>6540000</v>
      </c>
      <c r="D29" s="74">
        <v>2549549.7000000002</v>
      </c>
      <c r="E29" s="74"/>
      <c r="F29"/>
    </row>
    <row r="30" spans="2:14" ht="15" x14ac:dyDescent="0.25">
      <c r="B30" s="129" t="s">
        <v>565</v>
      </c>
      <c r="C30" s="74">
        <v>21377000</v>
      </c>
      <c r="D30" s="74">
        <v>7507380.5</v>
      </c>
      <c r="E30" s="74"/>
      <c r="F30"/>
    </row>
    <row r="31" spans="2:14" ht="15" x14ac:dyDescent="0.25">
      <c r="B31" s="129" t="s">
        <v>566</v>
      </c>
      <c r="C31" s="74">
        <v>10200000</v>
      </c>
      <c r="D31" s="74">
        <v>2369466.8199999998</v>
      </c>
      <c r="E31" s="74"/>
      <c r="F31"/>
    </row>
    <row r="32" spans="2:14" ht="15" x14ac:dyDescent="0.25">
      <c r="B32" s="129" t="s">
        <v>567</v>
      </c>
      <c r="C32" s="74">
        <v>24125000</v>
      </c>
      <c r="D32" s="74">
        <v>6042789</v>
      </c>
      <c r="E32" s="74"/>
      <c r="F32"/>
    </row>
    <row r="33" spans="2:6" ht="15" x14ac:dyDescent="0.25">
      <c r="B33" s="129" t="s">
        <v>568</v>
      </c>
      <c r="C33" s="74">
        <v>8850000</v>
      </c>
      <c r="D33" s="74">
        <v>2825132</v>
      </c>
      <c r="E33" s="74"/>
      <c r="F33"/>
    </row>
    <row r="34" spans="2:6" ht="15" x14ac:dyDescent="0.25">
      <c r="B34" s="129" t="s">
        <v>569</v>
      </c>
      <c r="C34" s="74">
        <v>16285000</v>
      </c>
      <c r="D34" s="74">
        <v>4775050.2699999996</v>
      </c>
      <c r="E34" s="74"/>
      <c r="F34"/>
    </row>
    <row r="35" spans="2:6" ht="15" x14ac:dyDescent="0.25">
      <c r="B35" s="129" t="s">
        <v>570</v>
      </c>
      <c r="C35" s="74">
        <v>38595000</v>
      </c>
      <c r="D35" s="74">
        <v>9325002</v>
      </c>
      <c r="E35" s="74"/>
      <c r="F35"/>
    </row>
    <row r="36" spans="2:6" ht="15" x14ac:dyDescent="0.25">
      <c r="B36" s="129" t="s">
        <v>571</v>
      </c>
      <c r="C36" s="74">
        <v>10375000</v>
      </c>
      <c r="D36" s="74">
        <v>2875001</v>
      </c>
      <c r="E36" s="74"/>
      <c r="F36"/>
    </row>
    <row r="37" spans="2:6" ht="15" x14ac:dyDescent="0.25">
      <c r="B37" s="129" t="s">
        <v>572</v>
      </c>
      <c r="C37" s="74">
        <v>8145000</v>
      </c>
      <c r="D37" s="74">
        <v>3320002</v>
      </c>
      <c r="E37" s="74"/>
      <c r="F37"/>
    </row>
    <row r="38" spans="2:6" ht="15" x14ac:dyDescent="0.25">
      <c r="B38" s="129" t="s">
        <v>573</v>
      </c>
      <c r="C38" s="74">
        <v>9275000</v>
      </c>
      <c r="D38" s="74">
        <v>3320000</v>
      </c>
      <c r="E38" s="74"/>
      <c r="F38"/>
    </row>
    <row r="39" spans="2:6" ht="15" x14ac:dyDescent="0.25">
      <c r="B39" s="129" t="s">
        <v>574</v>
      </c>
      <c r="C39" s="74">
        <v>23540000</v>
      </c>
      <c r="D39" s="74">
        <v>6925000</v>
      </c>
      <c r="E39" s="74"/>
      <c r="F39"/>
    </row>
    <row r="40" spans="2:6" ht="15" x14ac:dyDescent="0.25">
      <c r="B40" s="129" t="s">
        <v>575</v>
      </c>
      <c r="C40" s="74">
        <v>16000000</v>
      </c>
      <c r="D40" s="74">
        <v>5200001</v>
      </c>
      <c r="E40" s="74"/>
      <c r="F40"/>
    </row>
    <row r="41" spans="2:6" ht="15" x14ac:dyDescent="0.25">
      <c r="B41" s="129" t="s">
        <v>576</v>
      </c>
      <c r="C41" s="74">
        <v>9350000</v>
      </c>
      <c r="D41" s="74">
        <v>4000000</v>
      </c>
      <c r="E41" s="74"/>
      <c r="F41"/>
    </row>
    <row r="42" spans="2:6" ht="15" x14ac:dyDescent="0.25">
      <c r="B42" s="129" t="s">
        <v>577</v>
      </c>
      <c r="C42" s="74">
        <v>9620000</v>
      </c>
      <c r="D42" s="74">
        <v>3500001</v>
      </c>
      <c r="E42" s="74"/>
      <c r="F42"/>
    </row>
    <row r="43" spans="2:6" ht="15" x14ac:dyDescent="0.25">
      <c r="B43" s="129" t="s">
        <v>578</v>
      </c>
      <c r="C43" s="74">
        <v>8114080</v>
      </c>
      <c r="D43" s="74">
        <v>2650001</v>
      </c>
      <c r="E43" s="74"/>
      <c r="F43"/>
    </row>
    <row r="44" spans="2:6" ht="15" x14ac:dyDescent="0.25">
      <c r="B44" s="129" t="s">
        <v>579</v>
      </c>
      <c r="C44" s="74"/>
      <c r="D44" s="74">
        <v>4393100</v>
      </c>
      <c r="E44" s="74"/>
      <c r="F44"/>
    </row>
    <row r="45" spans="2:6" ht="15" x14ac:dyDescent="0.25">
      <c r="B45" s="129" t="s">
        <v>580</v>
      </c>
      <c r="C45" s="74">
        <v>34207500</v>
      </c>
      <c r="D45" s="74">
        <v>16940987.439999998</v>
      </c>
      <c r="E45" s="74">
        <v>981875</v>
      </c>
      <c r="F45"/>
    </row>
    <row r="46" spans="2:6" ht="15" x14ac:dyDescent="0.25">
      <c r="B46" s="129" t="s">
        <v>581</v>
      </c>
      <c r="C46" s="74">
        <v>25045000</v>
      </c>
      <c r="D46" s="74">
        <v>12310174.59</v>
      </c>
      <c r="E46" s="74">
        <v>1600000</v>
      </c>
      <c r="F46"/>
    </row>
    <row r="47" spans="2:6" ht="15" x14ac:dyDescent="0.25">
      <c r="B47" s="129" t="s">
        <v>582</v>
      </c>
      <c r="C47" s="74">
        <v>88106000</v>
      </c>
      <c r="D47" s="74">
        <v>43955794</v>
      </c>
      <c r="E47" s="74">
        <v>3492520</v>
      </c>
      <c r="F47"/>
    </row>
    <row r="48" spans="2:6" ht="15" x14ac:dyDescent="0.25">
      <c r="B48" s="129" t="s">
        <v>583</v>
      </c>
      <c r="C48" s="74">
        <v>243025000</v>
      </c>
      <c r="D48" s="74">
        <v>103527330.88</v>
      </c>
      <c r="E48" s="74">
        <v>42295397.789999999</v>
      </c>
      <c r="F48"/>
    </row>
    <row r="49" spans="2:6" ht="15" x14ac:dyDescent="0.25">
      <c r="B49" s="129" t="s">
        <v>584</v>
      </c>
      <c r="C49" s="74">
        <v>238178000</v>
      </c>
      <c r="D49" s="74">
        <v>101120945.98</v>
      </c>
      <c r="E49" s="74">
        <v>27784972.990000002</v>
      </c>
      <c r="F49"/>
    </row>
    <row r="50" spans="2:6" ht="15" x14ac:dyDescent="0.25">
      <c r="B50" s="129" t="s">
        <v>585</v>
      </c>
      <c r="C50" s="74">
        <v>403595000</v>
      </c>
      <c r="D50" s="74">
        <v>169471257.56</v>
      </c>
      <c r="E50" s="74">
        <v>32159689.999999996</v>
      </c>
      <c r="F50"/>
    </row>
    <row r="51" spans="2:6" x14ac:dyDescent="0.2">
      <c r="B51" s="129" t="s">
        <v>586</v>
      </c>
      <c r="C51" s="74">
        <v>482600000</v>
      </c>
      <c r="D51" s="74">
        <v>186881942.30000001</v>
      </c>
      <c r="E51" s="74">
        <v>7214200</v>
      </c>
    </row>
    <row r="52" spans="2:6" x14ac:dyDescent="0.2">
      <c r="B52" s="129" t="s">
        <v>587</v>
      </c>
      <c r="C52" s="74">
        <v>300335000</v>
      </c>
      <c r="D52" s="74">
        <v>125262068.93000001</v>
      </c>
      <c r="E52" s="74">
        <v>4227000</v>
      </c>
    </row>
    <row r="53" spans="2:6" x14ac:dyDescent="0.2">
      <c r="B53" s="129" t="s">
        <v>91</v>
      </c>
      <c r="C53" s="74">
        <v>2063302993</v>
      </c>
      <c r="D53" s="74">
        <v>840414004.8900001</v>
      </c>
      <c r="E53" s="74">
        <v>119755655.78</v>
      </c>
    </row>
    <row r="54" spans="2:6" ht="15" x14ac:dyDescent="0.25">
      <c r="B54"/>
    </row>
    <row r="55" spans="2:6" ht="15" x14ac:dyDescent="0.25">
      <c r="B55"/>
    </row>
    <row r="56" spans="2:6" s="220" customFormat="1" ht="25.5" x14ac:dyDescent="0.25">
      <c r="B56" s="219" t="s">
        <v>589</v>
      </c>
      <c r="C56" s="219" t="s">
        <v>8</v>
      </c>
      <c r="D56" s="219" t="s">
        <v>590</v>
      </c>
      <c r="E56" s="219" t="s">
        <v>591</v>
      </c>
    </row>
    <row r="57" spans="2:6" x14ac:dyDescent="0.2">
      <c r="B57" s="100" t="s">
        <v>592</v>
      </c>
      <c r="C57" s="74">
        <f>SUM(C23:C44)</f>
        <v>248211493</v>
      </c>
      <c r="D57" s="62">
        <f>SUM(D23:D44)</f>
        <v>80943503.210000008</v>
      </c>
      <c r="E57" s="62">
        <f>D57-SUM(E23:E44)</f>
        <v>80943503.210000008</v>
      </c>
    </row>
    <row r="58" spans="2:6" x14ac:dyDescent="0.2">
      <c r="B58" s="100">
        <v>2013</v>
      </c>
      <c r="C58" s="74">
        <f>C45</f>
        <v>34207500</v>
      </c>
      <c r="D58" s="74">
        <f>D45</f>
        <v>16940987.439999998</v>
      </c>
      <c r="E58" s="62">
        <f>D58-E45</f>
        <v>15959112.439999998</v>
      </c>
    </row>
    <row r="59" spans="2:6" x14ac:dyDescent="0.2">
      <c r="B59" s="100">
        <v>2014</v>
      </c>
      <c r="C59" s="74">
        <f t="shared" ref="C59:D65" si="1">C46</f>
        <v>25045000</v>
      </c>
      <c r="D59" s="74">
        <f t="shared" si="1"/>
        <v>12310174.59</v>
      </c>
      <c r="E59" s="62">
        <f t="shared" ref="E59:E65" si="2">D59-E46</f>
        <v>10710174.59</v>
      </c>
    </row>
    <row r="60" spans="2:6" x14ac:dyDescent="0.2">
      <c r="B60" s="100">
        <v>2015</v>
      </c>
      <c r="C60" s="74">
        <f t="shared" si="1"/>
        <v>88106000</v>
      </c>
      <c r="D60" s="74">
        <f t="shared" si="1"/>
        <v>43955794</v>
      </c>
      <c r="E60" s="62">
        <f t="shared" si="2"/>
        <v>40463274</v>
      </c>
    </row>
    <row r="61" spans="2:6" x14ac:dyDescent="0.2">
      <c r="B61" s="100">
        <v>2016</v>
      </c>
      <c r="C61" s="74">
        <f t="shared" si="1"/>
        <v>243025000</v>
      </c>
      <c r="D61" s="74">
        <f t="shared" si="1"/>
        <v>103527330.88</v>
      </c>
      <c r="E61" s="62">
        <f t="shared" si="2"/>
        <v>61231933.089999996</v>
      </c>
    </row>
    <row r="62" spans="2:6" x14ac:dyDescent="0.2">
      <c r="B62" s="100">
        <v>2017</v>
      </c>
      <c r="C62" s="74">
        <f t="shared" si="1"/>
        <v>238178000</v>
      </c>
      <c r="D62" s="74">
        <f t="shared" si="1"/>
        <v>101120945.98</v>
      </c>
      <c r="E62" s="62">
        <f t="shared" si="2"/>
        <v>73335972.99000001</v>
      </c>
    </row>
    <row r="63" spans="2:6" x14ac:dyDescent="0.2">
      <c r="B63" s="100">
        <v>2018</v>
      </c>
      <c r="C63" s="74">
        <f t="shared" si="1"/>
        <v>403595000</v>
      </c>
      <c r="D63" s="74">
        <f t="shared" si="1"/>
        <v>169471257.56</v>
      </c>
      <c r="E63" s="62">
        <f t="shared" si="2"/>
        <v>137311567.56</v>
      </c>
    </row>
    <row r="64" spans="2:6" x14ac:dyDescent="0.2">
      <c r="B64" s="100">
        <v>2019</v>
      </c>
      <c r="C64" s="74">
        <f t="shared" si="1"/>
        <v>482600000</v>
      </c>
      <c r="D64" s="74">
        <f t="shared" si="1"/>
        <v>186881942.30000001</v>
      </c>
      <c r="E64" s="62">
        <f t="shared" si="2"/>
        <v>179667742.30000001</v>
      </c>
    </row>
    <row r="65" spans="2:5" x14ac:dyDescent="0.2">
      <c r="B65" s="100">
        <v>2020</v>
      </c>
      <c r="C65" s="74">
        <f t="shared" si="1"/>
        <v>300335000</v>
      </c>
      <c r="D65" s="74">
        <f t="shared" si="1"/>
        <v>125262068.93000001</v>
      </c>
      <c r="E65" s="62">
        <f t="shared" si="2"/>
        <v>121035068.93000001</v>
      </c>
    </row>
    <row r="66" spans="2:5" x14ac:dyDescent="0.2">
      <c r="B66" s="221" t="s">
        <v>191</v>
      </c>
      <c r="C66" s="222">
        <f>SUM(C57:C65)</f>
        <v>2063302993</v>
      </c>
      <c r="D66" s="223">
        <f>SUM(D57:D65)</f>
        <v>840414004.8900001</v>
      </c>
      <c r="E66" s="223">
        <f>SUM(E57:E65)</f>
        <v>720658349.11000013</v>
      </c>
    </row>
    <row r="67" spans="2:5" ht="15" x14ac:dyDescent="0.25">
      <c r="B67"/>
    </row>
    <row r="68" spans="2:5" x14ac:dyDescent="0.2">
      <c r="B68" s="224" t="s">
        <v>593</v>
      </c>
    </row>
    <row r="69" spans="2:5" x14ac:dyDescent="0.2">
      <c r="B69" s="100" t="s">
        <v>600</v>
      </c>
      <c r="C69" s="74">
        <v>27200000</v>
      </c>
      <c r="D69" s="74">
        <v>9400000</v>
      </c>
      <c r="E69" s="74">
        <f>D69-940000</f>
        <v>8460000</v>
      </c>
    </row>
    <row r="70" spans="2:5" x14ac:dyDescent="0.2">
      <c r="B70" s="100" t="s">
        <v>629</v>
      </c>
      <c r="C70" s="62">
        <v>64500000</v>
      </c>
      <c r="D70" s="74">
        <v>24850000</v>
      </c>
      <c r="E70" s="74">
        <f>D70-2485000</f>
        <v>22365000</v>
      </c>
    </row>
    <row r="71" spans="2:5" x14ac:dyDescent="0.2">
      <c r="B71" s="100" t="s">
        <v>630</v>
      </c>
      <c r="C71" s="74">
        <v>32220000</v>
      </c>
      <c r="D71" s="74">
        <v>12652000</v>
      </c>
      <c r="E71" s="74">
        <f>D71-1265200</f>
        <v>11386800</v>
      </c>
    </row>
    <row r="72" spans="2:5" hidden="1" x14ac:dyDescent="0.2">
      <c r="B72" s="100"/>
      <c r="C72" s="74"/>
      <c r="D72" s="74"/>
      <c r="E72" s="74"/>
    </row>
    <row r="73" spans="2:5" x14ac:dyDescent="0.2">
      <c r="B73" s="221" t="s">
        <v>596</v>
      </c>
      <c r="C73" s="222">
        <f>SUM(C69:C72)</f>
        <v>123920000</v>
      </c>
      <c r="D73" s="222">
        <f t="shared" ref="D73:E73" si="3">SUM(D69:D72)</f>
        <v>46902000</v>
      </c>
      <c r="E73" s="222">
        <f t="shared" si="3"/>
        <v>42211800</v>
      </c>
    </row>
    <row r="74" spans="2:5" ht="15" x14ac:dyDescent="0.25">
      <c r="B74"/>
    </row>
    <row r="75" spans="2:5" x14ac:dyDescent="0.2">
      <c r="B75" s="221" t="s">
        <v>91</v>
      </c>
      <c r="C75" s="222">
        <f>C66+C73</f>
        <v>2187222993</v>
      </c>
      <c r="D75" s="222">
        <f>D66+D73</f>
        <v>887316004.8900001</v>
      </c>
      <c r="E75" s="222">
        <f>E66+E73</f>
        <v>762870149.11000013</v>
      </c>
    </row>
    <row r="76" spans="2:5" ht="15" x14ac:dyDescent="0.25">
      <c r="B76"/>
    </row>
    <row r="77" spans="2:5" x14ac:dyDescent="0.2">
      <c r="B77" s="1" t="s">
        <v>598</v>
      </c>
    </row>
    <row r="78" spans="2:5" x14ac:dyDescent="0.2">
      <c r="B78" s="1" t="s">
        <v>599</v>
      </c>
    </row>
    <row r="79" spans="2:5" ht="15" x14ac:dyDescent="0.25">
      <c r="B79"/>
    </row>
    <row r="80" spans="2:5" ht="15" x14ac:dyDescent="0.25">
      <c r="B80"/>
    </row>
    <row r="81" spans="2:2" ht="15" x14ac:dyDescent="0.25">
      <c r="B81"/>
    </row>
    <row r="82" spans="2:2" ht="15" x14ac:dyDescent="0.25">
      <c r="B82"/>
    </row>
    <row r="83" spans="2:2" ht="15" x14ac:dyDescent="0.25">
      <c r="B83"/>
    </row>
    <row r="84" spans="2:2" ht="15" x14ac:dyDescent="0.25">
      <c r="B84"/>
    </row>
    <row r="85" spans="2:2" ht="15" x14ac:dyDescent="0.25">
      <c r="B85"/>
    </row>
    <row r="86" spans="2:2" ht="15" x14ac:dyDescent="0.25">
      <c r="B86"/>
    </row>
  </sheetData>
  <sheetProtection algorithmName="SHA-512" hashValue="D5u3KEdmePxwSaJrblb2NgkBCe5yCL0YXUAXplxcIAhcivJ5C6o7iYgbbIW6ZhvJuORmAH0U29X9hl5CSE0yiQ==" saltValue="0w8ChNb5Tax5xBkO1NoP2A==" spinCount="100000" sheet="1" objects="1" scenarios="1"/>
  <pageMargins left="0.7" right="0.7" top="0.75" bottom="0.75" header="0.3" footer="0.3"/>
  <pageSetup orientation="portrait" horizontalDpi="1200" verticalDpi="1200"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A4C75-EC96-4A06-9BD8-8F2215DBB8FC}">
  <sheetPr>
    <tabColor theme="9" tint="0.59999389629810485"/>
  </sheetPr>
  <dimension ref="B2:H43"/>
  <sheetViews>
    <sheetView showGridLines="0" workbookViewId="0">
      <selection activeCell="D9" sqref="D9"/>
    </sheetView>
  </sheetViews>
  <sheetFormatPr defaultColWidth="9.140625" defaultRowHeight="12.75" x14ac:dyDescent="0.2"/>
  <cols>
    <col min="1" max="1" width="4.140625" style="1" customWidth="1"/>
    <col min="2" max="2" width="48.42578125" style="1" customWidth="1"/>
    <col min="3" max="4" width="18.5703125" style="1" customWidth="1"/>
    <col min="5" max="5" width="11.42578125" style="1" bestFit="1" customWidth="1"/>
    <col min="6" max="6" width="16.7109375" style="1" bestFit="1" customWidth="1"/>
    <col min="7" max="7" width="16.28515625" style="1" customWidth="1"/>
    <col min="8" max="8" width="16" style="1" bestFit="1" customWidth="1"/>
    <col min="9" max="16384" width="9.140625" style="1"/>
  </cols>
  <sheetData>
    <row r="2" spans="2:8" x14ac:dyDescent="0.2">
      <c r="B2" s="91" t="s">
        <v>495</v>
      </c>
      <c r="C2" s="91"/>
    </row>
    <row r="3" spans="2:8" x14ac:dyDescent="0.2">
      <c r="B3" s="154" t="s">
        <v>606</v>
      </c>
      <c r="C3" s="154"/>
    </row>
    <row r="5" spans="2:8" x14ac:dyDescent="0.2">
      <c r="B5" s="246" t="s">
        <v>557</v>
      </c>
      <c r="C5" s="247" t="s">
        <v>613</v>
      </c>
      <c r="D5" s="247" t="s">
        <v>614</v>
      </c>
    </row>
    <row r="6" spans="2:8" s="115" customFormat="1" x14ac:dyDescent="0.2">
      <c r="B6" s="241" t="s">
        <v>496</v>
      </c>
      <c r="C6" s="243">
        <v>3603652.8672633246</v>
      </c>
      <c r="D6" s="243">
        <v>4087364.8851797255</v>
      </c>
      <c r="E6" s="189"/>
      <c r="F6" s="1"/>
      <c r="G6" s="1"/>
      <c r="H6" s="1"/>
    </row>
    <row r="7" spans="2:8" x14ac:dyDescent="0.2">
      <c r="B7" s="241" t="s">
        <v>497</v>
      </c>
      <c r="C7" s="243">
        <v>51856657.120892085</v>
      </c>
      <c r="D7" s="243">
        <v>59367680.856790401</v>
      </c>
    </row>
    <row r="8" spans="2:8" x14ac:dyDescent="0.2">
      <c r="B8" s="241" t="s">
        <v>498</v>
      </c>
      <c r="C8" s="243">
        <v>175543171.34240079</v>
      </c>
      <c r="D8" s="243">
        <v>179844588.87414494</v>
      </c>
    </row>
    <row r="9" spans="2:8" x14ac:dyDescent="0.2">
      <c r="B9" s="241" t="s">
        <v>499</v>
      </c>
      <c r="C9" s="243">
        <v>127725793.56845587</v>
      </c>
      <c r="D9" s="243">
        <v>124129731.82776846</v>
      </c>
    </row>
    <row r="10" spans="2:8" x14ac:dyDescent="0.2">
      <c r="B10" s="241" t="s">
        <v>500</v>
      </c>
      <c r="C10" s="243">
        <v>22427218.658568062</v>
      </c>
      <c r="D10" s="243">
        <v>21548102.071438804</v>
      </c>
    </row>
    <row r="11" spans="2:8" x14ac:dyDescent="0.2">
      <c r="B11" s="241" t="s">
        <v>545</v>
      </c>
      <c r="C11" s="243">
        <v>28339203.780545101</v>
      </c>
      <c r="D11" s="243">
        <v>28644713.279626355</v>
      </c>
    </row>
    <row r="12" spans="2:8" x14ac:dyDescent="0.2">
      <c r="B12" s="241" t="s">
        <v>501</v>
      </c>
      <c r="C12" s="243">
        <v>2618151.6192327831</v>
      </c>
      <c r="D12" s="243">
        <v>2592594.9675636226</v>
      </c>
    </row>
    <row r="13" spans="2:8" x14ac:dyDescent="0.2">
      <c r="B13" s="241" t="s">
        <v>546</v>
      </c>
      <c r="C13" s="243">
        <v>7750188.5094880499</v>
      </c>
      <c r="D13" s="243">
        <v>7850526.8846757635</v>
      </c>
    </row>
    <row r="14" spans="2:8" x14ac:dyDescent="0.2">
      <c r="B14" s="241" t="s">
        <v>547</v>
      </c>
      <c r="C14" s="243">
        <v>7119812.7619187767</v>
      </c>
      <c r="D14" s="243">
        <v>6911077.2136853607</v>
      </c>
    </row>
    <row r="15" spans="2:8" x14ac:dyDescent="0.2">
      <c r="B15" s="241" t="s">
        <v>502</v>
      </c>
      <c r="C15" s="243">
        <v>4779309.3260699986</v>
      </c>
      <c r="D15" s="243">
        <v>4571616.8403099971</v>
      </c>
    </row>
    <row r="16" spans="2:8" x14ac:dyDescent="0.2">
      <c r="B16" s="241" t="s">
        <v>548</v>
      </c>
      <c r="C16" s="243">
        <v>8533115.5837777779</v>
      </c>
      <c r="D16" s="243">
        <v>8608911.8835555594</v>
      </c>
    </row>
    <row r="17" spans="2:7" x14ac:dyDescent="0.2">
      <c r="B17" s="241" t="s">
        <v>549</v>
      </c>
      <c r="C17" s="243">
        <v>10948601.92597886</v>
      </c>
      <c r="D17" s="243">
        <v>10353424.498890422</v>
      </c>
    </row>
    <row r="18" spans="2:7" x14ac:dyDescent="0.2">
      <c r="B18" s="241" t="s">
        <v>550</v>
      </c>
      <c r="C18" s="243">
        <v>4610890.1278180815</v>
      </c>
      <c r="D18" s="243">
        <v>4321218.2432786655</v>
      </c>
    </row>
    <row r="19" spans="2:7" s="115" customFormat="1" x14ac:dyDescent="0.2">
      <c r="B19" s="241" t="s">
        <v>551</v>
      </c>
      <c r="C19" s="243">
        <v>9141715.2345770299</v>
      </c>
      <c r="D19" s="243">
        <v>9306415.1071942672</v>
      </c>
      <c r="E19" s="1"/>
      <c r="F19" s="1"/>
      <c r="G19" s="1"/>
    </row>
    <row r="20" spans="2:7" x14ac:dyDescent="0.2">
      <c r="B20" s="241" t="s">
        <v>615</v>
      </c>
      <c r="C20" s="243">
        <v>0</v>
      </c>
      <c r="D20" s="243">
        <v>3586885.6938655465</v>
      </c>
    </row>
    <row r="21" spans="2:7" x14ac:dyDescent="0.2">
      <c r="B21" s="241" t="s">
        <v>503</v>
      </c>
      <c r="C21" s="243">
        <v>2431254.7002606005</v>
      </c>
      <c r="D21" s="243">
        <v>2419381.3129487415</v>
      </c>
    </row>
    <row r="22" spans="2:7" x14ac:dyDescent="0.2">
      <c r="B22" s="241" t="s">
        <v>552</v>
      </c>
      <c r="C22" s="243">
        <v>12503923.467075508</v>
      </c>
      <c r="D22" s="243">
        <v>12718475.371680643</v>
      </c>
    </row>
    <row r="23" spans="2:7" x14ac:dyDescent="0.2">
      <c r="B23" s="241" t="s">
        <v>553</v>
      </c>
      <c r="C23" s="243">
        <v>12503929.407075509</v>
      </c>
      <c r="D23" s="243">
        <v>12718396.151680645</v>
      </c>
    </row>
    <row r="24" spans="2:7" x14ac:dyDescent="0.2">
      <c r="B24" s="241" t="s">
        <v>46</v>
      </c>
      <c r="C24" s="243">
        <v>7669975.2300000014</v>
      </c>
      <c r="D24" s="243">
        <v>7846116.9799999986</v>
      </c>
    </row>
    <row r="25" spans="2:7" x14ac:dyDescent="0.2">
      <c r="B25" s="241" t="s">
        <v>47</v>
      </c>
      <c r="C25" s="243">
        <v>23226894.670000002</v>
      </c>
      <c r="D25" s="243">
        <v>22330767.530000001</v>
      </c>
    </row>
    <row r="26" spans="2:7" x14ac:dyDescent="0.2">
      <c r="B26" s="241" t="s">
        <v>48</v>
      </c>
      <c r="C26" s="243">
        <v>3943994.2999999993</v>
      </c>
      <c r="D26" s="243">
        <v>2899110.8400000003</v>
      </c>
    </row>
    <row r="27" spans="2:7" x14ac:dyDescent="0.2">
      <c r="B27" s="241" t="s">
        <v>554</v>
      </c>
      <c r="C27" s="243">
        <v>7567285.4151942339</v>
      </c>
      <c r="D27" s="243">
        <v>7581738.9716198351</v>
      </c>
    </row>
    <row r="28" spans="2:7" x14ac:dyDescent="0.2">
      <c r="B28" s="241" t="s">
        <v>555</v>
      </c>
      <c r="C28" s="243">
        <v>7855964.6559097543</v>
      </c>
      <c r="D28" s="243">
        <v>7867787.1449072342</v>
      </c>
    </row>
    <row r="29" spans="2:7" x14ac:dyDescent="0.2">
      <c r="B29" s="241" t="s">
        <v>11</v>
      </c>
      <c r="C29" s="243">
        <v>17063923.927999999</v>
      </c>
      <c r="D29" s="243">
        <v>15339330.048000002</v>
      </c>
    </row>
    <row r="30" spans="2:7" x14ac:dyDescent="0.2">
      <c r="B30" s="241" t="s">
        <v>12</v>
      </c>
      <c r="C30" s="243">
        <v>19056157.25</v>
      </c>
      <c r="D30" s="243">
        <v>18432826.710000005</v>
      </c>
    </row>
    <row r="31" spans="2:7" x14ac:dyDescent="0.2">
      <c r="B31" s="241" t="s">
        <v>13</v>
      </c>
      <c r="C31" s="243">
        <v>15509455.869999997</v>
      </c>
      <c r="D31" s="243">
        <v>15300862.360000003</v>
      </c>
    </row>
    <row r="32" spans="2:7" x14ac:dyDescent="0.2">
      <c r="B32" s="242" t="s">
        <v>114</v>
      </c>
      <c r="C32" s="243">
        <v>5249717.3800000008</v>
      </c>
      <c r="D32" s="244">
        <v>5086343.42</v>
      </c>
    </row>
    <row r="33" spans="2:8" x14ac:dyDescent="0.2">
      <c r="B33" s="242" t="s">
        <v>515</v>
      </c>
      <c r="C33" s="243">
        <v>3341502.75</v>
      </c>
      <c r="D33" s="244">
        <v>3782711.07</v>
      </c>
    </row>
    <row r="34" spans="2:8" x14ac:dyDescent="0.2">
      <c r="B34" s="242"/>
      <c r="C34" s="245"/>
      <c r="D34" s="244"/>
    </row>
    <row r="35" spans="2:8" hidden="1" x14ac:dyDescent="0.2">
      <c r="D35" s="62"/>
    </row>
    <row r="36" spans="2:8" x14ac:dyDescent="0.2">
      <c r="B36" s="248" t="s">
        <v>191</v>
      </c>
      <c r="C36" s="249">
        <f>SUM(C6:C35)</f>
        <v>602921461.45050228</v>
      </c>
      <c r="D36" s="249">
        <f>SUM(D6:D35)</f>
        <v>610048701.03880489</v>
      </c>
    </row>
    <row r="37" spans="2:8" x14ac:dyDescent="0.2">
      <c r="D37" s="62"/>
    </row>
    <row r="38" spans="2:8" x14ac:dyDescent="0.2">
      <c r="B38" s="188" t="s">
        <v>504</v>
      </c>
      <c r="C38" s="188"/>
    </row>
    <row r="39" spans="2:8" x14ac:dyDescent="0.2">
      <c r="B39" s="1" t="s">
        <v>505</v>
      </c>
    </row>
    <row r="40" spans="2:8" x14ac:dyDescent="0.2">
      <c r="B40" s="1" t="s">
        <v>506</v>
      </c>
      <c r="D40" s="10"/>
      <c r="E40" s="10"/>
      <c r="F40" s="10"/>
      <c r="G40" s="10"/>
      <c r="H40" s="10"/>
    </row>
    <row r="41" spans="2:8" x14ac:dyDescent="0.2">
      <c r="B41" s="1" t="s">
        <v>556</v>
      </c>
      <c r="D41" s="218"/>
      <c r="E41" s="218"/>
      <c r="F41" s="218"/>
      <c r="G41" s="218"/>
      <c r="H41" s="10"/>
    </row>
    <row r="42" spans="2:8" x14ac:dyDescent="0.2">
      <c r="D42" s="10"/>
      <c r="E42" s="10"/>
      <c r="F42" s="10"/>
      <c r="G42" s="10"/>
      <c r="H42" s="10"/>
    </row>
    <row r="43" spans="2:8" x14ac:dyDescent="0.2">
      <c r="D43" s="10"/>
      <c r="E43" s="10"/>
      <c r="F43" s="10"/>
      <c r="G43" s="10"/>
      <c r="H43" s="10"/>
    </row>
  </sheetData>
  <sheetProtection algorithmName="SHA-512" hashValue="IIJLNJC2UJD0FbPDxuDiiiU+8ngCkopENrvDUTh6ECLA87C2qIQEK8RDX273hBdRdlfZSgaTn13CoNYfxkbleA==" saltValue="+ig4GXCA8S8y0Qob+M+pqg==" spinCount="100000" sheet="1" objects="1" scenarios="1"/>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5428A-221F-462D-ACB9-1FD39CECF4FE}">
  <sheetPr>
    <tabColor theme="9" tint="0.59999389629810485"/>
  </sheetPr>
  <dimension ref="B2:P49"/>
  <sheetViews>
    <sheetView showGridLines="0" workbookViewId="0">
      <selection activeCell="I57" sqref="I57"/>
    </sheetView>
  </sheetViews>
  <sheetFormatPr defaultColWidth="9.140625" defaultRowHeight="12.75" x14ac:dyDescent="0.2"/>
  <cols>
    <col min="1" max="1" width="4.85546875" style="1" customWidth="1"/>
    <col min="2" max="2" width="22.42578125" style="1" bestFit="1" customWidth="1"/>
    <col min="3" max="3" width="12" style="1" bestFit="1" customWidth="1"/>
    <col min="4" max="13" width="9.140625" style="1"/>
    <col min="14" max="14" width="13.140625" style="1" bestFit="1" customWidth="1"/>
    <col min="15" max="16384" width="9.140625" style="1"/>
  </cols>
  <sheetData>
    <row r="2" spans="2:3" x14ac:dyDescent="0.2">
      <c r="B2" s="91" t="s">
        <v>440</v>
      </c>
    </row>
    <row r="3" spans="2:3" x14ac:dyDescent="0.2">
      <c r="B3" s="154" t="s">
        <v>606</v>
      </c>
    </row>
    <row r="5" spans="2:3" ht="25.5" x14ac:dyDescent="0.2">
      <c r="B5" s="128" t="s">
        <v>90</v>
      </c>
      <c r="C5" s="156" t="s">
        <v>433</v>
      </c>
    </row>
    <row r="6" spans="2:3" x14ac:dyDescent="0.2">
      <c r="B6" s="129" t="s">
        <v>49</v>
      </c>
      <c r="C6" s="74">
        <v>2324829</v>
      </c>
    </row>
    <row r="7" spans="2:3" x14ac:dyDescent="0.2">
      <c r="B7" s="129" t="s">
        <v>304</v>
      </c>
      <c r="C7" s="74">
        <v>31239144.440000001</v>
      </c>
    </row>
    <row r="8" spans="2:3" x14ac:dyDescent="0.2">
      <c r="B8" s="129" t="s">
        <v>91</v>
      </c>
      <c r="C8" s="74">
        <v>33563973.439999998</v>
      </c>
    </row>
    <row r="9" spans="2:3" ht="15" x14ac:dyDescent="0.25">
      <c r="B9"/>
      <c r="C9"/>
    </row>
    <row r="11" spans="2:3" x14ac:dyDescent="0.2">
      <c r="B11" s="122" t="s">
        <v>390</v>
      </c>
      <c r="C11" s="127">
        <f>31772986+1790987</f>
        <v>33563973</v>
      </c>
    </row>
    <row r="12" spans="2:3" x14ac:dyDescent="0.2">
      <c r="B12" s="122" t="s">
        <v>391</v>
      </c>
      <c r="C12" s="125">
        <f>GETPIVOTDATA("Fund I Equity",$B$5)-C11</f>
        <v>0.43999999761581421</v>
      </c>
    </row>
    <row r="14" spans="2:3" s="76" customFormat="1" ht="38.25" x14ac:dyDescent="0.2">
      <c r="B14" s="144" t="s">
        <v>90</v>
      </c>
      <c r="C14" s="156" t="s">
        <v>434</v>
      </c>
    </row>
    <row r="15" spans="2:3" x14ac:dyDescent="0.2">
      <c r="B15" s="129" t="s">
        <v>49</v>
      </c>
      <c r="C15" s="74">
        <v>42177259.116392963</v>
      </c>
    </row>
    <row r="16" spans="2:3" x14ac:dyDescent="0.2">
      <c r="B16" s="129" t="s">
        <v>304</v>
      </c>
      <c r="C16" s="74">
        <v>40225224.568914957</v>
      </c>
    </row>
    <row r="17" spans="2:16" x14ac:dyDescent="0.2">
      <c r="B17" s="129" t="s">
        <v>91</v>
      </c>
      <c r="C17" s="74">
        <v>82402483.68530792</v>
      </c>
    </row>
    <row r="18" spans="2:16" ht="15" x14ac:dyDescent="0.25">
      <c r="B18"/>
      <c r="C18"/>
    </row>
    <row r="20" spans="2:16" x14ac:dyDescent="0.2">
      <c r="B20" s="122" t="s">
        <v>390</v>
      </c>
      <c r="C20" s="127">
        <v>81020378</v>
      </c>
    </row>
    <row r="21" spans="2:16" x14ac:dyDescent="0.2">
      <c r="B21" s="122" t="s">
        <v>391</v>
      </c>
      <c r="C21" s="126">
        <f>GETPIVOTDATA("Fund II Effective Equity",$B$14)-C20</f>
        <v>1382105.68530792</v>
      </c>
    </row>
    <row r="22" spans="2:16" x14ac:dyDescent="0.2">
      <c r="B22" s="123" t="s">
        <v>392</v>
      </c>
      <c r="C22" s="2"/>
    </row>
    <row r="23" spans="2:16" ht="38.25" x14ac:dyDescent="0.2">
      <c r="B23" s="121" t="s">
        <v>435</v>
      </c>
      <c r="C23" s="14">
        <f>-(C11*(6/27.28)-6000000)</f>
        <v>-1382105.4985337239</v>
      </c>
    </row>
    <row r="24" spans="2:16" ht="13.5" thickBot="1" x14ac:dyDescent="0.25">
      <c r="B24" s="121" t="s">
        <v>393</v>
      </c>
      <c r="C24" s="124">
        <f>SUM(C21:C23)</f>
        <v>0.18677419610321522</v>
      </c>
    </row>
    <row r="25" spans="2:16" ht="13.5" thickTop="1" x14ac:dyDescent="0.2"/>
    <row r="26" spans="2:16" ht="25.5" x14ac:dyDescent="0.2">
      <c r="B26" s="128" t="s">
        <v>90</v>
      </c>
      <c r="C26" s="156" t="s">
        <v>436</v>
      </c>
      <c r="D26" s="128"/>
      <c r="E26" s="128"/>
      <c r="F26" s="128"/>
      <c r="G26" s="128"/>
      <c r="H26" s="128"/>
      <c r="I26" s="128"/>
      <c r="J26" s="128"/>
      <c r="K26" s="128"/>
      <c r="L26" s="128"/>
      <c r="M26" s="128"/>
      <c r="N26" s="128"/>
      <c r="O26" s="128"/>
      <c r="P26" s="128"/>
    </row>
    <row r="27" spans="2:16" x14ac:dyDescent="0.2">
      <c r="B27" s="129" t="s">
        <v>49</v>
      </c>
      <c r="C27" s="74">
        <v>145406196.85000002</v>
      </c>
    </row>
    <row r="28" spans="2:16" x14ac:dyDescent="0.2">
      <c r="B28" s="129" t="s">
        <v>304</v>
      </c>
      <c r="C28" s="74">
        <v>25980000</v>
      </c>
    </row>
    <row r="29" spans="2:16" x14ac:dyDescent="0.2">
      <c r="B29" s="129" t="s">
        <v>91</v>
      </c>
      <c r="C29" s="74">
        <v>171386196.85000002</v>
      </c>
    </row>
    <row r="30" spans="2:16" ht="15" x14ac:dyDescent="0.25">
      <c r="B30"/>
      <c r="C30"/>
    </row>
    <row r="32" spans="2:16" x14ac:dyDescent="0.2">
      <c r="B32" s="122" t="s">
        <v>390</v>
      </c>
      <c r="C32" s="127">
        <v>175136197.14000002</v>
      </c>
    </row>
    <row r="33" spans="2:16" x14ac:dyDescent="0.2">
      <c r="B33" s="122" t="s">
        <v>391</v>
      </c>
      <c r="C33" s="125">
        <f>GETPIVOTDATA("Fund III Equity",$B$26)-C32</f>
        <v>-3750000.2899999917</v>
      </c>
    </row>
    <row r="34" spans="2:16" x14ac:dyDescent="0.2">
      <c r="B34" s="123" t="s">
        <v>392</v>
      </c>
    </row>
    <row r="35" spans="2:16" x14ac:dyDescent="0.2">
      <c r="B35" s="120" t="s">
        <v>517</v>
      </c>
      <c r="C35" s="14">
        <v>3750000</v>
      </c>
    </row>
    <row r="36" spans="2:16" ht="13.5" thickBot="1" x14ac:dyDescent="0.25">
      <c r="B36" s="121" t="s">
        <v>393</v>
      </c>
      <c r="C36" s="124">
        <f>SUM(C33:C35)</f>
        <v>-0.28999999165534973</v>
      </c>
    </row>
    <row r="37" spans="2:16" ht="13.5" thickTop="1" x14ac:dyDescent="0.2"/>
    <row r="38" spans="2:16" ht="25.5" x14ac:dyDescent="0.2">
      <c r="B38" s="128" t="s">
        <v>90</v>
      </c>
      <c r="C38" s="156" t="s">
        <v>437</v>
      </c>
      <c r="D38" s="128"/>
      <c r="E38" s="128"/>
      <c r="F38" s="128"/>
      <c r="G38" s="128"/>
      <c r="H38" s="128"/>
      <c r="I38" s="128"/>
      <c r="J38" s="128"/>
      <c r="K38" s="128"/>
      <c r="L38" s="128"/>
      <c r="M38" s="128"/>
      <c r="N38" s="128"/>
      <c r="O38" s="128"/>
      <c r="P38" s="128"/>
    </row>
    <row r="39" spans="2:16" x14ac:dyDescent="0.2">
      <c r="B39" s="129" t="s">
        <v>49</v>
      </c>
      <c r="C39" s="74">
        <v>152632086</v>
      </c>
    </row>
    <row r="40" spans="2:16" x14ac:dyDescent="0.2">
      <c r="B40" s="129" t="s">
        <v>304</v>
      </c>
      <c r="C40" s="74"/>
    </row>
    <row r="41" spans="2:16" x14ac:dyDescent="0.2">
      <c r="B41" s="129" t="s">
        <v>91</v>
      </c>
      <c r="C41" s="74">
        <v>152632086</v>
      </c>
    </row>
    <row r="42" spans="2:16" ht="15" x14ac:dyDescent="0.25">
      <c r="B42"/>
      <c r="C42"/>
    </row>
    <row r="44" spans="2:16" x14ac:dyDescent="0.2">
      <c r="B44" s="122" t="s">
        <v>390</v>
      </c>
      <c r="C44" s="127">
        <v>144084085.71000001</v>
      </c>
    </row>
    <row r="45" spans="2:16" x14ac:dyDescent="0.2">
      <c r="B45" s="122" t="s">
        <v>391</v>
      </c>
      <c r="C45" s="125">
        <f>GETPIVOTDATA("Fund IV Equity",$B$38)-C44</f>
        <v>8548000.2899999917</v>
      </c>
    </row>
    <row r="46" spans="2:16" x14ac:dyDescent="0.2">
      <c r="B46" s="123" t="s">
        <v>392</v>
      </c>
    </row>
    <row r="47" spans="2:16" x14ac:dyDescent="0.2">
      <c r="B47" s="120" t="s">
        <v>607</v>
      </c>
      <c r="C47" s="14">
        <v>2000000</v>
      </c>
    </row>
    <row r="48" spans="2:16" ht="13.5" thickBot="1" x14ac:dyDescent="0.25">
      <c r="B48" s="121" t="s">
        <v>393</v>
      </c>
      <c r="C48" s="124">
        <f>SUM(C45:C47)</f>
        <v>10548000.289999992</v>
      </c>
    </row>
    <row r="49" ht="13.5" thickTop="1" x14ac:dyDescent="0.2"/>
  </sheetData>
  <sheetProtection algorithmName="SHA-512" hashValue="fPnhyAZI9HNm0q12uoinfarUyxhnVW8Ik7HBh7pnN549XB9entTj2OlCxv20yzDPAL54U+5TG1NkN61AGUqFeQ==" saltValue="TxWxYRLIjBIP6RGWRjTKYA==" spinCount="100000" sheet="1" objects="1" scenarios="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3885B-4178-44BA-B53A-CCC1F971266B}">
  <dimension ref="B2:R11"/>
  <sheetViews>
    <sheetView workbookViewId="0">
      <selection activeCell="P4" sqref="P4:P10"/>
    </sheetView>
  </sheetViews>
  <sheetFormatPr defaultColWidth="9.140625" defaultRowHeight="12.75" x14ac:dyDescent="0.2"/>
  <cols>
    <col min="1" max="1" width="3.28515625" style="1" customWidth="1"/>
    <col min="2" max="2" width="18.85546875" style="1" customWidth="1"/>
    <col min="3" max="3" width="10.42578125" style="1" bestFit="1" customWidth="1"/>
    <col min="4" max="4" width="11.28515625" style="1" bestFit="1" customWidth="1"/>
    <col min="5" max="5" width="9.7109375" style="1" bestFit="1" customWidth="1"/>
    <col min="6" max="6" width="13" style="1" bestFit="1" customWidth="1"/>
    <col min="7" max="7" width="8.85546875" style="1" bestFit="1" customWidth="1"/>
    <col min="8" max="8" width="9.85546875" style="1" bestFit="1" customWidth="1"/>
    <col min="9" max="9" width="16.85546875" style="1" bestFit="1" customWidth="1"/>
    <col min="10" max="10" width="15.5703125" style="1" bestFit="1" customWidth="1"/>
    <col min="11" max="11" width="18.28515625" style="1" bestFit="1" customWidth="1"/>
    <col min="12" max="12" width="14.7109375" style="1" bestFit="1" customWidth="1"/>
    <col min="13" max="13" width="14.85546875" style="1" bestFit="1" customWidth="1"/>
    <col min="14" max="14" width="13.7109375" style="1" bestFit="1" customWidth="1"/>
    <col min="15" max="15" width="17" style="1" bestFit="1" customWidth="1"/>
    <col min="16" max="16" width="15.5703125" style="1" bestFit="1" customWidth="1"/>
    <col min="17" max="17" width="12.140625" style="1" bestFit="1" customWidth="1"/>
    <col min="18" max="18" width="24" style="1" bestFit="1" customWidth="1"/>
    <col min="19" max="16384" width="9.140625" style="1"/>
  </cols>
  <sheetData>
    <row r="2" spans="2:18" x14ac:dyDescent="0.2">
      <c r="B2" s="91" t="s">
        <v>369</v>
      </c>
    </row>
    <row r="3" spans="2:18" s="115" customFormat="1" ht="25.5" x14ac:dyDescent="0.2">
      <c r="B3" s="115" t="s">
        <v>0</v>
      </c>
      <c r="C3" s="115" t="s">
        <v>9</v>
      </c>
      <c r="D3" s="115" t="s">
        <v>2</v>
      </c>
      <c r="E3" s="115" t="s">
        <v>3</v>
      </c>
      <c r="F3" s="115" t="s">
        <v>370</v>
      </c>
      <c r="G3" s="115" t="s">
        <v>371</v>
      </c>
      <c r="H3" s="115" t="s">
        <v>386</v>
      </c>
      <c r="I3" s="115" t="s">
        <v>8</v>
      </c>
      <c r="J3" s="115" t="s">
        <v>59</v>
      </c>
      <c r="K3" s="115" t="s">
        <v>372</v>
      </c>
      <c r="L3" s="115" t="s">
        <v>65</v>
      </c>
      <c r="M3" s="116" t="s">
        <v>163</v>
      </c>
      <c r="N3" s="116" t="s">
        <v>164</v>
      </c>
      <c r="O3" s="116" t="s">
        <v>165</v>
      </c>
      <c r="P3" s="116" t="s">
        <v>166</v>
      </c>
      <c r="Q3" s="116" t="s">
        <v>167</v>
      </c>
      <c r="R3" s="116" t="s">
        <v>168</v>
      </c>
    </row>
    <row r="4" spans="2:18" x14ac:dyDescent="0.2">
      <c r="B4" s="100" t="s">
        <v>373</v>
      </c>
      <c r="C4" s="100" t="s">
        <v>304</v>
      </c>
      <c r="D4" s="100" t="s">
        <v>380</v>
      </c>
      <c r="E4" s="100" t="s">
        <v>130</v>
      </c>
      <c r="F4" s="110">
        <v>41365</v>
      </c>
      <c r="G4" s="100">
        <v>5</v>
      </c>
      <c r="H4" s="100"/>
      <c r="I4" s="113">
        <v>325000</v>
      </c>
      <c r="J4" s="111">
        <v>180000</v>
      </c>
      <c r="K4" s="111">
        <v>180000</v>
      </c>
      <c r="L4" s="62">
        <f>SUM(Table2[[#This Row],[Fund I Equity]:[3rd Party Equity]])</f>
        <v>360000</v>
      </c>
      <c r="M4" s="112">
        <v>42003</v>
      </c>
      <c r="N4" s="111">
        <v>591506</v>
      </c>
      <c r="O4" s="114">
        <f>IF(Table2[[#This Row],[Status]]="Sold",(Table2[[#This Row],[Date of Sale]]-Table2[[#This Row],[Acq. Date]])/365,"")</f>
        <v>1.747945205479452</v>
      </c>
      <c r="P4" s="111">
        <v>489536.08</v>
      </c>
      <c r="Q4" s="114">
        <f>IF(Table2[[#This Row],[Status]]="sold",Table2[[#This Row],[Total Property Distributions]]/Table2[[#This Row],[Total Equity]],"")</f>
        <v>1.3598224444444444</v>
      </c>
      <c r="R4" s="63">
        <f>IF(Table2[[#This Row],[Status]]="Sold",(Table2[[#This Row],[Total Property Distributions]]-Table2[[#This Row],[Total Equity]])/Table2[[#This Row],[Total Equity]]/Table2[[#This Row],[Holding Period]],"")</f>
        <v>0.20585453326367123</v>
      </c>
    </row>
    <row r="5" spans="2:18" x14ac:dyDescent="0.2">
      <c r="B5" s="100" t="s">
        <v>374</v>
      </c>
      <c r="C5" s="100" t="s">
        <v>304</v>
      </c>
      <c r="D5" s="100" t="s">
        <v>381</v>
      </c>
      <c r="E5" s="100" t="s">
        <v>130</v>
      </c>
      <c r="F5" s="110">
        <v>41791</v>
      </c>
      <c r="G5" s="100"/>
      <c r="H5" s="100">
        <v>75</v>
      </c>
      <c r="I5" s="113">
        <v>450000</v>
      </c>
      <c r="J5" s="111">
        <v>175000</v>
      </c>
      <c r="K5" s="111">
        <v>175000</v>
      </c>
      <c r="L5" s="62">
        <f>SUM(Table2[[#This Row],[Fund I Equity]:[3rd Party Equity]])</f>
        <v>350000</v>
      </c>
      <c r="M5" s="112">
        <v>42312</v>
      </c>
      <c r="N5" s="111">
        <v>868133</v>
      </c>
      <c r="O5" s="114">
        <f>IF(Table2[[#This Row],[Status]]="Sold",(Table2[[#This Row],[Date of Sale]]-Table2[[#This Row],[Acq. Date]])/365,"")</f>
        <v>1.4273972602739726</v>
      </c>
      <c r="P5" s="111">
        <v>565500</v>
      </c>
      <c r="Q5" s="114">
        <f>IF(Table2[[#This Row],[Status]]="sold",Table2[[#This Row],[Total Property Distributions]]/Table2[[#This Row],[Total Equity]],"")</f>
        <v>1.6157142857142857</v>
      </c>
      <c r="R5" s="63">
        <f>IF(Table2[[#This Row],[Status]]="Sold",(Table2[[#This Row],[Total Property Distributions]]-Table2[[#This Row],[Total Equity]])/Table2[[#This Row],[Total Equity]]/Table2[[#This Row],[Holding Period]],"")</f>
        <v>0.43135453797641898</v>
      </c>
    </row>
    <row r="6" spans="2:18" x14ac:dyDescent="0.2">
      <c r="B6" s="100" t="s">
        <v>375</v>
      </c>
      <c r="C6" s="100" t="s">
        <v>304</v>
      </c>
      <c r="D6" s="100" t="s">
        <v>382</v>
      </c>
      <c r="E6" s="100" t="s">
        <v>130</v>
      </c>
      <c r="F6" s="110">
        <v>41579</v>
      </c>
      <c r="G6" s="100">
        <v>13</v>
      </c>
      <c r="H6" s="100"/>
      <c r="I6" s="113">
        <v>325000</v>
      </c>
      <c r="J6" s="111">
        <v>502073</v>
      </c>
      <c r="K6" s="111">
        <v>0</v>
      </c>
      <c r="L6" s="62">
        <f>SUM(Table2[[#This Row],[Fund I Equity]:[3rd Party Equity]])</f>
        <v>502073</v>
      </c>
      <c r="M6" s="112">
        <v>42398</v>
      </c>
      <c r="N6" s="111">
        <v>1403700</v>
      </c>
      <c r="O6" s="114">
        <f>IF(Table2[[#This Row],[Status]]="Sold",(Table2[[#This Row],[Date of Sale]]-Table2[[#This Row],[Acq. Date]])/365,"")</f>
        <v>2.2438356164383562</v>
      </c>
      <c r="P6" s="111">
        <v>712782.25</v>
      </c>
      <c r="Q6" s="114">
        <f>IF(Table2[[#This Row],[Status]]="sold",Table2[[#This Row],[Total Property Distributions]]/Table2[[#This Row],[Total Equity]],"")</f>
        <v>1.4196785128855764</v>
      </c>
      <c r="R6" s="63">
        <f>IF(Table2[[#This Row],[Status]]="Sold",(Table2[[#This Row],[Total Property Distributions]]-Table2[[#This Row],[Total Equity]])/Table2[[#This Row],[Total Equity]]/Table2[[#This Row],[Holding Period]],"")</f>
        <v>0.18703621148136187</v>
      </c>
    </row>
    <row r="7" spans="2:18" x14ac:dyDescent="0.2">
      <c r="B7" s="100" t="s">
        <v>376</v>
      </c>
      <c r="C7" s="100" t="s">
        <v>304</v>
      </c>
      <c r="D7" s="100" t="s">
        <v>379</v>
      </c>
      <c r="E7" s="100" t="s">
        <v>130</v>
      </c>
      <c r="F7" s="110">
        <v>41306</v>
      </c>
      <c r="G7" s="100">
        <v>19</v>
      </c>
      <c r="H7" s="100"/>
      <c r="I7" s="113">
        <v>350000</v>
      </c>
      <c r="J7" s="111">
        <v>180000</v>
      </c>
      <c r="K7" s="111">
        <v>180000</v>
      </c>
      <c r="L7" s="62">
        <f>SUM(Table2[[#This Row],[Fund I Equity]:[3rd Party Equity]])</f>
        <v>360000</v>
      </c>
      <c r="M7" s="112">
        <v>42513</v>
      </c>
      <c r="N7" s="111">
        <v>986350</v>
      </c>
      <c r="O7" s="114">
        <f>IF(Table2[[#This Row],[Status]]="Sold",(Table2[[#This Row],[Date of Sale]]-Table2[[#This Row],[Acq. Date]])/365,"")</f>
        <v>3.3068493150684932</v>
      </c>
      <c r="P7" s="111">
        <v>864798.89</v>
      </c>
      <c r="Q7" s="114">
        <f>IF(Table2[[#This Row],[Status]]="sold",Table2[[#This Row],[Total Property Distributions]]/Table2[[#This Row],[Total Equity]],"")</f>
        <v>2.4022191388888889</v>
      </c>
      <c r="R7" s="63">
        <f>IF(Table2[[#This Row],[Status]]="Sold",(Table2[[#This Row],[Total Property Distributions]]-Table2[[#This Row],[Total Equity]])/Table2[[#This Row],[Total Equity]]/Table2[[#This Row],[Holding Period]],"")</f>
        <v>0.42403478516523979</v>
      </c>
    </row>
    <row r="8" spans="2:18" x14ac:dyDescent="0.2">
      <c r="B8" s="100" t="s">
        <v>377</v>
      </c>
      <c r="C8" s="100" t="s">
        <v>304</v>
      </c>
      <c r="D8" s="100" t="s">
        <v>383</v>
      </c>
      <c r="E8" s="100" t="s">
        <v>130</v>
      </c>
      <c r="F8" s="110">
        <v>41852</v>
      </c>
      <c r="G8" s="100">
        <f>28+42</f>
        <v>70</v>
      </c>
      <c r="H8" s="100"/>
      <c r="I8" s="113">
        <v>580000</v>
      </c>
      <c r="J8" s="111">
        <v>160000</v>
      </c>
      <c r="K8" s="111">
        <v>320000</v>
      </c>
      <c r="L8" s="62">
        <f>SUM(Table2[[#This Row],[Fund I Equity]:[3rd Party Equity]])</f>
        <v>480000</v>
      </c>
      <c r="M8" s="112">
        <v>43800</v>
      </c>
      <c r="N8" s="111">
        <v>2254204</v>
      </c>
      <c r="O8" s="114">
        <f>IF(Table2[[#This Row],[Status]]="Sold",(Table2[[#This Row],[Date of Sale]]-Table2[[#This Row],[Acq. Date]])/365,"")</f>
        <v>5.3369863013698629</v>
      </c>
      <c r="P8" s="111">
        <v>1534031.91</v>
      </c>
      <c r="Q8" s="114">
        <f>IF(Table2[[#This Row],[Status]]="sold",Table2[[#This Row],[Total Property Distributions]]/Table2[[#This Row],[Total Equity]],"")</f>
        <v>3.1958998125</v>
      </c>
      <c r="R8" s="63">
        <f>IF(Table2[[#This Row],[Status]]="Sold",(Table2[[#This Row],[Total Property Distributions]]-Table2[[#This Row],[Total Equity]])/Table2[[#This Row],[Total Equity]]/Table2[[#This Row],[Holding Period]],"")</f>
        <v>0.41144940018608833</v>
      </c>
    </row>
    <row r="9" spans="2:18" x14ac:dyDescent="0.2">
      <c r="B9" s="100" t="s">
        <v>219</v>
      </c>
      <c r="C9" s="100" t="s">
        <v>49</v>
      </c>
      <c r="D9" s="100" t="s">
        <v>385</v>
      </c>
      <c r="E9" s="100" t="s">
        <v>130</v>
      </c>
      <c r="F9" s="110">
        <v>41791</v>
      </c>
      <c r="G9" s="100">
        <v>65</v>
      </c>
      <c r="H9" s="100"/>
      <c r="I9" s="113">
        <v>920000</v>
      </c>
      <c r="J9" s="111">
        <v>200000</v>
      </c>
      <c r="K9" s="111">
        <v>400000</v>
      </c>
      <c r="L9" s="62">
        <f>SUM(Table2[[#This Row],[Fund I Equity]:[3rd Party Equity]])</f>
        <v>600000</v>
      </c>
      <c r="M9" s="112"/>
      <c r="N9" s="111"/>
      <c r="O9" s="114" t="str">
        <f>IF(Table2[[#This Row],[Status]]="Sold",(Table2[[#This Row],[Date of Sale]]-Table2[[#This Row],[Acq. Date]])/365,"")</f>
        <v/>
      </c>
      <c r="P9" s="111"/>
      <c r="Q9" s="114" t="str">
        <f>IF(Table2[[#This Row],[Status]]="sold",Table2[[#This Row],[Total Property Distributions]]/Table2[[#This Row],[Total Equity]],"")</f>
        <v/>
      </c>
      <c r="R9" s="63" t="str">
        <f>IF(Table2[[#This Row],[Status]]="Sold",(Table2[[#This Row],[Total Property Distributions]]-Table2[[#This Row],[Total Equity]])/Table2[[#This Row],[Total Equity]]/Table2[[#This Row],[Holding Period]],"")</f>
        <v/>
      </c>
    </row>
    <row r="10" spans="2:18" x14ac:dyDescent="0.2">
      <c r="B10" s="100" t="s">
        <v>378</v>
      </c>
      <c r="C10" s="100" t="s">
        <v>304</v>
      </c>
      <c r="D10" s="100" t="s">
        <v>384</v>
      </c>
      <c r="E10" s="100" t="s">
        <v>130</v>
      </c>
      <c r="F10" s="110">
        <v>41275</v>
      </c>
      <c r="G10" s="100">
        <v>24</v>
      </c>
      <c r="H10" s="100">
        <v>20</v>
      </c>
      <c r="I10" s="113">
        <v>307500</v>
      </c>
      <c r="J10" s="111">
        <v>393914.44</v>
      </c>
      <c r="K10" s="111">
        <v>0</v>
      </c>
      <c r="L10" s="62">
        <f>SUM(Table2[[#This Row],[Fund I Equity]:[3rd Party Equity]])</f>
        <v>393914.44</v>
      </c>
      <c r="M10" s="112">
        <v>43802</v>
      </c>
      <c r="N10" s="111">
        <v>878840</v>
      </c>
      <c r="O10" s="114">
        <f>IF(Table2[[#This Row],[Status]]="Sold",(Table2[[#This Row],[Date of Sale]]-Table2[[#This Row],[Acq. Date]])/365,"")</f>
        <v>6.9232876712328766</v>
      </c>
      <c r="P10" s="111">
        <v>768904.1</v>
      </c>
      <c r="Q10" s="114">
        <f>IF(Table2[[#This Row],[Status]]="sold",Table2[[#This Row],[Total Property Distributions]]/Table2[[#This Row],[Total Equity]],"")</f>
        <v>1.9519571305890691</v>
      </c>
      <c r="R10" s="63">
        <f>IF(Table2[[#This Row],[Status]]="Sold",(Table2[[#This Row],[Total Property Distributions]]-Table2[[#This Row],[Total Equity]])/Table2[[#This Row],[Total Equity]]/Table2[[#This Row],[Holding Period]],"")</f>
        <v>0.13750073314800562</v>
      </c>
    </row>
    <row r="11" spans="2:18" x14ac:dyDescent="0.2">
      <c r="I11" s="1">
        <f>SUBTOTAL(109,Table2[Purchase Price])</f>
        <v>3257500</v>
      </c>
      <c r="J11" s="74">
        <f>SUBTOTAL(109,Table2[Fund I Equity])</f>
        <v>1790987.44</v>
      </c>
      <c r="K11" s="74">
        <f>SUBTOTAL(109,Table2[3rd Party Equity])</f>
        <v>1255000</v>
      </c>
      <c r="L11" s="74">
        <f>SUBTOTAL(109,Table2[Total Equity])</f>
        <v>3045987.44</v>
      </c>
    </row>
  </sheetData>
  <pageMargins left="0.7" right="0.7" top="0.75" bottom="0.75" header="0.3" footer="0.3"/>
  <pageSetup orientation="portrait" horizontalDpi="1200" verticalDpi="1200" r:id="rId1"/>
  <tableParts count="1">
    <tablePart r:id="rId2"/>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45EBF-EC9C-4D9A-8A2D-2BAA122B912E}">
  <dimension ref="B2:P69"/>
  <sheetViews>
    <sheetView showGridLines="0" workbookViewId="0">
      <selection activeCell="G38" sqref="G38"/>
    </sheetView>
  </sheetViews>
  <sheetFormatPr defaultColWidth="9.140625" defaultRowHeight="12.75" x14ac:dyDescent="0.2"/>
  <cols>
    <col min="1" max="1" width="4" style="1" customWidth="1"/>
    <col min="2" max="2" width="29" style="1" customWidth="1"/>
    <col min="3" max="8" width="25" style="1" customWidth="1"/>
    <col min="9" max="13" width="9.140625" style="1"/>
    <col min="14" max="14" width="13.140625" style="1" bestFit="1" customWidth="1"/>
    <col min="15" max="16384" width="9.140625" style="1"/>
  </cols>
  <sheetData>
    <row r="2" spans="2:7" x14ac:dyDescent="0.2">
      <c r="B2" s="91" t="s">
        <v>441</v>
      </c>
    </row>
    <row r="3" spans="2:7" x14ac:dyDescent="0.2">
      <c r="B3" s="91"/>
    </row>
    <row r="4" spans="2:7" x14ac:dyDescent="0.2">
      <c r="B4" s="128" t="s">
        <v>1</v>
      </c>
      <c r="C4" s="1" t="s">
        <v>97</v>
      </c>
    </row>
    <row r="5" spans="2:7" x14ac:dyDescent="0.2">
      <c r="B5" s="128" t="s">
        <v>402</v>
      </c>
      <c r="C5" s="1" t="s">
        <v>403</v>
      </c>
    </row>
    <row r="6" spans="2:7" ht="15" x14ac:dyDescent="0.25">
      <c r="B6"/>
      <c r="C6"/>
    </row>
    <row r="7" spans="2:7" s="115" customFormat="1" ht="25.5" x14ac:dyDescent="0.2">
      <c r="B7" s="131" t="s">
        <v>90</v>
      </c>
      <c r="C7" s="115" t="s">
        <v>398</v>
      </c>
      <c r="D7" s="115" t="s">
        <v>399</v>
      </c>
      <c r="E7" s="115" t="s">
        <v>432</v>
      </c>
      <c r="F7" s="115" t="s">
        <v>92</v>
      </c>
      <c r="G7" s="115" t="s">
        <v>413</v>
      </c>
    </row>
    <row r="8" spans="2:7" x14ac:dyDescent="0.2">
      <c r="B8" s="129" t="s">
        <v>49</v>
      </c>
      <c r="C8" s="74">
        <v>9719883</v>
      </c>
      <c r="D8" s="74">
        <v>11184</v>
      </c>
      <c r="E8" s="74">
        <v>1261293003</v>
      </c>
      <c r="F8" s="74">
        <v>1485650000</v>
      </c>
      <c r="G8" s="74">
        <v>493695517.17999995</v>
      </c>
    </row>
    <row r="9" spans="2:7" x14ac:dyDescent="0.2">
      <c r="B9" s="129" t="s">
        <v>601</v>
      </c>
      <c r="C9" s="74">
        <v>1002019</v>
      </c>
      <c r="D9" s="74">
        <v>984</v>
      </c>
      <c r="E9" s="74">
        <v>123920000</v>
      </c>
      <c r="F9" s="74">
        <v>123920000</v>
      </c>
      <c r="G9" s="74">
        <v>46902000</v>
      </c>
    </row>
    <row r="10" spans="2:7" x14ac:dyDescent="0.2">
      <c r="B10" s="129" t="s">
        <v>91</v>
      </c>
      <c r="C10" s="74">
        <v>10721902</v>
      </c>
      <c r="D10" s="74">
        <v>12168</v>
      </c>
      <c r="E10" s="74">
        <v>1385213003</v>
      </c>
      <c r="F10" s="74">
        <v>1609570000</v>
      </c>
      <c r="G10" s="74">
        <v>540597517.17999995</v>
      </c>
    </row>
    <row r="11" spans="2:7" x14ac:dyDescent="0.2">
      <c r="B11" s="70" t="s">
        <v>438</v>
      </c>
      <c r="C11" s="62">
        <f>8545725+816618</f>
        <v>9362343</v>
      </c>
      <c r="D11" s="62">
        <f>10010+798</f>
        <v>10808</v>
      </c>
      <c r="E11" s="62">
        <f>1091443003+127150000</f>
        <v>1218593003</v>
      </c>
      <c r="F11" s="62">
        <f>1277330000+127150000</f>
        <v>1404480000</v>
      </c>
      <c r="G11" s="62">
        <f>420862577+46955600</f>
        <v>467818177</v>
      </c>
    </row>
    <row r="12" spans="2:7" ht="13.5" thickBot="1" x14ac:dyDescent="0.25">
      <c r="B12" s="70" t="s">
        <v>391</v>
      </c>
      <c r="C12" s="106">
        <f>C9-C11</f>
        <v>-8360324</v>
      </c>
      <c r="D12" s="106">
        <f t="shared" ref="D12:G12" si="0">D9-D11</f>
        <v>-9824</v>
      </c>
      <c r="E12" s="106">
        <f t="shared" si="0"/>
        <v>-1094673003</v>
      </c>
      <c r="F12" s="106">
        <f t="shared" si="0"/>
        <v>-1280560000</v>
      </c>
      <c r="G12" s="106">
        <f t="shared" si="0"/>
        <v>-420916177</v>
      </c>
    </row>
    <row r="13" spans="2:7" ht="13.5" thickTop="1" x14ac:dyDescent="0.2">
      <c r="F13" s="70" t="s">
        <v>392</v>
      </c>
    </row>
    <row r="14" spans="2:7" x14ac:dyDescent="0.2">
      <c r="F14" s="152" t="s">
        <v>424</v>
      </c>
      <c r="G14" s="62">
        <f>71500000-64388332</f>
        <v>7111668</v>
      </c>
    </row>
    <row r="15" spans="2:7" x14ac:dyDescent="0.2">
      <c r="F15" s="152" t="s">
        <v>518</v>
      </c>
      <c r="G15" s="62">
        <f>-6500000+6087942</f>
        <v>-412058</v>
      </c>
    </row>
    <row r="16" spans="2:7" x14ac:dyDescent="0.2">
      <c r="F16" s="152" t="s">
        <v>425</v>
      </c>
      <c r="G16" s="62">
        <f>32779330.88-32725000</f>
        <v>54330.879999998957</v>
      </c>
    </row>
    <row r="17" spans="2:16" x14ac:dyDescent="0.2">
      <c r="F17" s="152" t="s">
        <v>426</v>
      </c>
      <c r="G17" s="62">
        <f>-(20171600-20465000)</f>
        <v>293400</v>
      </c>
    </row>
    <row r="18" spans="2:16" x14ac:dyDescent="0.2">
      <c r="F18" s="152" t="s">
        <v>427</v>
      </c>
      <c r="G18" s="153">
        <f>-(26784000-26194000)</f>
        <v>-590000</v>
      </c>
    </row>
    <row r="19" spans="2:16" x14ac:dyDescent="0.2">
      <c r="F19" s="152" t="s">
        <v>439</v>
      </c>
      <c r="G19" s="74">
        <f>SUM(G14:G18)</f>
        <v>6457340.879999999</v>
      </c>
    </row>
    <row r="20" spans="2:16" ht="13.5" thickBot="1" x14ac:dyDescent="0.25">
      <c r="F20" s="157" t="s">
        <v>393</v>
      </c>
      <c r="G20" s="106">
        <f>G19-G12</f>
        <v>427373517.88</v>
      </c>
      <c r="H20" s="154" t="s">
        <v>423</v>
      </c>
    </row>
    <row r="21" spans="2:16" ht="13.5" thickTop="1" x14ac:dyDescent="0.2"/>
    <row r="23" spans="2:16" x14ac:dyDescent="0.2">
      <c r="B23" s="128" t="s">
        <v>1</v>
      </c>
      <c r="C23" s="1" t="s">
        <v>397</v>
      </c>
    </row>
    <row r="24" spans="2:16" x14ac:dyDescent="0.2">
      <c r="B24" s="128" t="s">
        <v>402</v>
      </c>
      <c r="C24" s="1" t="s">
        <v>403</v>
      </c>
    </row>
    <row r="25" spans="2:16" ht="15" x14ac:dyDescent="0.25">
      <c r="B25"/>
      <c r="C25"/>
    </row>
    <row r="26" spans="2:16" s="100" customFormat="1" ht="26.25" x14ac:dyDescent="0.25">
      <c r="B26" s="131" t="s">
        <v>90</v>
      </c>
      <c r="C26" s="115" t="s">
        <v>398</v>
      </c>
      <c r="D26" s="115" t="s">
        <v>432</v>
      </c>
      <c r="E26" s="115" t="s">
        <v>92</v>
      </c>
      <c r="F26" s="115" t="s">
        <v>413</v>
      </c>
      <c r="G26" s="119"/>
      <c r="H26" s="160"/>
      <c r="I26" s="160"/>
      <c r="J26" s="160"/>
      <c r="K26" s="160"/>
      <c r="L26" s="160"/>
      <c r="M26" s="160"/>
      <c r="N26" s="160"/>
      <c r="O26" s="160"/>
      <c r="P26" s="160"/>
    </row>
    <row r="27" spans="2:16" ht="15" x14ac:dyDescent="0.25">
      <c r="B27" s="129" t="s">
        <v>49</v>
      </c>
      <c r="C27" s="74">
        <v>3791231</v>
      </c>
      <c r="D27" s="74">
        <v>172222000</v>
      </c>
      <c r="E27" s="74">
        <v>194750000</v>
      </c>
      <c r="F27" s="74">
        <v>75392781.980000004</v>
      </c>
      <c r="G27"/>
    </row>
    <row r="28" spans="2:16" ht="15" x14ac:dyDescent="0.25">
      <c r="B28" s="129" t="s">
        <v>91</v>
      </c>
      <c r="C28" s="74">
        <v>3791231</v>
      </c>
      <c r="D28" s="74">
        <v>172222000</v>
      </c>
      <c r="E28" s="74">
        <v>194750000</v>
      </c>
      <c r="F28" s="74">
        <v>75392781.980000004</v>
      </c>
      <c r="G28"/>
    </row>
    <row r="29" spans="2:16" ht="15" x14ac:dyDescent="0.25">
      <c r="B29"/>
      <c r="C29"/>
      <c r="D29"/>
      <c r="E29"/>
      <c r="F29"/>
      <c r="G29"/>
    </row>
    <row r="30" spans="2:16" x14ac:dyDescent="0.2">
      <c r="B30" s="70" t="s">
        <v>438</v>
      </c>
      <c r="C30" s="62">
        <f>4011571+138920</f>
        <v>4150491</v>
      </c>
      <c r="D30" s="62">
        <f>188722000+5225000</f>
        <v>193947000</v>
      </c>
      <c r="E30" s="62">
        <f>222210000+5225000</f>
        <v>227435000</v>
      </c>
      <c r="F30" s="62">
        <f>83446835+2700000</f>
        <v>86146835</v>
      </c>
    </row>
    <row r="31" spans="2:16" ht="13.5" thickBot="1" x14ac:dyDescent="0.25">
      <c r="B31" s="70" t="s">
        <v>391</v>
      </c>
      <c r="C31" s="158">
        <f>C28-C30</f>
        <v>-359260</v>
      </c>
      <c r="D31" s="158">
        <f t="shared" ref="D31:F31" si="1">D28-D30</f>
        <v>-21725000</v>
      </c>
      <c r="E31" s="158">
        <f t="shared" si="1"/>
        <v>-32685000</v>
      </c>
      <c r="F31" s="158">
        <f t="shared" si="1"/>
        <v>-10754053.019999996</v>
      </c>
    </row>
    <row r="32" spans="2:16" ht="13.5" thickTop="1" x14ac:dyDescent="0.2">
      <c r="B32" s="70" t="s">
        <v>392</v>
      </c>
    </row>
    <row r="33" spans="2:16" x14ac:dyDescent="0.2">
      <c r="B33" s="152" t="s">
        <v>419</v>
      </c>
      <c r="C33" s="62"/>
      <c r="D33" s="62"/>
      <c r="E33" s="62"/>
      <c r="F33" s="62">
        <f>277972.99*2</f>
        <v>555945.98</v>
      </c>
    </row>
    <row r="34" spans="2:16" x14ac:dyDescent="0.2">
      <c r="B34" s="152" t="s">
        <v>544</v>
      </c>
      <c r="C34" s="62">
        <v>-138920</v>
      </c>
      <c r="D34" s="62">
        <v>-5225000</v>
      </c>
      <c r="E34" s="62">
        <v>-5225000</v>
      </c>
      <c r="F34" s="62">
        <v>-2700000</v>
      </c>
    </row>
    <row r="35" spans="2:16" x14ac:dyDescent="0.2">
      <c r="B35" s="152" t="s">
        <v>127</v>
      </c>
      <c r="C35" s="62">
        <f>1462739-1463432</f>
        <v>-693</v>
      </c>
      <c r="D35" s="62"/>
      <c r="E35" s="62"/>
      <c r="F35" s="62"/>
    </row>
    <row r="36" spans="2:16" x14ac:dyDescent="0.2">
      <c r="B36" s="152" t="s">
        <v>542</v>
      </c>
      <c r="C36" s="62">
        <v>114631</v>
      </c>
      <c r="D36" s="62">
        <v>6000000</v>
      </c>
      <c r="E36" s="62">
        <v>6000000</v>
      </c>
      <c r="F36" s="62">
        <v>3250000</v>
      </c>
    </row>
    <row r="37" spans="2:16" x14ac:dyDescent="0.2">
      <c r="B37" s="152" t="s">
        <v>420</v>
      </c>
      <c r="C37" s="153"/>
      <c r="D37" s="153"/>
      <c r="E37" s="153"/>
      <c r="F37" s="153">
        <v>40000</v>
      </c>
    </row>
    <row r="38" spans="2:16" x14ac:dyDescent="0.2">
      <c r="B38" s="152" t="s">
        <v>421</v>
      </c>
      <c r="C38" s="62">
        <f t="shared" ref="C38:E38" si="2">SUM(C33:C37)</f>
        <v>-24982</v>
      </c>
      <c r="D38" s="62">
        <f t="shared" si="2"/>
        <v>775000</v>
      </c>
      <c r="E38" s="62">
        <f t="shared" si="2"/>
        <v>775000</v>
      </c>
      <c r="F38" s="62">
        <f>SUM(F33:F37)</f>
        <v>1145945.98</v>
      </c>
    </row>
    <row r="39" spans="2:16" ht="13.5" thickBot="1" x14ac:dyDescent="0.25">
      <c r="B39" s="157" t="s">
        <v>393</v>
      </c>
      <c r="C39" s="155">
        <f t="shared" ref="C39:E39" si="3">C31-C38</f>
        <v>-334278</v>
      </c>
      <c r="D39" s="155">
        <f t="shared" si="3"/>
        <v>-22500000</v>
      </c>
      <c r="E39" s="155">
        <f t="shared" si="3"/>
        <v>-33460000</v>
      </c>
      <c r="F39" s="155">
        <f>F31-F38</f>
        <v>-11899998.999999996</v>
      </c>
      <c r="G39" s="154" t="s">
        <v>423</v>
      </c>
    </row>
    <row r="40" spans="2:16" ht="13.5" thickTop="1" x14ac:dyDescent="0.2"/>
    <row r="42" spans="2:16" x14ac:dyDescent="0.2">
      <c r="B42" s="128" t="s">
        <v>1</v>
      </c>
      <c r="C42" s="1" t="s">
        <v>97</v>
      </c>
    </row>
    <row r="43" spans="2:16" x14ac:dyDescent="0.2">
      <c r="B43" s="128" t="s">
        <v>402</v>
      </c>
      <c r="C43" s="1" t="s">
        <v>403</v>
      </c>
    </row>
    <row r="44" spans="2:16" ht="15" x14ac:dyDescent="0.25">
      <c r="B44"/>
      <c r="C44"/>
    </row>
    <row r="45" spans="2:16" s="115" customFormat="1" ht="25.5" x14ac:dyDescent="0.2">
      <c r="B45" s="131" t="s">
        <v>90</v>
      </c>
      <c r="C45" s="115" t="s">
        <v>398</v>
      </c>
      <c r="D45" s="115" t="s">
        <v>399</v>
      </c>
      <c r="E45" s="115" t="s">
        <v>432</v>
      </c>
      <c r="F45" s="115" t="s">
        <v>400</v>
      </c>
      <c r="G45" s="115" t="s">
        <v>413</v>
      </c>
      <c r="H45" s="115" t="s">
        <v>401</v>
      </c>
      <c r="I45" s="131"/>
      <c r="J45" s="131"/>
      <c r="K45" s="131"/>
      <c r="L45" s="131"/>
      <c r="M45" s="131"/>
      <c r="N45" s="131"/>
      <c r="O45" s="131"/>
      <c r="P45" s="131"/>
    </row>
    <row r="46" spans="2:16" x14ac:dyDescent="0.2">
      <c r="B46" s="129" t="s">
        <v>304</v>
      </c>
      <c r="C46" s="74">
        <v>6149243</v>
      </c>
      <c r="D46" s="74">
        <v>7714</v>
      </c>
      <c r="E46" s="74">
        <v>324829490</v>
      </c>
      <c r="F46" s="74">
        <v>537116500</v>
      </c>
      <c r="G46" s="74">
        <v>127853684.42</v>
      </c>
      <c r="H46" s="74">
        <v>321505468.94354361</v>
      </c>
    </row>
    <row r="47" spans="2:16" x14ac:dyDescent="0.2">
      <c r="B47" s="129" t="s">
        <v>91</v>
      </c>
      <c r="C47" s="74">
        <v>6149243</v>
      </c>
      <c r="D47" s="74">
        <v>7714</v>
      </c>
      <c r="E47" s="74">
        <v>324829490</v>
      </c>
      <c r="F47" s="74">
        <v>537116500</v>
      </c>
      <c r="G47" s="74">
        <v>127853684.42</v>
      </c>
      <c r="H47" s="74">
        <v>321505468.94354361</v>
      </c>
    </row>
    <row r="48" spans="2:16" ht="15" x14ac:dyDescent="0.25">
      <c r="B48"/>
      <c r="C48"/>
      <c r="D48"/>
      <c r="E48"/>
      <c r="F48"/>
    </row>
    <row r="49" spans="2:16" x14ac:dyDescent="0.2">
      <c r="B49" s="70" t="s">
        <v>438</v>
      </c>
      <c r="C49" s="147">
        <v>6149243</v>
      </c>
      <c r="D49" s="147">
        <v>7714</v>
      </c>
      <c r="E49" s="147">
        <v>324829490</v>
      </c>
      <c r="F49" s="147">
        <v>537116500</v>
      </c>
      <c r="G49" s="147">
        <v>127853684.42</v>
      </c>
      <c r="H49" s="147">
        <v>321097722.87068647</v>
      </c>
    </row>
    <row r="50" spans="2:16" ht="13.5" thickBot="1" x14ac:dyDescent="0.25">
      <c r="B50" s="70" t="s">
        <v>391</v>
      </c>
      <c r="C50" s="158">
        <f>C47-C49</f>
        <v>0</v>
      </c>
      <c r="D50" s="158">
        <f t="shared" ref="D50:H50" si="4">D47-D49</f>
        <v>0</v>
      </c>
      <c r="E50" s="158">
        <f t="shared" si="4"/>
        <v>0</v>
      </c>
      <c r="F50" s="158">
        <f t="shared" si="4"/>
        <v>0</v>
      </c>
      <c r="G50" s="158">
        <f t="shared" si="4"/>
        <v>0</v>
      </c>
      <c r="H50" s="158">
        <f t="shared" si="4"/>
        <v>407746.07285714149</v>
      </c>
    </row>
    <row r="51" spans="2:16" ht="13.5" thickTop="1" x14ac:dyDescent="0.2">
      <c r="B51" s="70"/>
      <c r="C51" s="159"/>
      <c r="D51" s="159"/>
      <c r="E51" s="159"/>
      <c r="F51" s="159"/>
      <c r="G51" s="159"/>
      <c r="H51" s="159"/>
    </row>
    <row r="52" spans="2:16" x14ac:dyDescent="0.2">
      <c r="C52" s="159"/>
      <c r="D52" s="159"/>
      <c r="E52" s="159"/>
      <c r="F52" s="159"/>
      <c r="G52" s="70" t="s">
        <v>392</v>
      </c>
      <c r="H52" s="159"/>
    </row>
    <row r="53" spans="2:16" x14ac:dyDescent="0.2">
      <c r="C53" s="159"/>
      <c r="D53" s="159"/>
      <c r="E53" s="159"/>
      <c r="F53" s="159"/>
      <c r="G53" s="152" t="s">
        <v>264</v>
      </c>
      <c r="H53" s="159">
        <v>11243.43</v>
      </c>
    </row>
    <row r="54" spans="2:16" ht="13.5" thickBot="1" x14ac:dyDescent="0.25">
      <c r="B54" s="70"/>
      <c r="C54" s="159"/>
      <c r="D54" s="159"/>
      <c r="E54" s="159"/>
      <c r="F54" s="159"/>
      <c r="G54" s="157" t="s">
        <v>393</v>
      </c>
      <c r="H54" s="155">
        <f>H50-H53</f>
        <v>396502.6428571415</v>
      </c>
    </row>
    <row r="55" spans="2:16" ht="13.5" thickTop="1" x14ac:dyDescent="0.2"/>
    <row r="56" spans="2:16" x14ac:dyDescent="0.2">
      <c r="B56" s="128" t="s">
        <v>1</v>
      </c>
      <c r="C56" s="1" t="s">
        <v>397</v>
      </c>
    </row>
    <row r="57" spans="2:16" x14ac:dyDescent="0.2">
      <c r="B57" s="128" t="s">
        <v>402</v>
      </c>
      <c r="C57" s="1" t="s">
        <v>403</v>
      </c>
    </row>
    <row r="58" spans="2:16" ht="15" x14ac:dyDescent="0.25">
      <c r="B58"/>
      <c r="C58"/>
    </row>
    <row r="59" spans="2:16" s="115" customFormat="1" ht="26.25" x14ac:dyDescent="0.25">
      <c r="B59" s="131" t="s">
        <v>90</v>
      </c>
      <c r="C59" s="115" t="s">
        <v>398</v>
      </c>
      <c r="D59" s="115" t="s">
        <v>432</v>
      </c>
      <c r="E59" s="115" t="s">
        <v>400</v>
      </c>
      <c r="F59" s="115" t="s">
        <v>413</v>
      </c>
      <c r="G59" s="115" t="s">
        <v>401</v>
      </c>
      <c r="H59" s="161"/>
      <c r="I59" s="131"/>
      <c r="J59" s="131"/>
      <c r="K59" s="131"/>
      <c r="L59" s="131"/>
      <c r="M59" s="131"/>
      <c r="N59" s="131"/>
      <c r="O59" s="131"/>
      <c r="P59" s="131"/>
    </row>
    <row r="60" spans="2:16" ht="15" x14ac:dyDescent="0.25">
      <c r="B60" s="129" t="s">
        <v>304</v>
      </c>
      <c r="C60" s="74">
        <v>3936052</v>
      </c>
      <c r="D60" s="74">
        <v>201946000</v>
      </c>
      <c r="E60" s="74">
        <v>279338517.66999996</v>
      </c>
      <c r="F60" s="74">
        <v>79529023.789999992</v>
      </c>
      <c r="G60" s="74">
        <v>144185678.97565469</v>
      </c>
      <c r="H60"/>
    </row>
    <row r="61" spans="2:16" x14ac:dyDescent="0.2">
      <c r="B61" s="129" t="s">
        <v>91</v>
      </c>
      <c r="C61" s="74">
        <v>3936052</v>
      </c>
      <c r="D61" s="74">
        <v>201946000</v>
      </c>
      <c r="E61" s="74">
        <v>279338517.66999996</v>
      </c>
      <c r="F61" s="74">
        <v>79529023.789999992</v>
      </c>
      <c r="G61" s="74">
        <v>144185678.97565469</v>
      </c>
    </row>
    <row r="62" spans="2:16" ht="15" x14ac:dyDescent="0.25">
      <c r="B62"/>
      <c r="C62"/>
      <c r="D62"/>
      <c r="E62"/>
      <c r="F62"/>
    </row>
    <row r="63" spans="2:16" x14ac:dyDescent="0.2">
      <c r="B63" s="70" t="s">
        <v>438</v>
      </c>
      <c r="C63" s="62">
        <v>3601773</v>
      </c>
      <c r="D63" s="62">
        <v>179446000</v>
      </c>
      <c r="E63" s="62">
        <v>246595517.67000002</v>
      </c>
      <c r="F63" s="62">
        <v>67629023.439999998</v>
      </c>
      <c r="G63" s="62">
        <v>122187673.89070565</v>
      </c>
    </row>
    <row r="64" spans="2:16" ht="13.5" thickBot="1" x14ac:dyDescent="0.25">
      <c r="B64" s="70" t="s">
        <v>391</v>
      </c>
      <c r="C64" s="158">
        <f>C61-C63</f>
        <v>334279</v>
      </c>
      <c r="D64" s="158">
        <f t="shared" ref="D64" si="5">D61-D63</f>
        <v>22500000</v>
      </c>
      <c r="E64" s="158">
        <f t="shared" ref="E64" si="6">E61-E63</f>
        <v>32742999.99999994</v>
      </c>
      <c r="F64" s="158">
        <f t="shared" ref="F64" si="7">F61-F63</f>
        <v>11900000.349999994</v>
      </c>
      <c r="G64" s="158">
        <f t="shared" ref="G64" si="8">G61-G63</f>
        <v>21998005.084949046</v>
      </c>
    </row>
    <row r="65" spans="6:7" ht="13.5" thickTop="1" x14ac:dyDescent="0.2"/>
    <row r="66" spans="6:7" x14ac:dyDescent="0.2">
      <c r="F66" s="70" t="s">
        <v>392</v>
      </c>
      <c r="G66" s="159"/>
    </row>
    <row r="67" spans="6:7" x14ac:dyDescent="0.2">
      <c r="F67" s="152" t="s">
        <v>543</v>
      </c>
      <c r="G67" s="217">
        <v>360000</v>
      </c>
    </row>
    <row r="68" spans="6:7" ht="13.5" thickBot="1" x14ac:dyDescent="0.25">
      <c r="F68" s="157" t="s">
        <v>393</v>
      </c>
      <c r="G68" s="155">
        <f>G64-G67</f>
        <v>21638005.084949046</v>
      </c>
    </row>
    <row r="69" spans="6:7" ht="13.5" thickTop="1" x14ac:dyDescent="0.2"/>
  </sheetData>
  <pageMargins left="0.7" right="0.7" top="0.75" bottom="0.75" header="0.3" footer="0.3"/>
  <pageSetup orientation="portrait" horizontalDpi="1200" verticalDpi="1200" r:id="rId5"/>
  <legacyDrawing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E25E-B76A-48F9-92BB-EC29298113DD}">
  <sheetPr>
    <tabColor theme="9" tint="0.59999389629810485"/>
  </sheetPr>
  <dimension ref="B2:I55"/>
  <sheetViews>
    <sheetView showGridLines="0" workbookViewId="0">
      <selection activeCell="D17" sqref="D17"/>
    </sheetView>
  </sheetViews>
  <sheetFormatPr defaultColWidth="9.140625" defaultRowHeight="12.75" x14ac:dyDescent="0.2"/>
  <cols>
    <col min="1" max="1" width="5.5703125" style="1" customWidth="1"/>
    <col min="2" max="2" width="22.85546875" style="1" customWidth="1"/>
    <col min="3" max="3" width="15.140625" style="1" customWidth="1"/>
    <col min="4" max="4" width="12.5703125" style="1" customWidth="1"/>
    <col min="5" max="5" width="11.140625" style="1" customWidth="1"/>
    <col min="6" max="6" width="13" style="1" customWidth="1"/>
    <col min="7" max="7" width="3.85546875" style="1" customWidth="1"/>
    <col min="8" max="9" width="16.28515625" style="1" customWidth="1"/>
    <col min="10" max="16384" width="9.140625" style="1"/>
  </cols>
  <sheetData>
    <row r="2" spans="2:9" x14ac:dyDescent="0.2">
      <c r="B2" s="91" t="s">
        <v>539</v>
      </c>
    </row>
    <row r="3" spans="2:9" ht="12.75" customHeight="1" x14ac:dyDescent="0.2">
      <c r="B3" s="230">
        <v>44104</v>
      </c>
      <c r="H3" s="63"/>
    </row>
    <row r="4" spans="2:9" ht="12.75" customHeight="1" x14ac:dyDescent="0.2">
      <c r="B4" s="154"/>
      <c r="H4" s="63"/>
    </row>
    <row r="5" spans="2:9" x14ac:dyDescent="0.2">
      <c r="B5" s="90" t="s">
        <v>496</v>
      </c>
      <c r="H5" s="63"/>
    </row>
    <row r="6" spans="2:9" ht="7.5" customHeight="1" x14ac:dyDescent="0.2">
      <c r="H6" s="63"/>
    </row>
    <row r="7" spans="2:9" s="76" customFormat="1" ht="25.5" x14ac:dyDescent="0.2">
      <c r="B7" s="199" t="s">
        <v>519</v>
      </c>
      <c r="C7" s="200" t="s">
        <v>520</v>
      </c>
      <c r="D7" s="200" t="s">
        <v>462</v>
      </c>
      <c r="E7" s="200" t="s">
        <v>521</v>
      </c>
      <c r="F7" s="200" t="s">
        <v>526</v>
      </c>
      <c r="H7" s="201" t="s">
        <v>540</v>
      </c>
      <c r="I7" s="201" t="s">
        <v>534</v>
      </c>
    </row>
    <row r="8" spans="2:9" x14ac:dyDescent="0.2">
      <c r="B8" s="1" t="s">
        <v>255</v>
      </c>
      <c r="C8" s="147">
        <v>6350000</v>
      </c>
      <c r="D8" s="63">
        <f>C8/$C$25</f>
        <v>0.20327061172229721</v>
      </c>
      <c r="E8" s="63">
        <v>0.58940000000000003</v>
      </c>
      <c r="F8" s="63">
        <f>D8*E8</f>
        <v>0.11980769854912199</v>
      </c>
      <c r="H8" s="63">
        <f>C8/$C$54</f>
        <v>7.1610950228835124E-2</v>
      </c>
      <c r="I8" s="151">
        <f>H8*E8</f>
        <v>4.2207494064875423E-2</v>
      </c>
    </row>
    <row r="9" spans="2:9" x14ac:dyDescent="0.2">
      <c r="B9" s="1" t="s">
        <v>258</v>
      </c>
      <c r="C9" s="147">
        <v>1534100</v>
      </c>
      <c r="D9" s="63">
        <f t="shared" ref="D9:D24" si="0">C9/$C$25</f>
        <v>4.9108259124909633E-2</v>
      </c>
      <c r="E9" s="63">
        <v>0.39290000000000003</v>
      </c>
      <c r="F9" s="63">
        <f t="shared" ref="F9:F24" si="1">D9*E9</f>
        <v>1.9294635010176996E-2</v>
      </c>
      <c r="H9" s="63">
        <f t="shared" ref="H9:H24" si="2">C9/$C$54</f>
        <v>1.7300528936386766E-2</v>
      </c>
      <c r="I9" s="151">
        <f t="shared" ref="I9:I24" si="3">H9*E9</f>
        <v>6.7973778191063611E-3</v>
      </c>
    </row>
    <row r="10" spans="2:9" x14ac:dyDescent="0.2">
      <c r="B10" s="1" t="s">
        <v>522</v>
      </c>
      <c r="C10" s="147">
        <v>4353125</v>
      </c>
      <c r="D10" s="63">
        <f t="shared" si="0"/>
        <v>0.13934840655962599</v>
      </c>
      <c r="E10" s="63">
        <v>0.26750000000000002</v>
      </c>
      <c r="F10" s="63">
        <f t="shared" si="1"/>
        <v>3.7275698754699958E-2</v>
      </c>
      <c r="H10" s="63">
        <f t="shared" si="2"/>
        <v>4.9091561844865815E-2</v>
      </c>
      <c r="I10" s="151">
        <f t="shared" si="3"/>
        <v>1.3131992793501607E-2</v>
      </c>
    </row>
    <row r="11" spans="2:9" x14ac:dyDescent="0.2">
      <c r="B11" s="1" t="s">
        <v>296</v>
      </c>
      <c r="C11" s="147">
        <v>1890000</v>
      </c>
      <c r="D11" s="63">
        <f t="shared" si="0"/>
        <v>6.0501016717345153E-2</v>
      </c>
      <c r="E11" s="63">
        <v>0.32640000000000002</v>
      </c>
      <c r="F11" s="63">
        <f t="shared" si="1"/>
        <v>1.9747531856541458E-2</v>
      </c>
      <c r="H11" s="63">
        <f t="shared" si="2"/>
        <v>2.1314125343700533E-2</v>
      </c>
      <c r="I11" s="151">
        <f t="shared" si="3"/>
        <v>6.9569305121838544E-3</v>
      </c>
    </row>
    <row r="12" spans="2:9" x14ac:dyDescent="0.2">
      <c r="B12" s="1" t="s">
        <v>361</v>
      </c>
      <c r="C12" s="147">
        <v>2805000</v>
      </c>
      <c r="D12" s="63">
        <f t="shared" si="0"/>
        <v>8.979119147732971E-2</v>
      </c>
      <c r="E12" s="63">
        <v>0.26400000000000001</v>
      </c>
      <c r="F12" s="63">
        <f t="shared" si="1"/>
        <v>2.3704874550015045E-2</v>
      </c>
      <c r="H12" s="63">
        <f t="shared" si="2"/>
        <v>3.1632868565650792E-2</v>
      </c>
      <c r="I12" s="151">
        <f t="shared" si="3"/>
        <v>8.3510773013318086E-3</v>
      </c>
    </row>
    <row r="13" spans="2:9" x14ac:dyDescent="0.2">
      <c r="B13" s="1" t="s">
        <v>263</v>
      </c>
      <c r="C13" s="147">
        <v>3375000</v>
      </c>
      <c r="D13" s="63">
        <f t="shared" si="0"/>
        <v>0.10803752985240206</v>
      </c>
      <c r="E13" s="63">
        <v>0.27339999999999998</v>
      </c>
      <c r="F13" s="63">
        <f t="shared" si="1"/>
        <v>2.9537460661646722E-2</v>
      </c>
      <c r="H13" s="63">
        <f t="shared" si="2"/>
        <v>3.8060938113750956E-2</v>
      </c>
      <c r="I13" s="151">
        <f t="shared" si="3"/>
        <v>1.040586048029951E-2</v>
      </c>
    </row>
    <row r="14" spans="2:9" x14ac:dyDescent="0.2">
      <c r="B14" s="1" t="s">
        <v>264</v>
      </c>
      <c r="C14" s="147">
        <v>1000000</v>
      </c>
      <c r="D14" s="63">
        <f>C14/$C$25</f>
        <v>3.2011119956267278E-2</v>
      </c>
      <c r="E14" s="63">
        <v>0.29420000000000002</v>
      </c>
      <c r="F14" s="63">
        <f>D14*E14</f>
        <v>9.417671491133834E-3</v>
      </c>
      <c r="H14" s="63">
        <f t="shared" si="2"/>
        <v>1.1277314996666949E-2</v>
      </c>
      <c r="I14" s="151">
        <f t="shared" si="3"/>
        <v>3.3177860720194166E-3</v>
      </c>
    </row>
    <row r="15" spans="2:9" x14ac:dyDescent="0.2">
      <c r="B15" s="1" t="s">
        <v>523</v>
      </c>
      <c r="C15" s="147">
        <v>1500000</v>
      </c>
      <c r="D15" s="63">
        <f t="shared" si="0"/>
        <v>4.8016679934400917E-2</v>
      </c>
      <c r="E15" s="63">
        <v>0.4572</v>
      </c>
      <c r="F15" s="63">
        <f t="shared" si="1"/>
        <v>2.1953226066008098E-2</v>
      </c>
      <c r="H15" s="63">
        <f t="shared" si="2"/>
        <v>1.6915972495000424E-2</v>
      </c>
      <c r="I15" s="151">
        <f t="shared" si="3"/>
        <v>7.7339826247141939E-3</v>
      </c>
    </row>
    <row r="16" spans="2:9" x14ac:dyDescent="0.2">
      <c r="B16" s="1" t="s">
        <v>266</v>
      </c>
      <c r="C16" s="147">
        <v>1000000</v>
      </c>
      <c r="D16" s="63">
        <f t="shared" si="0"/>
        <v>3.2011119956267278E-2</v>
      </c>
      <c r="E16" s="63">
        <v>0.2157</v>
      </c>
      <c r="F16" s="63">
        <f t="shared" si="1"/>
        <v>6.9047985745668517E-3</v>
      </c>
      <c r="H16" s="63">
        <f t="shared" si="2"/>
        <v>1.1277314996666949E-2</v>
      </c>
      <c r="I16" s="151">
        <f t="shared" si="3"/>
        <v>2.4325168447810607E-3</v>
      </c>
    </row>
    <row r="17" spans="2:9" x14ac:dyDescent="0.2">
      <c r="B17" s="1" t="s">
        <v>524</v>
      </c>
      <c r="C17" s="147">
        <v>4393100</v>
      </c>
      <c r="D17" s="63">
        <f t="shared" si="0"/>
        <v>0.14062805107987777</v>
      </c>
      <c r="E17" s="63">
        <v>7.3200000000000001E-2</v>
      </c>
      <c r="F17" s="63">
        <f t="shared" si="1"/>
        <v>1.0293973339047054E-2</v>
      </c>
      <c r="H17" s="63">
        <f t="shared" si="2"/>
        <v>4.9542372511857571E-2</v>
      </c>
      <c r="I17" s="151">
        <f t="shared" si="3"/>
        <v>3.6265016678679743E-3</v>
      </c>
    </row>
    <row r="18" spans="2:9" x14ac:dyDescent="0.2">
      <c r="B18" s="1" t="s">
        <v>525</v>
      </c>
      <c r="C18" s="147">
        <v>1447832</v>
      </c>
      <c r="D18" s="63">
        <f t="shared" si="0"/>
        <v>4.6346723828522361E-2</v>
      </c>
      <c r="E18" s="63">
        <v>0.28849999999999998</v>
      </c>
      <c r="F18" s="63">
        <f t="shared" si="1"/>
        <v>1.33710298245287E-2</v>
      </c>
      <c r="H18" s="63">
        <f t="shared" si="2"/>
        <v>1.6327657526254303E-2</v>
      </c>
      <c r="I18" s="151">
        <f t="shared" si="3"/>
        <v>4.7105291963243662E-3</v>
      </c>
    </row>
    <row r="19" spans="2:9" x14ac:dyDescent="0.2">
      <c r="B19" s="1" t="s">
        <v>373</v>
      </c>
      <c r="C19" s="147">
        <v>180000</v>
      </c>
      <c r="D19" s="63">
        <f t="shared" si="0"/>
        <v>5.7620015921281097E-3</v>
      </c>
      <c r="E19" s="63">
        <v>0.2407</v>
      </c>
      <c r="F19" s="63">
        <f t="shared" si="1"/>
        <v>1.386913783225236E-3</v>
      </c>
      <c r="H19" s="63">
        <f t="shared" si="2"/>
        <v>2.029916699400051E-3</v>
      </c>
      <c r="I19" s="151">
        <f t="shared" si="3"/>
        <v>4.8860094954559228E-4</v>
      </c>
    </row>
    <row r="20" spans="2:9" x14ac:dyDescent="0.2">
      <c r="B20" s="1" t="s">
        <v>374</v>
      </c>
      <c r="C20" s="147">
        <v>175000</v>
      </c>
      <c r="D20" s="63">
        <f t="shared" si="0"/>
        <v>5.6019459923467739E-3</v>
      </c>
      <c r="E20" s="63">
        <v>0.4022</v>
      </c>
      <c r="F20" s="63">
        <f t="shared" si="1"/>
        <v>2.2531026781218723E-3</v>
      </c>
      <c r="H20" s="63">
        <f t="shared" si="2"/>
        <v>1.9735301244167163E-3</v>
      </c>
      <c r="I20" s="151">
        <f t="shared" si="3"/>
        <v>7.9375381604040334E-4</v>
      </c>
    </row>
    <row r="21" spans="2:9" x14ac:dyDescent="0.2">
      <c r="B21" s="1" t="s">
        <v>375</v>
      </c>
      <c r="C21" s="147">
        <v>502073</v>
      </c>
      <c r="D21" s="63">
        <f t="shared" si="0"/>
        <v>1.607191902980298E-2</v>
      </c>
      <c r="E21" s="63">
        <v>0.22500000000000001</v>
      </c>
      <c r="F21" s="63">
        <f t="shared" si="1"/>
        <v>3.6161817817056707E-3</v>
      </c>
      <c r="H21" s="63">
        <f t="shared" si="2"/>
        <v>5.6620353723215652E-3</v>
      </c>
      <c r="I21" s="151">
        <f t="shared" si="3"/>
        <v>1.2739579587723521E-3</v>
      </c>
    </row>
    <row r="22" spans="2:9" x14ac:dyDescent="0.2">
      <c r="B22" s="1" t="s">
        <v>376</v>
      </c>
      <c r="C22" s="147">
        <v>180000</v>
      </c>
      <c r="D22" s="63">
        <f t="shared" si="0"/>
        <v>5.7620015921281097E-3</v>
      </c>
      <c r="E22" s="63">
        <v>0.79459999999999997</v>
      </c>
      <c r="F22" s="63">
        <f t="shared" si="1"/>
        <v>4.5784864651049959E-3</v>
      </c>
      <c r="H22" s="63">
        <f t="shared" si="2"/>
        <v>2.029916699400051E-3</v>
      </c>
      <c r="I22" s="151">
        <f t="shared" si="3"/>
        <v>1.6129718093432805E-3</v>
      </c>
    </row>
    <row r="23" spans="2:9" x14ac:dyDescent="0.2">
      <c r="B23" s="1" t="s">
        <v>377</v>
      </c>
      <c r="C23" s="147">
        <v>160000</v>
      </c>
      <c r="D23" s="63">
        <f t="shared" si="0"/>
        <v>5.1217791930027647E-3</v>
      </c>
      <c r="E23" s="63">
        <v>0.30499999999999999</v>
      </c>
      <c r="F23" s="63">
        <f t="shared" si="1"/>
        <v>1.5621426538658433E-3</v>
      </c>
      <c r="H23" s="63">
        <f t="shared" si="2"/>
        <v>1.8043703994667119E-3</v>
      </c>
      <c r="I23" s="151">
        <f t="shared" si="3"/>
        <v>5.5033297183734709E-4</v>
      </c>
    </row>
    <row r="24" spans="2:9" x14ac:dyDescent="0.2">
      <c r="B24" s="1" t="s">
        <v>378</v>
      </c>
      <c r="C24" s="147">
        <v>393914.44</v>
      </c>
      <c r="D24" s="63">
        <f t="shared" si="0"/>
        <v>1.2609642391345849E-2</v>
      </c>
      <c r="E24" s="63">
        <v>0.43180000000000002</v>
      </c>
      <c r="F24" s="63">
        <f t="shared" si="1"/>
        <v>5.4448435845831375E-3</v>
      </c>
      <c r="H24" s="63">
        <f t="shared" si="2"/>
        <v>4.4422972216156629E-3</v>
      </c>
      <c r="I24" s="151">
        <f t="shared" si="3"/>
        <v>1.9181839402936432E-3</v>
      </c>
    </row>
    <row r="25" spans="2:9" x14ac:dyDescent="0.2">
      <c r="B25" s="202" t="s">
        <v>536</v>
      </c>
      <c r="C25" s="203">
        <f>SUM(C8:C24)</f>
        <v>31239144.440000001</v>
      </c>
      <c r="D25" s="204">
        <f>SUM(D8:D24)</f>
        <v>1</v>
      </c>
      <c r="E25" s="205"/>
      <c r="F25" s="206">
        <f>SUM(F8:F24)</f>
        <v>0.33015026962409355</v>
      </c>
      <c r="H25" s="63"/>
    </row>
    <row r="26" spans="2:9" x14ac:dyDescent="0.2">
      <c r="H26" s="63"/>
    </row>
    <row r="27" spans="2:9" x14ac:dyDescent="0.2">
      <c r="B27" s="90" t="s">
        <v>531</v>
      </c>
      <c r="H27" s="63"/>
    </row>
    <row r="28" spans="2:9" ht="7.5" customHeight="1" x14ac:dyDescent="0.2">
      <c r="H28" s="63"/>
    </row>
    <row r="29" spans="2:9" ht="25.5" x14ac:dyDescent="0.2">
      <c r="B29" s="199" t="s">
        <v>519</v>
      </c>
      <c r="C29" s="200" t="s">
        <v>529</v>
      </c>
      <c r="D29" s="200" t="s">
        <v>462</v>
      </c>
      <c r="E29" s="200" t="s">
        <v>533</v>
      </c>
      <c r="F29" s="200" t="s">
        <v>526</v>
      </c>
      <c r="H29" s="201" t="s">
        <v>540</v>
      </c>
      <c r="I29" s="201" t="s">
        <v>534</v>
      </c>
    </row>
    <row r="30" spans="2:9" x14ac:dyDescent="0.2">
      <c r="B30" s="1" t="s">
        <v>294</v>
      </c>
      <c r="C30" s="147">
        <v>1940445</v>
      </c>
      <c r="D30" s="63">
        <f>C30/$C$40</f>
        <v>4.9306882615165831E-2</v>
      </c>
      <c r="E30" s="63">
        <v>0.30120000000000002</v>
      </c>
      <c r="F30" s="63">
        <f>D30*E30</f>
        <v>1.4851233043687949E-2</v>
      </c>
      <c r="H30" s="63">
        <f t="shared" ref="H30:H38" si="4">C30/$C$54</f>
        <v>2.1883009498707397E-2</v>
      </c>
      <c r="I30" s="151">
        <f t="shared" ref="I30:I38" si="5">H30*E30</f>
        <v>6.5911624610106682E-3</v>
      </c>
    </row>
    <row r="31" spans="2:9" x14ac:dyDescent="0.2">
      <c r="B31" s="1" t="s">
        <v>295</v>
      </c>
      <c r="C31" s="147">
        <v>1614000</v>
      </c>
      <c r="D31" s="63">
        <f t="shared" ref="D31:D39" si="6">C31/$C$40</f>
        <v>4.1011885696774532E-2</v>
      </c>
      <c r="E31" s="63">
        <v>0.26390000000000002</v>
      </c>
      <c r="F31" s="63">
        <f t="shared" ref="F31:F39" si="7">D31*E31</f>
        <v>1.0823036635378799E-2</v>
      </c>
      <c r="H31" s="63">
        <f t="shared" si="4"/>
        <v>1.8201586404620457E-2</v>
      </c>
      <c r="I31" s="151">
        <f t="shared" si="5"/>
        <v>4.8033986521793396E-3</v>
      </c>
    </row>
    <row r="32" spans="2:9" x14ac:dyDescent="0.2">
      <c r="B32" s="1" t="s">
        <v>263</v>
      </c>
      <c r="C32" s="147">
        <v>1000000</v>
      </c>
      <c r="D32" s="63">
        <f t="shared" si="6"/>
        <v>2.5410090270616192E-2</v>
      </c>
      <c r="E32" s="63">
        <v>0.27239999999999998</v>
      </c>
      <c r="F32" s="63">
        <f t="shared" si="7"/>
        <v>6.9217085897158503E-3</v>
      </c>
      <c r="H32" s="63">
        <f t="shared" si="4"/>
        <v>1.1277314996666949E-2</v>
      </c>
      <c r="I32" s="151">
        <f t="shared" si="5"/>
        <v>3.0719406050920767E-3</v>
      </c>
    </row>
    <row r="33" spans="2:9" x14ac:dyDescent="0.2">
      <c r="B33" s="1" t="s">
        <v>264</v>
      </c>
      <c r="C33" s="147">
        <v>5000000</v>
      </c>
      <c r="D33" s="63">
        <f t="shared" si="6"/>
        <v>0.12705045135308096</v>
      </c>
      <c r="E33" s="63">
        <v>0.29049999999999998</v>
      </c>
      <c r="F33" s="63">
        <f t="shared" si="7"/>
        <v>3.6908156118070017E-2</v>
      </c>
      <c r="H33" s="63">
        <f t="shared" si="4"/>
        <v>5.6386574983334749E-2</v>
      </c>
      <c r="I33" s="151">
        <f t="shared" si="5"/>
        <v>1.6380300032658744E-2</v>
      </c>
    </row>
    <row r="34" spans="2:9" x14ac:dyDescent="0.2">
      <c r="B34" s="1" t="s">
        <v>265</v>
      </c>
      <c r="C34" s="147">
        <v>9500000</v>
      </c>
      <c r="D34" s="63">
        <f t="shared" si="6"/>
        <v>0.2413958575708538</v>
      </c>
      <c r="E34" s="63">
        <v>0.45760000000000001</v>
      </c>
      <c r="F34" s="63">
        <f t="shared" si="7"/>
        <v>0.11046274442442271</v>
      </c>
      <c r="H34" s="63">
        <f t="shared" si="4"/>
        <v>0.10713449246833602</v>
      </c>
      <c r="I34" s="151">
        <f t="shared" si="5"/>
        <v>4.9024743753510562E-2</v>
      </c>
    </row>
    <row r="35" spans="2:9" x14ac:dyDescent="0.2">
      <c r="B35" s="1" t="s">
        <v>266</v>
      </c>
      <c r="C35" s="147">
        <v>7500000</v>
      </c>
      <c r="D35" s="63">
        <f t="shared" si="6"/>
        <v>0.19057567702962144</v>
      </c>
      <c r="E35" s="63">
        <v>0.21629999999999999</v>
      </c>
      <c r="F35" s="63">
        <f t="shared" si="7"/>
        <v>4.1221518941507114E-2</v>
      </c>
      <c r="H35" s="63">
        <f t="shared" si="4"/>
        <v>8.4579862475002113E-2</v>
      </c>
      <c r="I35" s="151">
        <f t="shared" si="5"/>
        <v>1.8294624253342957E-2</v>
      </c>
    </row>
    <row r="36" spans="2:9" x14ac:dyDescent="0.2">
      <c r="B36" s="1" t="s">
        <v>300</v>
      </c>
      <c r="C36" s="147">
        <v>1500000</v>
      </c>
      <c r="D36" s="63">
        <f t="shared" si="6"/>
        <v>3.8115135405924289E-2</v>
      </c>
      <c r="E36" s="63">
        <v>0.16739999999999999</v>
      </c>
      <c r="F36" s="63">
        <f t="shared" si="7"/>
        <v>6.3804736669517258E-3</v>
      </c>
      <c r="H36" s="63">
        <f t="shared" si="4"/>
        <v>1.6915972495000424E-2</v>
      </c>
      <c r="I36" s="151">
        <f t="shared" si="5"/>
        <v>2.8317337956630709E-3</v>
      </c>
    </row>
    <row r="37" spans="2:9" x14ac:dyDescent="0.2">
      <c r="B37" s="1" t="s">
        <v>527</v>
      </c>
      <c r="C37" s="147">
        <v>3300000</v>
      </c>
      <c r="D37" s="63">
        <f t="shared" si="6"/>
        <v>8.3853297893033432E-2</v>
      </c>
      <c r="E37" s="63">
        <v>0.27129999999999999</v>
      </c>
      <c r="F37" s="63">
        <f t="shared" si="7"/>
        <v>2.274939971837997E-2</v>
      </c>
      <c r="H37" s="63">
        <f t="shared" si="4"/>
        <v>3.7215139489000931E-2</v>
      </c>
      <c r="I37" s="151">
        <f t="shared" si="5"/>
        <v>1.0096467343365952E-2</v>
      </c>
    </row>
    <row r="38" spans="2:9" x14ac:dyDescent="0.2">
      <c r="B38" s="1" t="s">
        <v>609</v>
      </c>
      <c r="C38" s="147">
        <v>2000000</v>
      </c>
      <c r="D38" s="63">
        <f t="shared" si="6"/>
        <v>5.0820180541232385E-2</v>
      </c>
      <c r="E38" s="63">
        <v>0.2848</v>
      </c>
      <c r="F38" s="63">
        <f t="shared" si="7"/>
        <v>1.4473587418142983E-2</v>
      </c>
      <c r="H38" s="63">
        <f t="shared" si="4"/>
        <v>2.2554629993333897E-2</v>
      </c>
      <c r="I38" s="151">
        <f t="shared" si="5"/>
        <v>6.4235586221014938E-3</v>
      </c>
    </row>
    <row r="39" spans="2:9" x14ac:dyDescent="0.2">
      <c r="B39" s="1" t="s">
        <v>528</v>
      </c>
      <c r="C39" s="147">
        <v>6000000</v>
      </c>
      <c r="D39" s="63">
        <f t="shared" si="6"/>
        <v>0.15246054162369715</v>
      </c>
      <c r="E39" s="63">
        <f>F25</f>
        <v>0.33015026962409355</v>
      </c>
      <c r="F39" s="63">
        <f t="shared" si="7"/>
        <v>5.0334888924098951E-2</v>
      </c>
      <c r="H39" s="213"/>
      <c r="I39" s="214"/>
    </row>
    <row r="40" spans="2:9" x14ac:dyDescent="0.2">
      <c r="B40" s="202" t="s">
        <v>537</v>
      </c>
      <c r="C40" s="203">
        <f>SUM(C30:C39)</f>
        <v>39354445</v>
      </c>
      <c r="D40" s="204">
        <f>SUM(D30:D39)</f>
        <v>1</v>
      </c>
      <c r="E40" s="205"/>
      <c r="F40" s="206">
        <f>SUM(F30:F39)</f>
        <v>0.31512674748035602</v>
      </c>
      <c r="H40" s="63"/>
      <c r="I40" s="151"/>
    </row>
    <row r="41" spans="2:9" x14ac:dyDescent="0.2">
      <c r="C41" s="207"/>
      <c r="D41" s="137"/>
      <c r="E41" s="137"/>
      <c r="F41" s="208"/>
      <c r="H41" s="63"/>
    </row>
    <row r="42" spans="2:9" x14ac:dyDescent="0.2">
      <c r="B42" s="90" t="s">
        <v>498</v>
      </c>
      <c r="C42" s="207"/>
      <c r="D42" s="137"/>
      <c r="E42" s="137"/>
      <c r="F42" s="208"/>
      <c r="H42" s="63"/>
    </row>
    <row r="43" spans="2:9" ht="7.5" customHeight="1" x14ac:dyDescent="0.2">
      <c r="H43" s="63"/>
    </row>
    <row r="44" spans="2:9" ht="25.5" x14ac:dyDescent="0.2">
      <c r="B44" s="199" t="s">
        <v>519</v>
      </c>
      <c r="C44" s="200" t="s">
        <v>530</v>
      </c>
      <c r="D44" s="200" t="s">
        <v>462</v>
      </c>
      <c r="E44" s="200" t="s">
        <v>532</v>
      </c>
      <c r="F44" s="200" t="s">
        <v>526</v>
      </c>
      <c r="H44" s="201" t="s">
        <v>540</v>
      </c>
      <c r="I44" s="201" t="s">
        <v>534</v>
      </c>
    </row>
    <row r="45" spans="2:9" x14ac:dyDescent="0.2">
      <c r="B45" s="1" t="s">
        <v>299</v>
      </c>
      <c r="C45" s="147">
        <v>1975000</v>
      </c>
      <c r="D45" s="63">
        <f>C45/$C$50</f>
        <v>8.2018272425249172E-2</v>
      </c>
      <c r="E45" s="63">
        <v>0.62619999999999998</v>
      </c>
      <c r="F45" s="63">
        <f>D45*E45</f>
        <v>5.1359842192691033E-2</v>
      </c>
      <c r="H45" s="63">
        <f t="shared" ref="H45:H49" si="8">C45/$C$54</f>
        <v>2.2272697118417225E-2</v>
      </c>
      <c r="I45" s="151">
        <f t="shared" ref="I45:I49" si="9">H45*E45</f>
        <v>1.3947162935552865E-2</v>
      </c>
    </row>
    <row r="46" spans="2:9" x14ac:dyDescent="0.2">
      <c r="B46" s="1" t="s">
        <v>264</v>
      </c>
      <c r="C46" s="147">
        <v>1000000</v>
      </c>
      <c r="D46" s="63">
        <f t="shared" ref="D46:D49" si="10">C46/$C$50</f>
        <v>4.1528239202657809E-2</v>
      </c>
      <c r="E46" s="63">
        <v>0.28189999999999998</v>
      </c>
      <c r="F46" s="63">
        <f t="shared" ref="F46:F49" si="11">D46*E46</f>
        <v>1.1706810631229235E-2</v>
      </c>
      <c r="H46" s="63">
        <f t="shared" si="8"/>
        <v>1.1277314996666949E-2</v>
      </c>
      <c r="I46" s="151">
        <f>H46*E46</f>
        <v>3.1790750975604128E-3</v>
      </c>
    </row>
    <row r="47" spans="2:9" x14ac:dyDescent="0.2">
      <c r="B47" s="1" t="s">
        <v>266</v>
      </c>
      <c r="C47" s="147">
        <v>8105000</v>
      </c>
      <c r="D47" s="63">
        <f t="shared" si="10"/>
        <v>0.33658637873754155</v>
      </c>
      <c r="E47" s="63">
        <v>0.21279999999999999</v>
      </c>
      <c r="F47" s="63">
        <f t="shared" si="11"/>
        <v>7.1625581395348831E-2</v>
      </c>
      <c r="H47" s="63">
        <f t="shared" si="8"/>
        <v>9.1402638047985624E-2</v>
      </c>
      <c r="I47" s="151">
        <f t="shared" si="9"/>
        <v>1.9450481376611341E-2</v>
      </c>
    </row>
    <row r="48" spans="2:9" x14ac:dyDescent="0.2">
      <c r="B48" s="1" t="s">
        <v>300</v>
      </c>
      <c r="C48" s="147">
        <v>6500000</v>
      </c>
      <c r="D48" s="63">
        <f t="shared" si="10"/>
        <v>0.26993355481727577</v>
      </c>
      <c r="E48" s="63">
        <v>0.1583</v>
      </c>
      <c r="F48" s="63">
        <f t="shared" si="11"/>
        <v>4.2730481727574751E-2</v>
      </c>
      <c r="H48" s="63">
        <f t="shared" si="8"/>
        <v>7.3302547478335173E-2</v>
      </c>
      <c r="I48" s="151">
        <f t="shared" si="9"/>
        <v>1.1603793265820457E-2</v>
      </c>
    </row>
    <row r="49" spans="2:9" x14ac:dyDescent="0.2">
      <c r="B49" s="1" t="s">
        <v>609</v>
      </c>
      <c r="C49" s="147">
        <v>6500000</v>
      </c>
      <c r="D49" s="63">
        <f t="shared" si="10"/>
        <v>0.26993355481727577</v>
      </c>
      <c r="E49" s="63">
        <v>0.27750000000000002</v>
      </c>
      <c r="F49" s="63">
        <f t="shared" si="11"/>
        <v>7.490656146179403E-2</v>
      </c>
      <c r="H49" s="63">
        <f t="shared" si="8"/>
        <v>7.3302547478335173E-2</v>
      </c>
      <c r="I49" s="151">
        <f t="shared" si="9"/>
        <v>2.0341456925238012E-2</v>
      </c>
    </row>
    <row r="50" spans="2:9" x14ac:dyDescent="0.2">
      <c r="B50" s="202" t="s">
        <v>538</v>
      </c>
      <c r="C50" s="203">
        <f>SUM(C45:C49)</f>
        <v>24080000</v>
      </c>
      <c r="D50" s="204">
        <f>SUM(D45:D49)</f>
        <v>1</v>
      </c>
      <c r="E50" s="205"/>
      <c r="F50" s="206">
        <f>SUM(F45:F49)</f>
        <v>0.25232927740863786</v>
      </c>
      <c r="I50" s="151"/>
    </row>
    <row r="52" spans="2:9" x14ac:dyDescent="0.2">
      <c r="B52" s="1" t="s">
        <v>541</v>
      </c>
      <c r="C52" s="212">
        <f>-C39</f>
        <v>-6000000</v>
      </c>
    </row>
    <row r="54" spans="2:9" ht="13.5" thickBot="1" x14ac:dyDescent="0.25">
      <c r="B54" s="209" t="s">
        <v>535</v>
      </c>
      <c r="C54" s="210">
        <f>C25+C40+C50+C52</f>
        <v>88673589.439999998</v>
      </c>
      <c r="D54" s="10"/>
      <c r="E54" s="10"/>
      <c r="F54" s="10"/>
      <c r="G54" s="10"/>
      <c r="H54" s="211">
        <f>SUM(H8:H51)</f>
        <v>1</v>
      </c>
      <c r="I54" s="211">
        <f>SUM(I8:I51)</f>
        <v>0.30234974994254615</v>
      </c>
    </row>
    <row r="55" spans="2:9" ht="13.5" thickTop="1" x14ac:dyDescent="0.2"/>
  </sheetData>
  <sheetProtection algorithmName="SHA-512" hashValue="J6ePJ5y6cgGMIW0jW5h7uGK1LQn125H7Dci4ULcl8YXTybkIXj2/+V6/RO4Qw/iZfuZem2IT5HcprqY1fCrBsg==" saltValue="u8WW4hJtEOVZmdwc7gJrxQ==" spinCount="100000" sheet="1" objects="1" scenarios="1"/>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E9DB4-3E5C-4A61-A140-FD9244BF6495}">
  <sheetPr>
    <tabColor theme="9" tint="0.59999389629810485"/>
  </sheetPr>
  <dimension ref="B2:L29"/>
  <sheetViews>
    <sheetView showGridLines="0" workbookViewId="0">
      <selection activeCell="F28" sqref="F28"/>
    </sheetView>
  </sheetViews>
  <sheetFormatPr defaultColWidth="8.85546875" defaultRowHeight="12.75" x14ac:dyDescent="0.2"/>
  <cols>
    <col min="1" max="1" width="4.140625" style="1" customWidth="1"/>
    <col min="2" max="2" width="23.28515625" style="1" customWidth="1"/>
    <col min="3" max="3" width="13.7109375" style="1" bestFit="1" customWidth="1"/>
    <col min="4" max="4" width="14.140625" style="1" customWidth="1"/>
    <col min="5" max="5" width="16.5703125" style="1" bestFit="1" customWidth="1"/>
    <col min="6" max="6" width="15.5703125" style="1" customWidth="1"/>
    <col min="7" max="7" width="2.28515625" style="1" customWidth="1"/>
    <col min="8" max="12" width="15.5703125" style="1" customWidth="1"/>
    <col min="13" max="16384" width="8.85546875" style="1"/>
  </cols>
  <sheetData>
    <row r="2" spans="2:12" x14ac:dyDescent="0.2">
      <c r="B2" s="91" t="s">
        <v>323</v>
      </c>
    </row>
    <row r="4" spans="2:12" x14ac:dyDescent="0.2">
      <c r="B4" s="61" t="s">
        <v>224</v>
      </c>
      <c r="C4" s="149">
        <v>2000000</v>
      </c>
      <c r="D4" s="63">
        <f>C4/$C$7</f>
        <v>2.7972027972027972E-2</v>
      </c>
    </row>
    <row r="5" spans="2:12" x14ac:dyDescent="0.2">
      <c r="B5" s="61" t="s">
        <v>225</v>
      </c>
      <c r="C5" s="149">
        <f>29500000+9075000+315000</f>
        <v>38890000</v>
      </c>
      <c r="D5" s="63">
        <f>C5/$C$7</f>
        <v>0.54391608391608393</v>
      </c>
    </row>
    <row r="6" spans="2:12" x14ac:dyDescent="0.2">
      <c r="B6" s="61" t="s">
        <v>226</v>
      </c>
      <c r="C6" s="149">
        <f>40000000-9075000-315000</f>
        <v>30610000</v>
      </c>
      <c r="D6" s="63">
        <f>C6/$C$7</f>
        <v>0.42811188811188811</v>
      </c>
    </row>
    <row r="7" spans="2:12" ht="13.5" thickBot="1" x14ac:dyDescent="0.25">
      <c r="B7" s="64"/>
      <c r="C7" s="65">
        <f>SUM(C4:C6)</f>
        <v>71500000</v>
      </c>
    </row>
    <row r="8" spans="2:12" ht="13.5" thickTop="1" x14ac:dyDescent="0.2"/>
    <row r="9" spans="2:12" s="64" customFormat="1" ht="25.5" x14ac:dyDescent="0.2">
      <c r="B9" s="66" t="s">
        <v>227</v>
      </c>
      <c r="C9" s="67" t="s">
        <v>8</v>
      </c>
      <c r="D9" s="67" t="s">
        <v>3</v>
      </c>
      <c r="E9" s="67" t="s">
        <v>228</v>
      </c>
      <c r="F9" s="67" t="s">
        <v>229</v>
      </c>
      <c r="H9" s="73" t="s">
        <v>224</v>
      </c>
      <c r="I9" s="73" t="s">
        <v>225</v>
      </c>
      <c r="J9" s="73" t="s">
        <v>226</v>
      </c>
      <c r="K9" s="73" t="s">
        <v>191</v>
      </c>
    </row>
    <row r="10" spans="2:12" x14ac:dyDescent="0.2">
      <c r="B10" s="68" t="s">
        <v>35</v>
      </c>
      <c r="C10" s="150">
        <v>32000000</v>
      </c>
      <c r="D10" s="64" t="s">
        <v>230</v>
      </c>
      <c r="E10" s="69">
        <f>C10/$C$20</f>
        <v>0.14479638009049775</v>
      </c>
      <c r="F10" s="77">
        <f>$C$7*E10</f>
        <v>10352941.176470589</v>
      </c>
      <c r="H10" s="74">
        <f>F10*$D$4</f>
        <v>289592.76018099551</v>
      </c>
      <c r="I10" s="74">
        <f>F10*$D$5</f>
        <v>5631131.2217194578</v>
      </c>
      <c r="J10" s="74">
        <f>F10*$D$6</f>
        <v>4432217.1945701363</v>
      </c>
      <c r="K10" s="74">
        <f>SUM(H10:J10)</f>
        <v>10352941.176470589</v>
      </c>
      <c r="L10" s="74">
        <f>K10-F10</f>
        <v>0</v>
      </c>
    </row>
    <row r="11" spans="2:12" x14ac:dyDescent="0.2">
      <c r="B11" s="68" t="s">
        <v>36</v>
      </c>
      <c r="C11" s="150">
        <v>15000000</v>
      </c>
      <c r="D11" s="64" t="s">
        <v>230</v>
      </c>
      <c r="E11" s="69">
        <f t="shared" ref="E11:E19" si="0">C11/$C$20</f>
        <v>6.7873303167420809E-2</v>
      </c>
      <c r="F11" s="77">
        <f t="shared" ref="F11:F19" si="1">$C$7*E11</f>
        <v>4852941.176470588</v>
      </c>
      <c r="H11" s="74">
        <f t="shared" ref="H11:H19" si="2">F11*$D$4</f>
        <v>135746.60633484164</v>
      </c>
      <c r="I11" s="74">
        <f t="shared" ref="I11:I19" si="3">F11*$D$5</f>
        <v>2639592.7601809953</v>
      </c>
      <c r="J11" s="74">
        <f t="shared" ref="J11:J19" si="4">F11*$D$6</f>
        <v>2077601.8099547511</v>
      </c>
      <c r="K11" s="74">
        <f t="shared" ref="K11:K19" si="5">SUM(H11:J11)</f>
        <v>4852941.176470588</v>
      </c>
      <c r="L11" s="74">
        <f t="shared" ref="L11:L19" si="6">K11-F11</f>
        <v>0</v>
      </c>
    </row>
    <row r="12" spans="2:12" x14ac:dyDescent="0.2">
      <c r="B12" s="68" t="s">
        <v>37</v>
      </c>
      <c r="C12" s="150">
        <v>23750000</v>
      </c>
      <c r="D12" s="64" t="s">
        <v>230</v>
      </c>
      <c r="E12" s="69">
        <f t="shared" si="0"/>
        <v>0.1074660633484163</v>
      </c>
      <c r="F12" s="77">
        <f t="shared" si="1"/>
        <v>7683823.5294117648</v>
      </c>
      <c r="H12" s="74">
        <f t="shared" si="2"/>
        <v>214932.12669683259</v>
      </c>
      <c r="I12" s="74">
        <f t="shared" si="3"/>
        <v>4179355.2036199095</v>
      </c>
      <c r="J12" s="74">
        <f t="shared" si="4"/>
        <v>3289536.1990950224</v>
      </c>
      <c r="K12" s="74">
        <f t="shared" si="5"/>
        <v>7683823.5294117648</v>
      </c>
      <c r="L12" s="74">
        <f t="shared" si="6"/>
        <v>0</v>
      </c>
    </row>
    <row r="13" spans="2:12" x14ac:dyDescent="0.2">
      <c r="B13" s="68" t="s">
        <v>38</v>
      </c>
      <c r="C13" s="150">
        <v>30000000</v>
      </c>
      <c r="D13" s="64" t="s">
        <v>230</v>
      </c>
      <c r="E13" s="69">
        <f t="shared" si="0"/>
        <v>0.13574660633484162</v>
      </c>
      <c r="F13" s="77">
        <f t="shared" si="1"/>
        <v>9705882.3529411759</v>
      </c>
      <c r="H13" s="74">
        <f t="shared" si="2"/>
        <v>271493.21266968327</v>
      </c>
      <c r="I13" s="74">
        <f t="shared" si="3"/>
        <v>5279185.5203619907</v>
      </c>
      <c r="J13" s="74">
        <f t="shared" si="4"/>
        <v>4155203.6199095021</v>
      </c>
      <c r="K13" s="74">
        <f t="shared" si="5"/>
        <v>9705882.3529411759</v>
      </c>
      <c r="L13" s="74">
        <f t="shared" si="6"/>
        <v>0</v>
      </c>
    </row>
    <row r="14" spans="2:12" x14ac:dyDescent="0.2">
      <c r="B14" s="68" t="s">
        <v>39</v>
      </c>
      <c r="C14" s="150">
        <v>6500000</v>
      </c>
      <c r="D14" s="64" t="s">
        <v>231</v>
      </c>
      <c r="E14" s="69">
        <f t="shared" si="0"/>
        <v>2.9411764705882353E-2</v>
      </c>
      <c r="F14" s="77">
        <f t="shared" si="1"/>
        <v>2102941.1764705884</v>
      </c>
      <c r="H14" s="74">
        <f t="shared" si="2"/>
        <v>58823.529411764714</v>
      </c>
      <c r="I14" s="74">
        <f t="shared" si="3"/>
        <v>1143823.5294117648</v>
      </c>
      <c r="J14" s="74">
        <f t="shared" si="4"/>
        <v>900294.11764705891</v>
      </c>
      <c r="K14" s="74">
        <f t="shared" si="5"/>
        <v>2102941.1764705884</v>
      </c>
      <c r="L14" s="74">
        <f t="shared" si="6"/>
        <v>0</v>
      </c>
    </row>
    <row r="15" spans="2:12" x14ac:dyDescent="0.2">
      <c r="B15" s="68" t="s">
        <v>40</v>
      </c>
      <c r="C15" s="150">
        <v>33500000</v>
      </c>
      <c r="D15" s="64" t="s">
        <v>231</v>
      </c>
      <c r="E15" s="69">
        <f t="shared" si="0"/>
        <v>0.15158371040723981</v>
      </c>
      <c r="F15" s="77">
        <f t="shared" si="1"/>
        <v>10838235.294117646</v>
      </c>
      <c r="H15" s="74">
        <f t="shared" si="2"/>
        <v>303167.42081447964</v>
      </c>
      <c r="I15" s="74">
        <f t="shared" si="3"/>
        <v>5895090.4977375567</v>
      </c>
      <c r="J15" s="74">
        <f t="shared" si="4"/>
        <v>4639977.3755656108</v>
      </c>
      <c r="K15" s="74">
        <f t="shared" si="5"/>
        <v>10838235.294117648</v>
      </c>
      <c r="L15" s="74">
        <f t="shared" si="6"/>
        <v>0</v>
      </c>
    </row>
    <row r="16" spans="2:12" x14ac:dyDescent="0.2">
      <c r="B16" s="68" t="s">
        <v>41</v>
      </c>
      <c r="C16" s="150">
        <v>11500000</v>
      </c>
      <c r="D16" s="64" t="s">
        <v>231</v>
      </c>
      <c r="E16" s="69">
        <f t="shared" si="0"/>
        <v>5.2036199095022627E-2</v>
      </c>
      <c r="F16" s="77">
        <f t="shared" si="1"/>
        <v>3720588.2352941176</v>
      </c>
      <c r="H16" s="74">
        <f t="shared" si="2"/>
        <v>104072.39819004525</v>
      </c>
      <c r="I16" s="74">
        <f t="shared" si="3"/>
        <v>2023687.7828054298</v>
      </c>
      <c r="J16" s="74">
        <f t="shared" si="4"/>
        <v>1592828.0542986426</v>
      </c>
      <c r="K16" s="74">
        <f t="shared" si="5"/>
        <v>3720588.2352941176</v>
      </c>
      <c r="L16" s="74">
        <f t="shared" si="6"/>
        <v>0</v>
      </c>
    </row>
    <row r="17" spans="2:12" x14ac:dyDescent="0.2">
      <c r="B17" s="68" t="s">
        <v>42</v>
      </c>
      <c r="C17" s="150">
        <v>41000000</v>
      </c>
      <c r="D17" s="64" t="s">
        <v>231</v>
      </c>
      <c r="E17" s="69">
        <f t="shared" si="0"/>
        <v>0.18552036199095023</v>
      </c>
      <c r="F17" s="77">
        <f t="shared" si="1"/>
        <v>13264705.882352943</v>
      </c>
      <c r="H17" s="74">
        <f t="shared" si="2"/>
        <v>371040.72398190049</v>
      </c>
      <c r="I17" s="74">
        <f t="shared" si="3"/>
        <v>7214886.8778280551</v>
      </c>
      <c r="J17" s="74">
        <f t="shared" si="4"/>
        <v>5678778.2805429874</v>
      </c>
      <c r="K17" s="74">
        <f t="shared" si="5"/>
        <v>13264705.882352943</v>
      </c>
      <c r="L17" s="74">
        <f t="shared" si="6"/>
        <v>0</v>
      </c>
    </row>
    <row r="18" spans="2:12" x14ac:dyDescent="0.2">
      <c r="B18" s="68" t="s">
        <v>43</v>
      </c>
      <c r="C18" s="150">
        <v>9250000</v>
      </c>
      <c r="D18" s="64" t="s">
        <v>231</v>
      </c>
      <c r="E18" s="69">
        <f t="shared" si="0"/>
        <v>4.1855203619909499E-2</v>
      </c>
      <c r="F18" s="77">
        <f t="shared" si="1"/>
        <v>2992647.0588235292</v>
      </c>
      <c r="H18" s="74">
        <f t="shared" si="2"/>
        <v>83710.407239819004</v>
      </c>
      <c r="I18" s="74">
        <f t="shared" si="3"/>
        <v>1627748.8687782804</v>
      </c>
      <c r="J18" s="74">
        <f t="shared" si="4"/>
        <v>1281187.7828054298</v>
      </c>
      <c r="K18" s="74">
        <f t="shared" si="5"/>
        <v>2992647.0588235292</v>
      </c>
      <c r="L18" s="74">
        <f t="shared" si="6"/>
        <v>0</v>
      </c>
    </row>
    <row r="19" spans="2:12" x14ac:dyDescent="0.2">
      <c r="B19" s="68" t="s">
        <v>44</v>
      </c>
      <c r="C19" s="150">
        <v>18500000</v>
      </c>
      <c r="D19" s="64" t="s">
        <v>231</v>
      </c>
      <c r="E19" s="69">
        <f t="shared" si="0"/>
        <v>8.3710407239818999E-2</v>
      </c>
      <c r="F19" s="77">
        <f t="shared" si="1"/>
        <v>5985294.1176470583</v>
      </c>
      <c r="H19" s="74">
        <f t="shared" si="2"/>
        <v>167420.81447963801</v>
      </c>
      <c r="I19" s="74">
        <f t="shared" si="3"/>
        <v>3255497.7375565609</v>
      </c>
      <c r="J19" s="74">
        <f t="shared" si="4"/>
        <v>2562375.5656108595</v>
      </c>
      <c r="K19" s="74">
        <f t="shared" si="5"/>
        <v>5985294.1176470583</v>
      </c>
      <c r="L19" s="74">
        <f t="shared" si="6"/>
        <v>0</v>
      </c>
    </row>
    <row r="20" spans="2:12" ht="13.5" thickBot="1" x14ac:dyDescent="0.25">
      <c r="C20" s="106">
        <f>SUM(C10:C19)</f>
        <v>221000000</v>
      </c>
      <c r="D20" s="64"/>
      <c r="E20" s="108">
        <f>SUM(E10:E19)</f>
        <v>1</v>
      </c>
      <c r="F20" s="106">
        <f>SUM(F10:F19)</f>
        <v>71499999.999999985</v>
      </c>
      <c r="G20" s="90"/>
      <c r="H20" s="106">
        <f t="shared" ref="H20:L20" si="7">SUM(H10:H19)</f>
        <v>2000000</v>
      </c>
      <c r="I20" s="106">
        <f t="shared" si="7"/>
        <v>38890000</v>
      </c>
      <c r="J20" s="106">
        <f t="shared" si="7"/>
        <v>30610000.000000004</v>
      </c>
      <c r="K20" s="106">
        <f t="shared" si="7"/>
        <v>71500000</v>
      </c>
      <c r="L20" s="74">
        <f t="shared" si="7"/>
        <v>0</v>
      </c>
    </row>
    <row r="21" spans="2:12" ht="13.5" thickTop="1" x14ac:dyDescent="0.2">
      <c r="D21" s="64"/>
      <c r="E21" s="64"/>
      <c r="F21" s="64"/>
    </row>
    <row r="22" spans="2:12" x14ac:dyDescent="0.2">
      <c r="B22" s="70" t="s">
        <v>233</v>
      </c>
      <c r="C22" s="71">
        <f>SUM(E14:E19)</f>
        <v>0.54411764705882359</v>
      </c>
      <c r="D22" s="72">
        <f>SUM(F14:F19)</f>
        <v>38904411.764705881</v>
      </c>
    </row>
    <row r="23" spans="2:12" x14ac:dyDescent="0.2">
      <c r="B23" s="70" t="s">
        <v>232</v>
      </c>
      <c r="C23" s="71">
        <f>SUM(E10:E13)</f>
        <v>0.45588235294117652</v>
      </c>
      <c r="D23" s="72">
        <f>SUM(F10:F13)</f>
        <v>32595588.235294119</v>
      </c>
    </row>
    <row r="24" spans="2:12" x14ac:dyDescent="0.2">
      <c r="B24" s="64"/>
      <c r="C24" s="64"/>
      <c r="D24" s="64"/>
    </row>
    <row r="25" spans="2:12" s="76" customFormat="1" ht="25.5" x14ac:dyDescent="0.2">
      <c r="B25" s="75"/>
      <c r="C25" s="73" t="s">
        <v>224</v>
      </c>
      <c r="D25" s="73" t="s">
        <v>225</v>
      </c>
      <c r="E25" s="73" t="s">
        <v>226</v>
      </c>
      <c r="F25" s="73" t="s">
        <v>191</v>
      </c>
    </row>
    <row r="26" spans="2:12" x14ac:dyDescent="0.2">
      <c r="B26" s="70" t="s">
        <v>233</v>
      </c>
      <c r="C26" s="74">
        <f>$D$4*D22</f>
        <v>1088235.294117647</v>
      </c>
      <c r="D26" s="74">
        <f>$D$5*D22</f>
        <v>21160735.294117648</v>
      </c>
      <c r="E26" s="74">
        <f>$D$6*D22</f>
        <v>16655441.176470587</v>
      </c>
      <c r="F26" s="74">
        <f>SUM(C26:E26)</f>
        <v>38904411.764705881</v>
      </c>
    </row>
    <row r="27" spans="2:12" x14ac:dyDescent="0.2">
      <c r="B27" s="70" t="s">
        <v>232</v>
      </c>
      <c r="C27" s="74">
        <f>$D$4*D23</f>
        <v>911764.70588235301</v>
      </c>
      <c r="D27" s="74">
        <f>$D$5*D23</f>
        <v>17729264.705882356</v>
      </c>
      <c r="E27" s="74">
        <f>$D$6*D23</f>
        <v>13954558.823529411</v>
      </c>
      <c r="F27" s="74">
        <f>SUM(C27:E27)</f>
        <v>32595588.235294119</v>
      </c>
    </row>
    <row r="28" spans="2:12" ht="13.5" thickBot="1" x14ac:dyDescent="0.25">
      <c r="B28" s="70" t="s">
        <v>191</v>
      </c>
      <c r="C28" s="106">
        <f>SUM(C26:C27)</f>
        <v>2000000</v>
      </c>
      <c r="D28" s="106">
        <f>SUM(D26:D27)</f>
        <v>38890000</v>
      </c>
      <c r="E28" s="106">
        <f>SUM(E26:E27)</f>
        <v>30610000</v>
      </c>
      <c r="F28" s="106">
        <f>SUM(F26:F27)</f>
        <v>71500000</v>
      </c>
    </row>
    <row r="29" spans="2:12" ht="13.5" thickTop="1" x14ac:dyDescent="0.2"/>
  </sheetData>
  <sheetProtection algorithmName="SHA-512" hashValue="7cwglm8FhuaSpFcR2gu2t7hkSWmGr5VwVKy92kMDfehdliHjfcISKJUhsk/xmEyxj6GnAdxvKS8w0gYYCVN/vA==" saltValue="Wziwmfl6+M579kQTKEKnIw==" spinCount="100000" sheet="1" objects="1" scenarios="1"/>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1C479-1CF6-463A-9B93-3C0CC1D875C8}">
  <sheetPr>
    <tabColor theme="9" tint="0.59999389629810485"/>
  </sheetPr>
  <dimension ref="B2:H32"/>
  <sheetViews>
    <sheetView showGridLines="0" workbookViewId="0">
      <selection activeCell="F28" sqref="F28"/>
    </sheetView>
  </sheetViews>
  <sheetFormatPr defaultColWidth="9.140625" defaultRowHeight="12.75" x14ac:dyDescent="0.2"/>
  <cols>
    <col min="1" max="1" width="5" style="1" customWidth="1"/>
    <col min="2" max="5" width="12" style="1" customWidth="1"/>
    <col min="6" max="6" width="15.140625" style="1" customWidth="1"/>
    <col min="7" max="7" width="12" style="1" customWidth="1"/>
    <col min="8" max="8" width="11.5703125" style="1" bestFit="1" customWidth="1"/>
    <col min="9" max="16384" width="9.140625" style="1"/>
  </cols>
  <sheetData>
    <row r="2" spans="2:6" x14ac:dyDescent="0.2">
      <c r="B2" s="91" t="s">
        <v>324</v>
      </c>
    </row>
    <row r="4" spans="2:6" x14ac:dyDescent="0.2">
      <c r="B4" s="99" t="s">
        <v>2</v>
      </c>
      <c r="C4" s="99" t="s">
        <v>3</v>
      </c>
      <c r="D4" s="99" t="s">
        <v>4</v>
      </c>
      <c r="E4" s="99" t="s">
        <v>321</v>
      </c>
      <c r="F4" s="99" t="s">
        <v>322</v>
      </c>
    </row>
    <row r="5" spans="2:6" x14ac:dyDescent="0.2">
      <c r="B5" s="1" t="s">
        <v>317</v>
      </c>
      <c r="C5" s="100" t="s">
        <v>314</v>
      </c>
      <c r="D5" s="100" t="s">
        <v>317</v>
      </c>
      <c r="E5" s="111">
        <v>289491</v>
      </c>
      <c r="F5" s="63">
        <f>E5/$E$17</f>
        <v>0.19791022185092488</v>
      </c>
    </row>
    <row r="6" spans="2:6" x14ac:dyDescent="0.2">
      <c r="B6" s="1" t="s">
        <v>317</v>
      </c>
      <c r="C6" s="100" t="s">
        <v>314</v>
      </c>
      <c r="D6" s="100" t="s">
        <v>317</v>
      </c>
      <c r="E6" s="111">
        <v>112026</v>
      </c>
      <c r="F6" s="63">
        <f t="shared" ref="F6:F16" si="0">E6/$E$17</f>
        <v>7.6586458691536907E-2</v>
      </c>
    </row>
    <row r="7" spans="2:6" x14ac:dyDescent="0.2">
      <c r="B7" s="1" t="s">
        <v>317</v>
      </c>
      <c r="C7" s="100" t="s">
        <v>314</v>
      </c>
      <c r="D7" s="100" t="s">
        <v>317</v>
      </c>
      <c r="E7" s="111">
        <v>81560</v>
      </c>
      <c r="F7" s="63">
        <f t="shared" si="0"/>
        <v>5.5758409394977504E-2</v>
      </c>
    </row>
    <row r="8" spans="2:6" x14ac:dyDescent="0.2">
      <c r="B8" s="1" t="s">
        <v>317</v>
      </c>
      <c r="C8" s="100" t="s">
        <v>314</v>
      </c>
      <c r="D8" s="100" t="s">
        <v>317</v>
      </c>
      <c r="E8" s="111">
        <v>52000</v>
      </c>
      <c r="F8" s="63">
        <f t="shared" si="0"/>
        <v>3.5549746058592818E-2</v>
      </c>
    </row>
    <row r="9" spans="2:6" x14ac:dyDescent="0.2">
      <c r="B9" s="1" t="s">
        <v>318</v>
      </c>
      <c r="C9" s="100" t="s">
        <v>314</v>
      </c>
      <c r="D9" s="100" t="s">
        <v>318</v>
      </c>
      <c r="E9" s="111">
        <v>148406</v>
      </c>
      <c r="F9" s="63">
        <f t="shared" si="0"/>
        <v>0.10145760795329857</v>
      </c>
    </row>
    <row r="10" spans="2:6" x14ac:dyDescent="0.2">
      <c r="B10" s="1" t="s">
        <v>318</v>
      </c>
      <c r="C10" s="100" t="s">
        <v>314</v>
      </c>
      <c r="D10" s="100" t="s">
        <v>318</v>
      </c>
      <c r="E10" s="111">
        <v>144675</v>
      </c>
      <c r="F10" s="63">
        <f t="shared" si="0"/>
        <v>9.890691367359454E-2</v>
      </c>
    </row>
    <row r="11" spans="2:6" x14ac:dyDescent="0.2">
      <c r="B11" s="1" t="s">
        <v>318</v>
      </c>
      <c r="C11" s="100" t="s">
        <v>314</v>
      </c>
      <c r="D11" s="100" t="s">
        <v>318</v>
      </c>
      <c r="E11" s="111">
        <v>111477</v>
      </c>
      <c r="F11" s="63">
        <f t="shared" si="0"/>
        <v>7.6211135411033679E-2</v>
      </c>
    </row>
    <row r="12" spans="2:6" x14ac:dyDescent="0.2">
      <c r="B12" s="1" t="s">
        <v>318</v>
      </c>
      <c r="C12" s="100" t="s">
        <v>314</v>
      </c>
      <c r="D12" s="100" t="s">
        <v>318</v>
      </c>
      <c r="E12" s="111">
        <v>111669</v>
      </c>
      <c r="F12" s="63">
        <f t="shared" si="0"/>
        <v>7.6342396011865418E-2</v>
      </c>
    </row>
    <row r="13" spans="2:6" x14ac:dyDescent="0.2">
      <c r="B13" s="1" t="s">
        <v>318</v>
      </c>
      <c r="C13" s="100" t="s">
        <v>314</v>
      </c>
      <c r="D13" s="100" t="s">
        <v>318</v>
      </c>
      <c r="E13" s="111">
        <v>153249</v>
      </c>
      <c r="F13" s="63">
        <f t="shared" si="0"/>
        <v>0.10476851987948636</v>
      </c>
    </row>
    <row r="14" spans="2:6" x14ac:dyDescent="0.2">
      <c r="B14" s="1" t="s">
        <v>320</v>
      </c>
      <c r="C14" s="100" t="s">
        <v>315</v>
      </c>
      <c r="D14" s="100" t="s">
        <v>318</v>
      </c>
      <c r="E14" s="111">
        <v>33000</v>
      </c>
      <c r="F14" s="63">
        <f t="shared" si="0"/>
        <v>2.2560415767953135E-2</v>
      </c>
    </row>
    <row r="15" spans="2:6" x14ac:dyDescent="0.2">
      <c r="B15" s="1" t="s">
        <v>320</v>
      </c>
      <c r="C15" s="100" t="s">
        <v>315</v>
      </c>
      <c r="D15" s="100" t="s">
        <v>318</v>
      </c>
      <c r="E15" s="111">
        <v>101200</v>
      </c>
      <c r="F15" s="63">
        <f t="shared" si="0"/>
        <v>6.9185275021722947E-2</v>
      </c>
    </row>
    <row r="16" spans="2:6" x14ac:dyDescent="0.2">
      <c r="B16" s="1" t="s">
        <v>319</v>
      </c>
      <c r="C16" s="100" t="s">
        <v>316</v>
      </c>
      <c r="D16" s="100" t="s">
        <v>156</v>
      </c>
      <c r="E16" s="111">
        <v>123986</v>
      </c>
      <c r="F16" s="63">
        <f t="shared" si="0"/>
        <v>8.4762900285013251E-2</v>
      </c>
    </row>
    <row r="17" spans="2:8" ht="13.5" thickBot="1" x14ac:dyDescent="0.25">
      <c r="C17" s="100"/>
      <c r="D17" s="101" t="s">
        <v>191</v>
      </c>
      <c r="E17" s="148">
        <f>SUM(E5:E16)</f>
        <v>1462739</v>
      </c>
      <c r="F17" s="103">
        <f>SUM(F5:F16)</f>
        <v>0.99999999999999978</v>
      </c>
    </row>
    <row r="18" spans="2:8" ht="13.5" thickTop="1" x14ac:dyDescent="0.2"/>
    <row r="19" spans="2:8" x14ac:dyDescent="0.2">
      <c r="D19" s="100" t="s">
        <v>325</v>
      </c>
      <c r="E19" s="62">
        <f>SUMIFS(E5:E16,C5:C16,"OH")</f>
        <v>1204553</v>
      </c>
      <c r="F19" s="63">
        <f>SUMIFS(F5:F16,C5:C16,"OH")</f>
        <v>0.82349140892531059</v>
      </c>
    </row>
    <row r="20" spans="2:8" x14ac:dyDescent="0.2">
      <c r="D20" s="100" t="s">
        <v>326</v>
      </c>
      <c r="E20" s="62">
        <f>SUMIFS(E5:E16,C5:C16,"KY")</f>
        <v>134200</v>
      </c>
      <c r="F20" s="63">
        <f>SUMIFS(F5:F16,C5:C16,"KY")</f>
        <v>9.1745690789676079E-2</v>
      </c>
    </row>
    <row r="21" spans="2:8" x14ac:dyDescent="0.2">
      <c r="D21" s="100" t="s">
        <v>327</v>
      </c>
      <c r="E21" s="62">
        <f>SUMIFS(E5:E16,C5:C16,"IL")</f>
        <v>123986</v>
      </c>
      <c r="F21" s="63">
        <f>SUMIFS(F5:F16,C5:C16,"IL")</f>
        <v>8.4762900285013251E-2</v>
      </c>
    </row>
    <row r="22" spans="2:8" ht="13.5" thickBot="1" x14ac:dyDescent="0.25">
      <c r="D22" s="101" t="s">
        <v>191</v>
      </c>
      <c r="E22" s="102">
        <f>SUM(E19:E21)</f>
        <v>1462739</v>
      </c>
      <c r="F22" s="103">
        <f>SUM(F19:F21)</f>
        <v>0.99999999999999989</v>
      </c>
    </row>
    <row r="23" spans="2:8" ht="13.5" thickTop="1" x14ac:dyDescent="0.2"/>
    <row r="24" spans="2:8" x14ac:dyDescent="0.2">
      <c r="B24" s="90" t="s">
        <v>333</v>
      </c>
    </row>
    <row r="25" spans="2:8" x14ac:dyDescent="0.2">
      <c r="C25" s="67" t="s">
        <v>330</v>
      </c>
      <c r="D25" s="67" t="s">
        <v>224</v>
      </c>
      <c r="E25" s="67" t="s">
        <v>331</v>
      </c>
      <c r="F25" s="67" t="s">
        <v>332</v>
      </c>
      <c r="G25" s="67" t="s">
        <v>146</v>
      </c>
      <c r="H25" s="67" t="s">
        <v>191</v>
      </c>
    </row>
    <row r="26" spans="2:8" x14ac:dyDescent="0.2">
      <c r="C26" s="111">
        <f>1665000+1050000</f>
        <v>2715000</v>
      </c>
      <c r="D26" s="111">
        <v>9000000</v>
      </c>
      <c r="E26" s="111">
        <v>4000000</v>
      </c>
      <c r="F26" s="111">
        <f>5000000-1050000</f>
        <v>3950000</v>
      </c>
      <c r="G26" s="111">
        <v>1035000</v>
      </c>
      <c r="H26" s="104">
        <f>SUM(C26:G26)</f>
        <v>20700000</v>
      </c>
    </row>
    <row r="27" spans="2:8" x14ac:dyDescent="0.2">
      <c r="C27" s="63"/>
      <c r="D27" s="63"/>
      <c r="E27" s="63"/>
      <c r="F27" s="63"/>
      <c r="G27" s="63"/>
      <c r="H27" s="105"/>
    </row>
    <row r="28" spans="2:8" x14ac:dyDescent="0.2">
      <c r="B28" s="100" t="s">
        <v>314</v>
      </c>
      <c r="C28" s="62">
        <f t="shared" ref="C28:G30" si="1">C$26*$F19</f>
        <v>2235779.1752322181</v>
      </c>
      <c r="D28" s="62">
        <f t="shared" si="1"/>
        <v>7411422.6803277954</v>
      </c>
      <c r="E28" s="62">
        <f t="shared" si="1"/>
        <v>3293965.6357012424</v>
      </c>
      <c r="F28" s="62">
        <f t="shared" si="1"/>
        <v>3252791.065254977</v>
      </c>
      <c r="G28" s="62">
        <f t="shared" si="1"/>
        <v>852313.60823769646</v>
      </c>
      <c r="H28" s="74">
        <f>SUM(C28:G28)</f>
        <v>17046272.164753929</v>
      </c>
    </row>
    <row r="29" spans="2:8" x14ac:dyDescent="0.2">
      <c r="B29" s="100" t="s">
        <v>315</v>
      </c>
      <c r="C29" s="62">
        <f t="shared" si="1"/>
        <v>249089.55049397054</v>
      </c>
      <c r="D29" s="62">
        <f t="shared" si="1"/>
        <v>825711.2171070847</v>
      </c>
      <c r="E29" s="62">
        <f t="shared" si="1"/>
        <v>366982.76315870433</v>
      </c>
      <c r="F29" s="62">
        <f t="shared" si="1"/>
        <v>362395.47861922049</v>
      </c>
      <c r="G29" s="62">
        <f t="shared" si="1"/>
        <v>94956.789967314748</v>
      </c>
      <c r="H29" s="74">
        <f t="shared" ref="H29:H30" si="2">SUM(C29:G29)</f>
        <v>1899135.799346295</v>
      </c>
    </row>
    <row r="30" spans="2:8" x14ac:dyDescent="0.2">
      <c r="B30" s="100" t="s">
        <v>316</v>
      </c>
      <c r="C30" s="62">
        <f t="shared" si="1"/>
        <v>230131.27427381097</v>
      </c>
      <c r="D30" s="62">
        <f t="shared" si="1"/>
        <v>762866.10256511928</v>
      </c>
      <c r="E30" s="62">
        <f t="shared" si="1"/>
        <v>339051.60114005301</v>
      </c>
      <c r="F30" s="62">
        <f t="shared" si="1"/>
        <v>334813.45612580236</v>
      </c>
      <c r="G30" s="62">
        <f t="shared" si="1"/>
        <v>87729.601794988717</v>
      </c>
      <c r="H30" s="74">
        <f t="shared" si="2"/>
        <v>1754592.0358997742</v>
      </c>
    </row>
    <row r="31" spans="2:8" ht="13.5" thickBot="1" x14ac:dyDescent="0.25">
      <c r="B31" s="101" t="s">
        <v>191</v>
      </c>
      <c r="C31" s="106">
        <f>SUM(C28:C30)</f>
        <v>2714999.9999999995</v>
      </c>
      <c r="D31" s="106">
        <f t="shared" ref="D31:H31" si="3">SUM(D28:D30)</f>
        <v>9000000</v>
      </c>
      <c r="E31" s="106">
        <f t="shared" si="3"/>
        <v>3999999.9999999995</v>
      </c>
      <c r="F31" s="106">
        <f t="shared" si="3"/>
        <v>3950000</v>
      </c>
      <c r="G31" s="106">
        <f t="shared" si="3"/>
        <v>1034999.9999999999</v>
      </c>
      <c r="H31" s="106">
        <f t="shared" si="3"/>
        <v>20699999.999999996</v>
      </c>
    </row>
    <row r="32" spans="2:8" ht="13.5" thickTop="1" x14ac:dyDescent="0.2">
      <c r="C32" s="107">
        <f>C31-C26</f>
        <v>0</v>
      </c>
      <c r="D32" s="74">
        <f t="shared" ref="D32:H32" si="4">D31-D26</f>
        <v>0</v>
      </c>
      <c r="E32" s="74">
        <f t="shared" si="4"/>
        <v>0</v>
      </c>
      <c r="F32" s="74">
        <f t="shared" si="4"/>
        <v>0</v>
      </c>
      <c r="G32" s="74">
        <f t="shared" si="4"/>
        <v>0</v>
      </c>
      <c r="H32" s="74">
        <f t="shared" si="4"/>
        <v>0</v>
      </c>
    </row>
  </sheetData>
  <sheetProtection algorithmName="SHA-512" hashValue="95gHDJlL+6O9D+cnyT7/kkPdpocTX06HDDKMgPaCiVwQaDyvAK2a9ZDMYUmq3s0akHZ0lY43W2KbaadMWYi+VQ==" saltValue="S6RqQG6xVduHuFW/mBaS+g==" spinCount="100000" sheet="1" objects="1" scenarios="1"/>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22D84-0353-48ED-9E14-6407372EADB8}">
  <dimension ref="A1"/>
  <sheetViews>
    <sheetView workbookViewId="0">
      <selection activeCell="D33" sqref="D33"/>
    </sheetView>
  </sheetViews>
  <sheetFormatPr defaultRowHeight="15" x14ac:dyDescent="0.2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E0814-AB85-4670-9212-614AD903637D}">
  <sheetPr>
    <tabColor theme="9" tint="0.59999389629810485"/>
  </sheetPr>
  <dimension ref="B2:F15"/>
  <sheetViews>
    <sheetView showGridLines="0" workbookViewId="0">
      <selection activeCell="F19" sqref="F19"/>
    </sheetView>
  </sheetViews>
  <sheetFormatPr defaultColWidth="9.140625" defaultRowHeight="12.75" x14ac:dyDescent="0.2"/>
  <cols>
    <col min="1" max="1" width="5" style="1" customWidth="1"/>
    <col min="2" max="3" width="18" style="1" customWidth="1"/>
    <col min="4" max="5" width="14.5703125" style="1" customWidth="1"/>
    <col min="6" max="6" width="15.140625" style="1" customWidth="1"/>
    <col min="7" max="7" width="12" style="1" customWidth="1"/>
    <col min="8" max="8" width="11.5703125" style="1" bestFit="1" customWidth="1"/>
    <col min="9" max="16384" width="9.140625" style="1"/>
  </cols>
  <sheetData>
    <row r="2" spans="2:6" x14ac:dyDescent="0.2">
      <c r="B2" s="91" t="s">
        <v>415</v>
      </c>
    </row>
    <row r="3" spans="2:6" x14ac:dyDescent="0.2">
      <c r="C3" s="99" t="s">
        <v>321</v>
      </c>
    </row>
    <row r="4" spans="2:6" x14ac:dyDescent="0.2">
      <c r="B4" s="1" t="s">
        <v>70</v>
      </c>
      <c r="C4" s="111">
        <v>32236</v>
      </c>
      <c r="D4" s="63">
        <f>C4/$C$6</f>
        <v>0.34290333904200659</v>
      </c>
    </row>
    <row r="5" spans="2:6" x14ac:dyDescent="0.2">
      <c r="B5" s="1" t="s">
        <v>69</v>
      </c>
      <c r="C5" s="111">
        <v>61773</v>
      </c>
      <c r="D5" s="63">
        <f>C5/$C$6</f>
        <v>0.65709666095799335</v>
      </c>
    </row>
    <row r="6" spans="2:6" ht="13.5" thickBot="1" x14ac:dyDescent="0.25">
      <c r="C6" s="102">
        <f>SUM(C4:C5)</f>
        <v>94009</v>
      </c>
    </row>
    <row r="7" spans="2:6" ht="13.5" thickTop="1" x14ac:dyDescent="0.2"/>
    <row r="8" spans="2:6" x14ac:dyDescent="0.2">
      <c r="C8" s="99" t="s">
        <v>330</v>
      </c>
      <c r="D8" s="99" t="s">
        <v>416</v>
      </c>
      <c r="E8" s="99" t="s">
        <v>158</v>
      </c>
      <c r="F8" s="99" t="s">
        <v>191</v>
      </c>
    </row>
    <row r="9" spans="2:6" x14ac:dyDescent="0.2">
      <c r="B9" s="1" t="s">
        <v>417</v>
      </c>
      <c r="C9" s="111">
        <v>4948000</v>
      </c>
      <c r="D9" s="111">
        <v>2000000</v>
      </c>
      <c r="E9" s="111">
        <v>772000</v>
      </c>
      <c r="F9" s="107">
        <f>SUM(C9:E9)</f>
        <v>7720000</v>
      </c>
    </row>
    <row r="10" spans="2:6" x14ac:dyDescent="0.2">
      <c r="B10" s="1" t="s">
        <v>418</v>
      </c>
      <c r="C10" s="63">
        <f>C9/$F$9</f>
        <v>0.64093264248704662</v>
      </c>
      <c r="D10" s="63">
        <f t="shared" ref="D10:E10" si="0">D9/$F$9</f>
        <v>0.25906735751295334</v>
      </c>
      <c r="E10" s="63">
        <f t="shared" si="0"/>
        <v>0.1</v>
      </c>
      <c r="F10" s="105">
        <f>SUM(C10:E10)</f>
        <v>0.99999999999999989</v>
      </c>
    </row>
    <row r="12" spans="2:6" x14ac:dyDescent="0.2">
      <c r="B12" s="1" t="s">
        <v>70</v>
      </c>
      <c r="C12" s="74">
        <f>C$9*$D4</f>
        <v>1696685.7215798486</v>
      </c>
      <c r="D12" s="74">
        <f t="shared" ref="D12:E12" si="1">D$9*$D4</f>
        <v>685806.67808401317</v>
      </c>
      <c r="E12" s="74">
        <f t="shared" si="1"/>
        <v>264721.37774042907</v>
      </c>
      <c r="F12" s="74">
        <f>SUM(C12:E12)</f>
        <v>2647213.7774042911</v>
      </c>
    </row>
    <row r="13" spans="2:6" x14ac:dyDescent="0.2">
      <c r="B13" s="1" t="s">
        <v>69</v>
      </c>
      <c r="C13" s="74">
        <f>C$9*$D5</f>
        <v>3251314.2784201512</v>
      </c>
      <c r="D13" s="74">
        <f t="shared" ref="D13:E13" si="2">D$9*$D5</f>
        <v>1314193.3219159867</v>
      </c>
      <c r="E13" s="74">
        <f t="shared" si="2"/>
        <v>507278.62225957087</v>
      </c>
      <c r="F13" s="74">
        <f>SUM(C13:E13)</f>
        <v>5072786.2225957094</v>
      </c>
    </row>
    <row r="14" spans="2:6" ht="13.5" thickBot="1" x14ac:dyDescent="0.25">
      <c r="B14" s="1" t="s">
        <v>191</v>
      </c>
      <c r="C14" s="106">
        <f>SUM(C12:C13)</f>
        <v>4948000</v>
      </c>
      <c r="D14" s="106">
        <f t="shared" ref="D14:F14" si="3">SUM(D12:D13)</f>
        <v>2000000</v>
      </c>
      <c r="E14" s="106">
        <f t="shared" si="3"/>
        <v>772000</v>
      </c>
      <c r="F14" s="106">
        <f t="shared" si="3"/>
        <v>7720000</v>
      </c>
    </row>
    <row r="15" spans="2:6" ht="13.5" thickTop="1" x14ac:dyDescent="0.2"/>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8F58D-8718-4ED6-A85B-F0E14011F423}">
  <sheetPr>
    <tabColor theme="9" tint="0.59999389629810485"/>
  </sheetPr>
  <dimension ref="A1:C13"/>
  <sheetViews>
    <sheetView workbookViewId="0">
      <selection activeCell="F28" sqref="F28"/>
    </sheetView>
  </sheetViews>
  <sheetFormatPr defaultRowHeight="15" x14ac:dyDescent="0.25"/>
  <cols>
    <col min="1" max="1" width="15.85546875" bestFit="1" customWidth="1"/>
    <col min="2" max="2" width="24.7109375" bestFit="1" customWidth="1"/>
    <col min="3" max="3" width="38.85546875" bestFit="1" customWidth="1"/>
  </cols>
  <sheetData>
    <row r="1" spans="1:3" x14ac:dyDescent="0.25">
      <c r="A1" s="173" t="s">
        <v>449</v>
      </c>
    </row>
    <row r="2" spans="1:3" x14ac:dyDescent="0.25">
      <c r="A2" s="174" t="s">
        <v>450</v>
      </c>
      <c r="B2" s="174" t="s">
        <v>451</v>
      </c>
      <c r="C2" s="174" t="s">
        <v>452</v>
      </c>
    </row>
    <row r="3" spans="1:3" x14ac:dyDescent="0.25">
      <c r="A3">
        <v>1</v>
      </c>
      <c r="B3" t="s">
        <v>453</v>
      </c>
      <c r="C3" t="s">
        <v>454</v>
      </c>
    </row>
    <row r="5" spans="1:3" x14ac:dyDescent="0.25">
      <c r="A5" s="173" t="s">
        <v>455</v>
      </c>
    </row>
    <row r="6" spans="1:3" x14ac:dyDescent="0.25">
      <c r="A6" s="174" t="s">
        <v>450</v>
      </c>
      <c r="B6" s="174" t="s">
        <v>456</v>
      </c>
      <c r="C6" s="174" t="s">
        <v>452</v>
      </c>
    </row>
    <row r="9" spans="1:3" x14ac:dyDescent="0.25">
      <c r="A9" s="173" t="s">
        <v>457</v>
      </c>
      <c r="B9" t="s">
        <v>458</v>
      </c>
    </row>
    <row r="10" spans="1:3" x14ac:dyDescent="0.25">
      <c r="B10" t="s">
        <v>459</v>
      </c>
    </row>
    <row r="12" spans="1:3" x14ac:dyDescent="0.25">
      <c r="B12" t="s">
        <v>460</v>
      </c>
    </row>
    <row r="13" spans="1:3" x14ac:dyDescent="0.25">
      <c r="B13" t="s">
        <v>461</v>
      </c>
    </row>
  </sheetData>
  <sheetProtection algorithmName="SHA-512" hashValue="6BkE3jiwSx6fgs8oZCmTGnmjKdQ6vrKtL1/Qm+Fc/LRq4K2rQQ9EEx/GXGcuAvUiF3yyZe7dqkL9giY8LxbJGQ==" saltValue="uJoi9G0NF4qJNC2S6ZLl9A=="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50037-B568-40C0-AF6E-75C537359216}">
  <sheetPr>
    <tabColor theme="9" tint="0.59999389629810485"/>
  </sheetPr>
  <dimension ref="B2:E20"/>
  <sheetViews>
    <sheetView showGridLines="0" workbookViewId="0">
      <selection activeCell="D18" sqref="D18:E18"/>
    </sheetView>
  </sheetViews>
  <sheetFormatPr defaultRowHeight="15" x14ac:dyDescent="0.25"/>
  <cols>
    <col min="1" max="1" width="5" customWidth="1"/>
    <col min="2" max="2" width="13" customWidth="1"/>
    <col min="3" max="4" width="13.140625" customWidth="1"/>
    <col min="5" max="5" width="44.28515625" customWidth="1"/>
  </cols>
  <sheetData>
    <row r="2" spans="2:5" x14ac:dyDescent="0.25">
      <c r="B2" s="92" t="s">
        <v>328</v>
      </c>
    </row>
    <row r="4" spans="2:5" x14ac:dyDescent="0.25">
      <c r="B4" s="255" t="s">
        <v>313</v>
      </c>
      <c r="C4" s="256"/>
      <c r="D4" s="257"/>
    </row>
    <row r="5" spans="2:5" x14ac:dyDescent="0.25">
      <c r="B5" s="84" t="s">
        <v>1</v>
      </c>
      <c r="C5" s="85" t="s">
        <v>308</v>
      </c>
      <c r="D5" s="86" t="s">
        <v>309</v>
      </c>
    </row>
    <row r="6" spans="2:5" x14ac:dyDescent="0.25">
      <c r="B6" s="182" t="s">
        <v>310</v>
      </c>
      <c r="C6" s="1" t="s">
        <v>311</v>
      </c>
      <c r="D6" s="87">
        <v>44032</v>
      </c>
    </row>
    <row r="7" spans="2:5" x14ac:dyDescent="0.25">
      <c r="B7" s="183" t="s">
        <v>312</v>
      </c>
      <c r="C7" s="1"/>
      <c r="D7" s="87"/>
    </row>
    <row r="8" spans="2:5" x14ac:dyDescent="0.25">
      <c r="B8" s="184" t="s">
        <v>312</v>
      </c>
      <c r="C8" s="88"/>
      <c r="D8" s="89"/>
    </row>
    <row r="10" spans="2:5" x14ac:dyDescent="0.25">
      <c r="B10" s="255" t="s">
        <v>605</v>
      </c>
      <c r="C10" s="256"/>
      <c r="D10" s="256"/>
      <c r="E10" s="257"/>
    </row>
    <row r="11" spans="2:5" x14ac:dyDescent="0.25">
      <c r="B11" s="84" t="s">
        <v>1</v>
      </c>
      <c r="C11" s="85" t="s">
        <v>308</v>
      </c>
      <c r="D11" s="85" t="s">
        <v>309</v>
      </c>
      <c r="E11" s="233" t="s">
        <v>611</v>
      </c>
    </row>
    <row r="12" spans="2:5" s="239" customFormat="1" ht="78.75" customHeight="1" x14ac:dyDescent="0.25">
      <c r="B12" s="236" t="s">
        <v>310</v>
      </c>
      <c r="C12" s="237" t="s">
        <v>311</v>
      </c>
      <c r="D12" s="238">
        <v>44117</v>
      </c>
      <c r="E12" s="240" t="s">
        <v>612</v>
      </c>
    </row>
    <row r="13" spans="2:5" x14ac:dyDescent="0.25">
      <c r="B13" s="183" t="s">
        <v>312</v>
      </c>
      <c r="C13" s="137"/>
      <c r="D13" s="231"/>
      <c r="E13" s="234"/>
    </row>
    <row r="14" spans="2:5" x14ac:dyDescent="0.25">
      <c r="B14" s="184" t="s">
        <v>312</v>
      </c>
      <c r="C14" s="88"/>
      <c r="D14" s="232"/>
      <c r="E14" s="235"/>
    </row>
    <row r="16" spans="2:5" x14ac:dyDescent="0.25">
      <c r="B16" s="255" t="s">
        <v>617</v>
      </c>
      <c r="C16" s="256"/>
      <c r="D16" s="256"/>
      <c r="E16" s="257"/>
    </row>
    <row r="17" spans="2:5" x14ac:dyDescent="0.25">
      <c r="B17" s="84" t="s">
        <v>1</v>
      </c>
      <c r="C17" s="85" t="s">
        <v>308</v>
      </c>
      <c r="D17" s="85" t="s">
        <v>309</v>
      </c>
      <c r="E17" s="233" t="s">
        <v>611</v>
      </c>
    </row>
    <row r="18" spans="2:5" ht="76.5" x14ac:dyDescent="0.25">
      <c r="B18" s="236" t="s">
        <v>310</v>
      </c>
      <c r="C18" s="237" t="s">
        <v>311</v>
      </c>
      <c r="D18" s="250">
        <v>44117</v>
      </c>
      <c r="E18" s="251" t="s">
        <v>612</v>
      </c>
    </row>
    <row r="19" spans="2:5" x14ac:dyDescent="0.25">
      <c r="B19" s="183" t="s">
        <v>312</v>
      </c>
      <c r="C19" s="137"/>
      <c r="D19" s="231"/>
      <c r="E19" s="234"/>
    </row>
    <row r="20" spans="2:5" x14ac:dyDescent="0.25">
      <c r="B20" s="184" t="s">
        <v>312</v>
      </c>
      <c r="C20" s="88"/>
      <c r="D20" s="232"/>
      <c r="E20" s="235"/>
    </row>
  </sheetData>
  <mergeCells count="3">
    <mergeCell ref="B4:D4"/>
    <mergeCell ref="B10:E10"/>
    <mergeCell ref="B16:E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A69A3-7975-4B9F-B792-F397EF427D66}">
  <sheetPr>
    <tabColor theme="9" tint="0.59999389629810485"/>
    <pageSetUpPr fitToPage="1"/>
  </sheetPr>
  <dimension ref="A1:BR162"/>
  <sheetViews>
    <sheetView tabSelected="1" workbookViewId="0">
      <pane xSplit="4" ySplit="4" topLeftCell="AC98" activePane="bottomRight" state="frozen"/>
      <selection pane="topRight" activeCell="E1" sqref="E1"/>
      <selection pane="bottomLeft" activeCell="A5" sqref="A5"/>
      <selection pane="bottomRight" activeCell="AL121" sqref="AL121"/>
    </sheetView>
  </sheetViews>
  <sheetFormatPr defaultColWidth="9.140625" defaultRowHeight="12.75" x14ac:dyDescent="0.2"/>
  <cols>
    <col min="1" max="1" width="2.28515625" style="1" customWidth="1"/>
    <col min="2" max="2" width="21.140625" style="2" customWidth="1"/>
    <col min="3" max="3" width="9.140625" style="2" customWidth="1"/>
    <col min="4" max="4" width="16.5703125" style="2" hidden="1" customWidth="1"/>
    <col min="5" max="5" width="16.85546875" style="2" hidden="1" customWidth="1"/>
    <col min="6" max="6" width="16.5703125" style="2" hidden="1" customWidth="1"/>
    <col min="7" max="7" width="16.85546875" style="2" customWidth="1"/>
    <col min="8" max="8" width="11.140625" style="2" bestFit="1" customWidth="1"/>
    <col min="9" max="9" width="20.5703125" style="2" customWidth="1"/>
    <col min="10" max="10" width="15.28515625" style="2" customWidth="1"/>
    <col min="11" max="11" width="12.5703125" style="2" customWidth="1"/>
    <col min="12" max="12" width="15" style="2" customWidth="1"/>
    <col min="13" max="13" width="11.42578125" style="2" bestFit="1" customWidth="1"/>
    <col min="14" max="14" width="5.85546875" style="2" customWidth="1"/>
    <col min="15" max="15" width="7.42578125" style="2" customWidth="1"/>
    <col min="16" max="16" width="8.42578125" style="2" customWidth="1"/>
    <col min="17" max="17" width="16.42578125" style="2" customWidth="1"/>
    <col min="18" max="18" width="14.140625" style="2" bestFit="1" customWidth="1"/>
    <col min="19" max="19" width="12" style="2" customWidth="1"/>
    <col min="20" max="20" width="19.5703125" style="2" customWidth="1"/>
    <col min="21" max="21" width="16.85546875" style="2" customWidth="1"/>
    <col min="22" max="22" width="18.140625" style="2" customWidth="1"/>
    <col min="23" max="25" width="17.140625" style="2" customWidth="1"/>
    <col min="26" max="32" width="17.7109375" style="2" customWidth="1"/>
    <col min="33" max="33" width="11.85546875" style="2" customWidth="1"/>
    <col min="34" max="34" width="17.7109375" style="2" customWidth="1"/>
    <col min="35" max="35" width="11.5703125" style="2" customWidth="1"/>
    <col min="36" max="36" width="11.7109375" style="2" customWidth="1"/>
    <col min="37" max="37" width="9.42578125" style="2" customWidth="1"/>
    <col min="38" max="38" width="12" style="2" customWidth="1"/>
    <col min="39" max="39" width="6.85546875" style="2" customWidth="1"/>
    <col min="40" max="40" width="9.85546875" style="2" customWidth="1"/>
    <col min="41" max="41" width="17.7109375" style="2" customWidth="1"/>
    <col min="42" max="43" width="16.28515625" style="2" customWidth="1"/>
    <col min="44" max="70" width="9.140625" style="2"/>
    <col min="71" max="16384" width="9.140625" style="1"/>
  </cols>
  <sheetData>
    <row r="1" spans="2:70" x14ac:dyDescent="0.2">
      <c r="B1" s="3" t="s">
        <v>10</v>
      </c>
      <c r="BR1" s="1"/>
    </row>
    <row r="2" spans="2:70" hidden="1" x14ac:dyDescent="0.2">
      <c r="B2" s="4" t="s">
        <v>621</v>
      </c>
      <c r="BR2" s="1"/>
    </row>
    <row r="3" spans="2:70" x14ac:dyDescent="0.2">
      <c r="AI3" s="97"/>
      <c r="AJ3" s="97"/>
      <c r="AK3" s="97"/>
      <c r="AL3" s="97"/>
      <c r="AM3" s="97"/>
      <c r="AN3" s="97"/>
      <c r="AO3" s="97"/>
      <c r="BR3" s="1"/>
    </row>
    <row r="4" spans="2:70" ht="38.25" x14ac:dyDescent="0.2">
      <c r="B4" s="2" t="s">
        <v>0</v>
      </c>
      <c r="C4" s="2" t="s">
        <v>9</v>
      </c>
      <c r="D4" s="2" t="s">
        <v>125</v>
      </c>
      <c r="E4" s="2" t="s">
        <v>234</v>
      </c>
      <c r="F4" s="2" t="s">
        <v>402</v>
      </c>
      <c r="G4" s="2" t="s">
        <v>1</v>
      </c>
      <c r="H4" s="2" t="s">
        <v>396</v>
      </c>
      <c r="I4" s="2" t="s">
        <v>2</v>
      </c>
      <c r="J4" s="2" t="s">
        <v>3</v>
      </c>
      <c r="K4" s="2" t="s">
        <v>4</v>
      </c>
      <c r="L4" s="2" t="s">
        <v>146</v>
      </c>
      <c r="M4" s="2" t="s">
        <v>5</v>
      </c>
      <c r="N4" s="2" t="s">
        <v>6</v>
      </c>
      <c r="O4" s="2" t="s">
        <v>371</v>
      </c>
      <c r="P4" s="2" t="s">
        <v>386</v>
      </c>
      <c r="Q4" s="2" t="s">
        <v>93</v>
      </c>
      <c r="R4" s="2" t="s">
        <v>7</v>
      </c>
      <c r="S4" s="2" t="s">
        <v>8</v>
      </c>
      <c r="T4" s="2" t="s">
        <v>56</v>
      </c>
      <c r="U4" s="2" t="s">
        <v>58</v>
      </c>
      <c r="V4" s="2" t="s">
        <v>94</v>
      </c>
      <c r="W4" s="2" t="s">
        <v>57</v>
      </c>
      <c r="X4" s="2" t="s">
        <v>237</v>
      </c>
      <c r="Y4" s="2" t="s">
        <v>59</v>
      </c>
      <c r="Z4" s="2" t="s">
        <v>60</v>
      </c>
      <c r="AA4" s="2" t="s">
        <v>61</v>
      </c>
      <c r="AB4" s="2" t="s">
        <v>62</v>
      </c>
      <c r="AC4" s="2" t="s">
        <v>63</v>
      </c>
      <c r="AD4" s="2" t="s">
        <v>64</v>
      </c>
      <c r="AE4" s="2" t="s">
        <v>162</v>
      </c>
      <c r="AF4" s="2" t="s">
        <v>66</v>
      </c>
      <c r="AG4" s="2" t="s">
        <v>65</v>
      </c>
      <c r="AH4" s="2" t="s">
        <v>169</v>
      </c>
      <c r="AI4" s="96" t="s">
        <v>163</v>
      </c>
      <c r="AJ4" s="96" t="s">
        <v>164</v>
      </c>
      <c r="AK4" s="96" t="s">
        <v>165</v>
      </c>
      <c r="AL4" s="96" t="s">
        <v>166</v>
      </c>
      <c r="AM4" s="96" t="s">
        <v>167</v>
      </c>
      <c r="AN4" s="96" t="s">
        <v>616</v>
      </c>
      <c r="AO4" s="96" t="s">
        <v>168</v>
      </c>
      <c r="BR4" s="1"/>
    </row>
    <row r="5" spans="2:70" x14ac:dyDescent="0.2">
      <c r="B5" s="2" t="s">
        <v>11</v>
      </c>
      <c r="C5" s="2" t="s">
        <v>49</v>
      </c>
      <c r="E5" s="2" t="s">
        <v>235</v>
      </c>
      <c r="F5" s="2" t="s">
        <v>403</v>
      </c>
      <c r="G5" s="2" t="s">
        <v>97</v>
      </c>
      <c r="H5" s="2" t="s">
        <v>97</v>
      </c>
      <c r="I5" s="2" t="s">
        <v>50</v>
      </c>
      <c r="J5" s="2" t="s">
        <v>129</v>
      </c>
      <c r="K5" s="2" t="s">
        <v>50</v>
      </c>
      <c r="L5" s="2" t="s">
        <v>147</v>
      </c>
      <c r="M5" s="5">
        <v>181936</v>
      </c>
      <c r="N5" s="5">
        <v>224</v>
      </c>
      <c r="O5" s="5"/>
      <c r="P5" s="5"/>
      <c r="Q5" s="2">
        <v>1982</v>
      </c>
      <c r="R5" s="6">
        <v>33324</v>
      </c>
      <c r="S5" s="15">
        <v>2954368</v>
      </c>
      <c r="T5" s="78">
        <v>25950000</v>
      </c>
      <c r="U5" s="80">
        <f>IF(Table1[[#This Row],[Sub Type]]="Multi-Family",Table1[[#This Row],[Fair Market Value Estimate]]/Table1[[#This Row],[Units]],"N/A")</f>
        <v>115848.21428571429</v>
      </c>
      <c r="V5" s="80">
        <f>Table1[[#This Row],[Fair Market Value Estimate]]/Table1[[#This Row],[Size (SF)]]</f>
        <v>142.6325740919884</v>
      </c>
      <c r="W5" s="81">
        <v>44104</v>
      </c>
      <c r="X5" s="15">
        <v>731616</v>
      </c>
      <c r="Y5" s="15"/>
      <c r="Z5" s="15"/>
      <c r="AA5" s="15"/>
      <c r="AB5" s="15"/>
      <c r="AC5" s="15"/>
      <c r="AD5" s="15"/>
      <c r="AE5" s="15"/>
      <c r="AF5" s="15"/>
      <c r="AG5" s="80">
        <f>SUM(Table1[[#This Row],[MLG Capital Historical Deal Equity]:[Legacy Fund Equity]])</f>
        <v>731616</v>
      </c>
      <c r="AH5" s="80">
        <f>Table1[[#This Row],[Fund I Equity]]*6/27.28+Table1[[#This Row],[Fund II Equity]]</f>
        <v>0</v>
      </c>
      <c r="AI5" s="6"/>
      <c r="AJ5" s="15"/>
      <c r="AK5" s="172" t="str">
        <f>IF(Table1[[#This Row],[Status]]="Sold",(Table1[[#This Row],[Date of Sale]]-Table1[[#This Row],[Acquisition Date]])/365,"")</f>
        <v/>
      </c>
      <c r="AL5" s="109"/>
      <c r="AM5" s="172" t="str">
        <f>IF(Table1[[#This Row],[Status]]="Sold",Table1[[#This Row],[Total Property Distributions]]/Table1[[#This Row],[Total Equity]],"")</f>
        <v/>
      </c>
      <c r="AN5" s="172"/>
      <c r="AO5" s="168" t="str">
        <f>IF(Table1[[#This Row],[Status]]="Sold",((Table1[[#This Row],[Total Property Distributions]]-Table1[[#This Row],[Total Equity]])/Table1[[#This Row],[Total Equity]])/Table1[[#This Row],[Holding Period]],"")</f>
        <v/>
      </c>
      <c r="BR5" s="1"/>
    </row>
    <row r="6" spans="2:70" x14ac:dyDescent="0.2">
      <c r="B6" s="2" t="s">
        <v>12</v>
      </c>
      <c r="C6" s="2" t="s">
        <v>49</v>
      </c>
      <c r="E6" s="2" t="s">
        <v>235</v>
      </c>
      <c r="F6" s="2" t="s">
        <v>403</v>
      </c>
      <c r="G6" s="2" t="s">
        <v>97</v>
      </c>
      <c r="H6" s="2" t="s">
        <v>97</v>
      </c>
      <c r="I6" s="2" t="s">
        <v>50</v>
      </c>
      <c r="J6" s="2" t="s">
        <v>129</v>
      </c>
      <c r="K6" s="2" t="s">
        <v>50</v>
      </c>
      <c r="L6" s="2" t="s">
        <v>147</v>
      </c>
      <c r="M6" s="5">
        <v>194672</v>
      </c>
      <c r="N6" s="5">
        <v>240</v>
      </c>
      <c r="O6" s="5"/>
      <c r="P6" s="5"/>
      <c r="Q6" s="2">
        <v>1980</v>
      </c>
      <c r="R6" s="6">
        <v>33938</v>
      </c>
      <c r="S6" s="15">
        <v>3595635</v>
      </c>
      <c r="T6" s="78">
        <v>33300000</v>
      </c>
      <c r="U6" s="80">
        <f>IF(Table1[[#This Row],[Sub Type]]="Multi-Family",Table1[[#This Row],[Fair Market Value Estimate]]/Table1[[#This Row],[Units]],"N/A")</f>
        <v>138750</v>
      </c>
      <c r="V6" s="80">
        <f>Table1[[#This Row],[Fair Market Value Estimate]]/Table1[[#This Row],[Size (SF)]]</f>
        <v>171.05695734363442</v>
      </c>
      <c r="W6" s="81">
        <v>44104</v>
      </c>
      <c r="X6" s="15">
        <v>825000</v>
      </c>
      <c r="Y6" s="15"/>
      <c r="Z6" s="15"/>
      <c r="AA6" s="15"/>
      <c r="AB6" s="15"/>
      <c r="AC6" s="15"/>
      <c r="AD6" s="15"/>
      <c r="AE6" s="15"/>
      <c r="AF6" s="15"/>
      <c r="AG6" s="80">
        <f>SUM(Table1[[#This Row],[MLG Capital Historical Deal Equity]:[Legacy Fund Equity]])</f>
        <v>825000</v>
      </c>
      <c r="AH6" s="80">
        <f>Table1[[#This Row],[Fund I Equity]]*6/27.28+Table1[[#This Row],[Fund II Equity]]</f>
        <v>0</v>
      </c>
      <c r="AI6" s="6"/>
      <c r="AJ6" s="15"/>
      <c r="AK6" s="172" t="str">
        <f>IF(Table1[[#This Row],[Status]]="Sold",(Table1[[#This Row],[Date of Sale]]-Table1[[#This Row],[Acquisition Date]])/365,"")</f>
        <v/>
      </c>
      <c r="AL6" s="109"/>
      <c r="AM6" s="172" t="str">
        <f>IF(Table1[[#This Row],[Status]]="Sold",Table1[[#This Row],[Total Property Distributions]]/Table1[[#This Row],[Total Equity]],"")</f>
        <v/>
      </c>
      <c r="AN6" s="172"/>
      <c r="AO6" s="168" t="str">
        <f>IF(Table1[[#This Row],[Status]]="Sold",((Table1[[#This Row],[Total Property Distributions]]-Table1[[#This Row],[Total Equity]])/Table1[[#This Row],[Total Equity]])/Table1[[#This Row],[Holding Period]],"")</f>
        <v/>
      </c>
      <c r="BR6" s="1"/>
    </row>
    <row r="7" spans="2:70" x14ac:dyDescent="0.2">
      <c r="B7" s="2" t="s">
        <v>13</v>
      </c>
      <c r="C7" s="2" t="s">
        <v>49</v>
      </c>
      <c r="E7" s="2" t="s">
        <v>235</v>
      </c>
      <c r="F7" s="2" t="s">
        <v>403</v>
      </c>
      <c r="G7" s="2" t="s">
        <v>97</v>
      </c>
      <c r="H7" s="2" t="s">
        <v>97</v>
      </c>
      <c r="I7" s="2" t="s">
        <v>50</v>
      </c>
      <c r="J7" s="2" t="s">
        <v>129</v>
      </c>
      <c r="K7" s="2" t="s">
        <v>50</v>
      </c>
      <c r="L7" s="2" t="s">
        <v>147</v>
      </c>
      <c r="M7" s="5">
        <v>171529</v>
      </c>
      <c r="N7" s="5">
        <v>226</v>
      </c>
      <c r="O7" s="5"/>
      <c r="P7" s="5"/>
      <c r="Q7" s="2">
        <v>1974</v>
      </c>
      <c r="R7" s="6">
        <v>36972</v>
      </c>
      <c r="S7" s="15">
        <v>6900000</v>
      </c>
      <c r="T7" s="78">
        <v>25250000</v>
      </c>
      <c r="U7" s="80">
        <f>IF(Table1[[#This Row],[Sub Type]]="Multi-Family",Table1[[#This Row],[Fair Market Value Estimate]]/Table1[[#This Row],[Units]],"N/A")</f>
        <v>111725.66371681416</v>
      </c>
      <c r="V7" s="80">
        <f>Table1[[#This Row],[Fair Market Value Estimate]]/Table1[[#This Row],[Size (SF)]]</f>
        <v>147.20542881961651</v>
      </c>
      <c r="W7" s="81">
        <v>44104</v>
      </c>
      <c r="X7" s="15">
        <v>2850000</v>
      </c>
      <c r="Y7" s="15"/>
      <c r="Z7" s="15"/>
      <c r="AA7" s="15"/>
      <c r="AB7" s="15"/>
      <c r="AC7" s="15"/>
      <c r="AD7" s="15"/>
      <c r="AE7" s="15"/>
      <c r="AF7" s="15"/>
      <c r="AG7" s="80">
        <f>SUM(Table1[[#This Row],[MLG Capital Historical Deal Equity]:[Legacy Fund Equity]])</f>
        <v>2850000</v>
      </c>
      <c r="AH7" s="80">
        <f>Table1[[#This Row],[Fund I Equity]]*6/27.28+Table1[[#This Row],[Fund II Equity]]</f>
        <v>0</v>
      </c>
      <c r="AI7" s="6"/>
      <c r="AJ7" s="15"/>
      <c r="AK7" s="172" t="str">
        <f>IF(Table1[[#This Row],[Status]]="Sold",(Table1[[#This Row],[Date of Sale]]-Table1[[#This Row],[Acquisition Date]])/365,"")</f>
        <v/>
      </c>
      <c r="AL7" s="109"/>
      <c r="AM7" s="172" t="str">
        <f>IF(Table1[[#This Row],[Status]]="Sold",Table1[[#This Row],[Total Property Distributions]]/Table1[[#This Row],[Total Equity]],"")</f>
        <v/>
      </c>
      <c r="AN7" s="172"/>
      <c r="AO7" s="168" t="str">
        <f>IF(Table1[[#This Row],[Status]]="Sold",((Table1[[#This Row],[Total Property Distributions]]-Table1[[#This Row],[Total Equity]])/Table1[[#This Row],[Total Equity]])/Table1[[#This Row],[Holding Period]],"")</f>
        <v/>
      </c>
      <c r="BR7" s="1"/>
    </row>
    <row r="8" spans="2:70" x14ac:dyDescent="0.2">
      <c r="B8" s="2" t="s">
        <v>67</v>
      </c>
      <c r="C8" s="11" t="s">
        <v>49</v>
      </c>
      <c r="E8" s="2" t="s">
        <v>235</v>
      </c>
      <c r="F8" s="2" t="s">
        <v>403</v>
      </c>
      <c r="G8" s="2" t="s">
        <v>397</v>
      </c>
      <c r="H8" s="2" t="s">
        <v>80</v>
      </c>
      <c r="I8" s="2" t="s">
        <v>114</v>
      </c>
      <c r="J8" s="2" t="s">
        <v>130</v>
      </c>
      <c r="K8" s="2" t="s">
        <v>105</v>
      </c>
      <c r="L8" s="2" t="s">
        <v>147</v>
      </c>
      <c r="M8" s="5">
        <v>95173</v>
      </c>
      <c r="N8" s="5"/>
      <c r="O8" s="5"/>
      <c r="P8" s="5"/>
      <c r="Q8" s="2">
        <v>1977</v>
      </c>
      <c r="R8" s="6">
        <v>40550</v>
      </c>
      <c r="S8" s="15">
        <v>4000000</v>
      </c>
      <c r="T8" s="78">
        <v>9120000</v>
      </c>
      <c r="U8" s="80" t="str">
        <f>IF(Table1[[#This Row],[Sub Type]]="Multi-Family",Table1[[#This Row],[Fair Market Value Estimate]]/Table1[[#This Row],[Units]],"N/A")</f>
        <v>N/A</v>
      </c>
      <c r="V8" s="80">
        <f>Table1[[#This Row],[Fair Market Value Estimate]]/Table1[[#This Row],[Size (SF)]]</f>
        <v>95.825496727012919</v>
      </c>
      <c r="W8" s="81">
        <v>44104</v>
      </c>
      <c r="X8" s="15">
        <v>2200001</v>
      </c>
      <c r="Y8" s="15"/>
      <c r="Z8" s="15"/>
      <c r="AA8" s="15"/>
      <c r="AB8" s="15"/>
      <c r="AC8" s="15"/>
      <c r="AD8" s="15"/>
      <c r="AE8" s="15"/>
      <c r="AF8" s="15"/>
      <c r="AG8" s="80">
        <f>SUM(Table1[[#This Row],[MLG Capital Historical Deal Equity]:[Legacy Fund Equity]])</f>
        <v>2200001</v>
      </c>
      <c r="AH8" s="80">
        <f>Table1[[#This Row],[Fund I Equity]]*6/27.28+Table1[[#This Row],[Fund II Equity]]</f>
        <v>0</v>
      </c>
      <c r="AI8" s="6"/>
      <c r="AJ8" s="15"/>
      <c r="AK8" s="172" t="str">
        <f>IF(Table1[[#This Row],[Status]]="Sold",(Table1[[#This Row],[Date of Sale]]-Table1[[#This Row],[Acquisition Date]])/365,"")</f>
        <v/>
      </c>
      <c r="AL8" s="109"/>
      <c r="AM8" s="172" t="str">
        <f>IF(Table1[[#This Row],[Status]]="Sold",Table1[[#This Row],[Total Property Distributions]]/Table1[[#This Row],[Total Equity]],"")</f>
        <v/>
      </c>
      <c r="AN8" s="172"/>
      <c r="AO8" s="168" t="str">
        <f>IF(Table1[[#This Row],[Status]]="Sold",((Table1[[#This Row],[Total Property Distributions]]-Table1[[#This Row],[Total Equity]])/Table1[[#This Row],[Total Equity]])/Table1[[#This Row],[Holding Period]],"")</f>
        <v/>
      </c>
      <c r="BR8" s="1"/>
    </row>
    <row r="9" spans="2:70" x14ac:dyDescent="0.2">
      <c r="B9" s="11" t="s">
        <v>219</v>
      </c>
      <c r="C9" s="11" t="s">
        <v>49</v>
      </c>
      <c r="D9" s="11" t="s">
        <v>220</v>
      </c>
      <c r="E9" s="2" t="s">
        <v>236</v>
      </c>
      <c r="F9" s="2" t="s">
        <v>403</v>
      </c>
      <c r="G9" s="11" t="s">
        <v>221</v>
      </c>
      <c r="H9" s="11" t="s">
        <v>221</v>
      </c>
      <c r="I9" s="11" t="s">
        <v>385</v>
      </c>
      <c r="J9" s="11" t="s">
        <v>130</v>
      </c>
      <c r="K9" s="11" t="s">
        <v>105</v>
      </c>
      <c r="L9" s="11" t="s">
        <v>147</v>
      </c>
      <c r="M9" s="12"/>
      <c r="N9" s="12"/>
      <c r="O9" s="12">
        <v>65</v>
      </c>
      <c r="P9" s="12"/>
      <c r="Q9" s="12" t="s">
        <v>89</v>
      </c>
      <c r="R9" s="6">
        <v>41791</v>
      </c>
      <c r="S9" s="16">
        <v>920000</v>
      </c>
      <c r="T9" s="118">
        <v>200200</v>
      </c>
      <c r="U9" s="82" t="str">
        <f>IF(Table1[[#This Row],[Sub Type]]="Multi-Family",Table1[[#This Row],[Fair Market Value Estimate]]/Table1[[#This Row],[Units]],"N/A")</f>
        <v>N/A</v>
      </c>
      <c r="V9" s="82"/>
      <c r="W9" s="81">
        <v>44104</v>
      </c>
      <c r="X9" s="16"/>
      <c r="Y9" s="16">
        <v>200000</v>
      </c>
      <c r="Z9" s="16"/>
      <c r="AA9" s="16"/>
      <c r="AB9" s="16"/>
      <c r="AC9" s="16"/>
      <c r="AD9" s="16">
        <v>400000</v>
      </c>
      <c r="AE9" s="16"/>
      <c r="AF9" s="16"/>
      <c r="AG9" s="82">
        <f>SUM(Table1[[#This Row],[MLG Capital Historical Deal Equity]:[Legacy Fund Equity]])</f>
        <v>600000</v>
      </c>
      <c r="AH9" s="82">
        <f>Table1[[#This Row],[Fund I Equity]]*6/27.28+Table1[[#This Row],[Fund II Equity]]</f>
        <v>43988.269794721404</v>
      </c>
      <c r="AI9" s="13"/>
      <c r="AJ9" s="16"/>
      <c r="AK9" s="117" t="str">
        <f>IF(Table1[[#This Row],[Status]]="Sold",(Table1[[#This Row],[Date of Sale]]-Table1[[#This Row],[Acquisition Date]])/365,"")</f>
        <v/>
      </c>
      <c r="AL9" s="117"/>
      <c r="AM9" s="162" t="str">
        <f>IF(Table1[[#This Row],[Status]]="Sold",Table1[[#This Row],[Total Property Distributions]]/Table1[[#This Row],[Total Equity]],"")</f>
        <v/>
      </c>
      <c r="AN9" s="162"/>
      <c r="AO9" s="166" t="str">
        <f>IF(Table1[[#This Row],[Status]]="Sold",((Table1[[#This Row],[Total Property Distributions]]-Table1[[#This Row],[Total Equity]])/Table1[[#This Row],[Total Equity]])/Table1[[#This Row],[Holding Period]],"")</f>
        <v/>
      </c>
      <c r="BR9" s="1"/>
    </row>
    <row r="10" spans="2:70" x14ac:dyDescent="0.2">
      <c r="B10" s="11" t="s">
        <v>515</v>
      </c>
      <c r="C10" s="11" t="s">
        <v>49</v>
      </c>
      <c r="D10" s="11"/>
      <c r="E10" s="11" t="s">
        <v>235</v>
      </c>
      <c r="F10" s="2" t="s">
        <v>404</v>
      </c>
      <c r="G10" s="2" t="s">
        <v>397</v>
      </c>
      <c r="H10" s="11" t="s">
        <v>81</v>
      </c>
      <c r="I10" s="11" t="s">
        <v>142</v>
      </c>
      <c r="J10" s="11" t="s">
        <v>130</v>
      </c>
      <c r="K10" s="11" t="s">
        <v>105</v>
      </c>
      <c r="L10" s="11" t="s">
        <v>147</v>
      </c>
      <c r="M10" s="12">
        <v>114990</v>
      </c>
      <c r="N10" s="12"/>
      <c r="O10" s="12"/>
      <c r="P10" s="12"/>
      <c r="Q10" s="11"/>
      <c r="R10" s="13">
        <v>41957</v>
      </c>
      <c r="S10" s="16">
        <v>3620000</v>
      </c>
      <c r="T10" s="79">
        <v>5320000</v>
      </c>
      <c r="U10" s="82" t="str">
        <f>IF(Table1[[#This Row],[Sub Type]]="Multi-Family",Table1[[#This Row],[Fair Market Value Estimate]]/Table1[[#This Row],[Units]],"N/A")</f>
        <v>N/A</v>
      </c>
      <c r="V10" s="82">
        <f>Table1[[#This Row],[Fair Market Value Estimate]]/Table1[[#This Row],[Size (SF)]]</f>
        <v>46.264892599356465</v>
      </c>
      <c r="W10" s="81">
        <v>44104</v>
      </c>
      <c r="X10" s="16"/>
      <c r="Y10" s="16"/>
      <c r="Z10" s="16"/>
      <c r="AA10" s="16"/>
      <c r="AB10" s="16"/>
      <c r="AC10" s="16"/>
      <c r="AD10" s="16"/>
      <c r="AE10" s="16">
        <v>1693242.59</v>
      </c>
      <c r="AF10" s="16"/>
      <c r="AG10" s="82">
        <f>SUM(Table1[[#This Row],[MLG Capital Historical Deal Equity]:[Legacy Fund Equity]])</f>
        <v>1693242.59</v>
      </c>
      <c r="AH10" s="82">
        <f>Table1[[#This Row],[Fund I Equity]]*6/27.28+Table1[[#This Row],[Fund II Equity]]</f>
        <v>0</v>
      </c>
      <c r="AI10" s="13"/>
      <c r="AJ10" s="16"/>
      <c r="AK10" s="162" t="str">
        <f>IF(Table1[[#This Row],[Status]]="Sold",(Table1[[#This Row],[Date of Sale]]-Table1[[#This Row],[Acquisition Date]])/365,"")</f>
        <v/>
      </c>
      <c r="AL10" s="117"/>
      <c r="AM10" s="162" t="str">
        <f>IF(Table1[[#This Row],[Status]]="Sold",Table1[[#This Row],[Total Property Distributions]]/Table1[[#This Row],[Total Equity]],"")</f>
        <v/>
      </c>
      <c r="AN10" s="162"/>
      <c r="AO10" s="166" t="str">
        <f>IF(Table1[[#This Row],[Status]]="Sold",((Table1[[#This Row],[Total Property Distributions]]-Table1[[#This Row],[Total Equity]])/Table1[[#This Row],[Total Equity]])/Table1[[#This Row],[Holding Period]],"")</f>
        <v/>
      </c>
      <c r="BR10" s="1"/>
    </row>
    <row r="11" spans="2:70" x14ac:dyDescent="0.2">
      <c r="B11" s="2" t="s">
        <v>68</v>
      </c>
      <c r="C11" s="2" t="s">
        <v>49</v>
      </c>
      <c r="E11" s="2" t="s">
        <v>235</v>
      </c>
      <c r="F11" s="2" t="s">
        <v>403</v>
      </c>
      <c r="G11" s="2" t="s">
        <v>397</v>
      </c>
      <c r="H11" s="2" t="s">
        <v>81</v>
      </c>
      <c r="I11" s="2" t="s">
        <v>115</v>
      </c>
      <c r="J11" s="2" t="s">
        <v>132</v>
      </c>
      <c r="K11" s="2" t="s">
        <v>121</v>
      </c>
      <c r="L11" s="2" t="s">
        <v>157</v>
      </c>
      <c r="M11" s="5">
        <v>79028</v>
      </c>
      <c r="N11" s="5"/>
      <c r="O11" s="5"/>
      <c r="P11" s="5"/>
      <c r="Q11" s="2">
        <v>1987</v>
      </c>
      <c r="R11" s="6">
        <v>42143</v>
      </c>
      <c r="S11" s="15">
        <v>4450000</v>
      </c>
      <c r="T11" s="78">
        <v>5290000</v>
      </c>
      <c r="U11" s="80" t="str">
        <f>IF(Table1[[#This Row],[Sub Type]]="Multi-Family",Table1[[#This Row],[Fair Market Value Estimate]]/Table1[[#This Row],[Units]],"N/A")</f>
        <v>N/A</v>
      </c>
      <c r="V11" s="80">
        <f>Table1[[#This Row],[Fair Market Value Estimate]]/Table1[[#This Row],[Size (SF)]]</f>
        <v>66.938300349243306</v>
      </c>
      <c r="W11" s="81">
        <v>44104</v>
      </c>
      <c r="X11" s="15"/>
      <c r="Y11" s="15">
        <v>1374829</v>
      </c>
      <c r="Z11" s="15"/>
      <c r="AA11" s="15"/>
      <c r="AB11" s="15"/>
      <c r="AC11" s="15"/>
      <c r="AD11" s="15">
        <v>780075</v>
      </c>
      <c r="AE11" s="15"/>
      <c r="AF11" s="15"/>
      <c r="AG11" s="80">
        <f>SUM(Table1[[#This Row],[MLG Capital Historical Deal Equity]:[Legacy Fund Equity]])</f>
        <v>2154904</v>
      </c>
      <c r="AH11" s="80">
        <f>Table1[[#This Row],[Fund I Equity]]*6/27.28+Table1[[#This Row],[Fund II Equity]]</f>
        <v>302381.7448680352</v>
      </c>
      <c r="AI11" s="13"/>
      <c r="AJ11" s="16"/>
      <c r="AK11" s="172" t="str">
        <f>IF(Table1[[#This Row],[Status]]="Sold",(Table1[[#This Row],[Date of Sale]]-Table1[[#This Row],[Acquisition Date]])/365,"")</f>
        <v/>
      </c>
      <c r="AL11" s="117"/>
      <c r="AM11" s="162" t="str">
        <f>IF(Table1[[#This Row],[Status]]="Sold",Table1[[#This Row],[Total Property Distributions]]/Table1[[#This Row],[Total Equity]],"")</f>
        <v/>
      </c>
      <c r="AN11" s="162"/>
      <c r="AO11" s="168" t="str">
        <f>IF(Table1[[#This Row],[Status]]="Sold",((Table1[[#This Row],[Total Property Distributions]]-Table1[[#This Row],[Total Equity]])/Table1[[#This Row],[Total Equity]])/Table1[[#This Row],[Holding Period]],"")</f>
        <v/>
      </c>
      <c r="BR11" s="1"/>
    </row>
    <row r="12" spans="2:70" x14ac:dyDescent="0.2">
      <c r="B12" s="2" t="s">
        <v>513</v>
      </c>
      <c r="C12" s="2" t="s">
        <v>49</v>
      </c>
      <c r="D12" s="2" t="s">
        <v>128</v>
      </c>
      <c r="E12" s="2" t="s">
        <v>235</v>
      </c>
      <c r="F12" s="2" t="s">
        <v>403</v>
      </c>
      <c r="G12" s="2" t="s">
        <v>397</v>
      </c>
      <c r="H12" s="2" t="s">
        <v>80</v>
      </c>
      <c r="I12" s="2" t="s">
        <v>514</v>
      </c>
      <c r="J12" s="2" t="s">
        <v>132</v>
      </c>
      <c r="K12" s="2" t="s">
        <v>121</v>
      </c>
      <c r="L12" s="2" t="s">
        <v>158</v>
      </c>
      <c r="M12" s="5">
        <v>94009</v>
      </c>
      <c r="N12" s="5"/>
      <c r="O12" s="5"/>
      <c r="P12" s="5"/>
      <c r="Q12" s="2" t="s">
        <v>83</v>
      </c>
      <c r="R12" s="6">
        <v>42367</v>
      </c>
      <c r="S12" s="15">
        <v>17792000</v>
      </c>
      <c r="T12" s="78">
        <v>17040000</v>
      </c>
      <c r="U12" s="80" t="str">
        <f>IF(Table1[[#This Row],[Sub Type]]="Multi-Family",Table1[[#This Row],[Fair Market Value Estimate]]/Table1[[#This Row],[Units]],"N/A")</f>
        <v>N/A</v>
      </c>
      <c r="V12" s="80">
        <f>Table1[[#This Row],[Fair Market Value Estimate]]/Table1[[#This Row],[Size (SF)]]</f>
        <v>181.25924113648693</v>
      </c>
      <c r="W12" s="81">
        <v>44104</v>
      </c>
      <c r="X12" s="15"/>
      <c r="Y12" s="15"/>
      <c r="Z12" s="95">
        <v>4948000</v>
      </c>
      <c r="AA12" s="15"/>
      <c r="AB12" s="15"/>
      <c r="AC12" s="95">
        <v>2000000</v>
      </c>
      <c r="AD12" s="95">
        <v>772000</v>
      </c>
      <c r="AE12" s="15"/>
      <c r="AF12" s="15"/>
      <c r="AG12" s="80">
        <f>SUM(Table1[[#This Row],[MLG Capital Historical Deal Equity]:[Legacy Fund Equity]])</f>
        <v>7720000</v>
      </c>
      <c r="AH12" s="80">
        <f>Table1[[#This Row],[Fund I Equity]]*6/27.28+Table1[[#This Row],[Fund II Equity]]</f>
        <v>4948000</v>
      </c>
      <c r="AI12" s="13"/>
      <c r="AJ12" s="16"/>
      <c r="AK12" s="172" t="str">
        <f>IF(Table1[[#This Row],[Status]]="Sold",(Table1[[#This Row],[Date of Sale]]-Table1[[#This Row],[Acquisition Date]])/365,"")</f>
        <v/>
      </c>
      <c r="AL12" s="117"/>
      <c r="AM12" s="162" t="str">
        <f>IF(Table1[[#This Row],[Status]]="Sold",Table1[[#This Row],[Total Property Distributions]]/Table1[[#This Row],[Total Equity]],"")</f>
        <v/>
      </c>
      <c r="AN12" s="162"/>
      <c r="AO12" s="168" t="str">
        <f>IF(Table1[[#This Row],[Status]]="Sold",((Table1[[#This Row],[Total Property Distributions]]-Table1[[#This Row],[Total Equity]])/Table1[[#This Row],[Total Equity]])/Table1[[#This Row],[Holding Period]],"")</f>
        <v/>
      </c>
      <c r="BR12" s="1"/>
    </row>
    <row r="13" spans="2:70" x14ac:dyDescent="0.2">
      <c r="B13" s="2" t="s">
        <v>14</v>
      </c>
      <c r="C13" s="2" t="s">
        <v>49</v>
      </c>
      <c r="E13" s="2" t="s">
        <v>235</v>
      </c>
      <c r="F13" s="2" t="s">
        <v>403</v>
      </c>
      <c r="G13" s="2" t="s">
        <v>97</v>
      </c>
      <c r="H13" s="2" t="s">
        <v>97</v>
      </c>
      <c r="I13" s="2" t="s">
        <v>50</v>
      </c>
      <c r="J13" s="2" t="s">
        <v>129</v>
      </c>
      <c r="K13" s="2" t="s">
        <v>50</v>
      </c>
      <c r="L13" s="2" t="s">
        <v>147</v>
      </c>
      <c r="M13" s="5">
        <v>377550</v>
      </c>
      <c r="N13" s="5">
        <v>494</v>
      </c>
      <c r="O13" s="5"/>
      <c r="P13" s="5"/>
      <c r="Q13" s="2">
        <v>1986</v>
      </c>
      <c r="R13" s="6">
        <v>42501</v>
      </c>
      <c r="S13" s="15">
        <v>37000000</v>
      </c>
      <c r="T13" s="78">
        <v>60200000</v>
      </c>
      <c r="U13" s="80">
        <f>IF(Table1[[#This Row],[Sub Type]]="Multi-Family",Table1[[#This Row],[Fair Market Value Estimate]]/Table1[[#This Row],[Units]],"N/A")</f>
        <v>121862.34817813765</v>
      </c>
      <c r="V13" s="80">
        <f>Table1[[#This Row],[Fair Market Value Estimate]]/Table1[[#This Row],[Size (SF)]]</f>
        <v>159.44907959210701</v>
      </c>
      <c r="W13" s="81">
        <v>44104</v>
      </c>
      <c r="X13" s="15"/>
      <c r="Y13" s="15">
        <v>750000</v>
      </c>
      <c r="Z13" s="15">
        <v>2700000</v>
      </c>
      <c r="AA13" s="15"/>
      <c r="AB13" s="15"/>
      <c r="AC13" s="15">
        <v>3300000</v>
      </c>
      <c r="AD13" s="15">
        <v>6750000</v>
      </c>
      <c r="AE13" s="15"/>
      <c r="AF13" s="15"/>
      <c r="AG13" s="80">
        <f>SUM(Table1[[#This Row],[MLG Capital Historical Deal Equity]:[Legacy Fund Equity]])</f>
        <v>13500000</v>
      </c>
      <c r="AH13" s="80">
        <f>Table1[[#This Row],[Fund I Equity]]*6/27.28+Table1[[#This Row],[Fund II Equity]]</f>
        <v>2864956.0117302053</v>
      </c>
      <c r="AI13" s="6"/>
      <c r="AJ13" s="15"/>
      <c r="AK13" s="172" t="str">
        <f>IF(Table1[[#This Row],[Status]]="Sold",(Table1[[#This Row],[Date of Sale]]-Table1[[#This Row],[Acquisition Date]])/365,"")</f>
        <v/>
      </c>
      <c r="AL13" s="109"/>
      <c r="AM13" s="172" t="str">
        <f>IF(Table1[[#This Row],[Status]]="Sold",Table1[[#This Row],[Total Property Distributions]]/Table1[[#This Row],[Total Equity]],"")</f>
        <v/>
      </c>
      <c r="AN13" s="172"/>
      <c r="AO13" s="168" t="str">
        <f>IF(Table1[[#This Row],[Status]]="Sold",((Table1[[#This Row],[Total Property Distributions]]-Table1[[#This Row],[Total Equity]])/Table1[[#This Row],[Total Equity]])/Table1[[#This Row],[Holding Period]],"")</f>
        <v/>
      </c>
      <c r="BR13" s="1"/>
    </row>
    <row r="14" spans="2:70" x14ac:dyDescent="0.2">
      <c r="B14" s="2" t="s">
        <v>71</v>
      </c>
      <c r="C14" s="2" t="s">
        <v>49</v>
      </c>
      <c r="E14" s="2" t="s">
        <v>235</v>
      </c>
      <c r="F14" s="2" t="s">
        <v>403</v>
      </c>
      <c r="G14" s="2" t="s">
        <v>397</v>
      </c>
      <c r="H14" s="2" t="s">
        <v>81</v>
      </c>
      <c r="I14" s="2" t="s">
        <v>105</v>
      </c>
      <c r="J14" s="2" t="s">
        <v>130</v>
      </c>
      <c r="K14" s="2" t="s">
        <v>105</v>
      </c>
      <c r="L14" s="2" t="s">
        <v>147</v>
      </c>
      <c r="M14" s="5">
        <v>370972</v>
      </c>
      <c r="N14" s="5"/>
      <c r="O14" s="5"/>
      <c r="P14" s="5"/>
      <c r="Q14" s="2">
        <v>1970</v>
      </c>
      <c r="R14" s="6">
        <v>42528</v>
      </c>
      <c r="S14" s="15">
        <v>9250000</v>
      </c>
      <c r="T14" s="78">
        <v>3230000</v>
      </c>
      <c r="U14" s="80" t="str">
        <f>IF(Table1[[#This Row],[Sub Type]]="Multi-Family",Table1[[#This Row],[Fair Market Value Estimate]]/Table1[[#This Row],[Units]],"N/A")</f>
        <v>N/A</v>
      </c>
      <c r="V14" s="80">
        <f>Table1[[#This Row],[Fair Market Value Estimate]]/Table1[[#This Row],[Size (SF)]]</f>
        <v>8.7068565821679265</v>
      </c>
      <c r="W14" s="81">
        <v>44104</v>
      </c>
      <c r="X14" s="15"/>
      <c r="Y14" s="15"/>
      <c r="Z14" s="15">
        <f>4720000</f>
        <v>4720000</v>
      </c>
      <c r="AA14" s="15"/>
      <c r="AB14" s="15"/>
      <c r="AC14" s="15"/>
      <c r="AD14" s="15"/>
      <c r="AE14" s="15"/>
      <c r="AF14" s="15"/>
      <c r="AG14" s="80">
        <f>SUM(Table1[[#This Row],[MLG Capital Historical Deal Equity]:[Legacy Fund Equity]])</f>
        <v>4720000</v>
      </c>
      <c r="AH14" s="80">
        <f>Table1[[#This Row],[Fund I Equity]]*6/27.28+Table1[[#This Row],[Fund II Equity]]</f>
        <v>4720000</v>
      </c>
      <c r="AI14" s="6"/>
      <c r="AJ14" s="15"/>
      <c r="AK14" s="172" t="str">
        <f>IF(Table1[[#This Row],[Status]]="Sold",(Table1[[#This Row],[Date of Sale]]-Table1[[#This Row],[Acquisition Date]])/365,"")</f>
        <v/>
      </c>
      <c r="AL14" s="109"/>
      <c r="AM14" s="172" t="str">
        <f>IF(Table1[[#This Row],[Status]]="Sold",Table1[[#This Row],[Total Property Distributions]]/Table1[[#This Row],[Total Equity]],"")</f>
        <v/>
      </c>
      <c r="AN14" s="172"/>
      <c r="AO14" s="168" t="str">
        <f>IF(Table1[[#This Row],[Status]]="Sold",((Table1[[#This Row],[Total Property Distributions]]-Table1[[#This Row],[Total Equity]])/Table1[[#This Row],[Total Equity]])/Table1[[#This Row],[Holding Period]],"")</f>
        <v/>
      </c>
      <c r="BR14" s="1"/>
    </row>
    <row r="15" spans="2:70" x14ac:dyDescent="0.2">
      <c r="B15" s="2" t="s">
        <v>72</v>
      </c>
      <c r="C15" s="2" t="s">
        <v>49</v>
      </c>
      <c r="E15" s="2" t="s">
        <v>235</v>
      </c>
      <c r="F15" s="2" t="s">
        <v>403</v>
      </c>
      <c r="G15" s="2" t="s">
        <v>397</v>
      </c>
      <c r="H15" s="2" t="s">
        <v>81</v>
      </c>
      <c r="I15" s="2" t="s">
        <v>119</v>
      </c>
      <c r="J15" s="2" t="s">
        <v>132</v>
      </c>
      <c r="K15" s="2" t="s">
        <v>121</v>
      </c>
      <c r="L15" s="2" t="s">
        <v>157</v>
      </c>
      <c r="M15" s="5">
        <v>232676</v>
      </c>
      <c r="N15" s="5"/>
      <c r="O15" s="5"/>
      <c r="P15" s="5"/>
      <c r="Q15" s="2" t="s">
        <v>84</v>
      </c>
      <c r="R15" s="6">
        <v>42573</v>
      </c>
      <c r="S15" s="15">
        <v>8000000</v>
      </c>
      <c r="T15" s="78">
        <v>13300000</v>
      </c>
      <c r="U15" s="80" t="str">
        <f>IF(Table1[[#This Row],[Sub Type]]="Multi-Family",Table1[[#This Row],[Fair Market Value Estimate]]/Table1[[#This Row],[Units]],"N/A")</f>
        <v>N/A</v>
      </c>
      <c r="V15" s="80">
        <f>Table1[[#This Row],[Fair Market Value Estimate]]/Table1[[#This Row],[Size (SF)]]</f>
        <v>57.161030789595834</v>
      </c>
      <c r="W15" s="81">
        <v>44104</v>
      </c>
      <c r="X15" s="15"/>
      <c r="Y15" s="15"/>
      <c r="Z15" s="15">
        <v>2765000</v>
      </c>
      <c r="AA15" s="15"/>
      <c r="AB15" s="15"/>
      <c r="AC15" s="15"/>
      <c r="AD15" s="15">
        <v>1185000</v>
      </c>
      <c r="AE15" s="15"/>
      <c r="AF15" s="15"/>
      <c r="AG15" s="80">
        <f>SUM(Table1[[#This Row],[MLG Capital Historical Deal Equity]:[Legacy Fund Equity]])</f>
        <v>3950000</v>
      </c>
      <c r="AH15" s="80">
        <f>Table1[[#This Row],[Fund I Equity]]*6/27.28+Table1[[#This Row],[Fund II Equity]]</f>
        <v>2765000</v>
      </c>
      <c r="AI15" s="13"/>
      <c r="AJ15" s="16"/>
      <c r="AK15" s="172" t="str">
        <f>IF(Table1[[#This Row],[Status]]="Sold",(Table1[[#This Row],[Date of Sale]]-Table1[[#This Row],[Acquisition Date]])/365,"")</f>
        <v/>
      </c>
      <c r="AL15" s="117"/>
      <c r="AM15" s="162" t="str">
        <f>IF(Table1[[#This Row],[Status]]="Sold",Table1[[#This Row],[Total Property Distributions]]/Table1[[#This Row],[Total Equity]],"")</f>
        <v/>
      </c>
      <c r="AN15" s="162"/>
      <c r="AO15" s="168" t="str">
        <f>IF(Table1[[#This Row],[Status]]="Sold",((Table1[[#This Row],[Total Property Distributions]]-Table1[[#This Row],[Total Equity]])/Table1[[#This Row],[Total Equity]])/Table1[[#This Row],[Holding Period]],"")</f>
        <v/>
      </c>
      <c r="BR15" s="1"/>
    </row>
    <row r="16" spans="2:70" x14ac:dyDescent="0.2">
      <c r="B16" s="2" t="s">
        <v>15</v>
      </c>
      <c r="C16" s="2" t="s">
        <v>49</v>
      </c>
      <c r="E16" s="2" t="s">
        <v>235</v>
      </c>
      <c r="F16" s="2" t="s">
        <v>403</v>
      </c>
      <c r="G16" s="2" t="s">
        <v>97</v>
      </c>
      <c r="H16" s="2" t="s">
        <v>97</v>
      </c>
      <c r="I16" s="2" t="s">
        <v>50</v>
      </c>
      <c r="J16" s="2" t="s">
        <v>129</v>
      </c>
      <c r="K16" s="2" t="s">
        <v>50</v>
      </c>
      <c r="L16" s="2" t="s">
        <v>147</v>
      </c>
      <c r="M16" s="5">
        <v>338649</v>
      </c>
      <c r="N16" s="5">
        <v>435</v>
      </c>
      <c r="O16" s="5"/>
      <c r="P16" s="5"/>
      <c r="Q16" s="2">
        <v>2013</v>
      </c>
      <c r="R16" s="6">
        <v>42598</v>
      </c>
      <c r="S16" s="15">
        <v>68750000</v>
      </c>
      <c r="T16" s="78">
        <v>76390000</v>
      </c>
      <c r="U16" s="80">
        <f>IF(Table1[[#This Row],[Sub Type]]="Multi-Family",Table1[[#This Row],[Fair Market Value Estimate]]/Table1[[#This Row],[Units]],"N/A")</f>
        <v>175609.19540229885</v>
      </c>
      <c r="V16" s="80">
        <f>Table1[[#This Row],[Fair Market Value Estimate]]/Table1[[#This Row],[Size (SF)]]</f>
        <v>225.57279070660181</v>
      </c>
      <c r="W16" s="81">
        <v>44104</v>
      </c>
      <c r="X16" s="15"/>
      <c r="Y16" s="15"/>
      <c r="Z16" s="16">
        <f>3129710.87+148222.22</f>
        <v>3277933.0900000003</v>
      </c>
      <c r="AA16" s="15"/>
      <c r="AB16" s="15"/>
      <c r="AC16" s="15"/>
      <c r="AD16" s="16">
        <f>28167397.79+1334000</f>
        <v>29501397.789999999</v>
      </c>
      <c r="AE16" s="15"/>
      <c r="AF16" s="15"/>
      <c r="AG16" s="80">
        <f>SUM(Table1[[#This Row],[MLG Capital Historical Deal Equity]:[Legacy Fund Equity]])</f>
        <v>32779330.879999999</v>
      </c>
      <c r="AH16" s="80">
        <f>Table1[[#This Row],[Fund I Equity]]*6/27.28+Table1[[#This Row],[Fund II Equity]]</f>
        <v>3277933.0900000003</v>
      </c>
      <c r="AI16" s="6"/>
      <c r="AJ16" s="15"/>
      <c r="AK16" s="172" t="str">
        <f>IF(Table1[[#This Row],[Status]]="Sold",(Table1[[#This Row],[Date of Sale]]-Table1[[#This Row],[Acquisition Date]])/365,"")</f>
        <v/>
      </c>
      <c r="AL16" s="109"/>
      <c r="AM16" s="172" t="str">
        <f>IF(Table1[[#This Row],[Status]]="Sold",Table1[[#This Row],[Total Property Distributions]]/Table1[[#This Row],[Total Equity]],"")</f>
        <v/>
      </c>
      <c r="AN16" s="172"/>
      <c r="AO16" s="168" t="str">
        <f>IF(Table1[[#This Row],[Status]]="Sold",((Table1[[#This Row],[Total Property Distributions]]-Table1[[#This Row],[Total Equity]])/Table1[[#This Row],[Total Equity]])/Table1[[#This Row],[Holding Period]],"")</f>
        <v/>
      </c>
      <c r="BR16" s="1"/>
    </row>
    <row r="17" spans="2:70" x14ac:dyDescent="0.2">
      <c r="B17" s="2" t="s">
        <v>16</v>
      </c>
      <c r="C17" s="2" t="s">
        <v>49</v>
      </c>
      <c r="E17" s="2" t="s">
        <v>235</v>
      </c>
      <c r="F17" s="2" t="s">
        <v>403</v>
      </c>
      <c r="G17" s="2" t="s">
        <v>97</v>
      </c>
      <c r="H17" s="2" t="s">
        <v>97</v>
      </c>
      <c r="I17" s="2" t="s">
        <v>51</v>
      </c>
      <c r="J17" s="2" t="s">
        <v>130</v>
      </c>
      <c r="K17" s="2" t="s">
        <v>105</v>
      </c>
      <c r="L17" s="2" t="s">
        <v>147</v>
      </c>
      <c r="M17" s="5">
        <v>483034</v>
      </c>
      <c r="N17" s="5">
        <v>476</v>
      </c>
      <c r="O17" s="5"/>
      <c r="P17" s="5"/>
      <c r="Q17" s="2" t="s">
        <v>53</v>
      </c>
      <c r="R17" s="6">
        <v>42765</v>
      </c>
      <c r="S17" s="15">
        <v>36500000</v>
      </c>
      <c r="T17" s="78">
        <v>58640000</v>
      </c>
      <c r="U17" s="80">
        <f>IF(Table1[[#This Row],[Sub Type]]="Multi-Family",Table1[[#This Row],[Fair Market Value Estimate]]/Table1[[#This Row],[Units]],"N/A")</f>
        <v>123193.27731092437</v>
      </c>
      <c r="V17" s="80">
        <f>Table1[[#This Row],[Fair Market Value Estimate]]/Table1[[#This Row],[Size (SF)]]</f>
        <v>121.39932178687215</v>
      </c>
      <c r="W17" s="81">
        <v>44104</v>
      </c>
      <c r="X17" s="15"/>
      <c r="Y17" s="15"/>
      <c r="Z17" s="16">
        <f>2200000</f>
        <v>2200000</v>
      </c>
      <c r="AA17" s="16">
        <f>6950000</f>
        <v>6950000</v>
      </c>
      <c r="AB17" s="15"/>
      <c r="AC17" s="15">
        <v>5500000</v>
      </c>
      <c r="AD17" s="15"/>
      <c r="AE17" s="15"/>
      <c r="AF17" s="15"/>
      <c r="AG17" s="80">
        <f>SUM(Table1[[#This Row],[MLG Capital Historical Deal Equity]:[Legacy Fund Equity]])</f>
        <v>14650000</v>
      </c>
      <c r="AH17" s="80">
        <f>Table1[[#This Row],[Fund I Equity]]*6/27.28+Table1[[#This Row],[Fund II Equity]]</f>
        <v>2200000</v>
      </c>
      <c r="AI17" s="6"/>
      <c r="AJ17" s="15"/>
      <c r="AK17" s="172" t="str">
        <f>IF(Table1[[#This Row],[Status]]="Sold",(Table1[[#This Row],[Date of Sale]]-Table1[[#This Row],[Acquisition Date]])/365,"")</f>
        <v/>
      </c>
      <c r="AL17" s="109"/>
      <c r="AM17" s="172" t="str">
        <f>IF(Table1[[#This Row],[Status]]="Sold",Table1[[#This Row],[Total Property Distributions]]/Table1[[#This Row],[Total Equity]],"")</f>
        <v/>
      </c>
      <c r="AN17" s="172"/>
      <c r="AO17" s="168" t="str">
        <f>IF(Table1[[#This Row],[Status]]="Sold",((Table1[[#This Row],[Total Property Distributions]]-Table1[[#This Row],[Total Equity]])/Table1[[#This Row],[Total Equity]])/Table1[[#This Row],[Holding Period]],"")</f>
        <v/>
      </c>
      <c r="BR17" s="1"/>
    </row>
    <row r="18" spans="2:70" x14ac:dyDescent="0.2">
      <c r="B18" s="2" t="s">
        <v>17</v>
      </c>
      <c r="C18" s="2" t="s">
        <v>49</v>
      </c>
      <c r="E18" s="2" t="s">
        <v>235</v>
      </c>
      <c r="F18" s="2" t="s">
        <v>403</v>
      </c>
      <c r="G18" s="2" t="s">
        <v>97</v>
      </c>
      <c r="H18" s="2" t="s">
        <v>97</v>
      </c>
      <c r="I18" s="2" t="s">
        <v>50</v>
      </c>
      <c r="J18" s="2" t="s">
        <v>129</v>
      </c>
      <c r="K18" s="2" t="s">
        <v>50</v>
      </c>
      <c r="L18" s="2" t="s">
        <v>147</v>
      </c>
      <c r="M18" s="5">
        <v>476792</v>
      </c>
      <c r="N18" s="5">
        <v>509</v>
      </c>
      <c r="O18" s="5"/>
      <c r="P18" s="5"/>
      <c r="Q18" s="2" t="s">
        <v>54</v>
      </c>
      <c r="R18" s="6">
        <v>42915</v>
      </c>
      <c r="S18" s="15">
        <v>85698000</v>
      </c>
      <c r="T18" s="78">
        <v>94880000</v>
      </c>
      <c r="U18" s="80">
        <f>IF(Table1[[#This Row],[Sub Type]]="Multi-Family",Table1[[#This Row],[Fair Market Value Estimate]]/Table1[[#This Row],[Units]],"N/A")</f>
        <v>186404.71512770138</v>
      </c>
      <c r="V18" s="80">
        <f>Table1[[#This Row],[Fair Market Value Estimate]]/Table1[[#This Row],[Size (SF)]]</f>
        <v>198.99662746019229</v>
      </c>
      <c r="W18" s="81">
        <v>44104</v>
      </c>
      <c r="X18" s="15"/>
      <c r="Y18" s="15"/>
      <c r="Z18" s="15">
        <v>1500000</v>
      </c>
      <c r="AA18" s="15">
        <v>8925000</v>
      </c>
      <c r="AB18" s="15"/>
      <c r="AC18" s="15">
        <v>5775000</v>
      </c>
      <c r="AD18" s="15">
        <v>16200000</v>
      </c>
      <c r="AE18" s="15"/>
      <c r="AF18" s="15"/>
      <c r="AG18" s="80">
        <f>SUM(Table1[[#This Row],[MLG Capital Historical Deal Equity]:[Legacy Fund Equity]])</f>
        <v>32400000</v>
      </c>
      <c r="AH18" s="80">
        <f>Table1[[#This Row],[Fund I Equity]]*6/27.28+Table1[[#This Row],[Fund II Equity]]</f>
        <v>1500000</v>
      </c>
      <c r="AI18" s="6"/>
      <c r="AJ18" s="15"/>
      <c r="AK18" s="172" t="str">
        <f>IF(Table1[[#This Row],[Status]]="Sold",(Table1[[#This Row],[Date of Sale]]-Table1[[#This Row],[Acquisition Date]])/365,"")</f>
        <v/>
      </c>
      <c r="AL18" s="109"/>
      <c r="AM18" s="172" t="str">
        <f>IF(Table1[[#This Row],[Status]]="Sold",Table1[[#This Row],[Total Property Distributions]]/Table1[[#This Row],[Total Equity]],"")</f>
        <v/>
      </c>
      <c r="AN18" s="172"/>
      <c r="AO18" s="168" t="str">
        <f>IF(Table1[[#This Row],[Status]]="Sold",((Table1[[#This Row],[Total Property Distributions]]-Table1[[#This Row],[Total Equity]])/Table1[[#This Row],[Total Equity]])/Table1[[#This Row],[Holding Period]],"")</f>
        <v/>
      </c>
      <c r="BR18" s="1"/>
    </row>
    <row r="19" spans="2:70" x14ac:dyDescent="0.2">
      <c r="B19" s="2" t="s">
        <v>73</v>
      </c>
      <c r="C19" s="2" t="s">
        <v>304</v>
      </c>
      <c r="E19" s="2" t="s">
        <v>235</v>
      </c>
      <c r="F19" s="2" t="s">
        <v>403</v>
      </c>
      <c r="G19" s="2" t="s">
        <v>397</v>
      </c>
      <c r="H19" s="2" t="s">
        <v>81</v>
      </c>
      <c r="I19" s="2" t="s">
        <v>120</v>
      </c>
      <c r="J19" s="2" t="s">
        <v>137</v>
      </c>
      <c r="K19" s="2" t="s">
        <v>120</v>
      </c>
      <c r="L19" s="2" t="s">
        <v>147</v>
      </c>
      <c r="M19" s="5">
        <v>334279</v>
      </c>
      <c r="N19" s="5"/>
      <c r="O19" s="5"/>
      <c r="P19" s="5"/>
      <c r="Q19" s="2" t="s">
        <v>85</v>
      </c>
      <c r="R19" s="6">
        <v>42978</v>
      </c>
      <c r="S19" s="15">
        <v>22500000</v>
      </c>
      <c r="T19" s="5" t="s">
        <v>335</v>
      </c>
      <c r="U19" s="5" t="s">
        <v>335</v>
      </c>
      <c r="V19" s="5" t="s">
        <v>335</v>
      </c>
      <c r="W19" s="5" t="s">
        <v>335</v>
      </c>
      <c r="X19" s="15"/>
      <c r="Y19" s="15"/>
      <c r="Z19" s="15">
        <v>2000000</v>
      </c>
      <c r="AA19" s="15">
        <v>5900000</v>
      </c>
      <c r="AB19" s="15"/>
      <c r="AC19" s="15">
        <v>4000000</v>
      </c>
      <c r="AD19" s="15"/>
      <c r="AE19" s="15"/>
      <c r="AF19" s="15"/>
      <c r="AG19" s="80">
        <f>SUM(Table1[[#This Row],[MLG Capital Historical Deal Equity]:[Legacy Fund Equity]])</f>
        <v>11900000</v>
      </c>
      <c r="AH19" s="80">
        <f>Table1[[#This Row],[Fund I Equity]]*6/27.28+Table1[[#This Row],[Fund II Equity]]</f>
        <v>2000000</v>
      </c>
      <c r="AI19" s="6">
        <v>44096</v>
      </c>
      <c r="AJ19" s="15">
        <v>32743000</v>
      </c>
      <c r="AK19" s="172">
        <f>IF(Table1[[#This Row],[Status]]="Sold",(Table1[[#This Row],[Date of Sale]]-Table1[[#This Row],[Acquisition Date]])/365,"")</f>
        <v>3.0630136986301371</v>
      </c>
      <c r="AL19" s="109">
        <v>21690752.806912534</v>
      </c>
      <c r="AM19" s="172">
        <f>IF(Table1[[#This Row],[Status]]="Sold",Table1[[#This Row],[Total Property Distributions]]/Table1[[#This Row],[Total Equity]],"")</f>
        <v>1.8227523367153391</v>
      </c>
      <c r="AN19" s="168">
        <v>0.28710000000000002</v>
      </c>
      <c r="AO19" s="168">
        <f>IF(Table1[[#This Row],[Status]]="Sold",((Table1[[#This Row],[Total Property Distributions]]-Table1[[#This Row],[Total Equity]])/Table1[[#This Row],[Total Equity]])/Table1[[#This Row],[Holding Period]],"")</f>
        <v>0.26860876824785218</v>
      </c>
      <c r="BR19" s="1"/>
    </row>
    <row r="20" spans="2:70" x14ac:dyDescent="0.2">
      <c r="B20" s="2" t="s">
        <v>18</v>
      </c>
      <c r="C20" s="2" t="s">
        <v>49</v>
      </c>
      <c r="E20" s="2" t="s">
        <v>235</v>
      </c>
      <c r="F20" s="2" t="s">
        <v>403</v>
      </c>
      <c r="G20" s="2" t="s">
        <v>97</v>
      </c>
      <c r="H20" s="2" t="s">
        <v>97</v>
      </c>
      <c r="I20" s="2" t="s">
        <v>52</v>
      </c>
      <c r="J20" s="2" t="s">
        <v>129</v>
      </c>
      <c r="K20" s="2" t="s">
        <v>50</v>
      </c>
      <c r="L20" s="2" t="s">
        <v>147</v>
      </c>
      <c r="M20" s="5">
        <v>269086</v>
      </c>
      <c r="N20" s="5">
        <v>313</v>
      </c>
      <c r="O20" s="5"/>
      <c r="P20" s="5"/>
      <c r="Q20" s="2">
        <v>2016</v>
      </c>
      <c r="R20" s="6">
        <v>43008</v>
      </c>
      <c r="S20" s="15">
        <v>39000000</v>
      </c>
      <c r="T20" s="78">
        <v>44680000</v>
      </c>
      <c r="U20" s="80">
        <f>IF(Table1[[#This Row],[Sub Type]]="Multi-Family",Table1[[#This Row],[Fair Market Value Estimate]]/Table1[[#This Row],[Units]],"N/A")</f>
        <v>142747.60383386581</v>
      </c>
      <c r="V20" s="80">
        <f>Table1[[#This Row],[Fair Market Value Estimate]]/Table1[[#This Row],[Size (SF)]]</f>
        <v>166.0435697137718</v>
      </c>
      <c r="W20" s="81">
        <v>44104</v>
      </c>
      <c r="X20" s="15"/>
      <c r="Y20" s="15"/>
      <c r="Z20" s="15"/>
      <c r="AA20" s="15">
        <v>3945000</v>
      </c>
      <c r="AB20" s="15"/>
      <c r="AC20" s="15"/>
      <c r="AD20" s="15">
        <v>7500000</v>
      </c>
      <c r="AE20" s="15">
        <v>3555000</v>
      </c>
      <c r="AF20" s="15"/>
      <c r="AG20" s="80">
        <f>SUM(Table1[[#This Row],[MLG Capital Historical Deal Equity]:[Legacy Fund Equity]])</f>
        <v>15000000</v>
      </c>
      <c r="AH20" s="80">
        <f>Table1[[#This Row],[Fund I Equity]]*6/27.28+Table1[[#This Row],[Fund II Equity]]</f>
        <v>0</v>
      </c>
      <c r="AI20" s="6"/>
      <c r="AJ20" s="15"/>
      <c r="AK20" s="172" t="str">
        <f>IF(Table1[[#This Row],[Status]]="Sold",(Table1[[#This Row],[Date of Sale]]-Table1[[#This Row],[Acquisition Date]])/365,"")</f>
        <v/>
      </c>
      <c r="AL20" s="109"/>
      <c r="AM20" s="172" t="str">
        <f>IF(Table1[[#This Row],[Status]]="Sold",Table1[[#This Row],[Total Property Distributions]]/Table1[[#This Row],[Total Equity]],"")</f>
        <v/>
      </c>
      <c r="AN20" s="168"/>
      <c r="AO20" s="168" t="str">
        <f>IF(Table1[[#This Row],[Status]]="Sold",((Table1[[#This Row],[Total Property Distributions]]-Table1[[#This Row],[Total Equity]])/Table1[[#This Row],[Total Equity]])/Table1[[#This Row],[Holding Period]],"")</f>
        <v/>
      </c>
      <c r="BR20" s="1"/>
    </row>
    <row r="21" spans="2:70" x14ac:dyDescent="0.2">
      <c r="B21" s="2" t="s">
        <v>74</v>
      </c>
      <c r="C21" s="2" t="s">
        <v>49</v>
      </c>
      <c r="E21" s="2" t="s">
        <v>235</v>
      </c>
      <c r="F21" s="2" t="s">
        <v>403</v>
      </c>
      <c r="G21" s="2" t="s">
        <v>397</v>
      </c>
      <c r="H21" s="2" t="s">
        <v>81</v>
      </c>
      <c r="I21" s="2" t="s">
        <v>121</v>
      </c>
      <c r="J21" s="2" t="s">
        <v>132</v>
      </c>
      <c r="K21" s="2" t="s">
        <v>121</v>
      </c>
      <c r="L21" s="2" t="s">
        <v>159</v>
      </c>
      <c r="M21" s="5">
        <v>845622</v>
      </c>
      <c r="N21" s="5"/>
      <c r="O21" s="5"/>
      <c r="P21" s="5"/>
      <c r="Q21" s="2" t="s">
        <v>86</v>
      </c>
      <c r="R21" s="6">
        <v>43032</v>
      </c>
      <c r="S21" s="15">
        <v>38350000</v>
      </c>
      <c r="T21" s="78">
        <v>44970000</v>
      </c>
      <c r="U21" s="80" t="str">
        <f>IF(Table1[[#This Row],[Sub Type]]="Multi-Family",Table1[[#This Row],[Fair Market Value Estimate]]/Table1[[#This Row],[Units]],"N/A")</f>
        <v>N/A</v>
      </c>
      <c r="V21" s="80">
        <f>Table1[[#This Row],[Fair Market Value Estimate]]/Table1[[#This Row],[Size (SF)]]</f>
        <v>53.179789551359825</v>
      </c>
      <c r="W21" s="81">
        <v>44104</v>
      </c>
      <c r="X21" s="15"/>
      <c r="Y21" s="15"/>
      <c r="Z21" s="15"/>
      <c r="AA21" s="15">
        <v>7558000</v>
      </c>
      <c r="AB21" s="15"/>
      <c r="AC21" s="15">
        <v>7775000</v>
      </c>
      <c r="AD21" s="15">
        <v>807000</v>
      </c>
      <c r="AE21" s="15"/>
      <c r="AF21" s="15"/>
      <c r="AG21" s="80">
        <f>SUM(Table1[[#This Row],[MLG Capital Historical Deal Equity]:[Legacy Fund Equity]])</f>
        <v>16140000</v>
      </c>
      <c r="AH21" s="80">
        <f>Table1[[#This Row],[Fund I Equity]]*6/27.28+Table1[[#This Row],[Fund II Equity]]</f>
        <v>0</v>
      </c>
      <c r="AI21" s="13"/>
      <c r="AJ21" s="16"/>
      <c r="AK21" s="172" t="str">
        <f>IF(Table1[[#This Row],[Status]]="Sold",(Table1[[#This Row],[Date of Sale]]-Table1[[#This Row],[Acquisition Date]])/365,"")</f>
        <v/>
      </c>
      <c r="AL21" s="117"/>
      <c r="AM21" s="162" t="str">
        <f>IF(Table1[[#This Row],[Status]]="Sold",Table1[[#This Row],[Total Property Distributions]]/Table1[[#This Row],[Total Equity]],"")</f>
        <v/>
      </c>
      <c r="AN21" s="166"/>
      <c r="AO21" s="168" t="str">
        <f>IF(Table1[[#This Row],[Status]]="Sold",((Table1[[#This Row],[Total Property Distributions]]-Table1[[#This Row],[Total Equity]])/Table1[[#This Row],[Total Equity]])/Table1[[#This Row],[Holding Period]],"")</f>
        <v/>
      </c>
      <c r="BR21" s="1"/>
    </row>
    <row r="22" spans="2:70" x14ac:dyDescent="0.2">
      <c r="B22" s="2" t="s">
        <v>75</v>
      </c>
      <c r="C22" s="2" t="s">
        <v>49</v>
      </c>
      <c r="E22" s="2" t="s">
        <v>235</v>
      </c>
      <c r="F22" s="2" t="s">
        <v>403</v>
      </c>
      <c r="G22" s="2" t="s">
        <v>397</v>
      </c>
      <c r="H22" s="2" t="s">
        <v>81</v>
      </c>
      <c r="I22" s="2" t="s">
        <v>122</v>
      </c>
      <c r="J22" s="2" t="s">
        <v>132</v>
      </c>
      <c r="K22" s="2" t="s">
        <v>121</v>
      </c>
      <c r="L22" s="2" t="s">
        <v>160</v>
      </c>
      <c r="M22" s="5">
        <v>195770</v>
      </c>
      <c r="N22" s="5"/>
      <c r="O22" s="5"/>
      <c r="P22" s="5"/>
      <c r="Q22" s="2" t="s">
        <v>87</v>
      </c>
      <c r="R22" s="6">
        <v>43097</v>
      </c>
      <c r="S22" s="15">
        <v>11880000</v>
      </c>
      <c r="T22" s="78">
        <v>11570000</v>
      </c>
      <c r="U22" s="80" t="str">
        <f>IF(Table1[[#This Row],[Sub Type]]="Multi-Family",Table1[[#This Row],[Fair Market Value Estimate]]/Table1[[#This Row],[Units]],"N/A")</f>
        <v>N/A</v>
      </c>
      <c r="V22" s="80">
        <f>Table1[[#This Row],[Fair Market Value Estimate]]/Table1[[#This Row],[Size (SF)]]</f>
        <v>59.09996424375543</v>
      </c>
      <c r="W22" s="81">
        <v>44104</v>
      </c>
      <c r="X22" s="15"/>
      <c r="Y22" s="15"/>
      <c r="Z22" s="15"/>
      <c r="AA22" s="16">
        <f>3000000+277972.99</f>
        <v>3277972.99</v>
      </c>
      <c r="AB22" s="16"/>
      <c r="AC22" s="16"/>
      <c r="AD22" s="16">
        <f>3000000+277972.99</f>
        <v>3277972.99</v>
      </c>
      <c r="AE22" s="15"/>
      <c r="AF22" s="15"/>
      <c r="AG22" s="80">
        <f>SUM(Table1[[#This Row],[MLG Capital Historical Deal Equity]:[Legacy Fund Equity]])</f>
        <v>6555945.9800000004</v>
      </c>
      <c r="AH22" s="80">
        <f>Table1[[#This Row],[Fund I Equity]]*6/27.28+Table1[[#This Row],[Fund II Equity]]</f>
        <v>0</v>
      </c>
      <c r="AI22" s="13"/>
      <c r="AJ22" s="16"/>
      <c r="AK22" s="172" t="str">
        <f>IF(Table1[[#This Row],[Status]]="Sold",(Table1[[#This Row],[Date of Sale]]-Table1[[#This Row],[Acquisition Date]])/365,"")</f>
        <v/>
      </c>
      <c r="AL22" s="117"/>
      <c r="AM22" s="162" t="str">
        <f>IF(Table1[[#This Row],[Status]]="Sold",Table1[[#This Row],[Total Property Distributions]]/Table1[[#This Row],[Total Equity]],"")</f>
        <v/>
      </c>
      <c r="AN22" s="166"/>
      <c r="AO22" s="168" t="str">
        <f>IF(Table1[[#This Row],[Status]]="Sold",((Table1[[#This Row],[Total Property Distributions]]-Table1[[#This Row],[Total Equity]])/Table1[[#This Row],[Total Equity]])/Table1[[#This Row],[Holding Period]],"")</f>
        <v/>
      </c>
      <c r="BR22" s="1"/>
    </row>
    <row r="23" spans="2:70" x14ac:dyDescent="0.2">
      <c r="B23" s="11" t="s">
        <v>140</v>
      </c>
      <c r="C23" s="11" t="s">
        <v>49</v>
      </c>
      <c r="D23" s="11"/>
      <c r="E23" s="2" t="s">
        <v>235</v>
      </c>
      <c r="F23" s="2" t="s">
        <v>403</v>
      </c>
      <c r="G23" s="2" t="s">
        <v>141</v>
      </c>
      <c r="H23" s="11" t="s">
        <v>141</v>
      </c>
      <c r="I23" s="11" t="s">
        <v>121</v>
      </c>
      <c r="J23" s="11" t="s">
        <v>132</v>
      </c>
      <c r="K23" s="11" t="s">
        <v>121</v>
      </c>
      <c r="L23" s="11" t="s">
        <v>158</v>
      </c>
      <c r="M23" s="12">
        <v>297650</v>
      </c>
      <c r="N23" s="12"/>
      <c r="O23" s="12"/>
      <c r="P23" s="12"/>
      <c r="Q23" s="11">
        <v>1983</v>
      </c>
      <c r="R23" s="13">
        <v>43097</v>
      </c>
      <c r="S23" s="16">
        <v>2500000</v>
      </c>
      <c r="T23" s="79">
        <v>2500000</v>
      </c>
      <c r="U23" s="82" t="str">
        <f>IF(Table1[[#This Row],[Sub Type]]="Multi-Family",Table1[[#This Row],[Fair Market Value Estimate]]/Table1[[#This Row],[Units]],"N/A")</f>
        <v>N/A</v>
      </c>
      <c r="V23" s="82">
        <f>Table1[[#This Row],[Fair Market Value Estimate]]/Table1[[#This Row],[Size (SF)]]</f>
        <v>8.399126490844953</v>
      </c>
      <c r="W23" s="81">
        <v>44104</v>
      </c>
      <c r="X23" s="16"/>
      <c r="Y23" s="16"/>
      <c r="Z23" s="16">
        <v>1000000</v>
      </c>
      <c r="AA23" s="16">
        <v>1500000</v>
      </c>
      <c r="AB23" s="16"/>
      <c r="AC23" s="16"/>
      <c r="AD23" s="16"/>
      <c r="AE23" s="16"/>
      <c r="AF23" s="16"/>
      <c r="AG23" s="82">
        <f>SUM(Table1[[#This Row],[MLG Capital Historical Deal Equity]:[Legacy Fund Equity]])</f>
        <v>2500000</v>
      </c>
      <c r="AH23" s="82">
        <f>Table1[[#This Row],[Fund I Equity]]*6/27.28+Table1[[#This Row],[Fund II Equity]]</f>
        <v>1000000</v>
      </c>
      <c r="AI23" s="13"/>
      <c r="AJ23" s="16"/>
      <c r="AK23" s="162" t="str">
        <f>IF(Table1[[#This Row],[Status]]="Sold",(Table1[[#This Row],[Date of Sale]]-Table1[[#This Row],[Acquisition Date]])/365,"")</f>
        <v/>
      </c>
      <c r="AL23" s="117"/>
      <c r="AM23" s="162" t="str">
        <f>IF(Table1[[#This Row],[Status]]="Sold",Table1[[#This Row],[Total Property Distributions]]/Table1[[#This Row],[Total Equity]],"")</f>
        <v/>
      </c>
      <c r="AN23" s="168"/>
      <c r="AO23" s="166" t="str">
        <f>IF(Table1[[#This Row],[Status]]="Sold",((Table1[[#This Row],[Total Property Distributions]]-Table1[[#This Row],[Total Equity]])/Table1[[#This Row],[Total Equity]])/Table1[[#This Row],[Holding Period]],"")</f>
        <v/>
      </c>
      <c r="BR23" s="1"/>
    </row>
    <row r="24" spans="2:70" ht="25.5" x14ac:dyDescent="0.2">
      <c r="B24" s="2" t="s">
        <v>19</v>
      </c>
      <c r="C24" s="2" t="s">
        <v>49</v>
      </c>
      <c r="E24" s="2" t="s">
        <v>235</v>
      </c>
      <c r="F24" s="2" t="s">
        <v>403</v>
      </c>
      <c r="G24" s="2" t="s">
        <v>97</v>
      </c>
      <c r="H24" s="2" t="s">
        <v>97</v>
      </c>
      <c r="I24" s="2" t="s">
        <v>98</v>
      </c>
      <c r="J24" s="2" t="s">
        <v>131</v>
      </c>
      <c r="K24" s="2" t="s">
        <v>98</v>
      </c>
      <c r="L24" s="2" t="s">
        <v>148</v>
      </c>
      <c r="M24" s="5">
        <v>201298</v>
      </c>
      <c r="N24" s="5">
        <v>395</v>
      </c>
      <c r="O24" s="5"/>
      <c r="P24" s="5"/>
      <c r="Q24" s="2">
        <v>1974</v>
      </c>
      <c r="R24" s="6">
        <v>43201</v>
      </c>
      <c r="S24" s="15">
        <v>29000000</v>
      </c>
      <c r="T24" s="78">
        <v>43660000</v>
      </c>
      <c r="U24" s="80">
        <f>IF(Table1[[#This Row],[Sub Type]]="Multi-Family",Table1[[#This Row],[Fair Market Value Estimate]]/Table1[[#This Row],[Units]],"N/A")</f>
        <v>110531.64556962025</v>
      </c>
      <c r="V24" s="80">
        <f>Table1[[#This Row],[Fair Market Value Estimate]]/Table1[[#This Row],[Size (SF)]]</f>
        <v>216.89236852825164</v>
      </c>
      <c r="W24" s="81">
        <v>44104</v>
      </c>
      <c r="X24" s="15"/>
      <c r="Y24" s="15"/>
      <c r="Z24" s="15">
        <v>2500000</v>
      </c>
      <c r="AA24" s="15">
        <v>7850000</v>
      </c>
      <c r="AB24" s="15"/>
      <c r="AC24" s="15"/>
      <c r="AD24" s="15">
        <v>6900000</v>
      </c>
      <c r="AE24" s="15"/>
      <c r="AF24" s="15"/>
      <c r="AG24" s="80">
        <f>SUM(Table1[[#This Row],[MLG Capital Historical Deal Equity]:[Legacy Fund Equity]])</f>
        <v>17250000</v>
      </c>
      <c r="AH24" s="80">
        <f>Table1[[#This Row],[Fund I Equity]]*6/27.28+Table1[[#This Row],[Fund II Equity]]</f>
        <v>2500000</v>
      </c>
      <c r="AI24" s="6"/>
      <c r="AJ24" s="15"/>
      <c r="AK24" s="172" t="str">
        <f>IF(Table1[[#This Row],[Status]]="Sold",(Table1[[#This Row],[Date of Sale]]-Table1[[#This Row],[Acquisition Date]])/365,"")</f>
        <v/>
      </c>
      <c r="AL24" s="109"/>
      <c r="AM24" s="172" t="str">
        <f>IF(Table1[[#This Row],[Status]]="Sold",Table1[[#This Row],[Total Property Distributions]]/Table1[[#This Row],[Total Equity]],"")</f>
        <v/>
      </c>
      <c r="AN24" s="168"/>
      <c r="AO24" s="168" t="str">
        <f>IF(Table1[[#This Row],[Status]]="Sold",((Table1[[#This Row],[Total Property Distributions]]-Table1[[#This Row],[Total Equity]])/Table1[[#This Row],[Total Equity]])/Table1[[#This Row],[Holding Period]],"")</f>
        <v/>
      </c>
      <c r="BR24" s="1"/>
    </row>
    <row r="25" spans="2:70" ht="25.5" x14ac:dyDescent="0.2">
      <c r="B25" s="2" t="s">
        <v>20</v>
      </c>
      <c r="C25" s="2" t="s">
        <v>49</v>
      </c>
      <c r="E25" s="2" t="s">
        <v>235</v>
      </c>
      <c r="F25" s="2" t="s">
        <v>403</v>
      </c>
      <c r="G25" s="2" t="s">
        <v>97</v>
      </c>
      <c r="H25" s="2" t="s">
        <v>97</v>
      </c>
      <c r="I25" s="2" t="s">
        <v>99</v>
      </c>
      <c r="J25" s="2" t="s">
        <v>129</v>
      </c>
      <c r="K25" s="2" t="s">
        <v>50</v>
      </c>
      <c r="L25" s="2" t="s">
        <v>147</v>
      </c>
      <c r="M25" s="5">
        <v>228160</v>
      </c>
      <c r="N25" s="5">
        <v>281</v>
      </c>
      <c r="O25" s="5"/>
      <c r="P25" s="5"/>
      <c r="Q25" s="2">
        <v>2001</v>
      </c>
      <c r="R25" s="6">
        <v>43237</v>
      </c>
      <c r="S25" s="15">
        <v>30800000</v>
      </c>
      <c r="T25" s="78">
        <v>36370000</v>
      </c>
      <c r="U25" s="80">
        <f>IF(Table1[[#This Row],[Sub Type]]="Multi-Family",Table1[[#This Row],[Fair Market Value Estimate]]/Table1[[#This Row],[Units]],"N/A")</f>
        <v>129430.60498220641</v>
      </c>
      <c r="V25" s="80">
        <f>Table1[[#This Row],[Fair Market Value Estimate]]/Table1[[#This Row],[Size (SF)]]</f>
        <v>159.40568022440394</v>
      </c>
      <c r="W25" s="81">
        <v>44104</v>
      </c>
      <c r="X25" s="15"/>
      <c r="Y25" s="15"/>
      <c r="Z25" s="15"/>
      <c r="AA25" s="15">
        <v>7300000</v>
      </c>
      <c r="AB25" s="15"/>
      <c r="AC25" s="15"/>
      <c r="AD25" s="15">
        <v>7300000</v>
      </c>
      <c r="AE25" s="15"/>
      <c r="AF25" s="15"/>
      <c r="AG25" s="80">
        <f>SUM(Table1[[#This Row],[MLG Capital Historical Deal Equity]:[Legacy Fund Equity]])</f>
        <v>14600000</v>
      </c>
      <c r="AH25" s="80">
        <f>Table1[[#This Row],[Fund I Equity]]*6/27.28+Table1[[#This Row],[Fund II Equity]]</f>
        <v>0</v>
      </c>
      <c r="AI25" s="6"/>
      <c r="AJ25" s="15"/>
      <c r="AK25" s="172" t="str">
        <f>IF(Table1[[#This Row],[Status]]="Sold",(Table1[[#This Row],[Date of Sale]]-Table1[[#This Row],[Acquisition Date]])/365,"")</f>
        <v/>
      </c>
      <c r="AL25" s="109"/>
      <c r="AM25" s="172" t="str">
        <f>IF(Table1[[#This Row],[Status]]="Sold",Table1[[#This Row],[Total Property Distributions]]/Table1[[#This Row],[Total Equity]],"")</f>
        <v/>
      </c>
      <c r="AN25" s="168"/>
      <c r="AO25" s="168" t="str">
        <f>IF(Table1[[#This Row],[Status]]="Sold",((Table1[[#This Row],[Total Property Distributions]]-Table1[[#This Row],[Total Equity]])/Table1[[#This Row],[Total Equity]])/Table1[[#This Row],[Holding Period]],"")</f>
        <v/>
      </c>
      <c r="BR25" s="1"/>
    </row>
    <row r="26" spans="2:70" x14ac:dyDescent="0.2">
      <c r="B26" s="2" t="s">
        <v>76</v>
      </c>
      <c r="C26" s="2" t="s">
        <v>49</v>
      </c>
      <c r="E26" s="2" t="s">
        <v>235</v>
      </c>
      <c r="F26" s="2" t="s">
        <v>403</v>
      </c>
      <c r="G26" s="2" t="s">
        <v>397</v>
      </c>
      <c r="H26" s="2" t="s">
        <v>81</v>
      </c>
      <c r="I26" s="2" t="s">
        <v>123</v>
      </c>
      <c r="J26" s="2" t="s">
        <v>132</v>
      </c>
      <c r="K26" s="2" t="s">
        <v>121</v>
      </c>
      <c r="L26" s="2" t="s">
        <v>161</v>
      </c>
      <c r="M26" s="5">
        <v>124068</v>
      </c>
      <c r="N26" s="5"/>
      <c r="O26" s="5"/>
      <c r="P26" s="5"/>
      <c r="Q26" s="2">
        <v>1984</v>
      </c>
      <c r="R26" s="6">
        <v>43280</v>
      </c>
      <c r="S26" s="15">
        <v>8500000</v>
      </c>
      <c r="T26" s="78">
        <v>9880000</v>
      </c>
      <c r="U26" s="80" t="str">
        <f>IF(Table1[[#This Row],[Sub Type]]="Multi-Family",Table1[[#This Row],[Fair Market Value Estimate]]/Table1[[#This Row],[Units]],"N/A")</f>
        <v>N/A</v>
      </c>
      <c r="V26" s="80">
        <f>Table1[[#This Row],[Fair Market Value Estimate]]/Table1[[#This Row],[Size (SF)]]</f>
        <v>79.633749234290875</v>
      </c>
      <c r="W26" s="81">
        <v>44104</v>
      </c>
      <c r="X26" s="15"/>
      <c r="Y26" s="15"/>
      <c r="Z26" s="15"/>
      <c r="AA26" s="15">
        <v>3314700</v>
      </c>
      <c r="AB26" s="15"/>
      <c r="AC26" s="15"/>
      <c r="AD26" s="15">
        <v>368300</v>
      </c>
      <c r="AE26" s="15"/>
      <c r="AF26" s="15"/>
      <c r="AG26" s="80">
        <f>SUM(Table1[[#This Row],[MLG Capital Historical Deal Equity]:[Legacy Fund Equity]])</f>
        <v>3683000</v>
      </c>
      <c r="AH26" s="80">
        <f>Table1[[#This Row],[Fund I Equity]]*6/27.28+Table1[[#This Row],[Fund II Equity]]</f>
        <v>0</v>
      </c>
      <c r="AI26" s="13"/>
      <c r="AJ26" s="16"/>
      <c r="AK26" s="172" t="str">
        <f>IF(Table1[[#This Row],[Status]]="Sold",(Table1[[#This Row],[Date of Sale]]-Table1[[#This Row],[Acquisition Date]])/365,"")</f>
        <v/>
      </c>
      <c r="AL26" s="117"/>
      <c r="AM26" s="162" t="str">
        <f>IF(Table1[[#This Row],[Status]]="Sold",Table1[[#This Row],[Total Property Distributions]]/Table1[[#This Row],[Total Equity]],"")</f>
        <v/>
      </c>
      <c r="AN26" s="166"/>
      <c r="AO26" s="168" t="str">
        <f>IF(Table1[[#This Row],[Status]]="Sold",((Table1[[#This Row],[Total Property Distributions]]-Table1[[#This Row],[Total Equity]])/Table1[[#This Row],[Total Equity]])/Table1[[#This Row],[Holding Period]],"")</f>
        <v/>
      </c>
      <c r="BR26" s="1"/>
    </row>
    <row r="27" spans="2:70" ht="25.5" x14ac:dyDescent="0.2">
      <c r="B27" s="2" t="s">
        <v>21</v>
      </c>
      <c r="C27" s="2" t="s">
        <v>49</v>
      </c>
      <c r="E27" s="2" t="s">
        <v>235</v>
      </c>
      <c r="F27" s="2" t="s">
        <v>403</v>
      </c>
      <c r="G27" s="2" t="s">
        <v>97</v>
      </c>
      <c r="H27" s="2" t="s">
        <v>97</v>
      </c>
      <c r="I27" s="2" t="s">
        <v>100</v>
      </c>
      <c r="J27" s="2" t="s">
        <v>133</v>
      </c>
      <c r="K27" s="2" t="s">
        <v>145</v>
      </c>
      <c r="L27" s="2" t="s">
        <v>151</v>
      </c>
      <c r="M27" s="5">
        <v>231011</v>
      </c>
      <c r="N27" s="5">
        <v>269</v>
      </c>
      <c r="O27" s="5"/>
      <c r="P27" s="5"/>
      <c r="Q27" s="2">
        <v>2008</v>
      </c>
      <c r="R27" s="6">
        <v>43312</v>
      </c>
      <c r="S27" s="15">
        <v>35025000</v>
      </c>
      <c r="T27" s="78">
        <v>37440000</v>
      </c>
      <c r="U27" s="80">
        <f>IF(Table1[[#This Row],[Sub Type]]="Multi-Family",Table1[[#This Row],[Fair Market Value Estimate]]/Table1[[#This Row],[Units]],"N/A")</f>
        <v>139182.156133829</v>
      </c>
      <c r="V27" s="80">
        <f>Table1[[#This Row],[Fair Market Value Estimate]]/Table1[[#This Row],[Size (SF)]]</f>
        <v>162.0702044491388</v>
      </c>
      <c r="W27" s="81">
        <v>44104</v>
      </c>
      <c r="X27" s="15"/>
      <c r="Y27" s="15"/>
      <c r="Z27" s="15"/>
      <c r="AA27" s="15">
        <v>8188000</v>
      </c>
      <c r="AB27" s="15"/>
      <c r="AC27" s="15">
        <v>2500000</v>
      </c>
      <c r="AD27" s="15">
        <v>2672000</v>
      </c>
      <c r="AE27" s="15"/>
      <c r="AF27" s="15"/>
      <c r="AG27" s="80">
        <f>SUM(Table1[[#This Row],[MLG Capital Historical Deal Equity]:[Legacy Fund Equity]])</f>
        <v>13360000</v>
      </c>
      <c r="AH27" s="80">
        <f>Table1[[#This Row],[Fund I Equity]]*6/27.28+Table1[[#This Row],[Fund II Equity]]</f>
        <v>0</v>
      </c>
      <c r="AI27" s="6"/>
      <c r="AJ27" s="15"/>
      <c r="AK27" s="172" t="str">
        <f>IF(Table1[[#This Row],[Status]]="Sold",(Table1[[#This Row],[Date of Sale]]-Table1[[#This Row],[Acquisition Date]])/365,"")</f>
        <v/>
      </c>
      <c r="AL27" s="109"/>
      <c r="AM27" s="172" t="str">
        <f>IF(Table1[[#This Row],[Status]]="Sold",Table1[[#This Row],[Total Property Distributions]]/Table1[[#This Row],[Total Equity]],"")</f>
        <v/>
      </c>
      <c r="AN27" s="168"/>
      <c r="AO27" s="168" t="str">
        <f>IF(Table1[[#This Row],[Status]]="Sold",((Table1[[#This Row],[Total Property Distributions]]-Table1[[#This Row],[Total Equity]])/Table1[[#This Row],[Total Equity]])/Table1[[#This Row],[Holding Period]],"")</f>
        <v/>
      </c>
      <c r="BR27" s="1"/>
    </row>
    <row r="28" spans="2:70" x14ac:dyDescent="0.2">
      <c r="B28" s="2" t="s">
        <v>22</v>
      </c>
      <c r="C28" s="2" t="s">
        <v>49</v>
      </c>
      <c r="E28" s="2" t="s">
        <v>235</v>
      </c>
      <c r="F28" s="2" t="s">
        <v>403</v>
      </c>
      <c r="G28" s="2" t="s">
        <v>97</v>
      </c>
      <c r="H28" s="2" t="s">
        <v>97</v>
      </c>
      <c r="I28" s="2" t="s">
        <v>101</v>
      </c>
      <c r="J28" s="2" t="s">
        <v>129</v>
      </c>
      <c r="K28" s="2" t="s">
        <v>50</v>
      </c>
      <c r="L28" s="2" t="s">
        <v>147</v>
      </c>
      <c r="M28" s="5">
        <v>419822</v>
      </c>
      <c r="N28" s="5">
        <v>444</v>
      </c>
      <c r="O28" s="5"/>
      <c r="P28" s="5"/>
      <c r="Q28" s="2">
        <v>2014</v>
      </c>
      <c r="R28" s="6">
        <v>43348</v>
      </c>
      <c r="S28" s="15">
        <v>73500000</v>
      </c>
      <c r="T28" s="78">
        <v>75400000</v>
      </c>
      <c r="U28" s="80">
        <f>IF(Table1[[#This Row],[Sub Type]]="Multi-Family",Table1[[#This Row],[Fair Market Value Estimate]]/Table1[[#This Row],[Units]],"N/A")</f>
        <v>169819.81981981982</v>
      </c>
      <c r="V28" s="80">
        <f>Table1[[#This Row],[Fair Market Value Estimate]]/Table1[[#This Row],[Size (SF)]]</f>
        <v>179.59992568278938</v>
      </c>
      <c r="W28" s="81">
        <v>44104</v>
      </c>
      <c r="X28" s="15"/>
      <c r="Y28" s="15"/>
      <c r="Z28" s="15">
        <v>6340000</v>
      </c>
      <c r="AA28" s="15">
        <v>9000000</v>
      </c>
      <c r="AB28" s="15"/>
      <c r="AC28" s="15">
        <f>18400000-1000000-6340000</f>
        <v>11060000</v>
      </c>
      <c r="AD28" s="15"/>
      <c r="AE28" s="15">
        <v>2800000</v>
      </c>
      <c r="AF28" s="15"/>
      <c r="AG28" s="80">
        <f>SUM(Table1[[#This Row],[MLG Capital Historical Deal Equity]:[Legacy Fund Equity]])</f>
        <v>29200000</v>
      </c>
      <c r="AH28" s="80">
        <f>Table1[[#This Row],[Fund I Equity]]*6/27.28+Table1[[#This Row],[Fund II Equity]]</f>
        <v>6340000</v>
      </c>
      <c r="AI28" s="6"/>
      <c r="AJ28" s="15"/>
      <c r="AK28" s="172" t="str">
        <f>IF(Table1[[#This Row],[Status]]="Sold",(Table1[[#This Row],[Date of Sale]]-Table1[[#This Row],[Acquisition Date]])/365,"")</f>
        <v/>
      </c>
      <c r="AL28" s="109"/>
      <c r="AM28" s="172" t="str">
        <f>IF(Table1[[#This Row],[Status]]="Sold",Table1[[#This Row],[Total Property Distributions]]/Table1[[#This Row],[Total Equity]],"")</f>
        <v/>
      </c>
      <c r="AN28" s="168"/>
      <c r="AO28" s="168" t="str">
        <f>IF(Table1[[#This Row],[Status]]="Sold",((Table1[[#This Row],[Total Property Distributions]]-Table1[[#This Row],[Total Equity]])/Table1[[#This Row],[Total Equity]])/Table1[[#This Row],[Holding Period]],"")</f>
        <v/>
      </c>
      <c r="BR28" s="1"/>
    </row>
    <row r="29" spans="2:70" x14ac:dyDescent="0.2">
      <c r="B29" s="2" t="s">
        <v>222</v>
      </c>
      <c r="C29" s="2" t="s">
        <v>49</v>
      </c>
      <c r="E29" s="2" t="s">
        <v>235</v>
      </c>
      <c r="F29" s="2" t="s">
        <v>403</v>
      </c>
      <c r="G29" s="11" t="s">
        <v>221</v>
      </c>
      <c r="H29" s="2" t="s">
        <v>221</v>
      </c>
      <c r="I29" s="2" t="s">
        <v>223</v>
      </c>
      <c r="J29" s="2" t="s">
        <v>130</v>
      </c>
      <c r="K29" s="2" t="s">
        <v>105</v>
      </c>
      <c r="L29" s="11" t="s">
        <v>147</v>
      </c>
      <c r="M29" s="12"/>
      <c r="N29" s="12"/>
      <c r="O29" s="12"/>
      <c r="P29" s="12"/>
      <c r="Q29" s="12" t="s">
        <v>89</v>
      </c>
      <c r="R29" s="6">
        <v>43361</v>
      </c>
      <c r="S29" s="15">
        <v>3150000</v>
      </c>
      <c r="T29" s="118">
        <v>2126500</v>
      </c>
      <c r="U29" s="80" t="str">
        <f>IF(Table1[[#This Row],[Sub Type]]="Multi-Family",Table1[[#This Row],[Fair Market Value Estimate]]/Table1[[#This Row],[Units]],"N/A")</f>
        <v>N/A</v>
      </c>
      <c r="V29" s="80"/>
      <c r="W29" s="81">
        <v>44104</v>
      </c>
      <c r="X29" s="15"/>
      <c r="Y29" s="15"/>
      <c r="Z29" s="15"/>
      <c r="AA29" s="16">
        <v>870698.56</v>
      </c>
      <c r="AB29" s="15"/>
      <c r="AC29" s="15"/>
      <c r="AD29" s="15"/>
      <c r="AE29" s="15"/>
      <c r="AF29" s="15"/>
      <c r="AG29" s="80">
        <f>SUM(Table1[[#This Row],[MLG Capital Historical Deal Equity]:[Legacy Fund Equity]])</f>
        <v>870698.56</v>
      </c>
      <c r="AH29" s="80">
        <f>Table1[[#This Row],[Fund I Equity]]*6/27.28+Table1[[#This Row],[Fund II Equity]]</f>
        <v>0</v>
      </c>
      <c r="AI29" s="6"/>
      <c r="AJ29" s="15"/>
      <c r="AK29" s="109" t="str">
        <f>IF(Table1[[#This Row],[Status]]="Sold",(Table1[[#This Row],[Date of Sale]]-Table1[[#This Row],[Acquisition Date]])/365,"")</f>
        <v/>
      </c>
      <c r="AL29" s="109"/>
      <c r="AM29" s="172" t="str">
        <f>IF(Table1[[#This Row],[Status]]="Sold",Table1[[#This Row],[Total Property Distributions]]/Table1[[#This Row],[Total Equity]],"")</f>
        <v/>
      </c>
      <c r="AN29" s="168"/>
      <c r="AO29" s="168" t="str">
        <f>IF(Table1[[#This Row],[Status]]="Sold",((Table1[[#This Row],[Total Property Distributions]]-Table1[[#This Row],[Total Equity]])/Table1[[#This Row],[Total Equity]])/Table1[[#This Row],[Holding Period]],"")</f>
        <v/>
      </c>
      <c r="BR29" s="1"/>
    </row>
    <row r="30" spans="2:70" ht="25.5" x14ac:dyDescent="0.2">
      <c r="B30" s="2" t="s">
        <v>77</v>
      </c>
      <c r="C30" s="2" t="s">
        <v>49</v>
      </c>
      <c r="E30" s="2" t="s">
        <v>235</v>
      </c>
      <c r="F30" s="2" t="s">
        <v>403</v>
      </c>
      <c r="G30" s="2" t="s">
        <v>397</v>
      </c>
      <c r="H30" s="2" t="s">
        <v>82</v>
      </c>
      <c r="I30" s="2" t="s">
        <v>121</v>
      </c>
      <c r="J30" s="2" t="s">
        <v>132</v>
      </c>
      <c r="K30" s="2" t="s">
        <v>121</v>
      </c>
      <c r="L30" s="2" t="s">
        <v>158</v>
      </c>
      <c r="M30" s="5">
        <v>104082</v>
      </c>
      <c r="N30" s="5"/>
      <c r="O30" s="5"/>
      <c r="P30" s="5"/>
      <c r="Q30" s="2">
        <v>1986</v>
      </c>
      <c r="R30" s="6">
        <v>43378</v>
      </c>
      <c r="S30" s="15">
        <v>5450000</v>
      </c>
      <c r="T30" s="78">
        <v>7920000</v>
      </c>
      <c r="U30" s="80" t="str">
        <f>IF(Table1[[#This Row],[Sub Type]]="Multi-Family",Table1[[#This Row],[Fair Market Value Estimate]]/Table1[[#This Row],[Units]],"N/A")</f>
        <v>N/A</v>
      </c>
      <c r="V30" s="80">
        <f>Table1[[#This Row],[Fair Market Value Estimate]]/Table1[[#This Row],[Size (SF)]]</f>
        <v>76.093849080532664</v>
      </c>
      <c r="W30" s="81">
        <v>44104</v>
      </c>
      <c r="X30" s="15"/>
      <c r="Y30" s="15"/>
      <c r="Z30" s="15"/>
      <c r="AA30" s="15">
        <v>1814198</v>
      </c>
      <c r="AB30" s="15"/>
      <c r="AC30" s="15"/>
      <c r="AD30" s="15">
        <v>604733</v>
      </c>
      <c r="AE30" s="15"/>
      <c r="AF30" s="15"/>
      <c r="AG30" s="80">
        <f>SUM(Table1[[#This Row],[MLG Capital Historical Deal Equity]:[Legacy Fund Equity]])</f>
        <v>2418931</v>
      </c>
      <c r="AH30" s="80">
        <f>Table1[[#This Row],[Fund I Equity]]*6/27.28+Table1[[#This Row],[Fund II Equity]]</f>
        <v>0</v>
      </c>
      <c r="AI30" s="13"/>
      <c r="AJ30" s="16"/>
      <c r="AK30" s="172" t="str">
        <f>IF(Table1[[#This Row],[Status]]="Sold",(Table1[[#This Row],[Date of Sale]]-Table1[[#This Row],[Acquisition Date]])/365,"")</f>
        <v/>
      </c>
      <c r="AL30" s="117"/>
      <c r="AM30" s="162" t="str">
        <f>IF(Table1[[#This Row],[Status]]="Sold",Table1[[#This Row],[Total Property Distributions]]/Table1[[#This Row],[Total Equity]],"")</f>
        <v/>
      </c>
      <c r="AN30" s="166"/>
      <c r="AO30" s="168" t="str">
        <f>IF(Table1[[#This Row],[Status]]="Sold",((Table1[[#This Row],[Total Property Distributions]]-Table1[[#This Row],[Total Equity]])/Table1[[#This Row],[Total Equity]])/Table1[[#This Row],[Holding Period]],"")</f>
        <v/>
      </c>
      <c r="BR30" s="1"/>
    </row>
    <row r="31" spans="2:70" x14ac:dyDescent="0.2">
      <c r="B31" s="2" t="s">
        <v>23</v>
      </c>
      <c r="C31" s="2" t="s">
        <v>49</v>
      </c>
      <c r="E31" s="2" t="s">
        <v>235</v>
      </c>
      <c r="F31" s="2" t="s">
        <v>403</v>
      </c>
      <c r="G31" s="2" t="s">
        <v>97</v>
      </c>
      <c r="H31" s="2" t="s">
        <v>97</v>
      </c>
      <c r="I31" s="2" t="s">
        <v>98</v>
      </c>
      <c r="J31" s="2" t="s">
        <v>131</v>
      </c>
      <c r="K31" s="2" t="s">
        <v>98</v>
      </c>
      <c r="L31" s="2" t="s">
        <v>151</v>
      </c>
      <c r="M31" s="5">
        <v>265021</v>
      </c>
      <c r="N31" s="5">
        <v>408</v>
      </c>
      <c r="O31" s="5"/>
      <c r="P31" s="5"/>
      <c r="Q31" s="2">
        <v>2009</v>
      </c>
      <c r="R31" s="6">
        <v>43403</v>
      </c>
      <c r="S31" s="15">
        <v>53500000</v>
      </c>
      <c r="T31" s="78">
        <v>67800000</v>
      </c>
      <c r="U31" s="80">
        <f>IF(Table1[[#This Row],[Sub Type]]="Multi-Family",Table1[[#This Row],[Fair Market Value Estimate]]/Table1[[#This Row],[Units]],"N/A")</f>
        <v>166176.4705882353</v>
      </c>
      <c r="V31" s="80">
        <f>Table1[[#This Row],[Fair Market Value Estimate]]/Table1[[#This Row],[Size (SF)]]</f>
        <v>255.82878337943032</v>
      </c>
      <c r="W31" s="81">
        <v>44104</v>
      </c>
      <c r="X31" s="15"/>
      <c r="Y31" s="15"/>
      <c r="Z31" s="15">
        <v>5000000</v>
      </c>
      <c r="AA31" s="15">
        <v>9800000</v>
      </c>
      <c r="AB31" s="15">
        <v>5542500</v>
      </c>
      <c r="AC31" s="15"/>
      <c r="AD31" s="15">
        <v>5407500</v>
      </c>
      <c r="AE31" s="15"/>
      <c r="AF31" s="15"/>
      <c r="AG31" s="80">
        <f>SUM(Table1[[#This Row],[MLG Capital Historical Deal Equity]:[Legacy Fund Equity]])</f>
        <v>25750000</v>
      </c>
      <c r="AH31" s="80">
        <f>Table1[[#This Row],[Fund I Equity]]*6/27.28+Table1[[#This Row],[Fund II Equity]]</f>
        <v>5000000</v>
      </c>
      <c r="AI31" s="6"/>
      <c r="AJ31" s="15"/>
      <c r="AK31" s="172" t="str">
        <f>IF(Table1[[#This Row],[Status]]="Sold",(Table1[[#This Row],[Date of Sale]]-Table1[[#This Row],[Acquisition Date]])/365,"")</f>
        <v/>
      </c>
      <c r="AL31" s="109"/>
      <c r="AM31" s="172" t="str">
        <f>IF(Table1[[#This Row],[Status]]="Sold",Table1[[#This Row],[Total Property Distributions]]/Table1[[#This Row],[Total Equity]],"")</f>
        <v/>
      </c>
      <c r="AN31" s="168"/>
      <c r="AO31" s="168" t="str">
        <f>IF(Table1[[#This Row],[Status]]="Sold",((Table1[[#This Row],[Total Property Distributions]]-Table1[[#This Row],[Total Equity]])/Table1[[#This Row],[Total Equity]])/Table1[[#This Row],[Holding Period]],"")</f>
        <v/>
      </c>
      <c r="BR31" s="1"/>
    </row>
    <row r="32" spans="2:70" x14ac:dyDescent="0.2">
      <c r="B32" s="2" t="s">
        <v>24</v>
      </c>
      <c r="C32" s="2" t="s">
        <v>49</v>
      </c>
      <c r="E32" s="2" t="s">
        <v>235</v>
      </c>
      <c r="F32" s="2" t="s">
        <v>403</v>
      </c>
      <c r="G32" s="2" t="s">
        <v>97</v>
      </c>
      <c r="H32" s="2" t="s">
        <v>97</v>
      </c>
      <c r="I32" s="2" t="s">
        <v>102</v>
      </c>
      <c r="J32" s="2" t="s">
        <v>129</v>
      </c>
      <c r="K32" s="2" t="s">
        <v>110</v>
      </c>
      <c r="L32" s="2" t="s">
        <v>147</v>
      </c>
      <c r="M32" s="5">
        <v>221712</v>
      </c>
      <c r="N32" s="5">
        <v>264</v>
      </c>
      <c r="O32" s="5"/>
      <c r="P32" s="5"/>
      <c r="Q32" s="2">
        <v>2015</v>
      </c>
      <c r="R32" s="6">
        <v>43417</v>
      </c>
      <c r="S32" s="15">
        <v>35570000</v>
      </c>
      <c r="T32" s="78">
        <v>41000000</v>
      </c>
      <c r="U32" s="80">
        <f>IF(Table1[[#This Row],[Sub Type]]="Multi-Family",Table1[[#This Row],[Fair Market Value Estimate]]/Table1[[#This Row],[Units]],"N/A")</f>
        <v>155303.0303030303</v>
      </c>
      <c r="V32" s="80">
        <f>Table1[[#This Row],[Fair Market Value Estimate]]/Table1[[#This Row],[Size (SF)]]</f>
        <v>184.92458685141085</v>
      </c>
      <c r="W32" s="81">
        <v>44104</v>
      </c>
      <c r="X32" s="15"/>
      <c r="Y32" s="15"/>
      <c r="Z32" s="15">
        <v>2000000</v>
      </c>
      <c r="AA32" s="15">
        <v>8150000</v>
      </c>
      <c r="AB32" s="15">
        <v>4000000</v>
      </c>
      <c r="AC32" s="15"/>
      <c r="AD32" s="15"/>
      <c r="AE32" s="15"/>
      <c r="AF32" s="15"/>
      <c r="AG32" s="80">
        <f>SUM(Table1[[#This Row],[MLG Capital Historical Deal Equity]:[Legacy Fund Equity]])</f>
        <v>14150000</v>
      </c>
      <c r="AH32" s="80">
        <f>Table1[[#This Row],[Fund I Equity]]*6/27.28+Table1[[#This Row],[Fund II Equity]]</f>
        <v>2000000</v>
      </c>
      <c r="AI32" s="6"/>
      <c r="AJ32" s="15"/>
      <c r="AK32" s="172" t="str">
        <f>IF(Table1[[#This Row],[Status]]="Sold",(Table1[[#This Row],[Date of Sale]]-Table1[[#This Row],[Acquisition Date]])/365,"")</f>
        <v/>
      </c>
      <c r="AL32" s="109"/>
      <c r="AM32" s="172" t="str">
        <f>IF(Table1[[#This Row],[Status]]="Sold",Table1[[#This Row],[Total Property Distributions]]/Table1[[#This Row],[Total Equity]],"")</f>
        <v/>
      </c>
      <c r="AN32" s="168"/>
      <c r="AO32" s="168" t="str">
        <f>IF(Table1[[#This Row],[Status]]="Sold",((Table1[[#This Row],[Total Property Distributions]]-Table1[[#This Row],[Total Equity]])/Table1[[#This Row],[Total Equity]])/Table1[[#This Row],[Holding Period]],"")</f>
        <v/>
      </c>
      <c r="BR32" s="1"/>
    </row>
    <row r="33" spans="2:70" ht="25.5" x14ac:dyDescent="0.2">
      <c r="B33" s="11" t="s">
        <v>78</v>
      </c>
      <c r="C33" s="11" t="s">
        <v>49</v>
      </c>
      <c r="D33" s="11" t="s">
        <v>127</v>
      </c>
      <c r="E33" s="11" t="s">
        <v>235</v>
      </c>
      <c r="F33" s="2" t="s">
        <v>403</v>
      </c>
      <c r="G33" s="2" t="s">
        <v>397</v>
      </c>
      <c r="H33" s="11" t="s">
        <v>81</v>
      </c>
      <c r="I33" s="11" t="s">
        <v>329</v>
      </c>
      <c r="J33" s="11" t="s">
        <v>305</v>
      </c>
      <c r="K33" s="11" t="s">
        <v>329</v>
      </c>
      <c r="L33" s="11" t="s">
        <v>159</v>
      </c>
      <c r="M33" s="95">
        <f>'Midwest CCC'!E19</f>
        <v>1204553</v>
      </c>
      <c r="N33" s="12"/>
      <c r="O33" s="12"/>
      <c r="P33" s="12"/>
      <c r="Q33" s="11" t="s">
        <v>88</v>
      </c>
      <c r="R33" s="13">
        <v>43445</v>
      </c>
      <c r="S33" s="16">
        <v>55350000</v>
      </c>
      <c r="T33" s="79">
        <v>62640000</v>
      </c>
      <c r="U33" s="82" t="str">
        <f>IF(Table1[[#This Row],[Sub Type]]="Multi-Family",Table1[[#This Row],[Fair Market Value Estimate]]/Table1[[#This Row],[Units]],"N/A")</f>
        <v>N/A</v>
      </c>
      <c r="V33" s="82">
        <f>Table1[[#This Row],[Fair Market Value Estimate]]/Table1[[#This Row],[Size (SF)]]</f>
        <v>52.002693115205389</v>
      </c>
      <c r="W33" s="81">
        <v>44104</v>
      </c>
      <c r="X33" s="16"/>
      <c r="Y33" s="16"/>
      <c r="Z33" s="95">
        <f>'Midwest CCC'!C28</f>
        <v>2235779.1752322181</v>
      </c>
      <c r="AA33" s="95">
        <f>'Midwest CCC'!D28</f>
        <v>7411422.6803277954</v>
      </c>
      <c r="AB33" s="95">
        <f>'Midwest CCC'!E28</f>
        <v>3293965.6357012424</v>
      </c>
      <c r="AC33" s="95">
        <f>'Midwest CCC'!F28</f>
        <v>3252791.065254977</v>
      </c>
      <c r="AD33" s="95">
        <f>'Midwest CCC'!G28</f>
        <v>852313.60823769646</v>
      </c>
      <c r="AE33" s="16"/>
      <c r="AF33" s="16"/>
      <c r="AG33" s="82">
        <f>SUM(Table1[[#This Row],[MLG Capital Historical Deal Equity]:[Legacy Fund Equity]])</f>
        <v>17046272.164753929</v>
      </c>
      <c r="AH33" s="82">
        <f>Table1[[#This Row],[Fund I Equity]]*6/27.28+Table1[[#This Row],[Fund II Equity]]</f>
        <v>2235779.1752322181</v>
      </c>
      <c r="AI33" s="13"/>
      <c r="AJ33" s="16"/>
      <c r="AK33" s="162" t="str">
        <f>IF(Table1[[#This Row],[Status]]="Sold",(Table1[[#This Row],[Date of Sale]]-Table1[[#This Row],[Acquisition Date]])/365,"")</f>
        <v/>
      </c>
      <c r="AL33" s="117"/>
      <c r="AM33" s="162" t="str">
        <f>IF(Table1[[#This Row],[Status]]="Sold",Table1[[#This Row],[Total Property Distributions]]/Table1[[#This Row],[Total Equity]],"")</f>
        <v/>
      </c>
      <c r="AN33" s="168"/>
      <c r="AO33" s="166" t="str">
        <f>IF(Table1[[#This Row],[Status]]="Sold",((Table1[[#This Row],[Total Property Distributions]]-Table1[[#This Row],[Total Equity]])/Table1[[#This Row],[Total Equity]])/Table1[[#This Row],[Holding Period]],"")</f>
        <v/>
      </c>
      <c r="BR33" s="1"/>
    </row>
    <row r="34" spans="2:70" x14ac:dyDescent="0.2">
      <c r="B34" s="11" t="s">
        <v>78</v>
      </c>
      <c r="C34" s="11" t="s">
        <v>49</v>
      </c>
      <c r="D34" s="11" t="s">
        <v>127</v>
      </c>
      <c r="E34" s="11" t="s">
        <v>236</v>
      </c>
      <c r="F34" s="2" t="s">
        <v>403</v>
      </c>
      <c r="G34" s="2" t="s">
        <v>397</v>
      </c>
      <c r="H34" s="11" t="s">
        <v>81</v>
      </c>
      <c r="I34" s="11" t="s">
        <v>320</v>
      </c>
      <c r="J34" s="11" t="s">
        <v>306</v>
      </c>
      <c r="K34" s="11" t="s">
        <v>318</v>
      </c>
      <c r="L34" s="11" t="s">
        <v>159</v>
      </c>
      <c r="M34" s="95">
        <f>'Midwest CCC'!E20</f>
        <v>134200</v>
      </c>
      <c r="N34" s="12"/>
      <c r="O34" s="12"/>
      <c r="P34" s="12"/>
      <c r="Q34" s="11" t="s">
        <v>88</v>
      </c>
      <c r="R34" s="13">
        <v>43445</v>
      </c>
      <c r="S34" s="93"/>
      <c r="T34" s="94"/>
      <c r="U34" s="94"/>
      <c r="V34" s="94"/>
      <c r="W34" s="94"/>
      <c r="X34" s="16"/>
      <c r="Y34" s="16"/>
      <c r="Z34" s="95">
        <f>'Midwest CCC'!C29</f>
        <v>249089.55049397054</v>
      </c>
      <c r="AA34" s="95">
        <f>'Midwest CCC'!D29</f>
        <v>825711.2171070847</v>
      </c>
      <c r="AB34" s="95">
        <f>'Midwest CCC'!E29</f>
        <v>366982.76315870433</v>
      </c>
      <c r="AC34" s="95">
        <f>'Midwest CCC'!F29</f>
        <v>362395.47861922049</v>
      </c>
      <c r="AD34" s="95">
        <f>'Midwest CCC'!G29</f>
        <v>94956.789967314748</v>
      </c>
      <c r="AE34" s="16"/>
      <c r="AF34" s="16"/>
      <c r="AG34" s="82">
        <f>SUM(Table1[[#This Row],[MLG Capital Historical Deal Equity]:[Legacy Fund Equity]])</f>
        <v>1899135.799346295</v>
      </c>
      <c r="AH34" s="82">
        <f>Table1[[#This Row],[Fund I Equity]]*6/27.28+Table1[[#This Row],[Fund II Equity]]</f>
        <v>249089.55049397054</v>
      </c>
      <c r="AI34" s="13"/>
      <c r="AJ34" s="16"/>
      <c r="AK34" s="162" t="str">
        <f>IF(Table1[[#This Row],[Status]]="Sold",(Table1[[#This Row],[Date of Sale]]-Table1[[#This Row],[Acquisition Date]])/365,"")</f>
        <v/>
      </c>
      <c r="AL34" s="117"/>
      <c r="AM34" s="162" t="str">
        <f>IF(Table1[[#This Row],[Status]]="Sold",Table1[[#This Row],[Total Property Distributions]]/Table1[[#This Row],[Total Equity]],"")</f>
        <v/>
      </c>
      <c r="AN34" s="168"/>
      <c r="AO34" s="166" t="str">
        <f>IF(Table1[[#This Row],[Status]]="Sold",((Table1[[#This Row],[Total Property Distributions]]-Table1[[#This Row],[Total Equity]])/Table1[[#This Row],[Total Equity]])/Table1[[#This Row],[Holding Period]],"")</f>
        <v/>
      </c>
      <c r="BR34" s="1"/>
    </row>
    <row r="35" spans="2:70" x14ac:dyDescent="0.2">
      <c r="B35" s="11" t="s">
        <v>78</v>
      </c>
      <c r="C35" s="11" t="s">
        <v>49</v>
      </c>
      <c r="D35" s="11" t="s">
        <v>127</v>
      </c>
      <c r="E35" s="11" t="s">
        <v>236</v>
      </c>
      <c r="F35" s="2" t="s">
        <v>403</v>
      </c>
      <c r="G35" s="2" t="s">
        <v>397</v>
      </c>
      <c r="H35" s="11" t="s">
        <v>81</v>
      </c>
      <c r="I35" s="11" t="s">
        <v>319</v>
      </c>
      <c r="J35" s="11" t="s">
        <v>139</v>
      </c>
      <c r="K35" s="11" t="s">
        <v>156</v>
      </c>
      <c r="L35" s="11" t="s">
        <v>159</v>
      </c>
      <c r="M35" s="95">
        <f>'Midwest CCC'!E21</f>
        <v>123986</v>
      </c>
      <c r="N35" s="12"/>
      <c r="O35" s="12"/>
      <c r="P35" s="12"/>
      <c r="Q35" s="11" t="s">
        <v>88</v>
      </c>
      <c r="R35" s="13">
        <v>43445</v>
      </c>
      <c r="S35" s="93"/>
      <c r="T35" s="94"/>
      <c r="U35" s="94"/>
      <c r="V35" s="94"/>
      <c r="W35" s="94"/>
      <c r="X35" s="16"/>
      <c r="Y35" s="16"/>
      <c r="Z35" s="95">
        <f>'Midwest CCC'!C30</f>
        <v>230131.27427381097</v>
      </c>
      <c r="AA35" s="95">
        <f>'Midwest CCC'!D30</f>
        <v>762866.10256511928</v>
      </c>
      <c r="AB35" s="95">
        <f>'Midwest CCC'!E30</f>
        <v>339051.60114005301</v>
      </c>
      <c r="AC35" s="95">
        <f>'Midwest CCC'!F30</f>
        <v>334813.45612580236</v>
      </c>
      <c r="AD35" s="95">
        <f>'Midwest CCC'!G30</f>
        <v>87729.601794988717</v>
      </c>
      <c r="AE35" s="16"/>
      <c r="AF35" s="16"/>
      <c r="AG35" s="82">
        <f>SUM(Table1[[#This Row],[MLG Capital Historical Deal Equity]:[Legacy Fund Equity]])</f>
        <v>1754592.0358997742</v>
      </c>
      <c r="AH35" s="82">
        <f>Table1[[#This Row],[Fund I Equity]]*6/27.28+Table1[[#This Row],[Fund II Equity]]</f>
        <v>230131.27427381097</v>
      </c>
      <c r="AI35" s="13"/>
      <c r="AJ35" s="16"/>
      <c r="AK35" s="162" t="str">
        <f>IF(Table1[[#This Row],[Status]]="Sold",(Table1[[#This Row],[Date of Sale]]-Table1[[#This Row],[Acquisition Date]])/365,"")</f>
        <v/>
      </c>
      <c r="AL35" s="117"/>
      <c r="AM35" s="162" t="str">
        <f>IF(Table1[[#This Row],[Status]]="Sold",Table1[[#This Row],[Total Property Distributions]]/Table1[[#This Row],[Total Equity]],"")</f>
        <v/>
      </c>
      <c r="AN35" s="168"/>
      <c r="AO35" s="166" t="str">
        <f>IF(Table1[[#This Row],[Status]]="Sold",((Table1[[#This Row],[Total Property Distributions]]-Table1[[#This Row],[Total Equity]])/Table1[[#This Row],[Total Equity]])/Table1[[#This Row],[Holding Period]],"")</f>
        <v/>
      </c>
      <c r="BR35" s="1"/>
    </row>
    <row r="36" spans="2:70" x14ac:dyDescent="0.2">
      <c r="B36" s="2" t="s">
        <v>25</v>
      </c>
      <c r="C36" s="2" t="s">
        <v>49</v>
      </c>
      <c r="E36" s="2" t="s">
        <v>235</v>
      </c>
      <c r="F36" s="2" t="s">
        <v>403</v>
      </c>
      <c r="G36" s="2" t="s">
        <v>97</v>
      </c>
      <c r="H36" s="2" t="s">
        <v>97</v>
      </c>
      <c r="I36" s="2" t="s">
        <v>103</v>
      </c>
      <c r="J36" s="2" t="s">
        <v>134</v>
      </c>
      <c r="K36" s="2" t="s">
        <v>103</v>
      </c>
      <c r="L36" s="2" t="s">
        <v>307</v>
      </c>
      <c r="M36" s="5">
        <v>332180</v>
      </c>
      <c r="N36" s="5">
        <v>222</v>
      </c>
      <c r="O36" s="5"/>
      <c r="P36" s="5"/>
      <c r="Q36" s="2">
        <v>2017</v>
      </c>
      <c r="R36" s="6">
        <v>43448</v>
      </c>
      <c r="S36" s="15">
        <v>40250000</v>
      </c>
      <c r="T36" s="78">
        <v>45340000</v>
      </c>
      <c r="U36" s="80">
        <f>IF(Table1[[#This Row],[Sub Type]]="Multi-Family",Table1[[#This Row],[Fair Market Value Estimate]]/Table1[[#This Row],[Units]],"N/A")</f>
        <v>204234.23423423423</v>
      </c>
      <c r="V36" s="80">
        <f>Table1[[#This Row],[Fair Market Value Estimate]]/Table1[[#This Row],[Size (SF)]]</f>
        <v>136.49226323077849</v>
      </c>
      <c r="W36" s="81">
        <v>44104</v>
      </c>
      <c r="X36" s="15"/>
      <c r="Y36" s="15"/>
      <c r="Z36" s="15"/>
      <c r="AA36" s="15">
        <v>7616471</v>
      </c>
      <c r="AB36" s="15">
        <v>4000000</v>
      </c>
      <c r="AC36" s="15"/>
      <c r="AD36" s="15">
        <v>3872157</v>
      </c>
      <c r="AE36" s="15"/>
      <c r="AF36" s="15"/>
      <c r="AG36" s="80">
        <f>SUM(Table1[[#This Row],[MLG Capital Historical Deal Equity]:[Legacy Fund Equity]])</f>
        <v>15488628</v>
      </c>
      <c r="AH36" s="80">
        <f>Table1[[#This Row],[Fund I Equity]]*6/27.28+Table1[[#This Row],[Fund II Equity]]</f>
        <v>0</v>
      </c>
      <c r="AI36" s="6"/>
      <c r="AJ36" s="15"/>
      <c r="AK36" s="172" t="str">
        <f>IF(Table1[[#This Row],[Status]]="Sold",(Table1[[#This Row],[Date of Sale]]-Table1[[#This Row],[Acquisition Date]])/365,"")</f>
        <v/>
      </c>
      <c r="AL36" s="109"/>
      <c r="AM36" s="172" t="str">
        <f>IF(Table1[[#This Row],[Status]]="Sold",Table1[[#This Row],[Total Property Distributions]]/Table1[[#This Row],[Total Equity]],"")</f>
        <v/>
      </c>
      <c r="AN36" s="168"/>
      <c r="AO36" s="168" t="str">
        <f>IF(Table1[[#This Row],[Status]]="Sold",((Table1[[#This Row],[Total Property Distributions]]-Table1[[#This Row],[Total Equity]])/Table1[[#This Row],[Total Equity]])/Table1[[#This Row],[Holding Period]],"")</f>
        <v/>
      </c>
      <c r="BR36" s="1"/>
    </row>
    <row r="37" spans="2:70" x14ac:dyDescent="0.2">
      <c r="B37" s="2" t="s">
        <v>26</v>
      </c>
      <c r="C37" s="2" t="s">
        <v>49</v>
      </c>
      <c r="E37" s="2" t="s">
        <v>235</v>
      </c>
      <c r="F37" s="2" t="s">
        <v>403</v>
      </c>
      <c r="G37" s="2" t="s">
        <v>97</v>
      </c>
      <c r="H37" s="2" t="s">
        <v>97</v>
      </c>
      <c r="I37" s="2" t="s">
        <v>104</v>
      </c>
      <c r="J37" s="2" t="s">
        <v>129</v>
      </c>
      <c r="K37" s="2" t="s">
        <v>50</v>
      </c>
      <c r="L37" s="2" t="s">
        <v>147</v>
      </c>
      <c r="M37" s="5">
        <v>232775</v>
      </c>
      <c r="N37" s="5">
        <v>323</v>
      </c>
      <c r="O37" s="5"/>
      <c r="P37" s="5"/>
      <c r="Q37" s="2">
        <v>1985</v>
      </c>
      <c r="R37" s="6">
        <v>43529</v>
      </c>
      <c r="S37" s="15">
        <v>26750000</v>
      </c>
      <c r="T37" s="78">
        <v>32570000</v>
      </c>
      <c r="U37" s="80">
        <f>IF(Table1[[#This Row],[Sub Type]]="Multi-Family",Table1[[#This Row],[Fair Market Value Estimate]]/Table1[[#This Row],[Units]],"N/A")</f>
        <v>100835.9133126935</v>
      </c>
      <c r="V37" s="80">
        <f>Table1[[#This Row],[Fair Market Value Estimate]]/Table1[[#This Row],[Size (SF)]]</f>
        <v>139.92052411126625</v>
      </c>
      <c r="W37" s="81">
        <v>44104</v>
      </c>
      <c r="X37" s="15"/>
      <c r="Y37" s="15"/>
      <c r="Z37" s="15"/>
      <c r="AA37" s="15">
        <v>8550000</v>
      </c>
      <c r="AB37" s="15">
        <v>4000000</v>
      </c>
      <c r="AC37" s="15"/>
      <c r="AD37" s="15"/>
      <c r="AE37" s="15"/>
      <c r="AF37" s="15"/>
      <c r="AG37" s="80">
        <f>SUM(Table1[[#This Row],[MLG Capital Historical Deal Equity]:[Legacy Fund Equity]])</f>
        <v>12550000</v>
      </c>
      <c r="AH37" s="80">
        <f>Table1[[#This Row],[Fund I Equity]]*6/27.28+Table1[[#This Row],[Fund II Equity]]</f>
        <v>0</v>
      </c>
      <c r="AI37" s="6"/>
      <c r="AJ37" s="15"/>
      <c r="AK37" s="172" t="str">
        <f>IF(Table1[[#This Row],[Status]]="Sold",(Table1[[#This Row],[Date of Sale]]-Table1[[#This Row],[Acquisition Date]])/365,"")</f>
        <v/>
      </c>
      <c r="AL37" s="109"/>
      <c r="AM37" s="172" t="str">
        <f>IF(Table1[[#This Row],[Status]]="Sold",Table1[[#This Row],[Total Property Distributions]]/Table1[[#This Row],[Total Equity]],"")</f>
        <v/>
      </c>
      <c r="AN37" s="168"/>
      <c r="AO37" s="168" t="str">
        <f>IF(Table1[[#This Row],[Status]]="Sold",((Table1[[#This Row],[Total Property Distributions]]-Table1[[#This Row],[Total Equity]])/Table1[[#This Row],[Total Equity]])/Table1[[#This Row],[Holding Period]],"")</f>
        <v/>
      </c>
      <c r="BR37" s="1"/>
    </row>
    <row r="38" spans="2:70" s="10" customFormat="1" x14ac:dyDescent="0.2">
      <c r="B38" s="2" t="s">
        <v>27</v>
      </c>
      <c r="C38" s="2" t="s">
        <v>49</v>
      </c>
      <c r="D38" s="2"/>
      <c r="E38" s="2" t="s">
        <v>235</v>
      </c>
      <c r="F38" s="2" t="s">
        <v>403</v>
      </c>
      <c r="G38" s="2" t="s">
        <v>97</v>
      </c>
      <c r="H38" s="2" t="s">
        <v>97</v>
      </c>
      <c r="I38" s="2" t="s">
        <v>105</v>
      </c>
      <c r="J38" s="2" t="s">
        <v>130</v>
      </c>
      <c r="K38" s="2" t="s">
        <v>105</v>
      </c>
      <c r="L38" s="2" t="s">
        <v>147</v>
      </c>
      <c r="M38" s="5">
        <v>70473</v>
      </c>
      <c r="N38" s="5">
        <v>100</v>
      </c>
      <c r="O38" s="5"/>
      <c r="P38" s="5"/>
      <c r="Q38" s="2">
        <v>2015</v>
      </c>
      <c r="R38" s="6">
        <v>43545</v>
      </c>
      <c r="S38" s="15">
        <v>16000000</v>
      </c>
      <c r="T38" s="78">
        <v>16200000</v>
      </c>
      <c r="U38" s="80">
        <f>IF(Table1[[#This Row],[Sub Type]]="Multi-Family",Table1[[#This Row],[Fair Market Value Estimate]]/Table1[[#This Row],[Units]],"N/A")</f>
        <v>162000</v>
      </c>
      <c r="V38" s="80">
        <f>Table1[[#This Row],[Fair Market Value Estimate]]/Table1[[#This Row],[Size (SF)]]</f>
        <v>229.87527138052872</v>
      </c>
      <c r="W38" s="81">
        <v>44104</v>
      </c>
      <c r="X38" s="15"/>
      <c r="Y38" s="15"/>
      <c r="Z38" s="15"/>
      <c r="AA38" s="15">
        <v>6087942.2999999998</v>
      </c>
      <c r="AB38" s="15"/>
      <c r="AC38" s="15"/>
      <c r="AD38" s="15"/>
      <c r="AE38" s="15"/>
      <c r="AF38" s="15"/>
      <c r="AG38" s="80">
        <f>SUM(Table1[[#This Row],[MLG Capital Historical Deal Equity]:[Legacy Fund Equity]])</f>
        <v>6087942.2999999998</v>
      </c>
      <c r="AH38" s="80">
        <f>Table1[[#This Row],[Fund I Equity]]*6/27.28+Table1[[#This Row],[Fund II Equity]]</f>
        <v>0</v>
      </c>
      <c r="AI38" s="6"/>
      <c r="AJ38" s="15"/>
      <c r="AK38" s="172" t="str">
        <f>IF(Table1[[#This Row],[Status]]="Sold",(Table1[[#This Row],[Date of Sale]]-Table1[[#This Row],[Acquisition Date]])/365,"")</f>
        <v/>
      </c>
      <c r="AL38" s="109"/>
      <c r="AM38" s="172" t="str">
        <f>IF(Table1[[#This Row],[Status]]="Sold",Table1[[#This Row],[Total Property Distributions]]/Table1[[#This Row],[Total Equity]],"")</f>
        <v/>
      </c>
      <c r="AN38" s="168"/>
      <c r="AO38" s="168" t="str">
        <f>IF(Table1[[#This Row],[Status]]="Sold",((Table1[[#This Row],[Total Property Distributions]]-Table1[[#This Row],[Total Equity]])/Table1[[#This Row],[Total Equity]])/Table1[[#This Row],[Holding Period]],"")</f>
        <v/>
      </c>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row>
    <row r="39" spans="2:70" s="10" customFormat="1" x14ac:dyDescent="0.2">
      <c r="B39" s="2" t="s">
        <v>28</v>
      </c>
      <c r="C39" s="2" t="s">
        <v>49</v>
      </c>
      <c r="D39" s="2"/>
      <c r="E39" s="2" t="s">
        <v>235</v>
      </c>
      <c r="F39" s="2" t="s">
        <v>403</v>
      </c>
      <c r="G39" s="2" t="s">
        <v>97</v>
      </c>
      <c r="H39" s="2" t="s">
        <v>97</v>
      </c>
      <c r="I39" s="2" t="s">
        <v>106</v>
      </c>
      <c r="J39" s="2" t="s">
        <v>135</v>
      </c>
      <c r="K39" s="2" t="s">
        <v>149</v>
      </c>
      <c r="L39" s="2" t="s">
        <v>150</v>
      </c>
      <c r="M39" s="5">
        <v>232140</v>
      </c>
      <c r="N39" s="5">
        <v>268</v>
      </c>
      <c r="O39" s="5"/>
      <c r="P39" s="5"/>
      <c r="Q39" s="2">
        <v>1989</v>
      </c>
      <c r="R39" s="6">
        <v>43553</v>
      </c>
      <c r="S39" s="15">
        <v>31250000</v>
      </c>
      <c r="T39" s="78">
        <v>40800000</v>
      </c>
      <c r="U39" s="80">
        <f>IF(Table1[[#This Row],[Sub Type]]="Multi-Family",Table1[[#This Row],[Fair Market Value Estimate]]/Table1[[#This Row],[Units]],"N/A")</f>
        <v>152238.80597014926</v>
      </c>
      <c r="V39" s="80">
        <f>Table1[[#This Row],[Fair Market Value Estimate]]/Table1[[#This Row],[Size (SF)]]</f>
        <v>175.7560093047299</v>
      </c>
      <c r="W39" s="81">
        <v>44104</v>
      </c>
      <c r="X39" s="15"/>
      <c r="Y39" s="15"/>
      <c r="Z39" s="15"/>
      <c r="AA39" s="15">
        <v>3867500</v>
      </c>
      <c r="AB39" s="15">
        <v>3867500</v>
      </c>
      <c r="AC39" s="15"/>
      <c r="AD39" s="15">
        <v>3315000</v>
      </c>
      <c r="AE39" s="15"/>
      <c r="AF39" s="15"/>
      <c r="AG39" s="80">
        <f>SUM(Table1[[#This Row],[MLG Capital Historical Deal Equity]:[Legacy Fund Equity]])</f>
        <v>11050000</v>
      </c>
      <c r="AH39" s="80">
        <f>Table1[[#This Row],[Fund I Equity]]*6/27.28+Table1[[#This Row],[Fund II Equity]]</f>
        <v>0</v>
      </c>
      <c r="AI39" s="6"/>
      <c r="AJ39" s="15"/>
      <c r="AK39" s="172" t="str">
        <f>IF(Table1[[#This Row],[Status]]="Sold",(Table1[[#This Row],[Date of Sale]]-Table1[[#This Row],[Acquisition Date]])/365,"")</f>
        <v/>
      </c>
      <c r="AL39" s="109"/>
      <c r="AM39" s="172" t="str">
        <f>IF(Table1[[#This Row],[Status]]="Sold",Table1[[#This Row],[Total Property Distributions]]/Table1[[#This Row],[Total Equity]],"")</f>
        <v/>
      </c>
      <c r="AN39" s="168"/>
      <c r="AO39" s="168" t="str">
        <f>IF(Table1[[#This Row],[Status]]="Sold",((Table1[[#This Row],[Total Property Distributions]]-Table1[[#This Row],[Total Equity]])/Table1[[#This Row],[Total Equity]])/Table1[[#This Row],[Holding Period]],"")</f>
        <v/>
      </c>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row>
    <row r="40" spans="2:70" x14ac:dyDescent="0.2">
      <c r="B40" s="2" t="s">
        <v>29</v>
      </c>
      <c r="C40" s="2" t="s">
        <v>49</v>
      </c>
      <c r="E40" s="2" t="s">
        <v>235</v>
      </c>
      <c r="F40" s="2" t="s">
        <v>403</v>
      </c>
      <c r="G40" s="2" t="s">
        <v>97</v>
      </c>
      <c r="H40" s="2" t="s">
        <v>97</v>
      </c>
      <c r="I40" s="2" t="s">
        <v>107</v>
      </c>
      <c r="J40" s="2" t="s">
        <v>136</v>
      </c>
      <c r="K40" s="2" t="s">
        <v>152</v>
      </c>
      <c r="L40" s="2" t="s">
        <v>150</v>
      </c>
      <c r="M40" s="5">
        <v>216254</v>
      </c>
      <c r="N40" s="5">
        <v>198</v>
      </c>
      <c r="O40" s="5"/>
      <c r="P40" s="5"/>
      <c r="Q40" s="2">
        <v>1999</v>
      </c>
      <c r="R40" s="6">
        <v>43553</v>
      </c>
      <c r="S40" s="15">
        <v>38250000</v>
      </c>
      <c r="T40" s="78">
        <v>44750000</v>
      </c>
      <c r="U40" s="80">
        <f>IF(Table1[[#This Row],[Sub Type]]="Multi-Family",Table1[[#This Row],[Fair Market Value Estimate]]/Table1[[#This Row],[Units]],"N/A")</f>
        <v>226010.101010101</v>
      </c>
      <c r="V40" s="80">
        <f>Table1[[#This Row],[Fair Market Value Estimate]]/Table1[[#This Row],[Size (SF)]]</f>
        <v>206.93258853015436</v>
      </c>
      <c r="W40" s="81">
        <v>44104</v>
      </c>
      <c r="X40" s="15"/>
      <c r="Y40" s="15"/>
      <c r="Z40" s="15"/>
      <c r="AA40" s="15">
        <v>4045714</v>
      </c>
      <c r="AB40" s="15">
        <v>6432686</v>
      </c>
      <c r="AC40" s="15"/>
      <c r="AD40" s="15">
        <v>2619600</v>
      </c>
      <c r="AE40" s="15"/>
      <c r="AF40" s="15"/>
      <c r="AG40" s="80">
        <f>SUM(Table1[[#This Row],[MLG Capital Historical Deal Equity]:[Legacy Fund Equity]])</f>
        <v>13098000</v>
      </c>
      <c r="AH40" s="80">
        <f>Table1[[#This Row],[Fund I Equity]]*6/27.28+Table1[[#This Row],[Fund II Equity]]</f>
        <v>0</v>
      </c>
      <c r="AI40" s="6"/>
      <c r="AJ40" s="15"/>
      <c r="AK40" s="172" t="str">
        <f>IF(Table1[[#This Row],[Status]]="Sold",(Table1[[#This Row],[Date of Sale]]-Table1[[#This Row],[Acquisition Date]])/365,"")</f>
        <v/>
      </c>
      <c r="AL40" s="109"/>
      <c r="AM40" s="172" t="str">
        <f>IF(Table1[[#This Row],[Status]]="Sold",Table1[[#This Row],[Total Property Distributions]]/Table1[[#This Row],[Total Equity]],"")</f>
        <v/>
      </c>
      <c r="AN40" s="168"/>
      <c r="AO40" s="168" t="str">
        <f>IF(Table1[[#This Row],[Status]]="Sold",((Table1[[#This Row],[Total Property Distributions]]-Table1[[#This Row],[Total Equity]])/Table1[[#This Row],[Total Equity]])/Table1[[#This Row],[Holding Period]],"")</f>
        <v/>
      </c>
      <c r="BR40" s="1"/>
    </row>
    <row r="41" spans="2:70" x14ac:dyDescent="0.2">
      <c r="B41" s="11" t="s">
        <v>32</v>
      </c>
      <c r="C41" s="11" t="s">
        <v>49</v>
      </c>
      <c r="D41" s="11"/>
      <c r="E41" s="11" t="s">
        <v>235</v>
      </c>
      <c r="F41" s="2" t="s">
        <v>404</v>
      </c>
      <c r="G41" s="2" t="s">
        <v>97</v>
      </c>
      <c r="H41" s="11" t="s">
        <v>97</v>
      </c>
      <c r="I41" s="11" t="s">
        <v>142</v>
      </c>
      <c r="J41" s="11" t="s">
        <v>130</v>
      </c>
      <c r="K41" s="11" t="s">
        <v>105</v>
      </c>
      <c r="L41" s="11" t="s">
        <v>147</v>
      </c>
      <c r="M41" s="12">
        <v>76960</v>
      </c>
      <c r="N41" s="12">
        <v>80</v>
      </c>
      <c r="O41" s="12"/>
      <c r="P41" s="12"/>
      <c r="Q41" s="11">
        <v>1986</v>
      </c>
      <c r="R41" s="13">
        <v>43556</v>
      </c>
      <c r="S41" s="16">
        <v>7500000</v>
      </c>
      <c r="T41" s="79">
        <v>9700000</v>
      </c>
      <c r="U41" s="82">
        <f>IF(Table1[[#This Row],[Sub Type]]="Multi-Family",Table1[[#This Row],[Fair Market Value Estimate]]/Table1[[#This Row],[Units]],"N/A")</f>
        <v>121250</v>
      </c>
      <c r="V41" s="82">
        <f>Table1[[#This Row],[Fair Market Value Estimate]]/Table1[[#This Row],[Size (SF)]]</f>
        <v>126.03950103950103</v>
      </c>
      <c r="W41" s="81">
        <v>44104</v>
      </c>
      <c r="X41" s="16"/>
      <c r="Y41" s="16"/>
      <c r="Z41" s="16"/>
      <c r="AA41" s="16"/>
      <c r="AB41" s="16"/>
      <c r="AC41" s="16"/>
      <c r="AD41" s="16"/>
      <c r="AE41" s="16">
        <v>7500000</v>
      </c>
      <c r="AF41" s="16"/>
      <c r="AG41" s="82">
        <f>SUM(Table1[[#This Row],[MLG Capital Historical Deal Equity]:[Legacy Fund Equity]])</f>
        <v>7500000</v>
      </c>
      <c r="AH41" s="82">
        <f>Table1[[#This Row],[Fund I Equity]]*6/27.28+Table1[[#This Row],[Fund II Equity]]</f>
        <v>0</v>
      </c>
      <c r="AI41" s="13"/>
      <c r="AJ41" s="16"/>
      <c r="AK41" s="162" t="str">
        <f>IF(Table1[[#This Row],[Status]]="Sold",(Table1[[#This Row],[Date of Sale]]-Table1[[#This Row],[Acquisition Date]])/365,"")</f>
        <v/>
      </c>
      <c r="AL41" s="117"/>
      <c r="AM41" s="162" t="str">
        <f>IF(Table1[[#This Row],[Status]]="Sold",Table1[[#This Row],[Total Property Distributions]]/Table1[[#This Row],[Total Equity]],"")</f>
        <v/>
      </c>
      <c r="AN41" s="168"/>
      <c r="AO41" s="166" t="str">
        <f>IF(Table1[[#This Row],[Status]]="Sold",((Table1[[#This Row],[Total Property Distributions]]-Table1[[#This Row],[Total Equity]])/Table1[[#This Row],[Total Equity]])/Table1[[#This Row],[Holding Period]],"")</f>
        <v/>
      </c>
      <c r="BR41" s="1"/>
    </row>
    <row r="42" spans="2:70" x14ac:dyDescent="0.2">
      <c r="B42" s="11" t="s">
        <v>33</v>
      </c>
      <c r="C42" s="11" t="s">
        <v>49</v>
      </c>
      <c r="D42" s="11"/>
      <c r="E42" s="11" t="s">
        <v>235</v>
      </c>
      <c r="F42" s="2" t="s">
        <v>404</v>
      </c>
      <c r="G42" s="2" t="s">
        <v>97</v>
      </c>
      <c r="H42" s="11" t="s">
        <v>97</v>
      </c>
      <c r="I42" s="11" t="s">
        <v>143</v>
      </c>
      <c r="J42" s="11" t="s">
        <v>130</v>
      </c>
      <c r="K42" s="11" t="s">
        <v>105</v>
      </c>
      <c r="L42" s="11" t="s">
        <v>147</v>
      </c>
      <c r="M42" s="12">
        <v>92375</v>
      </c>
      <c r="N42" s="12">
        <v>100</v>
      </c>
      <c r="O42" s="12"/>
      <c r="P42" s="12"/>
      <c r="Q42" s="11" t="s">
        <v>55</v>
      </c>
      <c r="R42" s="13">
        <v>43556</v>
      </c>
      <c r="S42" s="16">
        <v>10000000</v>
      </c>
      <c r="T42" s="79">
        <v>11340000</v>
      </c>
      <c r="U42" s="82">
        <f>IF(Table1[[#This Row],[Sub Type]]="Multi-Family",Table1[[#This Row],[Fair Market Value Estimate]]/Table1[[#This Row],[Units]],"N/A")</f>
        <v>113400</v>
      </c>
      <c r="V42" s="82">
        <f>Table1[[#This Row],[Fair Market Value Estimate]]/Table1[[#This Row],[Size (SF)]]</f>
        <v>122.76048714479026</v>
      </c>
      <c r="W42" s="81">
        <v>44104</v>
      </c>
      <c r="X42" s="16"/>
      <c r="Y42" s="16"/>
      <c r="Z42" s="16"/>
      <c r="AA42" s="16"/>
      <c r="AB42" s="16"/>
      <c r="AC42" s="16"/>
      <c r="AD42" s="16"/>
      <c r="AE42" s="16">
        <v>10000000</v>
      </c>
      <c r="AF42" s="16"/>
      <c r="AG42" s="82">
        <f>SUM(Table1[[#This Row],[MLG Capital Historical Deal Equity]:[Legacy Fund Equity]])</f>
        <v>10000000</v>
      </c>
      <c r="AH42" s="82">
        <f>Table1[[#This Row],[Fund I Equity]]*6/27.28+Table1[[#This Row],[Fund II Equity]]</f>
        <v>0</v>
      </c>
      <c r="AI42" s="13"/>
      <c r="AJ42" s="16"/>
      <c r="AK42" s="162" t="str">
        <f>IF(Table1[[#This Row],[Status]]="Sold",(Table1[[#This Row],[Date of Sale]]-Table1[[#This Row],[Acquisition Date]])/365,"")</f>
        <v/>
      </c>
      <c r="AL42" s="117"/>
      <c r="AM42" s="162" t="str">
        <f>IF(Table1[[#This Row],[Status]]="Sold",Table1[[#This Row],[Total Property Distributions]]/Table1[[#This Row],[Total Equity]],"")</f>
        <v/>
      </c>
      <c r="AN42" s="168"/>
      <c r="AO42" s="166" t="str">
        <f>IF(Table1[[#This Row],[Status]]="Sold",((Table1[[#This Row],[Total Property Distributions]]-Table1[[#This Row],[Total Equity]])/Table1[[#This Row],[Total Equity]])/Table1[[#This Row],[Holding Period]],"")</f>
        <v/>
      </c>
      <c r="BR42" s="1"/>
    </row>
    <row r="43" spans="2:70" x14ac:dyDescent="0.2">
      <c r="B43" s="2" t="s">
        <v>30</v>
      </c>
      <c r="C43" s="2" t="s">
        <v>49</v>
      </c>
      <c r="E43" s="2" t="s">
        <v>235</v>
      </c>
      <c r="F43" s="2" t="s">
        <v>403</v>
      </c>
      <c r="G43" s="2" t="s">
        <v>97</v>
      </c>
      <c r="H43" s="2" t="s">
        <v>97</v>
      </c>
      <c r="I43" s="2" t="s">
        <v>108</v>
      </c>
      <c r="J43" s="2" t="s">
        <v>135</v>
      </c>
      <c r="K43" s="2" t="s">
        <v>149</v>
      </c>
      <c r="L43" s="2" t="s">
        <v>153</v>
      </c>
      <c r="M43" s="5">
        <v>285412</v>
      </c>
      <c r="N43" s="5">
        <v>280</v>
      </c>
      <c r="O43" s="5"/>
      <c r="P43" s="5"/>
      <c r="Q43" s="2">
        <v>1985</v>
      </c>
      <c r="R43" s="6">
        <v>43605</v>
      </c>
      <c r="S43" s="15">
        <v>31050000</v>
      </c>
      <c r="T43" s="78">
        <v>37040000</v>
      </c>
      <c r="U43" s="80">
        <f>IF(Table1[[#This Row],[Sub Type]]="Multi-Family",Table1[[#This Row],[Fair Market Value Estimate]]/Table1[[#This Row],[Units]],"N/A")</f>
        <v>132285.71428571429</v>
      </c>
      <c r="V43" s="80">
        <f>Table1[[#This Row],[Fair Market Value Estimate]]/Table1[[#This Row],[Size (SF)]]</f>
        <v>129.77730438804255</v>
      </c>
      <c r="W43" s="81">
        <v>44104</v>
      </c>
      <c r="X43" s="15"/>
      <c r="Y43" s="15"/>
      <c r="Z43" s="15"/>
      <c r="AA43" s="15"/>
      <c r="AB43" s="15">
        <v>11516400</v>
      </c>
      <c r="AC43" s="15"/>
      <c r="AD43" s="15">
        <v>1279600</v>
      </c>
      <c r="AE43" s="15"/>
      <c r="AF43" s="15"/>
      <c r="AG43" s="80">
        <f>SUM(Table1[[#This Row],[MLG Capital Historical Deal Equity]:[Legacy Fund Equity]])</f>
        <v>12796000</v>
      </c>
      <c r="AH43" s="80">
        <f>Table1[[#This Row],[Fund I Equity]]*6/27.28+Table1[[#This Row],[Fund II Equity]]</f>
        <v>0</v>
      </c>
      <c r="AI43" s="6"/>
      <c r="AJ43" s="15"/>
      <c r="AK43" s="172" t="str">
        <f>IF(Table1[[#This Row],[Status]]="Sold",(Table1[[#This Row],[Date of Sale]]-Table1[[#This Row],[Acquisition Date]])/365,"")</f>
        <v/>
      </c>
      <c r="AL43" s="109"/>
      <c r="AM43" s="172" t="str">
        <f>IF(Table1[[#This Row],[Status]]="Sold",Table1[[#This Row],[Total Property Distributions]]/Table1[[#This Row],[Total Equity]],"")</f>
        <v/>
      </c>
      <c r="AN43" s="168"/>
      <c r="AO43" s="168" t="str">
        <f>IF(Table1[[#This Row],[Status]]="Sold",((Table1[[#This Row],[Total Property Distributions]]-Table1[[#This Row],[Total Equity]])/Table1[[#This Row],[Total Equity]])/Table1[[#This Row],[Holding Period]],"")</f>
        <v/>
      </c>
      <c r="BR43" s="1"/>
    </row>
    <row r="44" spans="2:70" x14ac:dyDescent="0.2">
      <c r="B44" s="2" t="s">
        <v>79</v>
      </c>
      <c r="C44" s="2" t="s">
        <v>49</v>
      </c>
      <c r="E44" s="2" t="s">
        <v>235</v>
      </c>
      <c r="F44" s="2" t="s">
        <v>403</v>
      </c>
      <c r="G44" s="2" t="s">
        <v>397</v>
      </c>
      <c r="H44" s="2" t="s">
        <v>81</v>
      </c>
      <c r="I44" s="2" t="s">
        <v>124</v>
      </c>
      <c r="J44" s="2" t="s">
        <v>139</v>
      </c>
      <c r="K44" s="2" t="s">
        <v>156</v>
      </c>
      <c r="L44" s="2" t="s">
        <v>147</v>
      </c>
      <c r="M44" s="5">
        <v>72461</v>
      </c>
      <c r="N44" s="5"/>
      <c r="O44" s="5"/>
      <c r="P44" s="5"/>
      <c r="Q44" s="2">
        <v>1984</v>
      </c>
      <c r="R44" s="6">
        <v>43615</v>
      </c>
      <c r="S44" s="15">
        <v>3200000</v>
      </c>
      <c r="T44" s="78">
        <v>3790000</v>
      </c>
      <c r="U44" s="80" t="str">
        <f>IF(Table1[[#This Row],[Sub Type]]="Multi-Family",Table1[[#This Row],[Fair Market Value Estimate]]/Table1[[#This Row],[Units]],"N/A")</f>
        <v>N/A</v>
      </c>
      <c r="V44" s="80">
        <f>Table1[[#This Row],[Fair Market Value Estimate]]/Table1[[#This Row],[Size (SF)]]</f>
        <v>52.303998012724087</v>
      </c>
      <c r="W44" s="81">
        <v>44104</v>
      </c>
      <c r="X44" s="15"/>
      <c r="Y44" s="15"/>
      <c r="Z44" s="15"/>
      <c r="AA44" s="15"/>
      <c r="AB44" s="15">
        <f>1900000+139318</f>
        <v>2039318</v>
      </c>
      <c r="AC44" s="15"/>
      <c r="AD44" s="15"/>
      <c r="AE44" s="15"/>
      <c r="AF44" s="15"/>
      <c r="AG44" s="80">
        <f>SUM(Table1[[#This Row],[MLG Capital Historical Deal Equity]:[Legacy Fund Equity]])</f>
        <v>2039318</v>
      </c>
      <c r="AH44" s="80">
        <f>Table1[[#This Row],[Fund I Equity]]*6/27.28+Table1[[#This Row],[Fund II Equity]]</f>
        <v>0</v>
      </c>
      <c r="AI44" s="6"/>
      <c r="AJ44" s="15"/>
      <c r="AK44" s="172" t="str">
        <f>IF(Table1[[#This Row],[Status]]="Sold",(Table1[[#This Row],[Date of Sale]]-Table1[[#This Row],[Acquisition Date]])/365,"")</f>
        <v/>
      </c>
      <c r="AL44" s="109"/>
      <c r="AM44" s="172" t="str">
        <f>IF(Table1[[#This Row],[Status]]="Sold",Table1[[#This Row],[Total Property Distributions]]/Table1[[#This Row],[Total Equity]],"")</f>
        <v/>
      </c>
      <c r="AN44" s="168"/>
      <c r="AO44" s="168" t="str">
        <f>IF(Table1[[#This Row],[Status]]="Sold",((Table1[[#This Row],[Total Property Distributions]]-Table1[[#This Row],[Total Equity]])/Table1[[#This Row],[Total Equity]])/Table1[[#This Row],[Holding Period]],"")</f>
        <v/>
      </c>
      <c r="BR44" s="1"/>
    </row>
    <row r="45" spans="2:70" x14ac:dyDescent="0.2">
      <c r="B45" s="2" t="s">
        <v>31</v>
      </c>
      <c r="C45" s="2" t="s">
        <v>49</v>
      </c>
      <c r="E45" s="2" t="s">
        <v>235</v>
      </c>
      <c r="F45" s="2" t="s">
        <v>403</v>
      </c>
      <c r="G45" s="2" t="s">
        <v>97</v>
      </c>
      <c r="H45" s="2" t="s">
        <v>97</v>
      </c>
      <c r="I45" s="2" t="s">
        <v>109</v>
      </c>
      <c r="J45" s="2" t="s">
        <v>137</v>
      </c>
      <c r="K45" s="2" t="s">
        <v>120</v>
      </c>
      <c r="L45" s="2" t="s">
        <v>147</v>
      </c>
      <c r="M45" s="5">
        <v>293770</v>
      </c>
      <c r="N45" s="5">
        <v>350</v>
      </c>
      <c r="O45" s="5"/>
      <c r="P45" s="5"/>
      <c r="Q45" s="2">
        <v>1974</v>
      </c>
      <c r="R45" s="6">
        <v>43642</v>
      </c>
      <c r="S45" s="15">
        <v>39100000</v>
      </c>
      <c r="T45" s="78">
        <v>41200000</v>
      </c>
      <c r="U45" s="80">
        <f>IF(Table1[[#This Row],[Sub Type]]="Multi-Family",Table1[[#This Row],[Fair Market Value Estimate]]/Table1[[#This Row],[Units]],"N/A")</f>
        <v>117714.28571428571</v>
      </c>
      <c r="V45" s="80">
        <f>Table1[[#This Row],[Fair Market Value Estimate]]/Table1[[#This Row],[Size (SF)]]</f>
        <v>140.24577050073185</v>
      </c>
      <c r="W45" s="81">
        <v>44104</v>
      </c>
      <c r="X45" s="15"/>
      <c r="Y45" s="15"/>
      <c r="Z45" s="15"/>
      <c r="AA45" s="15">
        <v>5000000</v>
      </c>
      <c r="AB45" s="15">
        <v>13200000</v>
      </c>
      <c r="AC45" s="15"/>
      <c r="AD45" s="15"/>
      <c r="AE45" s="15"/>
      <c r="AF45" s="15"/>
      <c r="AG45" s="80">
        <f>SUM(Table1[[#This Row],[MLG Capital Historical Deal Equity]:[Legacy Fund Equity]])</f>
        <v>18200000</v>
      </c>
      <c r="AH45" s="80">
        <f>Table1[[#This Row],[Fund I Equity]]*6/27.28+Table1[[#This Row],[Fund II Equity]]</f>
        <v>0</v>
      </c>
      <c r="AI45" s="6"/>
      <c r="AJ45" s="15"/>
      <c r="AK45" s="172" t="str">
        <f>IF(Table1[[#This Row],[Status]]="Sold",(Table1[[#This Row],[Date of Sale]]-Table1[[#This Row],[Acquisition Date]])/365,"")</f>
        <v/>
      </c>
      <c r="AL45" s="109"/>
      <c r="AM45" s="172" t="str">
        <f>IF(Table1[[#This Row],[Status]]="Sold",Table1[[#This Row],[Total Property Distributions]]/Table1[[#This Row],[Total Equity]],"")</f>
        <v/>
      </c>
      <c r="AN45" s="168"/>
      <c r="AO45" s="168" t="str">
        <f>IF(Table1[[#This Row],[Status]]="Sold",((Table1[[#This Row],[Total Property Distributions]]-Table1[[#This Row],[Total Equity]])/Table1[[#This Row],[Total Equity]])/Table1[[#This Row],[Holding Period]],"")</f>
        <v/>
      </c>
      <c r="BR45" s="1"/>
    </row>
    <row r="46" spans="2:70" x14ac:dyDescent="0.2">
      <c r="B46" s="2" t="s">
        <v>34</v>
      </c>
      <c r="C46" s="2" t="s">
        <v>49</v>
      </c>
      <c r="E46" s="2" t="s">
        <v>235</v>
      </c>
      <c r="F46" s="2" t="s">
        <v>403</v>
      </c>
      <c r="G46" s="2" t="s">
        <v>97</v>
      </c>
      <c r="H46" s="2" t="s">
        <v>97</v>
      </c>
      <c r="I46" s="2" t="s">
        <v>154</v>
      </c>
      <c r="J46" s="2" t="s">
        <v>137</v>
      </c>
      <c r="K46" s="2" t="s">
        <v>154</v>
      </c>
      <c r="L46" s="2" t="s">
        <v>147</v>
      </c>
      <c r="M46" s="5">
        <v>288960</v>
      </c>
      <c r="N46" s="5">
        <v>298</v>
      </c>
      <c r="O46" s="5"/>
      <c r="P46" s="5"/>
      <c r="Q46" s="2">
        <v>2016</v>
      </c>
      <c r="R46" s="6">
        <v>43762</v>
      </c>
      <c r="S46" s="15">
        <v>56000000</v>
      </c>
      <c r="T46" s="78">
        <v>57580000</v>
      </c>
      <c r="U46" s="80">
        <f>IF(Table1[[#This Row],[Sub Type]]="Multi-Family",Table1[[#This Row],[Fair Market Value Estimate]]/Table1[[#This Row],[Units]],"N/A")</f>
        <v>193221.47651006712</v>
      </c>
      <c r="V46" s="80">
        <f>Table1[[#This Row],[Fair Market Value Estimate]]/Table1[[#This Row],[Size (SF)]]</f>
        <v>199.26633444075304</v>
      </c>
      <c r="W46" s="81">
        <v>44104</v>
      </c>
      <c r="X46" s="15"/>
      <c r="Y46" s="15"/>
      <c r="Z46" s="15"/>
      <c r="AA46" s="15">
        <v>5700000</v>
      </c>
      <c r="AB46" s="15">
        <v>14000000</v>
      </c>
      <c r="AC46" s="15"/>
      <c r="AD46" s="15"/>
      <c r="AE46" s="15"/>
      <c r="AF46" s="15"/>
      <c r="AG46" s="80">
        <f>SUM(Table1[[#This Row],[MLG Capital Historical Deal Equity]:[Legacy Fund Equity]])</f>
        <v>19700000</v>
      </c>
      <c r="AH46" s="80">
        <f>Table1[[#This Row],[Fund I Equity]]*6/27.28+Table1[[#This Row],[Fund II Equity]]</f>
        <v>0</v>
      </c>
      <c r="AI46" s="6"/>
      <c r="AJ46" s="15"/>
      <c r="AK46" s="172" t="str">
        <f>IF(Table1[[#This Row],[Status]]="Sold",(Table1[[#This Row],[Date of Sale]]-Table1[[#This Row],[Acquisition Date]])/365,"")</f>
        <v/>
      </c>
      <c r="AL46" s="109"/>
      <c r="AM46" s="172" t="str">
        <f>IF(Table1[[#This Row],[Status]]="Sold",Table1[[#This Row],[Total Property Distributions]]/Table1[[#This Row],[Total Equity]],"")</f>
        <v/>
      </c>
      <c r="AN46" s="168"/>
      <c r="AO46" s="168" t="str">
        <f>IF(Table1[[#This Row],[Status]]="Sold",((Table1[[#This Row],[Total Property Distributions]]-Table1[[#This Row],[Total Equity]])/Table1[[#This Row],[Total Equity]])/Table1[[#This Row],[Holding Period]],"")</f>
        <v/>
      </c>
      <c r="BR46" s="1"/>
    </row>
    <row r="47" spans="2:70" x14ac:dyDescent="0.2">
      <c r="B47" s="2" t="s">
        <v>35</v>
      </c>
      <c r="C47" s="2" t="s">
        <v>49</v>
      </c>
      <c r="D47" s="2" t="s">
        <v>126</v>
      </c>
      <c r="E47" s="2" t="s">
        <v>235</v>
      </c>
      <c r="F47" s="2" t="s">
        <v>403</v>
      </c>
      <c r="G47" s="2" t="s">
        <v>97</v>
      </c>
      <c r="H47" s="2" t="s">
        <v>97</v>
      </c>
      <c r="I47" s="2" t="s">
        <v>110</v>
      </c>
      <c r="J47" s="2" t="s">
        <v>129</v>
      </c>
      <c r="K47" s="2" t="s">
        <v>110</v>
      </c>
      <c r="L47" s="2" t="s">
        <v>147</v>
      </c>
      <c r="M47" s="5">
        <v>278802</v>
      </c>
      <c r="N47" s="5">
        <v>366</v>
      </c>
      <c r="O47" s="5"/>
      <c r="P47" s="5"/>
      <c r="Q47" s="2">
        <v>1981</v>
      </c>
      <c r="R47" s="6">
        <v>43817</v>
      </c>
      <c r="S47" s="15">
        <v>32000000</v>
      </c>
      <c r="T47" s="78">
        <v>32000000</v>
      </c>
      <c r="U47" s="80">
        <f>IF(Table1[[#This Row],[Sub Type]]="Multi-Family",Table1[[#This Row],[Fair Market Value Estimate]]/Table1[[#This Row],[Units]],"N/A")</f>
        <v>87431.693989071035</v>
      </c>
      <c r="V47" s="80">
        <f>Table1[[#This Row],[Fair Market Value Estimate]]/Table1[[#This Row],[Size (SF)]]</f>
        <v>114.77679500147057</v>
      </c>
      <c r="W47" s="81">
        <v>44104</v>
      </c>
      <c r="X47" s="15"/>
      <c r="Y47" s="15"/>
      <c r="Z47" s="15"/>
      <c r="AA47" s="95">
        <f>VLOOKUP(Table1[[#This Row],[Property]],Toro!$B$10:$J$19,7,FALSE)</f>
        <v>289592.76018099551</v>
      </c>
      <c r="AB47" s="95">
        <f>VLOOKUP(Table1[[#This Row],[Property]],Toro!$B$10:$J$19,8,FALSE)</f>
        <v>5631131.2217194578</v>
      </c>
      <c r="AC47" s="95">
        <f>VLOOKUP(Table1[[#This Row],[Property]],Toro!$B$10:$J$19,9,FALSE)</f>
        <v>4432217.1945701363</v>
      </c>
      <c r="AD47" s="15"/>
      <c r="AE47" s="15"/>
      <c r="AF47" s="15"/>
      <c r="AG47" s="80">
        <f>SUM(Table1[[#This Row],[MLG Capital Historical Deal Equity]:[Legacy Fund Equity]])</f>
        <v>10352941.176470589</v>
      </c>
      <c r="AH47" s="80">
        <f>Table1[[#This Row],[Fund I Equity]]*6/27.28+Table1[[#This Row],[Fund II Equity]]</f>
        <v>0</v>
      </c>
      <c r="AI47" s="6"/>
      <c r="AJ47" s="15"/>
      <c r="AK47" s="172" t="str">
        <f>IF(Table1[[#This Row],[Status]]="Sold",(Table1[[#This Row],[Date of Sale]]-Table1[[#This Row],[Acquisition Date]])/365,"")</f>
        <v/>
      </c>
      <c r="AL47" s="109"/>
      <c r="AM47" s="172" t="str">
        <f>IF(Table1[[#This Row],[Status]]="Sold",Table1[[#This Row],[Total Property Distributions]]/Table1[[#This Row],[Total Equity]],"")</f>
        <v/>
      </c>
      <c r="AN47" s="168"/>
      <c r="AO47" s="168" t="str">
        <f>IF(Table1[[#This Row],[Status]]="Sold",((Table1[[#This Row],[Total Property Distributions]]-Table1[[#This Row],[Total Equity]])/Table1[[#This Row],[Total Equity]])/Table1[[#This Row],[Holding Period]],"")</f>
        <v/>
      </c>
      <c r="BR47" s="1"/>
    </row>
    <row r="48" spans="2:70" x14ac:dyDescent="0.2">
      <c r="B48" s="2" t="s">
        <v>36</v>
      </c>
      <c r="C48" s="2" t="s">
        <v>49</v>
      </c>
      <c r="D48" s="2" t="s">
        <v>126</v>
      </c>
      <c r="E48" s="2" t="s">
        <v>235</v>
      </c>
      <c r="F48" s="2" t="s">
        <v>403</v>
      </c>
      <c r="G48" s="2" t="s">
        <v>97</v>
      </c>
      <c r="H48" s="2" t="s">
        <v>97</v>
      </c>
      <c r="I48" s="2" t="s">
        <v>110</v>
      </c>
      <c r="J48" s="2" t="s">
        <v>129</v>
      </c>
      <c r="K48" s="2" t="s">
        <v>110</v>
      </c>
      <c r="L48" s="2" t="s">
        <v>147</v>
      </c>
      <c r="M48" s="5">
        <v>146892</v>
      </c>
      <c r="N48" s="5">
        <v>122</v>
      </c>
      <c r="O48" s="5"/>
      <c r="P48" s="5"/>
      <c r="Q48" s="2">
        <v>1971</v>
      </c>
      <c r="R48" s="6">
        <v>43817</v>
      </c>
      <c r="S48" s="15">
        <v>15000000</v>
      </c>
      <c r="T48" s="78">
        <v>15000000</v>
      </c>
      <c r="U48" s="80">
        <f>IF(Table1[[#This Row],[Sub Type]]="Multi-Family",Table1[[#This Row],[Fair Market Value Estimate]]/Table1[[#This Row],[Units]],"N/A")</f>
        <v>122950.81967213115</v>
      </c>
      <c r="V48" s="80">
        <f>Table1[[#This Row],[Fair Market Value Estimate]]/Table1[[#This Row],[Size (SF)]]</f>
        <v>102.11584020913324</v>
      </c>
      <c r="W48" s="81">
        <v>44104</v>
      </c>
      <c r="X48" s="15"/>
      <c r="Y48" s="15"/>
      <c r="Z48" s="15"/>
      <c r="AA48" s="95">
        <f>VLOOKUP(Table1[[#This Row],[Property]],Toro!$B$10:$J$19,7,FALSE)</f>
        <v>135746.60633484164</v>
      </c>
      <c r="AB48" s="95">
        <f>VLOOKUP(Table1[[#This Row],[Property]],Toro!$B$10:$J$19,8,FALSE)</f>
        <v>2639592.7601809953</v>
      </c>
      <c r="AC48" s="95">
        <f>VLOOKUP(Table1[[#This Row],[Property]],Toro!$B$10:$J$19,9,FALSE)</f>
        <v>2077601.8099547511</v>
      </c>
      <c r="AD48" s="15"/>
      <c r="AE48" s="15"/>
      <c r="AF48" s="15"/>
      <c r="AG48" s="80">
        <f>SUM(Table1[[#This Row],[MLG Capital Historical Deal Equity]:[Legacy Fund Equity]])</f>
        <v>4852941.176470588</v>
      </c>
      <c r="AH48" s="80">
        <f>Table1[[#This Row],[Fund I Equity]]*6/27.28+Table1[[#This Row],[Fund II Equity]]</f>
        <v>0</v>
      </c>
      <c r="AI48" s="6"/>
      <c r="AJ48" s="15"/>
      <c r="AK48" s="172" t="str">
        <f>IF(Table1[[#This Row],[Status]]="Sold",(Table1[[#This Row],[Date of Sale]]-Table1[[#This Row],[Acquisition Date]])/365,"")</f>
        <v/>
      </c>
      <c r="AL48" s="109"/>
      <c r="AM48" s="172" t="str">
        <f>IF(Table1[[#This Row],[Status]]="Sold",Table1[[#This Row],[Total Property Distributions]]/Table1[[#This Row],[Total Equity]],"")</f>
        <v/>
      </c>
      <c r="AN48" s="168"/>
      <c r="AO48" s="168" t="str">
        <f>IF(Table1[[#This Row],[Status]]="Sold",((Table1[[#This Row],[Total Property Distributions]]-Table1[[#This Row],[Total Equity]])/Table1[[#This Row],[Total Equity]])/Table1[[#This Row],[Holding Period]],"")</f>
        <v/>
      </c>
      <c r="BR48" s="1"/>
    </row>
    <row r="49" spans="2:70" x14ac:dyDescent="0.2">
      <c r="B49" s="2" t="s">
        <v>37</v>
      </c>
      <c r="C49" s="2" t="s">
        <v>49</v>
      </c>
      <c r="D49" s="2" t="s">
        <v>126</v>
      </c>
      <c r="E49" s="2" t="s">
        <v>235</v>
      </c>
      <c r="F49" s="2" t="s">
        <v>403</v>
      </c>
      <c r="G49" s="2" t="s">
        <v>97</v>
      </c>
      <c r="H49" s="2" t="s">
        <v>97</v>
      </c>
      <c r="I49" s="2" t="s">
        <v>110</v>
      </c>
      <c r="J49" s="2" t="s">
        <v>129</v>
      </c>
      <c r="K49" s="2" t="s">
        <v>110</v>
      </c>
      <c r="L49" s="2" t="s">
        <v>147</v>
      </c>
      <c r="M49" s="5">
        <v>243092</v>
      </c>
      <c r="N49" s="5">
        <v>278</v>
      </c>
      <c r="O49" s="5"/>
      <c r="P49" s="5"/>
      <c r="Q49" s="2">
        <v>1978</v>
      </c>
      <c r="R49" s="6">
        <v>43817</v>
      </c>
      <c r="S49" s="15">
        <v>23750000</v>
      </c>
      <c r="T49" s="78">
        <v>23750000</v>
      </c>
      <c r="U49" s="80">
        <f>IF(Table1[[#This Row],[Sub Type]]="Multi-Family",Table1[[#This Row],[Fair Market Value Estimate]]/Table1[[#This Row],[Units]],"N/A")</f>
        <v>85431.654676258986</v>
      </c>
      <c r="V49" s="80">
        <f>Table1[[#This Row],[Fair Market Value Estimate]]/Table1[[#This Row],[Size (SF)]]</f>
        <v>97.699636351669326</v>
      </c>
      <c r="W49" s="81">
        <v>44104</v>
      </c>
      <c r="X49" s="15"/>
      <c r="Y49" s="15"/>
      <c r="Z49" s="15"/>
      <c r="AA49" s="95">
        <f>VLOOKUP(Table1[[#This Row],[Property]],Toro!$B$10:$J$19,7,FALSE)</f>
        <v>214932.12669683259</v>
      </c>
      <c r="AB49" s="95">
        <f>VLOOKUP(Table1[[#This Row],[Property]],Toro!$B$10:$J$19,8,FALSE)</f>
        <v>4179355.2036199095</v>
      </c>
      <c r="AC49" s="95">
        <f>VLOOKUP(Table1[[#This Row],[Property]],Toro!$B$10:$J$19,9,FALSE)</f>
        <v>3289536.1990950224</v>
      </c>
      <c r="AD49" s="15"/>
      <c r="AE49" s="15"/>
      <c r="AF49" s="15"/>
      <c r="AG49" s="80">
        <f>SUM(Table1[[#This Row],[MLG Capital Historical Deal Equity]:[Legacy Fund Equity]])</f>
        <v>7683823.5294117648</v>
      </c>
      <c r="AH49" s="80">
        <f>Table1[[#This Row],[Fund I Equity]]*6/27.28+Table1[[#This Row],[Fund II Equity]]</f>
        <v>0</v>
      </c>
      <c r="AI49" s="6"/>
      <c r="AJ49" s="15"/>
      <c r="AK49" s="172" t="str">
        <f>IF(Table1[[#This Row],[Status]]="Sold",(Table1[[#This Row],[Date of Sale]]-Table1[[#This Row],[Acquisition Date]])/365,"")</f>
        <v/>
      </c>
      <c r="AL49" s="109"/>
      <c r="AM49" s="172" t="str">
        <f>IF(Table1[[#This Row],[Status]]="Sold",Table1[[#This Row],[Total Property Distributions]]/Table1[[#This Row],[Total Equity]],"")</f>
        <v/>
      </c>
      <c r="AN49" s="168"/>
      <c r="AO49" s="168" t="str">
        <f>IF(Table1[[#This Row],[Status]]="Sold",((Table1[[#This Row],[Total Property Distributions]]-Table1[[#This Row],[Total Equity]])/Table1[[#This Row],[Total Equity]])/Table1[[#This Row],[Holding Period]],"")</f>
        <v/>
      </c>
      <c r="BR49" s="1"/>
    </row>
    <row r="50" spans="2:70" s="10" customFormat="1" x14ac:dyDescent="0.2">
      <c r="B50" s="2" t="s">
        <v>38</v>
      </c>
      <c r="C50" s="2" t="s">
        <v>49</v>
      </c>
      <c r="D50" s="2" t="s">
        <v>126</v>
      </c>
      <c r="E50" s="2" t="s">
        <v>235</v>
      </c>
      <c r="F50" s="2" t="s">
        <v>403</v>
      </c>
      <c r="G50" s="2" t="s">
        <v>97</v>
      </c>
      <c r="H50" s="2" t="s">
        <v>97</v>
      </c>
      <c r="I50" s="2" t="s">
        <v>110</v>
      </c>
      <c r="J50" s="2" t="s">
        <v>129</v>
      </c>
      <c r="K50" s="2" t="s">
        <v>110</v>
      </c>
      <c r="L50" s="2" t="s">
        <v>147</v>
      </c>
      <c r="M50" s="5">
        <v>348292</v>
      </c>
      <c r="N50" s="5">
        <v>432</v>
      </c>
      <c r="O50" s="5"/>
      <c r="P50" s="5"/>
      <c r="Q50" s="2">
        <v>1981</v>
      </c>
      <c r="R50" s="6">
        <v>43817</v>
      </c>
      <c r="S50" s="15">
        <v>30000000</v>
      </c>
      <c r="T50" s="78">
        <v>30000000</v>
      </c>
      <c r="U50" s="80">
        <f>IF(Table1[[#This Row],[Sub Type]]="Multi-Family",Table1[[#This Row],[Fair Market Value Estimate]]/Table1[[#This Row],[Units]],"N/A")</f>
        <v>69444.444444444438</v>
      </c>
      <c r="V50" s="80">
        <f>Table1[[#This Row],[Fair Market Value Estimate]]/Table1[[#This Row],[Size (SF)]]</f>
        <v>86.134622672929609</v>
      </c>
      <c r="W50" s="81">
        <v>44104</v>
      </c>
      <c r="X50" s="15"/>
      <c r="Y50" s="15"/>
      <c r="Z50" s="15"/>
      <c r="AA50" s="95">
        <f>VLOOKUP(Table1[[#This Row],[Property]],Toro!$B$10:$J$19,7,FALSE)</f>
        <v>271493.21266968327</v>
      </c>
      <c r="AB50" s="95">
        <f>VLOOKUP(Table1[[#This Row],[Property]],Toro!$B$10:$J$19,8,FALSE)</f>
        <v>5279185.5203619907</v>
      </c>
      <c r="AC50" s="95">
        <f>VLOOKUP(Table1[[#This Row],[Property]],Toro!$B$10:$J$19,9,FALSE)</f>
        <v>4155203.6199095021</v>
      </c>
      <c r="AD50" s="15"/>
      <c r="AE50" s="15"/>
      <c r="AF50" s="15"/>
      <c r="AG50" s="80">
        <f>SUM(Table1[[#This Row],[MLG Capital Historical Deal Equity]:[Legacy Fund Equity]])</f>
        <v>9705882.3529411759</v>
      </c>
      <c r="AH50" s="80">
        <f>Table1[[#This Row],[Fund I Equity]]*6/27.28+Table1[[#This Row],[Fund II Equity]]</f>
        <v>0</v>
      </c>
      <c r="AI50" s="6"/>
      <c r="AJ50" s="15"/>
      <c r="AK50" s="172" t="str">
        <f>IF(Table1[[#This Row],[Status]]="Sold",(Table1[[#This Row],[Date of Sale]]-Table1[[#This Row],[Acquisition Date]])/365,"")</f>
        <v/>
      </c>
      <c r="AL50" s="109"/>
      <c r="AM50" s="172" t="str">
        <f>IF(Table1[[#This Row],[Status]]="Sold",Table1[[#This Row],[Total Property Distributions]]/Table1[[#This Row],[Total Equity]],"")</f>
        <v/>
      </c>
      <c r="AN50" s="168"/>
      <c r="AO50" s="168" t="str">
        <f>IF(Table1[[#This Row],[Status]]="Sold",((Table1[[#This Row],[Total Property Distributions]]-Table1[[#This Row],[Total Equity]])/Table1[[#This Row],[Total Equity]])/Table1[[#This Row],[Holding Period]],"")</f>
        <v/>
      </c>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row>
    <row r="51" spans="2:70" s="10" customFormat="1" x14ac:dyDescent="0.2">
      <c r="B51" s="2" t="s">
        <v>39</v>
      </c>
      <c r="C51" s="2" t="s">
        <v>49</v>
      </c>
      <c r="D51" s="2" t="s">
        <v>126</v>
      </c>
      <c r="E51" s="2" t="s">
        <v>235</v>
      </c>
      <c r="F51" s="2" t="s">
        <v>403</v>
      </c>
      <c r="G51" s="2" t="s">
        <v>97</v>
      </c>
      <c r="H51" s="2" t="s">
        <v>97</v>
      </c>
      <c r="I51" s="2" t="s">
        <v>111</v>
      </c>
      <c r="J51" s="2" t="s">
        <v>138</v>
      </c>
      <c r="K51" s="2" t="s">
        <v>111</v>
      </c>
      <c r="L51" s="2" t="s">
        <v>147</v>
      </c>
      <c r="M51" s="5">
        <v>84912</v>
      </c>
      <c r="N51" s="5">
        <v>104</v>
      </c>
      <c r="O51" s="5"/>
      <c r="P51" s="5"/>
      <c r="Q51" s="2">
        <v>1986</v>
      </c>
      <c r="R51" s="6">
        <v>43817</v>
      </c>
      <c r="S51" s="15">
        <v>6500000</v>
      </c>
      <c r="T51" s="78">
        <v>6500000</v>
      </c>
      <c r="U51" s="80">
        <f>IF(Table1[[#This Row],[Sub Type]]="Multi-Family",Table1[[#This Row],[Fair Market Value Estimate]]/Table1[[#This Row],[Units]],"N/A")</f>
        <v>62500</v>
      </c>
      <c r="V51" s="80">
        <f>Table1[[#This Row],[Fair Market Value Estimate]]/Table1[[#This Row],[Size (SF)]]</f>
        <v>76.54983983418127</v>
      </c>
      <c r="W51" s="81">
        <v>44104</v>
      </c>
      <c r="X51" s="15"/>
      <c r="Y51" s="15"/>
      <c r="Z51" s="15"/>
      <c r="AA51" s="95">
        <f>VLOOKUP(Table1[[#This Row],[Property]],Toro!$B$10:$J$19,7,FALSE)</f>
        <v>58823.529411764714</v>
      </c>
      <c r="AB51" s="95">
        <f>VLOOKUP(Table1[[#This Row],[Property]],Toro!$B$10:$J$19,8,FALSE)</f>
        <v>1143823.5294117648</v>
      </c>
      <c r="AC51" s="95">
        <f>VLOOKUP(Table1[[#This Row],[Property]],Toro!$B$10:$J$19,9,FALSE)</f>
        <v>900294.11764705891</v>
      </c>
      <c r="AD51" s="15"/>
      <c r="AE51" s="15"/>
      <c r="AF51" s="15"/>
      <c r="AG51" s="80">
        <f>SUM(Table1[[#This Row],[MLG Capital Historical Deal Equity]:[Legacy Fund Equity]])</f>
        <v>2102941.1764705884</v>
      </c>
      <c r="AH51" s="80">
        <f>Table1[[#This Row],[Fund I Equity]]*6/27.28+Table1[[#This Row],[Fund II Equity]]</f>
        <v>0</v>
      </c>
      <c r="AI51" s="6"/>
      <c r="AJ51" s="15"/>
      <c r="AK51" s="172" t="str">
        <f>IF(Table1[[#This Row],[Status]]="Sold",(Table1[[#This Row],[Date of Sale]]-Table1[[#This Row],[Acquisition Date]])/365,"")</f>
        <v/>
      </c>
      <c r="AL51" s="109"/>
      <c r="AM51" s="172" t="str">
        <f>IF(Table1[[#This Row],[Status]]="Sold",Table1[[#This Row],[Total Property Distributions]]/Table1[[#This Row],[Total Equity]],"")</f>
        <v/>
      </c>
      <c r="AN51" s="168"/>
      <c r="AO51" s="168" t="str">
        <f>IF(Table1[[#This Row],[Status]]="Sold",((Table1[[#This Row],[Total Property Distributions]]-Table1[[#This Row],[Total Equity]])/Table1[[#This Row],[Total Equity]])/Table1[[#This Row],[Holding Period]],"")</f>
        <v/>
      </c>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row>
    <row r="52" spans="2:70" s="10" customFormat="1" x14ac:dyDescent="0.2">
      <c r="B52" s="2" t="s">
        <v>40</v>
      </c>
      <c r="C52" s="2" t="s">
        <v>49</v>
      </c>
      <c r="D52" s="2" t="s">
        <v>126</v>
      </c>
      <c r="E52" s="2" t="s">
        <v>235</v>
      </c>
      <c r="F52" s="2" t="s">
        <v>403</v>
      </c>
      <c r="G52" s="2" t="s">
        <v>97</v>
      </c>
      <c r="H52" s="2" t="s">
        <v>97</v>
      </c>
      <c r="I52" s="2" t="s">
        <v>111</v>
      </c>
      <c r="J52" s="2" t="s">
        <v>138</v>
      </c>
      <c r="K52" s="2" t="s">
        <v>111</v>
      </c>
      <c r="L52" s="2" t="s">
        <v>147</v>
      </c>
      <c r="M52" s="5">
        <v>359678</v>
      </c>
      <c r="N52" s="5">
        <v>458</v>
      </c>
      <c r="O52" s="5"/>
      <c r="P52" s="5"/>
      <c r="Q52" s="2">
        <v>1984</v>
      </c>
      <c r="R52" s="6">
        <v>43817</v>
      </c>
      <c r="S52" s="15">
        <v>33500000</v>
      </c>
      <c r="T52" s="78">
        <v>33500000</v>
      </c>
      <c r="U52" s="80">
        <f>IF(Table1[[#This Row],[Sub Type]]="Multi-Family",Table1[[#This Row],[Fair Market Value Estimate]]/Table1[[#This Row],[Units]],"N/A")</f>
        <v>73144.10480349345</v>
      </c>
      <c r="V52" s="80">
        <f>Table1[[#This Row],[Fair Market Value Estimate]]/Table1[[#This Row],[Size (SF)]]</f>
        <v>93.138863094212041</v>
      </c>
      <c r="W52" s="81">
        <v>44104</v>
      </c>
      <c r="X52" s="15"/>
      <c r="Y52" s="15"/>
      <c r="Z52" s="15"/>
      <c r="AA52" s="95">
        <f>VLOOKUP(Table1[[#This Row],[Property]],Toro!$B$10:$J$19,7,FALSE)</f>
        <v>303167.42081447964</v>
      </c>
      <c r="AB52" s="95">
        <f>VLOOKUP(Table1[[#This Row],[Property]],Toro!$B$10:$J$19,8,FALSE)</f>
        <v>5895090.4977375567</v>
      </c>
      <c r="AC52" s="95">
        <f>VLOOKUP(Table1[[#This Row],[Property]],Toro!$B$10:$J$19,9,FALSE)</f>
        <v>4639977.3755656108</v>
      </c>
      <c r="AD52" s="15"/>
      <c r="AE52" s="15"/>
      <c r="AF52" s="15"/>
      <c r="AG52" s="80">
        <f>SUM(Table1[[#This Row],[MLG Capital Historical Deal Equity]:[Legacy Fund Equity]])</f>
        <v>10838235.294117648</v>
      </c>
      <c r="AH52" s="80">
        <f>Table1[[#This Row],[Fund I Equity]]*6/27.28+Table1[[#This Row],[Fund II Equity]]</f>
        <v>0</v>
      </c>
      <c r="AI52" s="6"/>
      <c r="AJ52" s="15"/>
      <c r="AK52" s="172" t="str">
        <f>IF(Table1[[#This Row],[Status]]="Sold",(Table1[[#This Row],[Date of Sale]]-Table1[[#This Row],[Acquisition Date]])/365,"")</f>
        <v/>
      </c>
      <c r="AL52" s="109"/>
      <c r="AM52" s="172" t="str">
        <f>IF(Table1[[#This Row],[Status]]="Sold",Table1[[#This Row],[Total Property Distributions]]/Table1[[#This Row],[Total Equity]],"")</f>
        <v/>
      </c>
      <c r="AN52" s="168"/>
      <c r="AO52" s="168" t="str">
        <f>IF(Table1[[#This Row],[Status]]="Sold",((Table1[[#This Row],[Total Property Distributions]]-Table1[[#This Row],[Total Equity]])/Table1[[#This Row],[Total Equity]])/Table1[[#This Row],[Holding Period]],"")</f>
        <v/>
      </c>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row>
    <row r="53" spans="2:70" x14ac:dyDescent="0.2">
      <c r="B53" s="2" t="s">
        <v>41</v>
      </c>
      <c r="C53" s="2" t="s">
        <v>49</v>
      </c>
      <c r="D53" s="2" t="s">
        <v>126</v>
      </c>
      <c r="E53" s="2" t="s">
        <v>235</v>
      </c>
      <c r="F53" s="2" t="s">
        <v>403</v>
      </c>
      <c r="G53" s="2" t="s">
        <v>97</v>
      </c>
      <c r="H53" s="2" t="s">
        <v>97</v>
      </c>
      <c r="I53" s="2" t="s">
        <v>111</v>
      </c>
      <c r="J53" s="2" t="s">
        <v>138</v>
      </c>
      <c r="K53" s="2" t="s">
        <v>111</v>
      </c>
      <c r="L53" s="2" t="s">
        <v>147</v>
      </c>
      <c r="M53" s="5">
        <v>129548</v>
      </c>
      <c r="N53" s="5">
        <v>152</v>
      </c>
      <c r="O53" s="5"/>
      <c r="P53" s="5"/>
      <c r="Q53" s="2">
        <v>1985</v>
      </c>
      <c r="R53" s="6">
        <v>43817</v>
      </c>
      <c r="S53" s="15">
        <v>11500000</v>
      </c>
      <c r="T53" s="78">
        <v>11500000</v>
      </c>
      <c r="U53" s="80">
        <f>IF(Table1[[#This Row],[Sub Type]]="Multi-Family",Table1[[#This Row],[Fair Market Value Estimate]]/Table1[[#This Row],[Units]],"N/A")</f>
        <v>75657.894736842107</v>
      </c>
      <c r="V53" s="80">
        <f>Table1[[#This Row],[Fair Market Value Estimate]]/Table1[[#This Row],[Size (SF)]]</f>
        <v>88.770185568283566</v>
      </c>
      <c r="W53" s="81">
        <v>44104</v>
      </c>
      <c r="X53" s="15"/>
      <c r="Y53" s="15"/>
      <c r="Z53" s="15"/>
      <c r="AA53" s="95">
        <f>VLOOKUP(Table1[[#This Row],[Property]],Toro!$B$10:$J$19,7,FALSE)</f>
        <v>104072.39819004525</v>
      </c>
      <c r="AB53" s="95">
        <f>VLOOKUP(Table1[[#This Row],[Property]],Toro!$B$10:$J$19,8,FALSE)</f>
        <v>2023687.7828054298</v>
      </c>
      <c r="AC53" s="95">
        <f>VLOOKUP(Table1[[#This Row],[Property]],Toro!$B$10:$J$19,9,FALSE)</f>
        <v>1592828.0542986426</v>
      </c>
      <c r="AD53" s="15"/>
      <c r="AE53" s="15"/>
      <c r="AF53" s="15"/>
      <c r="AG53" s="80">
        <f>SUM(Table1[[#This Row],[MLG Capital Historical Deal Equity]:[Legacy Fund Equity]])</f>
        <v>3720588.2352941176</v>
      </c>
      <c r="AH53" s="80">
        <f>Table1[[#This Row],[Fund I Equity]]*6/27.28+Table1[[#This Row],[Fund II Equity]]</f>
        <v>0</v>
      </c>
      <c r="AI53" s="6"/>
      <c r="AJ53" s="15"/>
      <c r="AK53" s="172" t="str">
        <f>IF(Table1[[#This Row],[Status]]="Sold",(Table1[[#This Row],[Date of Sale]]-Table1[[#This Row],[Acquisition Date]])/365,"")</f>
        <v/>
      </c>
      <c r="AL53" s="109"/>
      <c r="AM53" s="172" t="str">
        <f>IF(Table1[[#This Row],[Status]]="Sold",Table1[[#This Row],[Total Property Distributions]]/Table1[[#This Row],[Total Equity]],"")</f>
        <v/>
      </c>
      <c r="AN53" s="168"/>
      <c r="AO53" s="168" t="str">
        <f>IF(Table1[[#This Row],[Status]]="Sold",((Table1[[#This Row],[Total Property Distributions]]-Table1[[#This Row],[Total Equity]])/Table1[[#This Row],[Total Equity]])/Table1[[#This Row],[Holding Period]],"")</f>
        <v/>
      </c>
      <c r="BR53" s="1"/>
    </row>
    <row r="54" spans="2:70" s="10" customFormat="1" x14ac:dyDescent="0.2">
      <c r="B54" s="2" t="s">
        <v>42</v>
      </c>
      <c r="C54" s="2" t="s">
        <v>49</v>
      </c>
      <c r="D54" s="2" t="s">
        <v>126</v>
      </c>
      <c r="E54" s="2" t="s">
        <v>235</v>
      </c>
      <c r="F54" s="2" t="s">
        <v>403</v>
      </c>
      <c r="G54" s="2" t="s">
        <v>97</v>
      </c>
      <c r="H54" s="2" t="s">
        <v>97</v>
      </c>
      <c r="I54" s="2" t="s">
        <v>111</v>
      </c>
      <c r="J54" s="2" t="s">
        <v>138</v>
      </c>
      <c r="K54" s="2" t="s">
        <v>111</v>
      </c>
      <c r="L54" s="2" t="s">
        <v>147</v>
      </c>
      <c r="M54" s="5">
        <v>398395</v>
      </c>
      <c r="N54" s="5">
        <v>423</v>
      </c>
      <c r="O54" s="5"/>
      <c r="P54" s="5"/>
      <c r="Q54" s="2">
        <v>1978</v>
      </c>
      <c r="R54" s="6">
        <v>43817</v>
      </c>
      <c r="S54" s="15">
        <v>41000000</v>
      </c>
      <c r="T54" s="78">
        <v>41000000</v>
      </c>
      <c r="U54" s="80">
        <f>IF(Table1[[#This Row],[Sub Type]]="Multi-Family",Table1[[#This Row],[Fair Market Value Estimate]]/Table1[[#This Row],[Units]],"N/A")</f>
        <v>96926.713947990545</v>
      </c>
      <c r="V54" s="80">
        <f>Table1[[#This Row],[Fair Market Value Estimate]]/Table1[[#This Row],[Size (SF)]]</f>
        <v>102.9129381643846</v>
      </c>
      <c r="W54" s="81">
        <v>44104</v>
      </c>
      <c r="X54" s="15"/>
      <c r="Y54" s="15"/>
      <c r="Z54" s="15"/>
      <c r="AA54" s="95">
        <f>VLOOKUP(Table1[[#This Row],[Property]],Toro!$B$10:$J$19,7,FALSE)</f>
        <v>371040.72398190049</v>
      </c>
      <c r="AB54" s="95">
        <f>VLOOKUP(Table1[[#This Row],[Property]],Toro!$B$10:$J$19,8,FALSE)</f>
        <v>7214886.8778280551</v>
      </c>
      <c r="AC54" s="95">
        <f>VLOOKUP(Table1[[#This Row],[Property]],Toro!$B$10:$J$19,9,FALSE)</f>
        <v>5678778.2805429874</v>
      </c>
      <c r="AD54" s="15"/>
      <c r="AE54" s="15"/>
      <c r="AF54" s="15"/>
      <c r="AG54" s="80">
        <f>SUM(Table1[[#This Row],[MLG Capital Historical Deal Equity]:[Legacy Fund Equity]])</f>
        <v>13264705.882352943</v>
      </c>
      <c r="AH54" s="80">
        <f>Table1[[#This Row],[Fund I Equity]]*6/27.28+Table1[[#This Row],[Fund II Equity]]</f>
        <v>0</v>
      </c>
      <c r="AI54" s="6"/>
      <c r="AJ54" s="15"/>
      <c r="AK54" s="172" t="str">
        <f>IF(Table1[[#This Row],[Status]]="Sold",(Table1[[#This Row],[Date of Sale]]-Table1[[#This Row],[Acquisition Date]])/365,"")</f>
        <v/>
      </c>
      <c r="AL54" s="109"/>
      <c r="AM54" s="172" t="str">
        <f>IF(Table1[[#This Row],[Status]]="Sold",Table1[[#This Row],[Total Property Distributions]]/Table1[[#This Row],[Total Equity]],"")</f>
        <v/>
      </c>
      <c r="AN54" s="168"/>
      <c r="AO54" s="168" t="str">
        <f>IF(Table1[[#This Row],[Status]]="Sold",((Table1[[#This Row],[Total Property Distributions]]-Table1[[#This Row],[Total Equity]])/Table1[[#This Row],[Total Equity]])/Table1[[#This Row],[Holding Period]],"")</f>
        <v/>
      </c>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row>
    <row r="55" spans="2:70" s="10" customFormat="1" x14ac:dyDescent="0.2">
      <c r="B55" s="2" t="s">
        <v>43</v>
      </c>
      <c r="C55" s="2" t="s">
        <v>49</v>
      </c>
      <c r="D55" s="2" t="s">
        <v>126</v>
      </c>
      <c r="E55" s="2" t="s">
        <v>235</v>
      </c>
      <c r="F55" s="2" t="s">
        <v>403</v>
      </c>
      <c r="G55" s="2" t="s">
        <v>97</v>
      </c>
      <c r="H55" s="2" t="s">
        <v>97</v>
      </c>
      <c r="I55" s="2" t="s">
        <v>112</v>
      </c>
      <c r="J55" s="2" t="s">
        <v>138</v>
      </c>
      <c r="K55" s="2" t="s">
        <v>112</v>
      </c>
      <c r="L55" s="2" t="s">
        <v>147</v>
      </c>
      <c r="M55" s="5">
        <v>130550</v>
      </c>
      <c r="N55" s="5">
        <v>142</v>
      </c>
      <c r="O55" s="5"/>
      <c r="P55" s="5"/>
      <c r="Q55" s="2">
        <v>1984</v>
      </c>
      <c r="R55" s="6">
        <v>43817</v>
      </c>
      <c r="S55" s="15">
        <v>9250000</v>
      </c>
      <c r="T55" s="78">
        <v>9250000</v>
      </c>
      <c r="U55" s="80">
        <f>IF(Table1[[#This Row],[Sub Type]]="Multi-Family",Table1[[#This Row],[Fair Market Value Estimate]]/Table1[[#This Row],[Units]],"N/A")</f>
        <v>65140.845070422532</v>
      </c>
      <c r="V55" s="80">
        <f>Table1[[#This Row],[Fair Market Value Estimate]]/Table1[[#This Row],[Size (SF)]]</f>
        <v>70.854078896974343</v>
      </c>
      <c r="W55" s="81">
        <v>44104</v>
      </c>
      <c r="X55" s="15"/>
      <c r="Y55" s="15"/>
      <c r="Z55" s="15"/>
      <c r="AA55" s="95">
        <f>VLOOKUP(Table1[[#This Row],[Property]],Toro!$B$10:$J$19,7,FALSE)</f>
        <v>83710.407239819004</v>
      </c>
      <c r="AB55" s="95">
        <f>VLOOKUP(Table1[[#This Row],[Property]],Toro!$B$10:$J$19,8,FALSE)</f>
        <v>1627748.8687782804</v>
      </c>
      <c r="AC55" s="95">
        <f>VLOOKUP(Table1[[#This Row],[Property]],Toro!$B$10:$J$19,9,FALSE)</f>
        <v>1281187.7828054298</v>
      </c>
      <c r="AD55" s="15"/>
      <c r="AE55" s="15"/>
      <c r="AF55" s="15"/>
      <c r="AG55" s="80">
        <f>SUM(Table1[[#This Row],[MLG Capital Historical Deal Equity]:[Legacy Fund Equity]])</f>
        <v>2992647.0588235292</v>
      </c>
      <c r="AH55" s="80">
        <f>Table1[[#This Row],[Fund I Equity]]*6/27.28+Table1[[#This Row],[Fund II Equity]]</f>
        <v>0</v>
      </c>
      <c r="AI55" s="6"/>
      <c r="AJ55" s="15"/>
      <c r="AK55" s="172" t="str">
        <f>IF(Table1[[#This Row],[Status]]="Sold",(Table1[[#This Row],[Date of Sale]]-Table1[[#This Row],[Acquisition Date]])/365,"")</f>
        <v/>
      </c>
      <c r="AL55" s="109"/>
      <c r="AM55" s="172" t="str">
        <f>IF(Table1[[#This Row],[Status]]="Sold",Table1[[#This Row],[Total Property Distributions]]/Table1[[#This Row],[Total Equity]],"")</f>
        <v/>
      </c>
      <c r="AN55" s="168"/>
      <c r="AO55" s="168" t="str">
        <f>IF(Table1[[#This Row],[Status]]="Sold",((Table1[[#This Row],[Total Property Distributions]]-Table1[[#This Row],[Total Equity]])/Table1[[#This Row],[Total Equity]])/Table1[[#This Row],[Holding Period]],"")</f>
        <v/>
      </c>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row>
    <row r="56" spans="2:70" s="10" customFormat="1" x14ac:dyDescent="0.2">
      <c r="B56" s="2" t="s">
        <v>44</v>
      </c>
      <c r="C56" s="2" t="s">
        <v>49</v>
      </c>
      <c r="D56" s="2" t="s">
        <v>126</v>
      </c>
      <c r="E56" s="2" t="s">
        <v>235</v>
      </c>
      <c r="F56" s="2" t="s">
        <v>403</v>
      </c>
      <c r="G56" s="2" t="s">
        <v>97</v>
      </c>
      <c r="H56" s="2" t="s">
        <v>97</v>
      </c>
      <c r="I56" s="2" t="s">
        <v>112</v>
      </c>
      <c r="J56" s="2" t="s">
        <v>138</v>
      </c>
      <c r="K56" s="2" t="s">
        <v>112</v>
      </c>
      <c r="L56" s="2" t="s">
        <v>147</v>
      </c>
      <c r="M56" s="5">
        <v>227444</v>
      </c>
      <c r="N56" s="5">
        <v>284</v>
      </c>
      <c r="O56" s="5"/>
      <c r="P56" s="5"/>
      <c r="Q56" s="2">
        <v>1984</v>
      </c>
      <c r="R56" s="6">
        <v>43817</v>
      </c>
      <c r="S56" s="15">
        <v>18500000</v>
      </c>
      <c r="T56" s="78">
        <v>18500000</v>
      </c>
      <c r="U56" s="80">
        <f>IF(Table1[[#This Row],[Sub Type]]="Multi-Family",Table1[[#This Row],[Fair Market Value Estimate]]/Table1[[#This Row],[Units]],"N/A")</f>
        <v>65140.845070422532</v>
      </c>
      <c r="V56" s="80">
        <f>Table1[[#This Row],[Fair Market Value Estimate]]/Table1[[#This Row],[Size (SF)]]</f>
        <v>81.338703153303669</v>
      </c>
      <c r="W56" s="81">
        <v>44104</v>
      </c>
      <c r="X56" s="15"/>
      <c r="Y56" s="15"/>
      <c r="Z56" s="15"/>
      <c r="AA56" s="95">
        <f>VLOOKUP(Table1[[#This Row],[Property]],Toro!$B$10:$J$19,7,FALSE)</f>
        <v>167420.81447963801</v>
      </c>
      <c r="AB56" s="95">
        <f>VLOOKUP(Table1[[#This Row],[Property]],Toro!$B$10:$J$19,8,FALSE)</f>
        <v>3255497.7375565609</v>
      </c>
      <c r="AC56" s="95">
        <f>VLOOKUP(Table1[[#This Row],[Property]],Toro!$B$10:$J$19,9,FALSE)</f>
        <v>2562375.5656108595</v>
      </c>
      <c r="AD56" s="15"/>
      <c r="AE56" s="15"/>
      <c r="AF56" s="15"/>
      <c r="AG56" s="80">
        <f>SUM(Table1[[#This Row],[MLG Capital Historical Deal Equity]:[Legacy Fund Equity]])</f>
        <v>5985294.1176470583</v>
      </c>
      <c r="AH56" s="80">
        <f>Table1[[#This Row],[Fund I Equity]]*6/27.28+Table1[[#This Row],[Fund II Equity]]</f>
        <v>0</v>
      </c>
      <c r="AI56" s="6"/>
      <c r="AJ56" s="15"/>
      <c r="AK56" s="172" t="str">
        <f>IF(Table1[[#This Row],[Status]]="Sold",(Table1[[#This Row],[Date of Sale]]-Table1[[#This Row],[Acquisition Date]])/365,"")</f>
        <v/>
      </c>
      <c r="AL56" s="109"/>
      <c r="AM56" s="172" t="str">
        <f>IF(Table1[[#This Row],[Status]]="Sold",Table1[[#This Row],[Total Property Distributions]]/Table1[[#This Row],[Total Equity]],"")</f>
        <v/>
      </c>
      <c r="AN56" s="168"/>
      <c r="AO56" s="168" t="str">
        <f>IF(Table1[[#This Row],[Status]]="Sold",((Table1[[#This Row],[Total Property Distributions]]-Table1[[#This Row],[Total Equity]])/Table1[[#This Row],[Total Equity]])/Table1[[#This Row],[Holding Period]],"")</f>
        <v/>
      </c>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row>
    <row r="57" spans="2:70" s="10" customFormat="1" x14ac:dyDescent="0.2">
      <c r="B57" s="11" t="s">
        <v>46</v>
      </c>
      <c r="C57" s="11" t="s">
        <v>49</v>
      </c>
      <c r="D57" s="11"/>
      <c r="E57" s="11" t="s">
        <v>235</v>
      </c>
      <c r="F57" s="2" t="s">
        <v>404</v>
      </c>
      <c r="G57" s="2" t="s">
        <v>97</v>
      </c>
      <c r="H57" s="11" t="s">
        <v>97</v>
      </c>
      <c r="I57" s="11" t="s">
        <v>144</v>
      </c>
      <c r="J57" s="11" t="s">
        <v>130</v>
      </c>
      <c r="K57" s="11" t="s">
        <v>105</v>
      </c>
      <c r="L57" s="11" t="s">
        <v>147</v>
      </c>
      <c r="M57" s="12">
        <v>163760</v>
      </c>
      <c r="N57" s="12">
        <v>202</v>
      </c>
      <c r="O57" s="12"/>
      <c r="P57" s="12"/>
      <c r="Q57" s="11">
        <v>1966</v>
      </c>
      <c r="R57" s="13">
        <v>43874</v>
      </c>
      <c r="S57" s="16">
        <v>14000000</v>
      </c>
      <c r="T57" s="79">
        <v>13940000</v>
      </c>
      <c r="U57" s="82">
        <f>IF(Table1[[#This Row],[Sub Type]]="Multi-Family",Table1[[#This Row],[Fair Market Value Estimate]]/Table1[[#This Row],[Units]],"N/A")</f>
        <v>69009.900990099006</v>
      </c>
      <c r="V57" s="82">
        <f>Table1[[#This Row],[Fair Market Value Estimate]]/Table1[[#This Row],[Size (SF)]]</f>
        <v>85.124572545188073</v>
      </c>
      <c r="W57" s="81">
        <v>44104</v>
      </c>
      <c r="X57" s="16"/>
      <c r="Y57" s="16"/>
      <c r="Z57" s="16"/>
      <c r="AA57" s="16"/>
      <c r="AB57" s="16"/>
      <c r="AC57" s="16"/>
      <c r="AD57" s="16"/>
      <c r="AE57" s="16">
        <v>8179995.3200000003</v>
      </c>
      <c r="AF57" s="16"/>
      <c r="AG57" s="82">
        <f>SUM(Table1[[#This Row],[MLG Capital Historical Deal Equity]:[Legacy Fund Equity]])</f>
        <v>8179995.3200000003</v>
      </c>
      <c r="AH57" s="82">
        <f>Table1[[#This Row],[Fund I Equity]]*6/27.28+Table1[[#This Row],[Fund II Equity]]</f>
        <v>0</v>
      </c>
      <c r="AI57" s="13"/>
      <c r="AJ57" s="16"/>
      <c r="AK57" s="162" t="str">
        <f>IF(Table1[[#This Row],[Status]]="Sold",(Table1[[#This Row],[Date of Sale]]-Table1[[#This Row],[Acquisition Date]])/365,"")</f>
        <v/>
      </c>
      <c r="AL57" s="117"/>
      <c r="AM57" s="162" t="str">
        <f>IF(Table1[[#This Row],[Status]]="Sold",Table1[[#This Row],[Total Property Distributions]]/Table1[[#This Row],[Total Equity]],"")</f>
        <v/>
      </c>
      <c r="AN57" s="168"/>
      <c r="AO57" s="166" t="str">
        <f>IF(Table1[[#This Row],[Status]]="Sold",((Table1[[#This Row],[Total Property Distributions]]-Table1[[#This Row],[Total Equity]])/Table1[[#This Row],[Total Equity]])/Table1[[#This Row],[Holding Period]],"")</f>
        <v/>
      </c>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row>
    <row r="58" spans="2:70" s="10" customFormat="1" x14ac:dyDescent="0.2">
      <c r="B58" s="11" t="s">
        <v>47</v>
      </c>
      <c r="C58" s="11" t="s">
        <v>49</v>
      </c>
      <c r="D58" s="11"/>
      <c r="E58" s="11" t="s">
        <v>235</v>
      </c>
      <c r="F58" s="2" t="s">
        <v>404</v>
      </c>
      <c r="G58" s="2" t="s">
        <v>97</v>
      </c>
      <c r="H58" s="11" t="s">
        <v>97</v>
      </c>
      <c r="I58" s="11" t="s">
        <v>52</v>
      </c>
      <c r="J58" s="11" t="s">
        <v>129</v>
      </c>
      <c r="K58" s="11" t="s">
        <v>50</v>
      </c>
      <c r="L58" s="11" t="s">
        <v>147</v>
      </c>
      <c r="M58" s="12">
        <v>272856</v>
      </c>
      <c r="N58" s="12">
        <v>337</v>
      </c>
      <c r="O58" s="12"/>
      <c r="P58" s="12"/>
      <c r="Q58" s="11">
        <v>2019</v>
      </c>
      <c r="R58" s="13">
        <v>43908</v>
      </c>
      <c r="S58" s="16">
        <v>46700000</v>
      </c>
      <c r="T58" s="79">
        <v>47900000</v>
      </c>
      <c r="U58" s="82">
        <f>IF(Table1[[#This Row],[Sub Type]]="Multi-Family",Table1[[#This Row],[Fair Market Value Estimate]]/Table1[[#This Row],[Units]],"N/A")</f>
        <v>142136.49851632048</v>
      </c>
      <c r="V58" s="82">
        <f>Table1[[#This Row],[Fair Market Value Estimate]]/Table1[[#This Row],[Size (SF)]]</f>
        <v>175.55047350983668</v>
      </c>
      <c r="W58" s="81">
        <v>44104</v>
      </c>
      <c r="X58" s="16"/>
      <c r="Y58" s="16"/>
      <c r="Z58" s="16"/>
      <c r="AA58" s="16"/>
      <c r="AB58" s="16"/>
      <c r="AC58" s="16"/>
      <c r="AD58" s="16"/>
      <c r="AE58" s="16">
        <v>23058734</v>
      </c>
      <c r="AF58" s="16"/>
      <c r="AG58" s="82">
        <f>SUM(Table1[[#This Row],[MLG Capital Historical Deal Equity]:[Legacy Fund Equity]])</f>
        <v>23058734</v>
      </c>
      <c r="AH58" s="82">
        <f>Table1[[#This Row],[Fund I Equity]]*6/27.28+Table1[[#This Row],[Fund II Equity]]</f>
        <v>0</v>
      </c>
      <c r="AI58" s="13"/>
      <c r="AJ58" s="16"/>
      <c r="AK58" s="162" t="str">
        <f>IF(Table1[[#This Row],[Status]]="Sold",(Table1[[#This Row],[Date of Sale]]-Table1[[#This Row],[Acquisition Date]])/365,"")</f>
        <v/>
      </c>
      <c r="AL58" s="117"/>
      <c r="AM58" s="162" t="str">
        <f>IF(Table1[[#This Row],[Status]]="Sold",Table1[[#This Row],[Total Property Distributions]]/Table1[[#This Row],[Total Equity]],"")</f>
        <v/>
      </c>
      <c r="AN58" s="168"/>
      <c r="AO58" s="166" t="str">
        <f>IF(Table1[[#This Row],[Status]]="Sold",((Table1[[#This Row],[Total Property Distributions]]-Table1[[#This Row],[Total Equity]])/Table1[[#This Row],[Total Equity]])/Table1[[#This Row],[Holding Period]],"")</f>
        <v/>
      </c>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row>
    <row r="59" spans="2:70" s="10" customFormat="1" x14ac:dyDescent="0.2">
      <c r="B59" s="11" t="s">
        <v>48</v>
      </c>
      <c r="C59" s="11" t="s">
        <v>49</v>
      </c>
      <c r="D59" s="11"/>
      <c r="E59" s="11" t="s">
        <v>235</v>
      </c>
      <c r="F59" s="2" t="s">
        <v>404</v>
      </c>
      <c r="G59" s="2" t="s">
        <v>97</v>
      </c>
      <c r="H59" s="11" t="s">
        <v>97</v>
      </c>
      <c r="I59" s="11" t="s">
        <v>51</v>
      </c>
      <c r="J59" s="11" t="s">
        <v>130</v>
      </c>
      <c r="K59" s="11" t="s">
        <v>105</v>
      </c>
      <c r="L59" s="11" t="s">
        <v>147</v>
      </c>
      <c r="M59" s="12">
        <v>45820</v>
      </c>
      <c r="N59" s="12">
        <v>78</v>
      </c>
      <c r="O59" s="12"/>
      <c r="P59" s="12"/>
      <c r="Q59" s="11">
        <v>1998</v>
      </c>
      <c r="R59" s="13">
        <v>43908</v>
      </c>
      <c r="S59" s="16">
        <v>6735000</v>
      </c>
      <c r="T59" s="79">
        <v>7780000</v>
      </c>
      <c r="U59" s="82">
        <f>IF(Table1[[#This Row],[Sub Type]]="Multi-Family",Table1[[#This Row],[Fair Market Value Estimate]]/Table1[[#This Row],[Units]],"N/A")</f>
        <v>99743.58974358975</v>
      </c>
      <c r="V59" s="82">
        <f>Table1[[#This Row],[Fair Market Value Estimate]]/Table1[[#This Row],[Size (SF)]]</f>
        <v>169.79484941073767</v>
      </c>
      <c r="W59" s="81">
        <v>44104</v>
      </c>
      <c r="X59" s="16"/>
      <c r="Y59" s="16"/>
      <c r="Z59" s="16"/>
      <c r="AA59" s="16"/>
      <c r="AB59" s="16"/>
      <c r="AC59" s="16"/>
      <c r="AD59" s="16"/>
      <c r="AE59" s="16">
        <v>3056134.61</v>
      </c>
      <c r="AF59" s="16"/>
      <c r="AG59" s="82">
        <f>SUM(Table1[[#This Row],[MLG Capital Historical Deal Equity]:[Legacy Fund Equity]])</f>
        <v>3056134.61</v>
      </c>
      <c r="AH59" s="82">
        <f>Table1[[#This Row],[Fund I Equity]]*6/27.28+Table1[[#This Row],[Fund II Equity]]</f>
        <v>0</v>
      </c>
      <c r="AI59" s="13"/>
      <c r="AJ59" s="16"/>
      <c r="AK59" s="162" t="str">
        <f>IF(Table1[[#This Row],[Status]]="Sold",(Table1[[#This Row],[Date of Sale]]-Table1[[#This Row],[Acquisition Date]])/365,"")</f>
        <v/>
      </c>
      <c r="AL59" s="117"/>
      <c r="AM59" s="162" t="str">
        <f>IF(Table1[[#This Row],[Status]]="Sold",Table1[[#This Row],[Total Property Distributions]]/Table1[[#This Row],[Total Equity]],"")</f>
        <v/>
      </c>
      <c r="AN59" s="168"/>
      <c r="AO59" s="166" t="str">
        <f>IF(Table1[[#This Row],[Status]]="Sold",((Table1[[#This Row],[Total Property Distributions]]-Table1[[#This Row],[Total Equity]])/Table1[[#This Row],[Total Equity]])/Table1[[#This Row],[Holding Period]],"")</f>
        <v/>
      </c>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row>
    <row r="60" spans="2:70" s="10" customFormat="1" x14ac:dyDescent="0.2">
      <c r="B60" s="2" t="s">
        <v>45</v>
      </c>
      <c r="C60" s="2" t="s">
        <v>49</v>
      </c>
      <c r="D60" s="2"/>
      <c r="E60" s="2" t="s">
        <v>235</v>
      </c>
      <c r="F60" s="2" t="s">
        <v>403</v>
      </c>
      <c r="G60" s="2" t="s">
        <v>97</v>
      </c>
      <c r="H60" s="2" t="s">
        <v>97</v>
      </c>
      <c r="I60" s="2" t="s">
        <v>113</v>
      </c>
      <c r="J60" s="2" t="s">
        <v>136</v>
      </c>
      <c r="K60" s="2" t="s">
        <v>113</v>
      </c>
      <c r="L60" s="2" t="s">
        <v>155</v>
      </c>
      <c r="M60" s="5">
        <v>185884</v>
      </c>
      <c r="N60" s="5">
        <v>232</v>
      </c>
      <c r="O60" s="5"/>
      <c r="P60" s="5"/>
      <c r="Q60" s="2">
        <v>1997</v>
      </c>
      <c r="R60" s="6">
        <v>43917</v>
      </c>
      <c r="S60" s="15">
        <v>54000000</v>
      </c>
      <c r="T60" s="78">
        <v>58360000</v>
      </c>
      <c r="U60" s="80">
        <f>IF(Table1[[#This Row],[Sub Type]]="Multi-Family",Table1[[#This Row],[Fair Market Value Estimate]]/Table1[[#This Row],[Units]],"N/A")</f>
        <v>251551.72413793104</v>
      </c>
      <c r="V60" s="80">
        <f>Table1[[#This Row],[Fair Market Value Estimate]]/Table1[[#This Row],[Size (SF)]]</f>
        <v>313.95924339910914</v>
      </c>
      <c r="W60" s="81">
        <v>44104</v>
      </c>
      <c r="X60" s="15"/>
      <c r="Y60" s="15"/>
      <c r="Z60" s="15"/>
      <c r="AA60" s="15">
        <v>5095000</v>
      </c>
      <c r="AB60" s="15">
        <v>14000000</v>
      </c>
      <c r="AC60" s="15"/>
      <c r="AD60" s="15">
        <v>1005000</v>
      </c>
      <c r="AE60" s="15"/>
      <c r="AF60" s="15"/>
      <c r="AG60" s="80">
        <f>SUM(Table1[[#This Row],[MLG Capital Historical Deal Equity]:[Legacy Fund Equity]])</f>
        <v>20100000</v>
      </c>
      <c r="AH60" s="80">
        <f>Table1[[#This Row],[Fund I Equity]]*6/27.28+Table1[[#This Row],[Fund II Equity]]</f>
        <v>0</v>
      </c>
      <c r="AI60" s="6"/>
      <c r="AJ60" s="15"/>
      <c r="AK60" s="172" t="str">
        <f>IF(Table1[[#This Row],[Status]]="Sold",(Table1[[#This Row],[Date of Sale]]-Table1[[#This Row],[Acquisition Date]])/365,"")</f>
        <v/>
      </c>
      <c r="AL60" s="109"/>
      <c r="AM60" s="172" t="str">
        <f>IF(Table1[[#This Row],[Status]]="Sold",Table1[[#This Row],[Total Property Distributions]]/Table1[[#This Row],[Total Equity]],"")</f>
        <v/>
      </c>
      <c r="AN60" s="168"/>
      <c r="AO60" s="168" t="str">
        <f>IF(Table1[[#This Row],[Status]]="Sold",((Table1[[#This Row],[Total Property Distributions]]-Table1[[#This Row],[Total Equity]])/Table1[[#This Row],[Total Equity]])/Table1[[#This Row],[Holding Period]],"")</f>
        <v/>
      </c>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row>
    <row r="61" spans="2:70" s="10" customFormat="1" x14ac:dyDescent="0.2">
      <c r="B61" s="11" t="s">
        <v>95</v>
      </c>
      <c r="C61" s="11" t="s">
        <v>49</v>
      </c>
      <c r="D61" s="11"/>
      <c r="E61" s="2" t="s">
        <v>235</v>
      </c>
      <c r="F61" s="2" t="s">
        <v>403</v>
      </c>
      <c r="G61" s="2" t="s">
        <v>97</v>
      </c>
      <c r="H61" s="11" t="s">
        <v>97</v>
      </c>
      <c r="I61" s="11" t="s">
        <v>110</v>
      </c>
      <c r="J61" s="11" t="s">
        <v>129</v>
      </c>
      <c r="K61" s="11" t="s">
        <v>110</v>
      </c>
      <c r="L61" s="11" t="s">
        <v>147</v>
      </c>
      <c r="M61" s="12">
        <v>323522</v>
      </c>
      <c r="N61" s="12">
        <v>342</v>
      </c>
      <c r="O61" s="12"/>
      <c r="P61" s="12"/>
      <c r="Q61" s="11">
        <v>2014</v>
      </c>
      <c r="R61" s="13">
        <v>43944</v>
      </c>
      <c r="S61" s="16">
        <v>54150000</v>
      </c>
      <c r="T61" s="79">
        <v>54150000</v>
      </c>
      <c r="U61" s="82">
        <f>IF(Table1[[#This Row],[Sub Type]]="Multi-Family",Table1[[#This Row],[Fair Market Value Estimate]]/Table1[[#This Row],[Units]],"N/A")</f>
        <v>158333.33333333334</v>
      </c>
      <c r="V61" s="82">
        <f>Table1[[#This Row],[Fair Market Value Estimate]]/Table1[[#This Row],[Size (SF)]]</f>
        <v>167.37656171759571</v>
      </c>
      <c r="W61" s="81">
        <v>44104</v>
      </c>
      <c r="X61" s="16"/>
      <c r="Y61" s="16"/>
      <c r="Z61" s="16"/>
      <c r="AA61" s="16"/>
      <c r="AB61" s="16">
        <v>5410000</v>
      </c>
      <c r="AC61" s="16"/>
      <c r="AD61" s="16"/>
      <c r="AE61" s="16">
        <f>(3595000*2)+7865000</f>
        <v>15055000</v>
      </c>
      <c r="AF61" s="16"/>
      <c r="AG61" s="82">
        <f>SUM(Table1[[#This Row],[MLG Capital Historical Deal Equity]:[Legacy Fund Equity]])</f>
        <v>20465000</v>
      </c>
      <c r="AH61" s="82">
        <f>Table1[[#This Row],[Fund I Equity]]*6/27.28+Table1[[#This Row],[Fund II Equity]]</f>
        <v>0</v>
      </c>
      <c r="AI61" s="13"/>
      <c r="AJ61" s="16"/>
      <c r="AK61" s="162" t="str">
        <f>IF(Table1[[#This Row],[Status]]="Sold",(Table1[[#This Row],[Date of Sale]]-Table1[[#This Row],[Acquisition Date]])/365,"")</f>
        <v/>
      </c>
      <c r="AL61" s="117"/>
      <c r="AM61" s="162" t="str">
        <f>IF(Table1[[#This Row],[Status]]="Sold",Table1[[#This Row],[Total Property Distributions]]/Table1[[#This Row],[Total Equity]],"")</f>
        <v/>
      </c>
      <c r="AN61" s="168"/>
      <c r="AO61" s="166" t="str">
        <f>IF(Table1[[#This Row],[Status]]="Sold",((Table1[[#This Row],[Total Property Distributions]]-Table1[[#This Row],[Total Equity]])/Table1[[#This Row],[Total Equity]])/Table1[[#This Row],[Holding Period]],"")</f>
        <v/>
      </c>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row>
    <row r="62" spans="2:70" s="10" customFormat="1" x14ac:dyDescent="0.2">
      <c r="B62" s="11" t="s">
        <v>96</v>
      </c>
      <c r="C62" s="11" t="s">
        <v>49</v>
      </c>
      <c r="D62" s="11"/>
      <c r="E62" s="2" t="s">
        <v>235</v>
      </c>
      <c r="F62" s="2" t="s">
        <v>403</v>
      </c>
      <c r="G62" s="2" t="s">
        <v>97</v>
      </c>
      <c r="H62" s="11" t="s">
        <v>97</v>
      </c>
      <c r="I62" s="11" t="s">
        <v>117</v>
      </c>
      <c r="J62" s="11" t="s">
        <v>118</v>
      </c>
      <c r="K62" s="11" t="s">
        <v>117</v>
      </c>
      <c r="L62" s="11" t="s">
        <v>151</v>
      </c>
      <c r="M62" s="12">
        <v>493096</v>
      </c>
      <c r="N62" s="12">
        <v>456</v>
      </c>
      <c r="O62" s="12"/>
      <c r="P62" s="12"/>
      <c r="Q62" s="11">
        <v>2015</v>
      </c>
      <c r="R62" s="13">
        <v>43964</v>
      </c>
      <c r="S62" s="16">
        <v>73000000</v>
      </c>
      <c r="T62" s="79">
        <v>73000000</v>
      </c>
      <c r="U62" s="82">
        <f>IF(Table1[[#This Row],[Sub Type]]="Multi-Family",Table1[[#This Row],[Fair Market Value Estimate]]/Table1[[#This Row],[Units]],"N/A")</f>
        <v>160087.71929824562</v>
      </c>
      <c r="V62" s="82">
        <f>Table1[[#This Row],[Fair Market Value Estimate]]/Table1[[#This Row],[Size (SF)]]</f>
        <v>148.04419423398284</v>
      </c>
      <c r="W62" s="81">
        <v>44104</v>
      </c>
      <c r="X62" s="16"/>
      <c r="Y62" s="16"/>
      <c r="Z62" s="16"/>
      <c r="AA62" s="16"/>
      <c r="AB62" s="16">
        <v>8075000</v>
      </c>
      <c r="AC62" s="16"/>
      <c r="AD62" s="16">
        <v>2350000</v>
      </c>
      <c r="AE62" s="16">
        <f>(3712000*2)+8345000</f>
        <v>15769000</v>
      </c>
      <c r="AF62" s="16"/>
      <c r="AG62" s="82">
        <f>SUM(Table1[[#This Row],[MLG Capital Historical Deal Equity]:[Legacy Fund Equity]])</f>
        <v>26194000</v>
      </c>
      <c r="AH62" s="82">
        <f>Table1[[#This Row],[Fund I Equity]]*6/27.28+Table1[[#This Row],[Fund II Equity]]</f>
        <v>0</v>
      </c>
      <c r="AI62" s="13"/>
      <c r="AJ62" s="16"/>
      <c r="AK62" s="162" t="str">
        <f>IF(Table1[[#This Row],[Status]]="Sold",(Table1[[#This Row],[Date of Sale]]-Table1[[#This Row],[Acquisition Date]])/365,"")</f>
        <v/>
      </c>
      <c r="AL62" s="117"/>
      <c r="AM62" s="162" t="str">
        <f>IF(Table1[[#This Row],[Status]]="Sold",Table1[[#This Row],[Total Property Distributions]]/Table1[[#This Row],[Total Equity]],"")</f>
        <v/>
      </c>
      <c r="AN62" s="168"/>
      <c r="AO62" s="166" t="str">
        <f>IF(Table1[[#This Row],[Status]]="Sold",((Table1[[#This Row],[Total Property Distributions]]-Table1[[#This Row],[Total Equity]])/Table1[[#This Row],[Total Equity]])/Table1[[#This Row],[Holding Period]],"")</f>
        <v/>
      </c>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row>
    <row r="63" spans="2:70" s="10" customFormat="1" x14ac:dyDescent="0.2">
      <c r="B63" s="11" t="s">
        <v>542</v>
      </c>
      <c r="C63" s="11" t="s">
        <v>49</v>
      </c>
      <c r="D63" s="11"/>
      <c r="E63" s="11" t="s">
        <v>235</v>
      </c>
      <c r="F63" s="2" t="s">
        <v>403</v>
      </c>
      <c r="G63" s="2" t="s">
        <v>397</v>
      </c>
      <c r="H63" s="11" t="s">
        <v>81</v>
      </c>
      <c r="I63" s="11" t="s">
        <v>122</v>
      </c>
      <c r="J63" s="11" t="s">
        <v>132</v>
      </c>
      <c r="K63" s="11" t="s">
        <v>121</v>
      </c>
      <c r="L63" s="11" t="s">
        <v>160</v>
      </c>
      <c r="M63" s="12">
        <v>114631</v>
      </c>
      <c r="N63" s="12"/>
      <c r="O63" s="12"/>
      <c r="P63" s="12"/>
      <c r="Q63" s="11">
        <v>1987</v>
      </c>
      <c r="R63" s="13">
        <v>44012</v>
      </c>
      <c r="S63" s="16">
        <v>6000000</v>
      </c>
      <c r="T63" s="79">
        <v>6000000</v>
      </c>
      <c r="U63" s="82" t="str">
        <f>IF(Table1[[#This Row],[Sub Type]]="Multi-Family",Table1[[#This Row],[Fair Market Value Estimate]]/Table1[[#This Row],[Units]],"N/A")</f>
        <v>N/A</v>
      </c>
      <c r="V63" s="82">
        <f>Table1[[#This Row],[Fair Market Value Estimate]]/Table1[[#This Row],[Size (SF)]]</f>
        <v>52.341862148982386</v>
      </c>
      <c r="W63" s="81">
        <v>44104</v>
      </c>
      <c r="X63" s="16"/>
      <c r="Y63" s="16"/>
      <c r="Z63" s="16"/>
      <c r="AA63" s="16"/>
      <c r="AB63" s="16">
        <v>3250000</v>
      </c>
      <c r="AC63" s="16"/>
      <c r="AD63" s="16"/>
      <c r="AE63" s="16"/>
      <c r="AF63" s="16"/>
      <c r="AG63" s="82">
        <f>SUM(Table1[[#This Row],[MLG Capital Historical Deal Equity]:[Legacy Fund Equity]])</f>
        <v>3250000</v>
      </c>
      <c r="AH63" s="82">
        <f>Table1[[#This Row],[Fund I Equity]]*6/27.28+Table1[[#This Row],[Fund II Equity]]</f>
        <v>0</v>
      </c>
      <c r="AI63" s="13"/>
      <c r="AJ63" s="16"/>
      <c r="AK63" s="162" t="str">
        <f>IF(Table1[[#This Row],[Status]]="Sold",(Table1[[#This Row],[Date of Sale]]-Table1[[#This Row],[Acquisition Date]])/365,"")</f>
        <v/>
      </c>
      <c r="AL63" s="117"/>
      <c r="AM63" s="162" t="str">
        <f>IF(Table1[[#This Row],[Status]]="Sold",Table1[[#This Row],[Total Property Distributions]]/Table1[[#This Row],[Total Equity]],"")</f>
        <v/>
      </c>
      <c r="AN63" s="166"/>
      <c r="AO63" s="166" t="str">
        <f>IF(Table1[[#This Row],[Status]]="Sold",((Table1[[#This Row],[Total Property Distributions]]-Table1[[#This Row],[Total Equity]])/Table1[[#This Row],[Total Equity]])/Table1[[#This Row],[Holding Period]],"")</f>
        <v/>
      </c>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row>
    <row r="64" spans="2:70" s="10" customFormat="1" x14ac:dyDescent="0.2">
      <c r="B64" s="11" t="s">
        <v>594</v>
      </c>
      <c r="C64" s="11" t="s">
        <v>49</v>
      </c>
      <c r="D64" s="11"/>
      <c r="E64" s="11" t="s">
        <v>235</v>
      </c>
      <c r="F64" s="2" t="s">
        <v>403</v>
      </c>
      <c r="G64" s="2" t="s">
        <v>97</v>
      </c>
      <c r="H64" s="11" t="s">
        <v>97</v>
      </c>
      <c r="I64" s="11" t="s">
        <v>602</v>
      </c>
      <c r="J64" s="11" t="s">
        <v>135</v>
      </c>
      <c r="K64" s="11" t="s">
        <v>602</v>
      </c>
      <c r="L64" s="11" t="s">
        <v>603</v>
      </c>
      <c r="M64" s="12">
        <v>164480</v>
      </c>
      <c r="N64" s="12">
        <v>160</v>
      </c>
      <c r="O64" s="12"/>
      <c r="P64" s="12"/>
      <c r="Q64" s="11">
        <v>1983</v>
      </c>
      <c r="R64" s="13">
        <v>44133</v>
      </c>
      <c r="S64" s="16">
        <v>15200000</v>
      </c>
      <c r="T64" s="79">
        <f>Table1[[#This Row],[Purchase Price]]</f>
        <v>15200000</v>
      </c>
      <c r="U64" s="82">
        <f>IF(Table1[[#This Row],[Sub Type]]="Multi-Family",Table1[[#This Row],[Fair Market Value Estimate]]/Table1[[#This Row],[Units]],"N/A")</f>
        <v>95000</v>
      </c>
      <c r="V64" s="82">
        <f>Table1[[#This Row],[Fair Market Value Estimate]]/Table1[[#This Row],[Size (SF)]]</f>
        <v>92.41245136186771</v>
      </c>
      <c r="W64" s="81">
        <v>44133</v>
      </c>
      <c r="X64" s="16"/>
      <c r="Y64" s="16"/>
      <c r="Z64" s="16"/>
      <c r="AA64" s="16"/>
      <c r="AB64" s="16">
        <v>7848000</v>
      </c>
      <c r="AC64" s="16"/>
      <c r="AD64" s="16">
        <v>872000</v>
      </c>
      <c r="AE64" s="16"/>
      <c r="AF64" s="16"/>
      <c r="AG64" s="82">
        <f>SUM(Table1[[#This Row],[MLG Capital Historical Deal Equity]:[Legacy Fund Equity]])</f>
        <v>8720000</v>
      </c>
      <c r="AH64" s="82">
        <f>Table1[[#This Row],[Fund I Equity]]*6/27.28+Table1[[#This Row],[Fund II Equity]]</f>
        <v>0</v>
      </c>
      <c r="AI64" s="13"/>
      <c r="AJ64" s="16"/>
      <c r="AK64" s="162" t="str">
        <f>IF(Table1[[#This Row],[Status]]="Sold",(Table1[[#This Row],[Date of Sale]]-Table1[[#This Row],[Acquisition Date]])/365,"")</f>
        <v/>
      </c>
      <c r="AL64" s="117"/>
      <c r="AM64" s="162" t="str">
        <f>IF(Table1[[#This Row],[Status]]="Sold",Table1[[#This Row],[Total Property Distributions]]/Table1[[#This Row],[Total Equity]],"")</f>
        <v/>
      </c>
      <c r="AN64" s="168"/>
      <c r="AO64" s="166" t="str">
        <f>IF(Table1[[#This Row],[Status]]="Sold",((Table1[[#This Row],[Total Property Distributions]]-Table1[[#This Row],[Total Equity]])/Table1[[#This Row],[Total Equity]])/Table1[[#This Row],[Holding Period]],"")</f>
        <v/>
      </c>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row>
    <row r="65" spans="2:70" s="10" customFormat="1" x14ac:dyDescent="0.2">
      <c r="B65" s="11" t="s">
        <v>597</v>
      </c>
      <c r="C65" s="11" t="s">
        <v>49</v>
      </c>
      <c r="D65" s="11"/>
      <c r="E65" s="11" t="s">
        <v>235</v>
      </c>
      <c r="F65" s="2" t="s">
        <v>404</v>
      </c>
      <c r="G65" s="2" t="s">
        <v>397</v>
      </c>
      <c r="H65" s="11" t="s">
        <v>81</v>
      </c>
      <c r="I65" s="11" t="s">
        <v>360</v>
      </c>
      <c r="J65" s="11" t="s">
        <v>130</v>
      </c>
      <c r="K65" s="11" t="s">
        <v>360</v>
      </c>
      <c r="L65" s="11" t="s">
        <v>147</v>
      </c>
      <c r="M65" s="12">
        <v>51000</v>
      </c>
      <c r="N65" s="12"/>
      <c r="O65" s="12"/>
      <c r="P65" s="12"/>
      <c r="Q65" s="11" t="s">
        <v>604</v>
      </c>
      <c r="R65" s="13">
        <v>44124</v>
      </c>
      <c r="S65" s="16">
        <v>3050000</v>
      </c>
      <c r="T65" s="79">
        <f>Table1[[#This Row],[Purchase Price]]</f>
        <v>3050000</v>
      </c>
      <c r="U65" s="82" t="str">
        <f>IF(Table1[[#This Row],[Sub Type]]="Multi-Family",Table1[[#This Row],[Fair Market Value Estimate]]/Table1[[#This Row],[Units]],"N/A")</f>
        <v>N/A</v>
      </c>
      <c r="V65" s="82">
        <f>Table1[[#This Row],[Fair Market Value Estimate]]/Table1[[#This Row],[Size (SF)]]</f>
        <v>59.803921568627452</v>
      </c>
      <c r="W65" s="81">
        <v>44124</v>
      </c>
      <c r="X65" s="16"/>
      <c r="Y65" s="16"/>
      <c r="Z65" s="16"/>
      <c r="AA65" s="16"/>
      <c r="AB65" s="16"/>
      <c r="AC65" s="16"/>
      <c r="AD65" s="16"/>
      <c r="AE65" s="16">
        <v>1538205</v>
      </c>
      <c r="AF65" s="16"/>
      <c r="AG65" s="82">
        <f>SUM(Table1[[#This Row],[MLG Capital Historical Deal Equity]:[Legacy Fund Equity]])</f>
        <v>1538205</v>
      </c>
      <c r="AH65" s="82">
        <f>Table1[[#This Row],[Fund I Equity]]*6/27.28+Table1[[#This Row],[Fund II Equity]]</f>
        <v>0</v>
      </c>
      <c r="AI65" s="13"/>
      <c r="AJ65" s="16"/>
      <c r="AK65" s="162" t="str">
        <f>IF(Table1[[#This Row],[Status]]="Sold",(Table1[[#This Row],[Date of Sale]]-Table1[[#This Row],[Acquisition Date]])/365,"")</f>
        <v/>
      </c>
      <c r="AL65" s="117"/>
      <c r="AM65" s="162" t="str">
        <f>IF(Table1[[#This Row],[Status]]="Sold",Table1[[#This Row],[Total Property Distributions]]/Table1[[#This Row],[Total Equity]],"")</f>
        <v/>
      </c>
      <c r="AN65" s="168"/>
      <c r="AO65" s="166" t="str">
        <f>IF(Table1[[#This Row],[Status]]="Sold",((Table1[[#This Row],[Total Property Distributions]]-Table1[[#This Row],[Total Equity]])/Table1[[#This Row],[Total Equity]])/Table1[[#This Row],[Holding Period]],"")</f>
        <v/>
      </c>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row>
    <row r="66" spans="2:70" s="10" customFormat="1" x14ac:dyDescent="0.2">
      <c r="B66" s="11" t="s">
        <v>595</v>
      </c>
      <c r="C66" s="11" t="s">
        <v>49</v>
      </c>
      <c r="D66" s="11"/>
      <c r="E66" s="11" t="s">
        <v>235</v>
      </c>
      <c r="F66" s="2" t="s">
        <v>403</v>
      </c>
      <c r="G66" s="2" t="s">
        <v>97</v>
      </c>
      <c r="H66" s="11" t="s">
        <v>97</v>
      </c>
      <c r="I66" s="11" t="s">
        <v>110</v>
      </c>
      <c r="J66" s="2" t="s">
        <v>129</v>
      </c>
      <c r="K66" s="11" t="s">
        <v>110</v>
      </c>
      <c r="L66" s="11" t="s">
        <v>147</v>
      </c>
      <c r="M66" s="12">
        <v>193060</v>
      </c>
      <c r="N66" s="12">
        <v>216</v>
      </c>
      <c r="O66" s="12"/>
      <c r="P66" s="12"/>
      <c r="Q66" s="11">
        <v>1998</v>
      </c>
      <c r="R66" s="13">
        <v>44133</v>
      </c>
      <c r="S66" s="16">
        <v>27500000</v>
      </c>
      <c r="T66" s="79">
        <f>Table1[[#This Row],[Purchase Price]]</f>
        <v>27500000</v>
      </c>
      <c r="U66" s="82">
        <f>IF(Table1[[#This Row],[Sub Type]]="Multi-Family",Table1[[#This Row],[Fair Market Value Estimate]]/Table1[[#This Row],[Units]],"N/A")</f>
        <v>127314.81481481482</v>
      </c>
      <c r="V66" s="82">
        <f>Table1[[#This Row],[Fair Market Value Estimate]]/Table1[[#This Row],[Size (SF)]]</f>
        <v>142.4427639075935</v>
      </c>
      <c r="W66" s="81">
        <v>44133</v>
      </c>
      <c r="X66" s="16"/>
      <c r="Y66" s="16"/>
      <c r="Z66" s="16"/>
      <c r="AA66" s="16"/>
      <c r="AB66" s="16">
        <v>2700000</v>
      </c>
      <c r="AC66" s="16">
        <v>8000000</v>
      </c>
      <c r="AD66" s="16"/>
      <c r="AE66" s="16"/>
      <c r="AF66" s="16"/>
      <c r="AG66" s="82">
        <f>SUM(Table1[[#This Row],[MLG Capital Historical Deal Equity]:[Legacy Fund Equity]])</f>
        <v>10700000</v>
      </c>
      <c r="AH66" s="82">
        <f>Table1[[#This Row],[Fund I Equity]]*6/27.28+Table1[[#This Row],[Fund II Equity]]</f>
        <v>0</v>
      </c>
      <c r="AI66" s="13"/>
      <c r="AJ66" s="16"/>
      <c r="AK66" s="162" t="str">
        <f>IF(Table1[[#This Row],[Status]]="Sold",(Table1[[#This Row],[Date of Sale]]-Table1[[#This Row],[Acquisition Date]])/365,"")</f>
        <v/>
      </c>
      <c r="AL66" s="117"/>
      <c r="AM66" s="162" t="str">
        <f>IF(Table1[[#This Row],[Status]]="Sold",Table1[[#This Row],[Total Property Distributions]]/Table1[[#This Row],[Total Equity]],"")</f>
        <v/>
      </c>
      <c r="AN66" s="168"/>
      <c r="AO66" s="166" t="str">
        <f>IF(Table1[[#This Row],[Status]]="Sold",((Table1[[#This Row],[Total Property Distributions]]-Table1[[#This Row],[Total Equity]])/Table1[[#This Row],[Total Equity]])/Table1[[#This Row],[Holding Period]],"")</f>
        <v/>
      </c>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row>
    <row r="67" spans="2:70" s="10" customFormat="1" x14ac:dyDescent="0.2">
      <c r="B67" s="11" t="s">
        <v>600</v>
      </c>
      <c r="C67" s="11" t="s">
        <v>49</v>
      </c>
      <c r="D67" s="11"/>
      <c r="E67" s="11" t="s">
        <v>235</v>
      </c>
      <c r="F67" s="2" t="s">
        <v>403</v>
      </c>
      <c r="G67" s="2" t="s">
        <v>97</v>
      </c>
      <c r="H67" s="2" t="s">
        <v>97</v>
      </c>
      <c r="I67" s="11" t="s">
        <v>120</v>
      </c>
      <c r="J67" s="2" t="s">
        <v>137</v>
      </c>
      <c r="K67" s="11" t="s">
        <v>120</v>
      </c>
      <c r="L67" s="11" t="s">
        <v>620</v>
      </c>
      <c r="M67" s="12">
        <v>165460</v>
      </c>
      <c r="N67" s="12">
        <v>204</v>
      </c>
      <c r="O67" s="12"/>
      <c r="P67" s="12"/>
      <c r="Q67" s="11">
        <v>1986</v>
      </c>
      <c r="R67" s="13">
        <v>44174</v>
      </c>
      <c r="S67" s="16">
        <v>27200000</v>
      </c>
      <c r="T67" s="79">
        <f>Table1[[#This Row],[Purchase Price]]</f>
        <v>27200000</v>
      </c>
      <c r="U67" s="82">
        <f>IF(Table1[[#This Row],[Sub Type]]="Multi-Family",Table1[[#This Row],[Fair Market Value Estimate]]/Table1[[#This Row],[Units]],"N/A")</f>
        <v>133333.33333333334</v>
      </c>
      <c r="V67" s="82">
        <f>Table1[[#This Row],[Fair Market Value Estimate]]/Table1[[#This Row],[Size (SF)]]</f>
        <v>164.39018493895804</v>
      </c>
      <c r="W67" s="81">
        <v>44174</v>
      </c>
      <c r="X67" s="16"/>
      <c r="Y67" s="16"/>
      <c r="Z67" s="16"/>
      <c r="AA67" s="16"/>
      <c r="AB67" s="16">
        <v>8100000</v>
      </c>
      <c r="AC67" s="16"/>
      <c r="AD67" s="16">
        <v>900000</v>
      </c>
      <c r="AE67" s="16"/>
      <c r="AF67" s="16"/>
      <c r="AG67" s="82">
        <f>SUM(Table1[[#This Row],[MLG Capital Historical Deal Equity]:[Legacy Fund Equity]])</f>
        <v>9000000</v>
      </c>
      <c r="AH67" s="82">
        <f>Table1[[#This Row],[Fund I Equity]]*6/27.28+Table1[[#This Row],[Fund II Equity]]</f>
        <v>0</v>
      </c>
      <c r="AI67" s="13"/>
      <c r="AJ67" s="16"/>
      <c r="AK67" s="162" t="str">
        <f>IF(Table1[[#This Row],[Status]]="Sold",(Table1[[#This Row],[Date of Sale]]-Table1[[#This Row],[Acquisition Date]])/365,"")</f>
        <v/>
      </c>
      <c r="AL67" s="117"/>
      <c r="AM67" s="162" t="str">
        <f>IF(Table1[[#This Row],[Status]]="Sold",Table1[[#This Row],[Total Property Distributions]]/Table1[[#This Row],[Total Equity]],"")</f>
        <v/>
      </c>
      <c r="AN67" s="168"/>
      <c r="AO67" s="166" t="str">
        <f>IF(Table1[[#This Row],[Status]]="Sold",((Table1[[#This Row],[Total Property Distributions]]-Table1[[#This Row],[Total Equity]])/Table1[[#This Row],[Total Equity]])/Table1[[#This Row],[Holding Period]],"")</f>
        <v/>
      </c>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row>
    <row r="68" spans="2:70" s="10" customFormat="1" x14ac:dyDescent="0.2">
      <c r="B68" s="11" t="s">
        <v>618</v>
      </c>
      <c r="C68" s="11" t="s">
        <v>601</v>
      </c>
      <c r="D68" s="11"/>
      <c r="E68" s="11" t="s">
        <v>235</v>
      </c>
      <c r="F68" s="2" t="s">
        <v>403</v>
      </c>
      <c r="G68" s="2" t="s">
        <v>97</v>
      </c>
      <c r="H68" s="2" t="s">
        <v>97</v>
      </c>
      <c r="I68" s="11" t="s">
        <v>622</v>
      </c>
      <c r="J68" s="2" t="s">
        <v>623</v>
      </c>
      <c r="K68" s="11" t="s">
        <v>622</v>
      </c>
      <c r="L68" s="11" t="s">
        <v>153</v>
      </c>
      <c r="M68" s="12">
        <v>243140</v>
      </c>
      <c r="N68" s="12">
        <v>240</v>
      </c>
      <c r="O68" s="12"/>
      <c r="P68" s="12"/>
      <c r="Q68" s="11" t="s">
        <v>624</v>
      </c>
      <c r="R68" s="13">
        <v>44173</v>
      </c>
      <c r="S68" s="16">
        <v>32220000</v>
      </c>
      <c r="T68" s="79">
        <f>Table1[[#This Row],[Purchase Price]]</f>
        <v>32220000</v>
      </c>
      <c r="U68" s="82">
        <f>IF(Table1[[#This Row],[Sub Type]]="Multi-Family",Table1[[#This Row],[Fair Market Value Estimate]]/Table1[[#This Row],[Units]],"N/A")</f>
        <v>134250</v>
      </c>
      <c r="V68" s="82">
        <f>Table1[[#This Row],[Fair Market Value Estimate]]/Table1[[#This Row],[Size (SF)]]</f>
        <v>132.5162457843218</v>
      </c>
      <c r="W68" s="81">
        <v>44152</v>
      </c>
      <c r="X68" s="16"/>
      <c r="Y68" s="16"/>
      <c r="Z68" s="16"/>
      <c r="AA68" s="16"/>
      <c r="AB68" s="16">
        <v>11386800</v>
      </c>
      <c r="AC68" s="16"/>
      <c r="AD68" s="16">
        <v>1265200</v>
      </c>
      <c r="AE68" s="16"/>
      <c r="AF68" s="16"/>
      <c r="AG68" s="82">
        <f>SUM(Table1[[#This Row],[MLG Capital Historical Deal Equity]:[Legacy Fund Equity]])</f>
        <v>12652000</v>
      </c>
      <c r="AH68" s="82">
        <f>Table1[[#This Row],[Fund I Equity]]*6/27.28+Table1[[#This Row],[Fund II Equity]]</f>
        <v>0</v>
      </c>
      <c r="AI68" s="13"/>
      <c r="AJ68" s="16"/>
      <c r="AK68" s="162" t="str">
        <f>IF(Table1[[#This Row],[Status]]="Sold",(Table1[[#This Row],[Date of Sale]]-Table1[[#This Row],[Acquisition Date]])/365,"")</f>
        <v/>
      </c>
      <c r="AL68" s="117"/>
      <c r="AM68" s="162" t="str">
        <f>IF(Table1[[#This Row],[Status]]="Sold",Table1[[#This Row],[Total Property Distributions]]/Table1[[#This Row],[Total Equity]],"")</f>
        <v/>
      </c>
      <c r="AN68" s="168"/>
      <c r="AO68" s="166" t="str">
        <f>IF(Table1[[#This Row],[Status]]="Sold",((Table1[[#This Row],[Total Property Distributions]]-Table1[[#This Row],[Total Equity]])/Table1[[#This Row],[Total Equity]])/Table1[[#This Row],[Holding Period]],"")</f>
        <v/>
      </c>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row>
    <row r="69" spans="2:70" s="10" customFormat="1" ht="25.5" x14ac:dyDescent="0.2">
      <c r="B69" s="11" t="s">
        <v>619</v>
      </c>
      <c r="C69" s="11" t="s">
        <v>601</v>
      </c>
      <c r="D69" s="11"/>
      <c r="E69" s="11" t="s">
        <v>235</v>
      </c>
      <c r="F69" s="2" t="s">
        <v>403</v>
      </c>
      <c r="G69" s="2" t="s">
        <v>97</v>
      </c>
      <c r="H69" s="2" t="s">
        <v>97</v>
      </c>
      <c r="I69" s="11" t="s">
        <v>625</v>
      </c>
      <c r="J69" s="2" t="s">
        <v>134</v>
      </c>
      <c r="K69" s="11" t="s">
        <v>625</v>
      </c>
      <c r="L69" s="11" t="s">
        <v>626</v>
      </c>
      <c r="M69" s="12">
        <v>593419</v>
      </c>
      <c r="N69" s="12">
        <v>540</v>
      </c>
      <c r="O69" s="12"/>
      <c r="P69" s="12"/>
      <c r="Q69" s="11" t="s">
        <v>627</v>
      </c>
      <c r="R69" s="13">
        <v>44186</v>
      </c>
      <c r="S69" s="16">
        <v>64500000</v>
      </c>
      <c r="T69" s="79">
        <f>Table1[[#This Row],[Purchase Price]]</f>
        <v>64500000</v>
      </c>
      <c r="U69" s="82">
        <f>IF(Table1[[#This Row],[Sub Type]]="Multi-Family",Table1[[#This Row],[Fair Market Value Estimate]]/Table1[[#This Row],[Units]],"N/A")</f>
        <v>119444.44444444444</v>
      </c>
      <c r="V69" s="82">
        <f>Table1[[#This Row],[Fair Market Value Estimate]]/Table1[[#This Row],[Size (SF)]]</f>
        <v>108.69217197292301</v>
      </c>
      <c r="W69" s="81">
        <v>44152</v>
      </c>
      <c r="X69" s="16"/>
      <c r="Y69" s="16"/>
      <c r="Z69" s="16"/>
      <c r="AA69" s="16"/>
      <c r="AB69" s="16">
        <v>22365000</v>
      </c>
      <c r="AC69" s="16"/>
      <c r="AD69" s="16">
        <v>2485000</v>
      </c>
      <c r="AE69" s="16"/>
      <c r="AF69" s="16"/>
      <c r="AG69" s="82">
        <f>SUM(Table1[[#This Row],[MLG Capital Historical Deal Equity]:[Legacy Fund Equity]])</f>
        <v>24850000</v>
      </c>
      <c r="AH69" s="82">
        <f>Table1[[#This Row],[Fund I Equity]]*6/27.28+Table1[[#This Row],[Fund II Equity]]</f>
        <v>0</v>
      </c>
      <c r="AI69" s="13"/>
      <c r="AJ69" s="16"/>
      <c r="AK69" s="162" t="str">
        <f>IF(Table1[[#This Row],[Status]]="Sold",(Table1[[#This Row],[Date of Sale]]-Table1[[#This Row],[Acquisition Date]])/365,"")</f>
        <v/>
      </c>
      <c r="AL69" s="117"/>
      <c r="AM69" s="162" t="str">
        <f>IF(Table1[[#This Row],[Status]]="Sold",Table1[[#This Row],[Total Property Distributions]]/Table1[[#This Row],[Total Equity]],"")</f>
        <v/>
      </c>
      <c r="AN69" s="168"/>
      <c r="AO69" s="166" t="str">
        <f>IF(Table1[[#This Row],[Status]]="Sold",((Table1[[#This Row],[Total Property Distributions]]-Table1[[#This Row],[Total Equity]])/Table1[[#This Row],[Total Equity]])/Table1[[#This Row],[Holding Period]],"")</f>
        <v/>
      </c>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row>
    <row r="70" spans="2:70" s="10" customFormat="1" x14ac:dyDescent="0.2">
      <c r="B70" s="2" t="s">
        <v>238</v>
      </c>
      <c r="C70" s="2" t="s">
        <v>304</v>
      </c>
      <c r="D70" s="2"/>
      <c r="E70" s="2" t="s">
        <v>235</v>
      </c>
      <c r="F70" s="2" t="s">
        <v>403</v>
      </c>
      <c r="G70" s="11" t="s">
        <v>97</v>
      </c>
      <c r="H70" s="11" t="s">
        <v>97</v>
      </c>
      <c r="I70" s="2" t="s">
        <v>50</v>
      </c>
      <c r="J70" s="2" t="s">
        <v>129</v>
      </c>
      <c r="K70" s="2" t="s">
        <v>50</v>
      </c>
      <c r="L70" s="11" t="s">
        <v>147</v>
      </c>
      <c r="M70" s="5">
        <v>89196</v>
      </c>
      <c r="N70" s="5">
        <v>84</v>
      </c>
      <c r="O70" s="5"/>
      <c r="P70" s="5"/>
      <c r="Q70" s="11"/>
      <c r="R70" s="6">
        <v>32356</v>
      </c>
      <c r="S70" s="15">
        <v>1008000</v>
      </c>
      <c r="T70" s="5" t="s">
        <v>335</v>
      </c>
      <c r="U70" s="5" t="s">
        <v>335</v>
      </c>
      <c r="V70" s="5" t="s">
        <v>335</v>
      </c>
      <c r="W70" s="5" t="s">
        <v>335</v>
      </c>
      <c r="X70" s="15">
        <v>1031000</v>
      </c>
      <c r="Y70" s="15"/>
      <c r="Z70" s="15"/>
      <c r="AA70" s="15"/>
      <c r="AB70" s="15"/>
      <c r="AC70" s="15"/>
      <c r="AD70" s="15"/>
      <c r="AE70" s="15"/>
      <c r="AF70" s="15"/>
      <c r="AG70" s="80">
        <f>SUM(Table1[[#This Row],[MLG Capital Historical Deal Equity]:[Legacy Fund Equity]])</f>
        <v>1031000</v>
      </c>
      <c r="AH70" s="80">
        <f>Table1[[#This Row],[Fund I Equity]]*6/27.28+Table1[[#This Row],[Fund II Equity]]</f>
        <v>0</v>
      </c>
      <c r="AI70" s="6">
        <v>34001</v>
      </c>
      <c r="AJ70" s="15">
        <v>2080000</v>
      </c>
      <c r="AK70" s="163">
        <f>IF(Table1[[#This Row],[Status]]="Sold",(Table1[[#This Row],[Date of Sale]]-Table1[[#This Row],[Acquisition Date]])/365,"")</f>
        <v>4.506849315068493</v>
      </c>
      <c r="AL70" s="15">
        <v>2143815</v>
      </c>
      <c r="AM70" s="167">
        <f>IF(Table1[[#This Row],[Status]]="Sold",Table1[[#This Row],[Total Property Distributions]]/Table1[[#This Row],[Total Equity]],"")</f>
        <v>2.0793549951503394</v>
      </c>
      <c r="AN70" s="168"/>
      <c r="AO70" s="168">
        <f>IF(Table1[[#This Row],[Status]]="Sold",((Table1[[#This Row],[Total Property Distributions]]-Table1[[#This Row],[Total Equity]])/Table1[[#This Row],[Total Equity]])/Table1[[#This Row],[Holding Period]],"")</f>
        <v>0.23949214178107836</v>
      </c>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row>
    <row r="71" spans="2:70" s="10" customFormat="1" x14ac:dyDescent="0.2">
      <c r="B71" s="2" t="s">
        <v>240</v>
      </c>
      <c r="C71" s="2" t="s">
        <v>304</v>
      </c>
      <c r="D71" s="2"/>
      <c r="E71" s="2" t="s">
        <v>235</v>
      </c>
      <c r="F71" s="2" t="s">
        <v>403</v>
      </c>
      <c r="G71" s="11" t="s">
        <v>97</v>
      </c>
      <c r="H71" s="11" t="s">
        <v>97</v>
      </c>
      <c r="I71" s="2" t="s">
        <v>50</v>
      </c>
      <c r="J71" s="2" t="s">
        <v>129</v>
      </c>
      <c r="K71" s="2" t="s">
        <v>50</v>
      </c>
      <c r="L71" s="11" t="s">
        <v>147</v>
      </c>
      <c r="M71" s="5">
        <v>123850</v>
      </c>
      <c r="N71" s="5">
        <v>152</v>
      </c>
      <c r="O71" s="5"/>
      <c r="P71" s="5"/>
      <c r="Q71" s="11"/>
      <c r="R71" s="6">
        <v>32721</v>
      </c>
      <c r="S71" s="15">
        <v>1400000</v>
      </c>
      <c r="T71" s="5" t="s">
        <v>335</v>
      </c>
      <c r="U71" s="5" t="s">
        <v>335</v>
      </c>
      <c r="V71" s="5" t="s">
        <v>335</v>
      </c>
      <c r="W71" s="5" t="s">
        <v>335</v>
      </c>
      <c r="X71" s="15">
        <v>725190</v>
      </c>
      <c r="Y71" s="15"/>
      <c r="Z71" s="15"/>
      <c r="AA71" s="15"/>
      <c r="AB71" s="15"/>
      <c r="AC71" s="15"/>
      <c r="AD71" s="15"/>
      <c r="AE71" s="15"/>
      <c r="AF71" s="15"/>
      <c r="AG71" s="80">
        <f>SUM(Table1[[#This Row],[MLG Capital Historical Deal Equity]:[Legacy Fund Equity]])</f>
        <v>725190</v>
      </c>
      <c r="AH71" s="80">
        <f>Table1[[#This Row],[Fund I Equity]]*6/27.28+Table1[[#This Row],[Fund II Equity]]</f>
        <v>0</v>
      </c>
      <c r="AI71" s="6">
        <v>36135</v>
      </c>
      <c r="AJ71" s="15">
        <v>2000000</v>
      </c>
      <c r="AK71" s="163">
        <f>IF(Table1[[#This Row],[Status]]="Sold",(Table1[[#This Row],[Date of Sale]]-Table1[[#This Row],[Acquisition Date]])/365,"")</f>
        <v>9.3534246575342461</v>
      </c>
      <c r="AL71" s="15">
        <v>1237435</v>
      </c>
      <c r="AM71" s="167">
        <f>IF(Table1[[#This Row],[Status]]="Sold",Table1[[#This Row],[Total Property Distributions]]/Table1[[#This Row],[Total Equity]],"")</f>
        <v>1.7063597126270356</v>
      </c>
      <c r="AN71" s="168"/>
      <c r="AO71" s="168">
        <f>IF(Table1[[#This Row],[Status]]="Sold",((Table1[[#This Row],[Total Property Distributions]]-Table1[[#This Row],[Total Equity]])/Table1[[#This Row],[Total Equity]])/Table1[[#This Row],[Holding Period]],"")</f>
        <v>7.5518832779398956E-2</v>
      </c>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row>
    <row r="72" spans="2:70" s="10" customFormat="1" x14ac:dyDescent="0.2">
      <c r="B72" s="2" t="s">
        <v>246</v>
      </c>
      <c r="C72" s="2" t="s">
        <v>304</v>
      </c>
      <c r="D72" s="2"/>
      <c r="E72" s="2" t="s">
        <v>235</v>
      </c>
      <c r="F72" s="2" t="s">
        <v>403</v>
      </c>
      <c r="G72" s="11" t="s">
        <v>97</v>
      </c>
      <c r="H72" s="11" t="s">
        <v>97</v>
      </c>
      <c r="I72" s="2" t="s">
        <v>50</v>
      </c>
      <c r="J72" s="2" t="s">
        <v>129</v>
      </c>
      <c r="K72" s="2" t="s">
        <v>50</v>
      </c>
      <c r="L72" s="11" t="s">
        <v>147</v>
      </c>
      <c r="M72" s="5">
        <v>102672</v>
      </c>
      <c r="N72" s="5">
        <v>128</v>
      </c>
      <c r="O72" s="5"/>
      <c r="P72" s="5"/>
      <c r="Q72" s="11"/>
      <c r="R72" s="6">
        <v>32856</v>
      </c>
      <c r="S72" s="15">
        <v>2000000</v>
      </c>
      <c r="T72" s="5" t="s">
        <v>335</v>
      </c>
      <c r="U72" s="5" t="s">
        <v>335</v>
      </c>
      <c r="V72" s="5" t="s">
        <v>335</v>
      </c>
      <c r="W72" s="5" t="s">
        <v>335</v>
      </c>
      <c r="X72" s="15">
        <v>644073.92000000004</v>
      </c>
      <c r="Y72" s="15"/>
      <c r="Z72" s="15"/>
      <c r="AA72" s="15"/>
      <c r="AB72" s="15"/>
      <c r="AC72" s="15"/>
      <c r="AD72" s="15"/>
      <c r="AE72" s="15"/>
      <c r="AF72" s="15"/>
      <c r="AG72" s="80">
        <f>SUM(Table1[[#This Row],[MLG Capital Historical Deal Equity]:[Legacy Fund Equity]])</f>
        <v>644073.92000000004</v>
      </c>
      <c r="AH72" s="80">
        <f>Table1[[#This Row],[Fund I Equity]]*6/27.28+Table1[[#This Row],[Fund II Equity]]</f>
        <v>0</v>
      </c>
      <c r="AI72" s="6">
        <v>36600</v>
      </c>
      <c r="AJ72" s="15">
        <v>3200000</v>
      </c>
      <c r="AK72" s="163">
        <f>IF(Table1[[#This Row],[Status]]="Sold",(Table1[[#This Row],[Date of Sale]]-Table1[[#This Row],[Acquisition Date]])/365,"")</f>
        <v>10.257534246575343</v>
      </c>
      <c r="AL72" s="15">
        <v>2399038.15</v>
      </c>
      <c r="AM72" s="167">
        <f>IF(Table1[[#This Row],[Status]]="Sold",Table1[[#This Row],[Total Property Distributions]]/Table1[[#This Row],[Total Equity]],"")</f>
        <v>3.7247869778673848</v>
      </c>
      <c r="AN72" s="168"/>
      <c r="AO72" s="168">
        <f>IF(Table1[[#This Row],[Status]]="Sold",((Table1[[#This Row],[Total Property Distributions]]-Table1[[#This Row],[Total Equity]])/Table1[[#This Row],[Total Equity]])/Table1[[#This Row],[Holding Period]],"")</f>
        <v>0.26563761937008423</v>
      </c>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row>
    <row r="73" spans="2:70" s="10" customFormat="1" x14ac:dyDescent="0.2">
      <c r="B73" s="2" t="s">
        <v>244</v>
      </c>
      <c r="C73" s="2" t="s">
        <v>304</v>
      </c>
      <c r="D73" s="2"/>
      <c r="E73" s="2" t="s">
        <v>235</v>
      </c>
      <c r="F73" s="2" t="s">
        <v>403</v>
      </c>
      <c r="G73" s="11" t="s">
        <v>97</v>
      </c>
      <c r="H73" s="11" t="s">
        <v>97</v>
      </c>
      <c r="I73" s="2" t="s">
        <v>50</v>
      </c>
      <c r="J73" s="2" t="s">
        <v>129</v>
      </c>
      <c r="K73" s="2" t="s">
        <v>50</v>
      </c>
      <c r="L73" s="11" t="s">
        <v>147</v>
      </c>
      <c r="M73" s="5">
        <v>121631</v>
      </c>
      <c r="N73" s="5">
        <v>154</v>
      </c>
      <c r="O73" s="5"/>
      <c r="P73" s="5"/>
      <c r="Q73" s="11"/>
      <c r="R73" s="6">
        <v>33547</v>
      </c>
      <c r="S73" s="15">
        <v>1700000</v>
      </c>
      <c r="T73" s="5" t="s">
        <v>335</v>
      </c>
      <c r="U73" s="5" t="s">
        <v>335</v>
      </c>
      <c r="V73" s="5" t="s">
        <v>335</v>
      </c>
      <c r="W73" s="5" t="s">
        <v>335</v>
      </c>
      <c r="X73" s="15">
        <v>560000</v>
      </c>
      <c r="Y73" s="15"/>
      <c r="Z73" s="15"/>
      <c r="AA73" s="15"/>
      <c r="AB73" s="15"/>
      <c r="AC73" s="15"/>
      <c r="AD73" s="15"/>
      <c r="AE73" s="15"/>
      <c r="AF73" s="15"/>
      <c r="AG73" s="80">
        <f>SUM(Table1[[#This Row],[MLG Capital Historical Deal Equity]:[Legacy Fund Equity]])</f>
        <v>560000</v>
      </c>
      <c r="AH73" s="80">
        <f>Table1[[#This Row],[Fund I Equity]]*6/27.28+Table1[[#This Row],[Fund II Equity]]</f>
        <v>0</v>
      </c>
      <c r="AI73" s="6">
        <v>36972</v>
      </c>
      <c r="AJ73" s="15">
        <v>3575000</v>
      </c>
      <c r="AK73" s="163">
        <f>IF(Table1[[#This Row],[Status]]="Sold",(Table1[[#This Row],[Date of Sale]]-Table1[[#This Row],[Acquisition Date]])/365,"")</f>
        <v>9.3835616438356162</v>
      </c>
      <c r="AL73" s="15">
        <v>2715023.9699999997</v>
      </c>
      <c r="AM73" s="167">
        <f>IF(Table1[[#This Row],[Status]]="Sold",Table1[[#This Row],[Total Property Distributions]]/Table1[[#This Row],[Total Equity]],"")</f>
        <v>4.8482570892857142</v>
      </c>
      <c r="AN73" s="168"/>
      <c r="AO73" s="168">
        <f>IF(Table1[[#This Row],[Status]]="Sold",((Table1[[#This Row],[Total Property Distributions]]-Table1[[#This Row],[Total Equity]])/Table1[[#This Row],[Total Equity]])/Table1[[#This Row],[Holding Period]],"")</f>
        <v>0.41010622995307605</v>
      </c>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row>
    <row r="74" spans="2:70" s="10" customFormat="1" x14ac:dyDescent="0.2">
      <c r="B74" s="2" t="s">
        <v>241</v>
      </c>
      <c r="C74" s="2" t="s">
        <v>304</v>
      </c>
      <c r="D74" s="2"/>
      <c r="E74" s="2" t="s">
        <v>235</v>
      </c>
      <c r="F74" s="2" t="s">
        <v>403</v>
      </c>
      <c r="G74" s="11" t="s">
        <v>97</v>
      </c>
      <c r="H74" s="11" t="s">
        <v>97</v>
      </c>
      <c r="I74" s="2" t="s">
        <v>50</v>
      </c>
      <c r="J74" s="2" t="s">
        <v>129</v>
      </c>
      <c r="K74" s="2" t="s">
        <v>50</v>
      </c>
      <c r="L74" s="11" t="s">
        <v>147</v>
      </c>
      <c r="M74" s="5">
        <v>108772</v>
      </c>
      <c r="N74" s="5">
        <v>140</v>
      </c>
      <c r="O74" s="5"/>
      <c r="P74" s="5"/>
      <c r="Q74" s="11"/>
      <c r="R74" s="6">
        <v>33817</v>
      </c>
      <c r="S74" s="15">
        <v>971974</v>
      </c>
      <c r="T74" s="5" t="s">
        <v>335</v>
      </c>
      <c r="U74" s="5" t="s">
        <v>335</v>
      </c>
      <c r="V74" s="5" t="s">
        <v>335</v>
      </c>
      <c r="W74" s="5" t="s">
        <v>335</v>
      </c>
      <c r="X74" s="15">
        <v>565000</v>
      </c>
      <c r="Y74" s="15"/>
      <c r="Z74" s="15"/>
      <c r="AA74" s="15"/>
      <c r="AB74" s="15"/>
      <c r="AC74" s="15"/>
      <c r="AD74" s="15"/>
      <c r="AE74" s="15"/>
      <c r="AF74" s="15"/>
      <c r="AG74" s="80">
        <f>SUM(Table1[[#This Row],[MLG Capital Historical Deal Equity]:[Legacy Fund Equity]])</f>
        <v>565000</v>
      </c>
      <c r="AH74" s="80">
        <f>Table1[[#This Row],[Fund I Equity]]*6/27.28+Table1[[#This Row],[Fund II Equity]]</f>
        <v>0</v>
      </c>
      <c r="AI74" s="6">
        <v>35905</v>
      </c>
      <c r="AJ74" s="15">
        <v>1400000</v>
      </c>
      <c r="AK74" s="163">
        <f>IF(Table1[[#This Row],[Status]]="Sold",(Table1[[#This Row],[Date of Sale]]-Table1[[#This Row],[Acquisition Date]])/365,"")</f>
        <v>5.720547945205479</v>
      </c>
      <c r="AL74" s="15">
        <v>672548.58</v>
      </c>
      <c r="AM74" s="167">
        <f>IF(Table1[[#This Row],[Status]]="Sold",Table1[[#This Row],[Total Property Distributions]]/Table1[[#This Row],[Total Equity]],"")</f>
        <v>1.1903514690265486</v>
      </c>
      <c r="AN74" s="168"/>
      <c r="AO74" s="168">
        <f>IF(Table1[[#This Row],[Status]]="Sold",((Table1[[#This Row],[Total Property Distributions]]-Table1[[#This Row],[Total Equity]])/Table1[[#This Row],[Total Equity]])/Table1[[#This Row],[Holding Period]],"")</f>
        <v>3.3275041280981917E-2</v>
      </c>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row>
    <row r="75" spans="2:70" s="10" customFormat="1" x14ac:dyDescent="0.2">
      <c r="B75" s="2" t="s">
        <v>243</v>
      </c>
      <c r="C75" s="2" t="s">
        <v>304</v>
      </c>
      <c r="D75" s="2"/>
      <c r="E75" s="2" t="s">
        <v>235</v>
      </c>
      <c r="F75" s="2" t="s">
        <v>403</v>
      </c>
      <c r="G75" s="11" t="s">
        <v>97</v>
      </c>
      <c r="H75" s="11" t="s">
        <v>97</v>
      </c>
      <c r="I75" s="2" t="s">
        <v>50</v>
      </c>
      <c r="J75" s="2" t="s">
        <v>129</v>
      </c>
      <c r="K75" s="2" t="s">
        <v>50</v>
      </c>
      <c r="L75" s="11" t="s">
        <v>147</v>
      </c>
      <c r="M75" s="5">
        <v>111764</v>
      </c>
      <c r="N75" s="5">
        <v>168</v>
      </c>
      <c r="O75" s="5"/>
      <c r="P75" s="5"/>
      <c r="Q75" s="11"/>
      <c r="R75" s="6">
        <v>33966</v>
      </c>
      <c r="S75" s="15">
        <v>2613436</v>
      </c>
      <c r="T75" s="5" t="s">
        <v>335</v>
      </c>
      <c r="U75" s="5" t="s">
        <v>335</v>
      </c>
      <c r="V75" s="5" t="s">
        <v>335</v>
      </c>
      <c r="W75" s="5" t="s">
        <v>335</v>
      </c>
      <c r="X75" s="15">
        <v>709047</v>
      </c>
      <c r="Y75" s="15"/>
      <c r="Z75" s="15"/>
      <c r="AA75" s="15"/>
      <c r="AB75" s="15"/>
      <c r="AC75" s="15"/>
      <c r="AD75" s="15"/>
      <c r="AE75" s="15"/>
      <c r="AF75" s="15"/>
      <c r="AG75" s="80">
        <f>SUM(Table1[[#This Row],[MLG Capital Historical Deal Equity]:[Legacy Fund Equity]])</f>
        <v>709047</v>
      </c>
      <c r="AH75" s="80">
        <f>Table1[[#This Row],[Fund I Equity]]*6/27.28+Table1[[#This Row],[Fund II Equity]]</f>
        <v>0</v>
      </c>
      <c r="AI75" s="6">
        <v>36068</v>
      </c>
      <c r="AJ75" s="15">
        <v>4450000</v>
      </c>
      <c r="AK75" s="163">
        <f>IF(Table1[[#This Row],[Status]]="Sold",(Table1[[#This Row],[Date of Sale]]-Table1[[#This Row],[Acquisition Date]])/365,"")</f>
        <v>5.7589041095890412</v>
      </c>
      <c r="AL75" s="15">
        <v>2570074</v>
      </c>
      <c r="AM75" s="167">
        <f>IF(Table1[[#This Row],[Status]]="Sold",Table1[[#This Row],[Total Property Distributions]]/Table1[[#This Row],[Total Equity]],"")</f>
        <v>3.6246877851538755</v>
      </c>
      <c r="AN75" s="168"/>
      <c r="AO75" s="168">
        <f>IF(Table1[[#This Row],[Status]]="Sold",((Table1[[#This Row],[Total Property Distributions]]-Table1[[#This Row],[Total Equity]])/Table1[[#This Row],[Total Equity]])/Table1[[#This Row],[Holding Period]],"")</f>
        <v>0.45576167534784229</v>
      </c>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row>
    <row r="76" spans="2:70" x14ac:dyDescent="0.2">
      <c r="B76" s="2" t="s">
        <v>239</v>
      </c>
      <c r="C76" s="2" t="s">
        <v>304</v>
      </c>
      <c r="E76" s="2" t="s">
        <v>235</v>
      </c>
      <c r="F76" s="2" t="s">
        <v>403</v>
      </c>
      <c r="G76" s="11" t="s">
        <v>97</v>
      </c>
      <c r="H76" s="11" t="s">
        <v>97</v>
      </c>
      <c r="I76" s="2" t="s">
        <v>50</v>
      </c>
      <c r="J76" s="2" t="s">
        <v>129</v>
      </c>
      <c r="K76" s="2" t="s">
        <v>50</v>
      </c>
      <c r="L76" s="11" t="s">
        <v>147</v>
      </c>
      <c r="M76" s="5">
        <v>144032</v>
      </c>
      <c r="N76" s="5">
        <v>216</v>
      </c>
      <c r="O76" s="5"/>
      <c r="P76" s="5"/>
      <c r="Q76" s="11"/>
      <c r="R76" s="6">
        <v>34241</v>
      </c>
      <c r="S76" s="15">
        <v>2500000</v>
      </c>
      <c r="T76" s="5" t="s">
        <v>335</v>
      </c>
      <c r="U76" s="5" t="s">
        <v>335</v>
      </c>
      <c r="V76" s="5" t="s">
        <v>335</v>
      </c>
      <c r="W76" s="5" t="s">
        <v>335</v>
      </c>
      <c r="X76" s="15">
        <v>750000</v>
      </c>
      <c r="Y76" s="15"/>
      <c r="Z76" s="15"/>
      <c r="AA76" s="15"/>
      <c r="AB76" s="15"/>
      <c r="AC76" s="15"/>
      <c r="AD76" s="15"/>
      <c r="AE76" s="15"/>
      <c r="AF76" s="15"/>
      <c r="AG76" s="80">
        <f>SUM(Table1[[#This Row],[MLG Capital Historical Deal Equity]:[Legacy Fund Equity]])</f>
        <v>750000</v>
      </c>
      <c r="AH76" s="80">
        <f>Table1[[#This Row],[Fund I Equity]]*6/27.28+Table1[[#This Row],[Fund II Equity]]</f>
        <v>0</v>
      </c>
      <c r="AI76" s="6">
        <v>35773</v>
      </c>
      <c r="AJ76" s="15">
        <v>3350000</v>
      </c>
      <c r="AK76" s="163">
        <f>IF(Table1[[#This Row],[Status]]="Sold",(Table1[[#This Row],[Date of Sale]]-Table1[[#This Row],[Acquisition Date]])/365,"")</f>
        <v>4.1972602739726028</v>
      </c>
      <c r="AL76" s="15">
        <v>1698535</v>
      </c>
      <c r="AM76" s="167">
        <f>IF(Table1[[#This Row],[Status]]="Sold",Table1[[#This Row],[Total Property Distributions]]/Table1[[#This Row],[Total Equity]],"")</f>
        <v>2.2647133333333334</v>
      </c>
      <c r="AN76" s="168"/>
      <c r="AO76" s="168">
        <f>IF(Table1[[#This Row],[Status]]="Sold",((Table1[[#This Row],[Total Property Distributions]]-Table1[[#This Row],[Total Equity]])/Table1[[#This Row],[Total Equity]])/Table1[[#This Row],[Holding Period]],"")</f>
        <v>0.30131877719756311</v>
      </c>
      <c r="BR76" s="1"/>
    </row>
    <row r="77" spans="2:70" x14ac:dyDescent="0.2">
      <c r="B77" s="2" t="s">
        <v>242</v>
      </c>
      <c r="C77" s="2" t="s">
        <v>304</v>
      </c>
      <c r="E77" s="2" t="s">
        <v>235</v>
      </c>
      <c r="F77" s="2" t="s">
        <v>403</v>
      </c>
      <c r="G77" s="11" t="s">
        <v>97</v>
      </c>
      <c r="H77" s="11" t="s">
        <v>97</v>
      </c>
      <c r="I77" s="2" t="s">
        <v>50</v>
      </c>
      <c r="J77" s="2" t="s">
        <v>129</v>
      </c>
      <c r="K77" s="2" t="s">
        <v>50</v>
      </c>
      <c r="L77" s="11" t="s">
        <v>147</v>
      </c>
      <c r="M77" s="5">
        <v>149660</v>
      </c>
      <c r="N77" s="5">
        <v>228</v>
      </c>
      <c r="O77" s="5"/>
      <c r="P77" s="5"/>
      <c r="Q77" s="11"/>
      <c r="R77" s="6">
        <v>34319</v>
      </c>
      <c r="S77" s="15">
        <v>2500000</v>
      </c>
      <c r="T77" s="5" t="s">
        <v>335</v>
      </c>
      <c r="U77" s="5" t="s">
        <v>335</v>
      </c>
      <c r="V77" s="5" t="s">
        <v>335</v>
      </c>
      <c r="W77" s="5" t="s">
        <v>335</v>
      </c>
      <c r="X77" s="15">
        <v>800000</v>
      </c>
      <c r="Y77" s="15"/>
      <c r="Z77" s="15"/>
      <c r="AA77" s="15"/>
      <c r="AB77" s="15"/>
      <c r="AC77" s="15"/>
      <c r="AD77" s="15"/>
      <c r="AE77" s="15"/>
      <c r="AF77" s="15"/>
      <c r="AG77" s="80">
        <f>SUM(Table1[[#This Row],[MLG Capital Historical Deal Equity]:[Legacy Fund Equity]])</f>
        <v>800000</v>
      </c>
      <c r="AH77" s="80">
        <f>Table1[[#This Row],[Fund I Equity]]*6/27.28+Table1[[#This Row],[Fund II Equity]]</f>
        <v>0</v>
      </c>
      <c r="AI77" s="6">
        <v>35972</v>
      </c>
      <c r="AJ77" s="15">
        <v>4400000</v>
      </c>
      <c r="AK77" s="163">
        <f>IF(Table1[[#This Row],[Status]]="Sold",(Table1[[#This Row],[Date of Sale]]-Table1[[#This Row],[Acquisition Date]])/365,"")</f>
        <v>4.5287671232876709</v>
      </c>
      <c r="AL77" s="15">
        <v>3439205</v>
      </c>
      <c r="AM77" s="167">
        <f>IF(Table1[[#This Row],[Status]]="Sold",Table1[[#This Row],[Total Property Distributions]]/Table1[[#This Row],[Total Equity]],"")</f>
        <v>4.2990062499999997</v>
      </c>
      <c r="AN77" s="168"/>
      <c r="AO77" s="168">
        <f>IF(Table1[[#This Row],[Status]]="Sold",((Table1[[#This Row],[Total Property Distributions]]-Table1[[#This Row],[Total Equity]])/Table1[[#This Row],[Total Equity]])/Table1[[#This Row],[Holding Period]],"")</f>
        <v>0.7284557055353903</v>
      </c>
      <c r="BR77" s="1"/>
    </row>
    <row r="78" spans="2:70" x14ac:dyDescent="0.2">
      <c r="B78" s="2" t="s">
        <v>245</v>
      </c>
      <c r="C78" s="2" t="s">
        <v>304</v>
      </c>
      <c r="E78" s="2" t="s">
        <v>235</v>
      </c>
      <c r="F78" s="2" t="s">
        <v>403</v>
      </c>
      <c r="G78" s="11" t="s">
        <v>97</v>
      </c>
      <c r="H78" s="11" t="s">
        <v>97</v>
      </c>
      <c r="I78" s="2" t="s">
        <v>50</v>
      </c>
      <c r="J78" s="2" t="s">
        <v>129</v>
      </c>
      <c r="K78" s="2" t="s">
        <v>50</v>
      </c>
      <c r="L78" s="11" t="s">
        <v>147</v>
      </c>
      <c r="M78" s="5">
        <v>178878</v>
      </c>
      <c r="N78" s="5">
        <v>240</v>
      </c>
      <c r="O78" s="5"/>
      <c r="P78" s="5"/>
      <c r="Q78" s="11"/>
      <c r="R78" s="6">
        <v>34355</v>
      </c>
      <c r="S78" s="15">
        <v>4577000</v>
      </c>
      <c r="T78" s="5" t="s">
        <v>335</v>
      </c>
      <c r="U78" s="5" t="s">
        <v>335</v>
      </c>
      <c r="V78" s="5" t="s">
        <v>335</v>
      </c>
      <c r="W78" s="5" t="s">
        <v>335</v>
      </c>
      <c r="X78" s="15">
        <v>1325100</v>
      </c>
      <c r="Y78" s="15"/>
      <c r="Z78" s="15"/>
      <c r="AA78" s="15"/>
      <c r="AB78" s="15"/>
      <c r="AC78" s="15"/>
      <c r="AD78" s="15"/>
      <c r="AE78" s="15"/>
      <c r="AF78" s="15"/>
      <c r="AG78" s="80">
        <f>SUM(Table1[[#This Row],[MLG Capital Historical Deal Equity]:[Legacy Fund Equity]])</f>
        <v>1325100</v>
      </c>
      <c r="AH78" s="80">
        <f>Table1[[#This Row],[Fund I Equity]]*6/27.28+Table1[[#This Row],[Fund II Equity]]</f>
        <v>0</v>
      </c>
      <c r="AI78" s="6">
        <v>36600</v>
      </c>
      <c r="AJ78" s="15">
        <v>7375000</v>
      </c>
      <c r="AK78" s="163">
        <f>IF(Table1[[#This Row],[Status]]="Sold",(Table1[[#This Row],[Date of Sale]]-Table1[[#This Row],[Acquisition Date]])/365,"")</f>
        <v>6.1506849315068495</v>
      </c>
      <c r="AL78" s="15">
        <v>4611817</v>
      </c>
      <c r="AM78" s="167">
        <f>IF(Table1[[#This Row],[Status]]="Sold",Table1[[#This Row],[Total Property Distributions]]/Table1[[#This Row],[Total Equity]],"")</f>
        <v>3.4803539355520337</v>
      </c>
      <c r="AN78" s="168"/>
      <c r="AO78" s="168">
        <f>IF(Table1[[#This Row],[Status]]="Sold",((Table1[[#This Row],[Total Property Distributions]]-Table1[[#This Row],[Total Equity]])/Table1[[#This Row],[Total Equity]])/Table1[[#This Row],[Holding Period]],"")</f>
        <v>0.40326467103629943</v>
      </c>
      <c r="BR78" s="1"/>
    </row>
    <row r="79" spans="2:70" ht="25.5" x14ac:dyDescent="0.2">
      <c r="B79" s="2" t="s">
        <v>516</v>
      </c>
      <c r="C79" s="2" t="s">
        <v>304</v>
      </c>
      <c r="E79" s="2" t="s">
        <v>235</v>
      </c>
      <c r="F79" s="2" t="s">
        <v>403</v>
      </c>
      <c r="G79" s="2" t="s">
        <v>397</v>
      </c>
      <c r="H79" s="2" t="s">
        <v>81</v>
      </c>
      <c r="I79" s="2" t="s">
        <v>142</v>
      </c>
      <c r="J79" s="2" t="s">
        <v>130</v>
      </c>
      <c r="K79" s="2" t="s">
        <v>105</v>
      </c>
      <c r="L79" s="11" t="s">
        <v>147</v>
      </c>
      <c r="M79" s="5">
        <v>114990</v>
      </c>
      <c r="N79" s="5"/>
      <c r="O79" s="5"/>
      <c r="P79" s="5"/>
      <c r="Q79" s="11"/>
      <c r="R79" s="6">
        <v>34570</v>
      </c>
      <c r="S79" s="15">
        <v>2000000</v>
      </c>
      <c r="T79" s="5" t="s">
        <v>335</v>
      </c>
      <c r="U79" s="5" t="s">
        <v>335</v>
      </c>
      <c r="V79" s="5" t="s">
        <v>335</v>
      </c>
      <c r="W79" s="5" t="s">
        <v>335</v>
      </c>
      <c r="X79" s="15">
        <v>700000</v>
      </c>
      <c r="Y79" s="15"/>
      <c r="Z79" s="15"/>
      <c r="AA79" s="15"/>
      <c r="AB79" s="15"/>
      <c r="AC79" s="15"/>
      <c r="AD79" s="15"/>
      <c r="AE79" s="15"/>
      <c r="AF79" s="15"/>
      <c r="AG79" s="80">
        <f>SUM(Table1[[#This Row],[MLG Capital Historical Deal Equity]:[Legacy Fund Equity]])</f>
        <v>700000</v>
      </c>
      <c r="AH79" s="80">
        <f>Table1[[#This Row],[Fund I Equity]]*6/27.28+Table1[[#This Row],[Fund II Equity]]</f>
        <v>0</v>
      </c>
      <c r="AI79" s="6">
        <v>41957</v>
      </c>
      <c r="AJ79" s="15">
        <v>3620000</v>
      </c>
      <c r="AK79" s="163">
        <f>IF(Table1[[#This Row],[Status]]="Sold",(Table1[[#This Row],[Date of Sale]]-Table1[[#This Row],[Acquisition Date]])/365,"")</f>
        <v>20.238356164383561</v>
      </c>
      <c r="AL79" s="15">
        <v>4885625.17</v>
      </c>
      <c r="AM79" s="167">
        <f>IF(Table1[[#This Row],[Status]]="Sold",Table1[[#This Row],[Total Property Distributions]]/Table1[[#This Row],[Total Equity]],"")</f>
        <v>6.9794645285714285</v>
      </c>
      <c r="AN79" s="168"/>
      <c r="AO79" s="168">
        <f>IF(Table1[[#This Row],[Status]]="Sold",((Table1[[#This Row],[Total Property Distributions]]-Table1[[#This Row],[Total Equity]])/Table1[[#This Row],[Total Equity]])/Table1[[#This Row],[Holding Period]],"")</f>
        <v>0.29545208513991761</v>
      </c>
      <c r="BR79" s="1"/>
    </row>
    <row r="80" spans="2:70" x14ac:dyDescent="0.2">
      <c r="B80" s="2" t="s">
        <v>279</v>
      </c>
      <c r="C80" s="2" t="s">
        <v>304</v>
      </c>
      <c r="E80" s="2" t="s">
        <v>235</v>
      </c>
      <c r="F80" s="2" t="s">
        <v>403</v>
      </c>
      <c r="G80" s="2" t="s">
        <v>397</v>
      </c>
      <c r="H80" s="2" t="s">
        <v>81</v>
      </c>
      <c r="I80" s="2" t="s">
        <v>105</v>
      </c>
      <c r="J80" s="2" t="s">
        <v>130</v>
      </c>
      <c r="K80" s="2" t="s">
        <v>105</v>
      </c>
      <c r="L80" s="11" t="s">
        <v>147</v>
      </c>
      <c r="M80" s="5">
        <v>80307</v>
      </c>
      <c r="N80" s="5"/>
      <c r="O80" s="5"/>
      <c r="P80" s="5"/>
      <c r="Q80" s="11"/>
      <c r="R80" s="6">
        <v>34851</v>
      </c>
      <c r="S80" s="15">
        <v>3000000</v>
      </c>
      <c r="T80" s="5" t="s">
        <v>335</v>
      </c>
      <c r="U80" s="5" t="s">
        <v>335</v>
      </c>
      <c r="V80" s="5" t="s">
        <v>335</v>
      </c>
      <c r="W80" s="5" t="s">
        <v>335</v>
      </c>
      <c r="X80" s="15">
        <v>1047782.35</v>
      </c>
      <c r="Y80" s="15"/>
      <c r="Z80" s="15"/>
      <c r="AA80" s="15"/>
      <c r="AB80" s="15"/>
      <c r="AC80" s="15"/>
      <c r="AD80" s="15"/>
      <c r="AE80" s="15"/>
      <c r="AF80" s="15"/>
      <c r="AG80" s="80">
        <f>SUM(Table1[[#This Row],[MLG Capital Historical Deal Equity]:[Legacy Fund Equity]])</f>
        <v>1047782.35</v>
      </c>
      <c r="AH80" s="80">
        <f>Table1[[#This Row],[Fund I Equity]]*6/27.28+Table1[[#This Row],[Fund II Equity]]</f>
        <v>0</v>
      </c>
      <c r="AI80" s="6">
        <v>38730</v>
      </c>
      <c r="AJ80" s="15">
        <v>4900000</v>
      </c>
      <c r="AK80" s="163">
        <f>IF(Table1[[#This Row],[Status]]="Sold",(Table1[[#This Row],[Date of Sale]]-Table1[[#This Row],[Acquisition Date]])/365,"")</f>
        <v>10.627397260273973</v>
      </c>
      <c r="AL80" s="15">
        <v>2714434.2800000003</v>
      </c>
      <c r="AM80" s="167">
        <f>IF(Table1[[#This Row],[Status]]="Sold",Table1[[#This Row],[Total Property Distributions]]/Table1[[#This Row],[Total Equity]],"")</f>
        <v>2.5906470747479191</v>
      </c>
      <c r="AN80" s="168"/>
      <c r="AO80" s="168">
        <f>IF(Table1[[#This Row],[Status]]="Sold",((Table1[[#This Row],[Total Property Distributions]]-Table1[[#This Row],[Total Equity]])/Table1[[#This Row],[Total Equity]])/Table1[[#This Row],[Holding Period]],"")</f>
        <v>0.14967418981257807</v>
      </c>
      <c r="BR80" s="1"/>
    </row>
    <row r="81" spans="2:70" x14ac:dyDescent="0.2">
      <c r="B81" s="2" t="s">
        <v>290</v>
      </c>
      <c r="C81" s="2" t="s">
        <v>304</v>
      </c>
      <c r="E81" s="2" t="s">
        <v>235</v>
      </c>
      <c r="F81" s="2" t="s">
        <v>403</v>
      </c>
      <c r="G81" s="2" t="s">
        <v>397</v>
      </c>
      <c r="H81" s="2" t="s">
        <v>82</v>
      </c>
      <c r="I81" s="2" t="s">
        <v>357</v>
      </c>
      <c r="J81" s="2" t="s">
        <v>130</v>
      </c>
      <c r="K81" s="2" t="s">
        <v>105</v>
      </c>
      <c r="L81" s="11" t="s">
        <v>147</v>
      </c>
      <c r="M81" s="5">
        <v>22528</v>
      </c>
      <c r="N81" s="5"/>
      <c r="O81" s="5"/>
      <c r="P81" s="5"/>
      <c r="Q81" s="11"/>
      <c r="R81" s="6">
        <v>34851</v>
      </c>
      <c r="S81" s="15">
        <v>640000</v>
      </c>
      <c r="T81" s="5" t="s">
        <v>335</v>
      </c>
      <c r="U81" s="5" t="s">
        <v>335</v>
      </c>
      <c r="V81" s="5" t="s">
        <v>335</v>
      </c>
      <c r="W81" s="5" t="s">
        <v>335</v>
      </c>
      <c r="X81" s="15">
        <v>130500</v>
      </c>
      <c r="Y81" s="15"/>
      <c r="Z81" s="15"/>
      <c r="AA81" s="15"/>
      <c r="AB81" s="15"/>
      <c r="AC81" s="15"/>
      <c r="AD81" s="15"/>
      <c r="AE81" s="15"/>
      <c r="AF81" s="15"/>
      <c r="AG81" s="80">
        <f>SUM(Table1[[#This Row],[MLG Capital Historical Deal Equity]:[Legacy Fund Equity]])</f>
        <v>130500</v>
      </c>
      <c r="AH81" s="80">
        <f>Table1[[#This Row],[Fund I Equity]]*6/27.28+Table1[[#This Row],[Fund II Equity]]</f>
        <v>0</v>
      </c>
      <c r="AI81" s="6">
        <v>41713</v>
      </c>
      <c r="AJ81" s="15">
        <v>934773.89</v>
      </c>
      <c r="AK81" s="163">
        <f>IF(Table1[[#This Row],[Status]]="Sold",(Table1[[#This Row],[Date of Sale]]-Table1[[#This Row],[Acquisition Date]])/365,"")</f>
        <v>18.8</v>
      </c>
      <c r="AL81" s="15">
        <v>1199701.4099999999</v>
      </c>
      <c r="AM81" s="167">
        <f>IF(Table1[[#This Row],[Status]]="Sold",Table1[[#This Row],[Total Property Distributions]]/Table1[[#This Row],[Total Equity]],"")</f>
        <v>9.1931142528735634</v>
      </c>
      <c r="AN81" s="168"/>
      <c r="AO81" s="168">
        <f>IF(Table1[[#This Row],[Status]]="Sold",((Table1[[#This Row],[Total Property Distributions]]-Table1[[#This Row],[Total Equity]])/Table1[[#This Row],[Total Equity]])/Table1[[#This Row],[Holding Period]],"")</f>
        <v>0.43580394962093422</v>
      </c>
      <c r="BR81" s="1"/>
    </row>
    <row r="82" spans="2:70" x14ac:dyDescent="0.2">
      <c r="B82" s="2" t="s">
        <v>285</v>
      </c>
      <c r="C82" s="2" t="s">
        <v>304</v>
      </c>
      <c r="E82" s="2" t="s">
        <v>235</v>
      </c>
      <c r="F82" s="2" t="s">
        <v>403</v>
      </c>
      <c r="G82" s="2" t="s">
        <v>397</v>
      </c>
      <c r="H82" s="2" t="s">
        <v>82</v>
      </c>
      <c r="I82" s="2" t="s">
        <v>143</v>
      </c>
      <c r="J82" s="2" t="s">
        <v>130</v>
      </c>
      <c r="K82" s="2" t="s">
        <v>105</v>
      </c>
      <c r="L82" s="11" t="s">
        <v>147</v>
      </c>
      <c r="M82" s="5">
        <v>31470</v>
      </c>
      <c r="N82" s="5"/>
      <c r="O82" s="5"/>
      <c r="P82" s="5"/>
      <c r="Q82" s="11"/>
      <c r="R82" s="6">
        <v>34943</v>
      </c>
      <c r="S82" s="15">
        <v>1400000</v>
      </c>
      <c r="T82" s="5" t="s">
        <v>335</v>
      </c>
      <c r="U82" s="5" t="s">
        <v>335</v>
      </c>
      <c r="V82" s="5" t="s">
        <v>335</v>
      </c>
      <c r="W82" s="5" t="s">
        <v>335</v>
      </c>
      <c r="X82" s="15">
        <v>575000</v>
      </c>
      <c r="Y82" s="15"/>
      <c r="Z82" s="15"/>
      <c r="AA82" s="15"/>
      <c r="AB82" s="15"/>
      <c r="AC82" s="15"/>
      <c r="AD82" s="15"/>
      <c r="AE82" s="15"/>
      <c r="AF82" s="15"/>
      <c r="AG82" s="80">
        <f>SUM(Table1[[#This Row],[MLG Capital Historical Deal Equity]:[Legacy Fund Equity]])</f>
        <v>575000</v>
      </c>
      <c r="AH82" s="80">
        <f>Table1[[#This Row],[Fund I Equity]]*6/27.28+Table1[[#This Row],[Fund II Equity]]</f>
        <v>0</v>
      </c>
      <c r="AI82" s="6">
        <v>41060</v>
      </c>
      <c r="AJ82" s="15">
        <v>3950000</v>
      </c>
      <c r="AK82" s="163">
        <f>IF(Table1[[#This Row],[Status]]="Sold",(Table1[[#This Row],[Date of Sale]]-Table1[[#This Row],[Acquisition Date]])/365,"")</f>
        <v>16.758904109589039</v>
      </c>
      <c r="AL82" s="15">
        <v>2452646.4300000002</v>
      </c>
      <c r="AM82" s="167">
        <f>IF(Table1[[#This Row],[Status]]="Sold",Table1[[#This Row],[Total Property Distributions]]/Table1[[#This Row],[Total Equity]],"")</f>
        <v>4.2654720521739131</v>
      </c>
      <c r="AN82" s="168"/>
      <c r="AO82" s="168">
        <f>IF(Table1[[#This Row],[Status]]="Sold",((Table1[[#This Row],[Total Property Distributions]]-Table1[[#This Row],[Total Equity]])/Table1[[#This Row],[Total Equity]])/Table1[[#This Row],[Holding Period]],"")</f>
        <v>0.19484997532180454</v>
      </c>
      <c r="BR82" s="1"/>
    </row>
    <row r="83" spans="2:70" x14ac:dyDescent="0.2">
      <c r="B83" s="2" t="s">
        <v>272</v>
      </c>
      <c r="C83" s="2" t="s">
        <v>304</v>
      </c>
      <c r="E83" s="2" t="s">
        <v>235</v>
      </c>
      <c r="F83" s="2" t="s">
        <v>403</v>
      </c>
      <c r="G83" s="2" t="s">
        <v>397</v>
      </c>
      <c r="H83" s="2" t="s">
        <v>82</v>
      </c>
      <c r="I83" s="2" t="s">
        <v>349</v>
      </c>
      <c r="J83" s="2" t="s">
        <v>130</v>
      </c>
      <c r="K83" s="2" t="s">
        <v>105</v>
      </c>
      <c r="L83" s="11" t="s">
        <v>147</v>
      </c>
      <c r="M83" s="5">
        <v>85141</v>
      </c>
      <c r="N83" s="5"/>
      <c r="O83" s="5"/>
      <c r="P83" s="5"/>
      <c r="Q83" s="11"/>
      <c r="R83" s="6">
        <v>35034</v>
      </c>
      <c r="S83" s="15">
        <v>1500000</v>
      </c>
      <c r="T83" s="5" t="s">
        <v>335</v>
      </c>
      <c r="U83" s="5" t="s">
        <v>335</v>
      </c>
      <c r="V83" s="5" t="s">
        <v>335</v>
      </c>
      <c r="W83" s="5" t="s">
        <v>335</v>
      </c>
      <c r="X83" s="15">
        <v>796267.35</v>
      </c>
      <c r="Y83" s="15"/>
      <c r="Z83" s="15"/>
      <c r="AA83" s="15"/>
      <c r="AB83" s="15"/>
      <c r="AC83" s="15"/>
      <c r="AD83" s="15"/>
      <c r="AE83" s="15"/>
      <c r="AF83" s="15"/>
      <c r="AG83" s="80">
        <f>SUM(Table1[[#This Row],[MLG Capital Historical Deal Equity]:[Legacy Fund Equity]])</f>
        <v>796267.35</v>
      </c>
      <c r="AH83" s="80">
        <f>Table1[[#This Row],[Fund I Equity]]*6/27.28+Table1[[#This Row],[Fund II Equity]]</f>
        <v>0</v>
      </c>
      <c r="AI83" s="6">
        <v>38377</v>
      </c>
      <c r="AJ83" s="15">
        <v>6900000</v>
      </c>
      <c r="AK83" s="163">
        <f>IF(Table1[[#This Row],[Status]]="Sold",(Table1[[#This Row],[Date of Sale]]-Table1[[#This Row],[Acquisition Date]])/365,"")</f>
        <v>9.1589041095890416</v>
      </c>
      <c r="AL83" s="15">
        <v>1953990.27</v>
      </c>
      <c r="AM83" s="167">
        <f>IF(Table1[[#This Row],[Status]]="Sold",Table1[[#This Row],[Total Property Distributions]]/Table1[[#This Row],[Total Equity]],"")</f>
        <v>2.4539374495262178</v>
      </c>
      <c r="AN83" s="168"/>
      <c r="AO83" s="168">
        <f>IF(Table1[[#This Row],[Status]]="Sold",((Table1[[#This Row],[Total Property Distributions]]-Table1[[#This Row],[Total Equity]])/Table1[[#This Row],[Total Equity]])/Table1[[#This Row],[Holding Period]],"")</f>
        <v>0.15874578793810032</v>
      </c>
      <c r="BR83" s="1"/>
    </row>
    <row r="84" spans="2:70" x14ac:dyDescent="0.2">
      <c r="B84" s="2" t="s">
        <v>268</v>
      </c>
      <c r="C84" s="2" t="s">
        <v>304</v>
      </c>
      <c r="E84" s="2" t="s">
        <v>235</v>
      </c>
      <c r="F84" s="2" t="s">
        <v>403</v>
      </c>
      <c r="G84" s="2" t="s">
        <v>397</v>
      </c>
      <c r="H84" s="2" t="s">
        <v>80</v>
      </c>
      <c r="I84" s="2" t="s">
        <v>105</v>
      </c>
      <c r="J84" s="2" t="s">
        <v>130</v>
      </c>
      <c r="K84" s="2" t="s">
        <v>105</v>
      </c>
      <c r="L84" s="11" t="s">
        <v>147</v>
      </c>
      <c r="M84" s="5">
        <v>39065</v>
      </c>
      <c r="N84" s="5"/>
      <c r="O84" s="5"/>
      <c r="P84" s="5"/>
      <c r="Q84" s="11"/>
      <c r="R84" s="6">
        <v>35122</v>
      </c>
      <c r="S84" s="15">
        <v>3000000</v>
      </c>
      <c r="T84" s="5" t="s">
        <v>335</v>
      </c>
      <c r="U84" s="5" t="s">
        <v>335</v>
      </c>
      <c r="V84" s="5" t="s">
        <v>335</v>
      </c>
      <c r="W84" s="5" t="s">
        <v>335</v>
      </c>
      <c r="X84" s="15">
        <v>875000</v>
      </c>
      <c r="Y84" s="15"/>
      <c r="Z84" s="15"/>
      <c r="AA84" s="15"/>
      <c r="AB84" s="15"/>
      <c r="AC84" s="15"/>
      <c r="AD84" s="15"/>
      <c r="AE84" s="15"/>
      <c r="AF84" s="15"/>
      <c r="AG84" s="80">
        <f>SUM(Table1[[#This Row],[MLG Capital Historical Deal Equity]:[Legacy Fund Equity]])</f>
        <v>875000</v>
      </c>
      <c r="AH84" s="80">
        <f>Table1[[#This Row],[Fund I Equity]]*6/27.28+Table1[[#This Row],[Fund II Equity]]</f>
        <v>0</v>
      </c>
      <c r="AI84" s="6">
        <v>35338</v>
      </c>
      <c r="AJ84" s="15">
        <v>3450000</v>
      </c>
      <c r="AK84" s="163">
        <f>IF(Table1[[#This Row],[Status]]="Sold",(Table1[[#This Row],[Date of Sale]]-Table1[[#This Row],[Acquisition Date]])/365,"")</f>
        <v>0.59178082191780823</v>
      </c>
      <c r="AL84" s="15">
        <v>1282000</v>
      </c>
      <c r="AM84" s="167">
        <f>IF(Table1[[#This Row],[Status]]="Sold",Table1[[#This Row],[Total Property Distributions]]/Table1[[#This Row],[Total Equity]],"")</f>
        <v>1.4651428571428571</v>
      </c>
      <c r="AN84" s="168"/>
      <c r="AO84" s="168">
        <f>IF(Table1[[#This Row],[Status]]="Sold",((Table1[[#This Row],[Total Property Distributions]]-Table1[[#This Row],[Total Equity]])/Table1[[#This Row],[Total Equity]])/Table1[[#This Row],[Holding Period]],"")</f>
        <v>0.78600529100529093</v>
      </c>
      <c r="BR84" s="1"/>
    </row>
    <row r="85" spans="2:70" x14ac:dyDescent="0.2">
      <c r="B85" s="2" t="s">
        <v>293</v>
      </c>
      <c r="C85" s="2" t="s">
        <v>304</v>
      </c>
      <c r="E85" s="2" t="s">
        <v>235</v>
      </c>
      <c r="F85" s="2" t="s">
        <v>403</v>
      </c>
      <c r="G85" s="2" t="s">
        <v>397</v>
      </c>
      <c r="H85" s="2" t="s">
        <v>82</v>
      </c>
      <c r="I85" s="2" t="s">
        <v>357</v>
      </c>
      <c r="J85" s="2" t="s">
        <v>130</v>
      </c>
      <c r="K85" s="2" t="s">
        <v>105</v>
      </c>
      <c r="L85" s="11" t="s">
        <v>147</v>
      </c>
      <c r="M85" s="5">
        <v>115000</v>
      </c>
      <c r="N85" s="5"/>
      <c r="O85" s="5"/>
      <c r="P85" s="5"/>
      <c r="Q85" s="11"/>
      <c r="R85" s="6">
        <v>35156</v>
      </c>
      <c r="S85" s="15">
        <v>5150000</v>
      </c>
      <c r="T85" s="5" t="s">
        <v>335</v>
      </c>
      <c r="U85" s="5" t="s">
        <v>335</v>
      </c>
      <c r="V85" s="5" t="s">
        <v>335</v>
      </c>
      <c r="W85" s="5" t="s">
        <v>335</v>
      </c>
      <c r="X85" s="15">
        <v>2450000</v>
      </c>
      <c r="Y85" s="15"/>
      <c r="Z85" s="15"/>
      <c r="AA85" s="15"/>
      <c r="AB85" s="15"/>
      <c r="AC85" s="15"/>
      <c r="AD85" s="15"/>
      <c r="AE85" s="15"/>
      <c r="AF85" s="15"/>
      <c r="AG85" s="80">
        <f>SUM(Table1[[#This Row],[MLG Capital Historical Deal Equity]:[Legacy Fund Equity]])</f>
        <v>2450000</v>
      </c>
      <c r="AH85" s="80">
        <f>Table1[[#This Row],[Fund I Equity]]*6/27.28+Table1[[#This Row],[Fund II Equity]]</f>
        <v>0</v>
      </c>
      <c r="AI85" s="6">
        <v>42447</v>
      </c>
      <c r="AJ85" s="15">
        <v>10500000</v>
      </c>
      <c r="AK85" s="163">
        <f>IF(Table1[[#This Row],[Status]]="Sold",(Table1[[#This Row],[Date of Sale]]-Table1[[#This Row],[Acquisition Date]])/365,"")</f>
        <v>19.975342465753425</v>
      </c>
      <c r="AL85" s="15">
        <v>3297746.38</v>
      </c>
      <c r="AM85" s="167">
        <f>IF(Table1[[#This Row],[Status]]="Sold",Table1[[#This Row],[Total Property Distributions]]/Table1[[#This Row],[Total Equity]],"")</f>
        <v>1.3460189306122448</v>
      </c>
      <c r="AN85" s="168"/>
      <c r="AO85" s="168">
        <f>IF(Table1[[#This Row],[Status]]="Sold",((Table1[[#This Row],[Total Property Distributions]]-Table1[[#This Row],[Total Equity]])/Table1[[#This Row],[Total Equity]])/Table1[[#This Row],[Holding Period]],"")</f>
        <v>1.7322302794331283E-2</v>
      </c>
      <c r="BR85" s="1"/>
    </row>
    <row r="86" spans="2:70" x14ac:dyDescent="0.2">
      <c r="B86" s="2" t="s">
        <v>253</v>
      </c>
      <c r="C86" s="2" t="s">
        <v>304</v>
      </c>
      <c r="E86" s="2" t="s">
        <v>235</v>
      </c>
      <c r="F86" s="2" t="s">
        <v>403</v>
      </c>
      <c r="G86" s="11" t="s">
        <v>97</v>
      </c>
      <c r="H86" s="11" t="s">
        <v>97</v>
      </c>
      <c r="I86" s="2" t="s">
        <v>50</v>
      </c>
      <c r="J86" s="2" t="s">
        <v>129</v>
      </c>
      <c r="K86" s="2" t="s">
        <v>50</v>
      </c>
      <c r="L86" s="11" t="s">
        <v>147</v>
      </c>
      <c r="M86" s="5">
        <v>168674</v>
      </c>
      <c r="N86" s="5">
        <v>202</v>
      </c>
      <c r="O86" s="5"/>
      <c r="P86" s="5"/>
      <c r="Q86" s="11"/>
      <c r="R86" s="6">
        <v>35185</v>
      </c>
      <c r="S86" s="15">
        <v>4775000</v>
      </c>
      <c r="T86" s="5" t="s">
        <v>335</v>
      </c>
      <c r="U86" s="5" t="s">
        <v>335</v>
      </c>
      <c r="V86" s="5" t="s">
        <v>335</v>
      </c>
      <c r="W86" s="5" t="s">
        <v>335</v>
      </c>
      <c r="X86" s="15">
        <v>1732380.5</v>
      </c>
      <c r="Y86" s="15"/>
      <c r="Z86" s="15"/>
      <c r="AA86" s="15"/>
      <c r="AB86" s="15"/>
      <c r="AC86" s="15"/>
      <c r="AD86" s="15"/>
      <c r="AE86" s="15"/>
      <c r="AF86" s="15"/>
      <c r="AG86" s="80">
        <f>SUM(Table1[[#This Row],[MLG Capital Historical Deal Equity]:[Legacy Fund Equity]])</f>
        <v>1732380.5</v>
      </c>
      <c r="AH86" s="80">
        <f>Table1[[#This Row],[Fund I Equity]]*6/27.28+Table1[[#This Row],[Fund II Equity]]</f>
        <v>0</v>
      </c>
      <c r="AI86" s="6">
        <v>41670</v>
      </c>
      <c r="AJ86" s="15">
        <v>9600000</v>
      </c>
      <c r="AK86" s="163">
        <f>IF(Table1[[#This Row],[Status]]="Sold",(Table1[[#This Row],[Date of Sale]]-Table1[[#This Row],[Acquisition Date]])/365,"")</f>
        <v>17.767123287671232</v>
      </c>
      <c r="AL86" s="15">
        <v>6854128.0199999996</v>
      </c>
      <c r="AM86" s="167">
        <f>IF(Table1[[#This Row],[Status]]="Sold",Table1[[#This Row],[Total Property Distributions]]/Table1[[#This Row],[Total Equity]],"")</f>
        <v>3.9564795493830598</v>
      </c>
      <c r="AN86" s="168"/>
      <c r="AO86" s="168">
        <f>IF(Table1[[#This Row],[Status]]="Sold",((Table1[[#This Row],[Total Property Distributions]]-Table1[[#This Row],[Total Equity]])/Table1[[#This Row],[Total Equity]])/Table1[[#This Row],[Holding Period]],"")</f>
        <v>0.16640170170004887</v>
      </c>
      <c r="BR86" s="1"/>
    </row>
    <row r="87" spans="2:70" x14ac:dyDescent="0.2">
      <c r="B87" s="2" t="s">
        <v>269</v>
      </c>
      <c r="C87" s="2" t="s">
        <v>304</v>
      </c>
      <c r="E87" s="2" t="s">
        <v>235</v>
      </c>
      <c r="F87" s="2" t="s">
        <v>403</v>
      </c>
      <c r="G87" s="2" t="s">
        <v>397</v>
      </c>
      <c r="H87" s="2" t="s">
        <v>80</v>
      </c>
      <c r="I87" s="2" t="s">
        <v>287</v>
      </c>
      <c r="J87" s="2" t="s">
        <v>130</v>
      </c>
      <c r="K87" s="2" t="s">
        <v>287</v>
      </c>
      <c r="L87" s="11" t="s">
        <v>147</v>
      </c>
      <c r="M87" s="5">
        <v>211642</v>
      </c>
      <c r="N87" s="5"/>
      <c r="O87" s="5"/>
      <c r="P87" s="5"/>
      <c r="Q87" s="11"/>
      <c r="R87" s="6">
        <v>35394</v>
      </c>
      <c r="S87" s="15">
        <v>8452000</v>
      </c>
      <c r="T87" s="5" t="s">
        <v>335</v>
      </c>
      <c r="U87" s="5" t="s">
        <v>335</v>
      </c>
      <c r="V87" s="5" t="s">
        <v>335</v>
      </c>
      <c r="W87" s="5" t="s">
        <v>335</v>
      </c>
      <c r="X87" s="15">
        <v>2450000</v>
      </c>
      <c r="Y87" s="15"/>
      <c r="Z87" s="15"/>
      <c r="AA87" s="15"/>
      <c r="AB87" s="15"/>
      <c r="AC87" s="15"/>
      <c r="AD87" s="15"/>
      <c r="AE87" s="15"/>
      <c r="AF87" s="15"/>
      <c r="AG87" s="80">
        <f>SUM(Table1[[#This Row],[MLG Capital Historical Deal Equity]:[Legacy Fund Equity]])</f>
        <v>2450000</v>
      </c>
      <c r="AH87" s="80">
        <f>Table1[[#This Row],[Fund I Equity]]*6/27.28+Table1[[#This Row],[Fund II Equity]]</f>
        <v>0</v>
      </c>
      <c r="AI87" s="6">
        <v>36389</v>
      </c>
      <c r="AJ87" s="15">
        <v>15600000</v>
      </c>
      <c r="AK87" s="163">
        <f>IF(Table1[[#This Row],[Status]]="Sold",(Table1[[#This Row],[Date of Sale]]-Table1[[#This Row],[Acquisition Date]])/365,"")</f>
        <v>2.7260273972602738</v>
      </c>
      <c r="AL87" s="15">
        <v>8424761.5</v>
      </c>
      <c r="AM87" s="167">
        <f>IF(Table1[[#This Row],[Status]]="Sold",Table1[[#This Row],[Total Property Distributions]]/Table1[[#This Row],[Total Equity]],"")</f>
        <v>3.4386781632653061</v>
      </c>
      <c r="AN87" s="168"/>
      <c r="AO87" s="168">
        <f>IF(Table1[[#This Row],[Status]]="Sold",((Table1[[#This Row],[Total Property Distributions]]-Table1[[#This Row],[Total Equity]])/Table1[[#This Row],[Total Equity]])/Table1[[#This Row],[Holding Period]],"")</f>
        <v>0.89459048200184599</v>
      </c>
      <c r="BR87" s="1"/>
    </row>
    <row r="88" spans="2:70" ht="25.5" x14ac:dyDescent="0.2">
      <c r="B88" s="2" t="s">
        <v>273</v>
      </c>
      <c r="C88" s="2" t="s">
        <v>304</v>
      </c>
      <c r="E88" s="2" t="s">
        <v>235</v>
      </c>
      <c r="F88" s="2" t="s">
        <v>403</v>
      </c>
      <c r="G88" s="2" t="s">
        <v>397</v>
      </c>
      <c r="H88" s="2" t="s">
        <v>81</v>
      </c>
      <c r="I88" s="2" t="s">
        <v>350</v>
      </c>
      <c r="J88" s="2" t="s">
        <v>130</v>
      </c>
      <c r="K88" s="2" t="s">
        <v>105</v>
      </c>
      <c r="L88" s="11" t="s">
        <v>147</v>
      </c>
      <c r="M88" s="5">
        <v>78152</v>
      </c>
      <c r="N88" s="5"/>
      <c r="O88" s="5"/>
      <c r="P88" s="5"/>
      <c r="Q88" s="11"/>
      <c r="R88" s="6">
        <v>35582</v>
      </c>
      <c r="S88" s="15">
        <v>2500000</v>
      </c>
      <c r="T88" s="5" t="s">
        <v>335</v>
      </c>
      <c r="U88" s="5" t="s">
        <v>335</v>
      </c>
      <c r="V88" s="5" t="s">
        <v>335</v>
      </c>
      <c r="W88" s="5" t="s">
        <v>335</v>
      </c>
      <c r="X88" s="15">
        <v>819465.82</v>
      </c>
      <c r="Y88" s="15"/>
      <c r="Z88" s="15"/>
      <c r="AA88" s="15"/>
      <c r="AB88" s="15"/>
      <c r="AC88" s="15"/>
      <c r="AD88" s="15"/>
      <c r="AE88" s="15"/>
      <c r="AF88" s="15"/>
      <c r="AG88" s="80">
        <f>SUM(Table1[[#This Row],[MLG Capital Historical Deal Equity]:[Legacy Fund Equity]])</f>
        <v>819465.82</v>
      </c>
      <c r="AH88" s="80">
        <f>Table1[[#This Row],[Fund I Equity]]*6/27.28+Table1[[#This Row],[Fund II Equity]]</f>
        <v>0</v>
      </c>
      <c r="AI88" s="6">
        <v>38400</v>
      </c>
      <c r="AJ88" s="15">
        <v>4475000</v>
      </c>
      <c r="AK88" s="163">
        <f>IF(Table1[[#This Row],[Status]]="Sold",(Table1[[#This Row],[Date of Sale]]-Table1[[#This Row],[Acquisition Date]])/365,"")</f>
        <v>7.720547945205479</v>
      </c>
      <c r="AL88" s="15">
        <v>2714989.98</v>
      </c>
      <c r="AM88" s="167">
        <f>IF(Table1[[#This Row],[Status]]="Sold",Table1[[#This Row],[Total Property Distributions]]/Table1[[#This Row],[Total Equity]],"")</f>
        <v>3.3131216870033704</v>
      </c>
      <c r="AN88" s="168"/>
      <c r="AO88" s="168">
        <f>IF(Table1[[#This Row],[Status]]="Sold",((Table1[[#This Row],[Total Property Distributions]]-Table1[[#This Row],[Total Equity]])/Table1[[#This Row],[Total Equity]])/Table1[[#This Row],[Holding Period]],"")</f>
        <v>0.2996058962939071</v>
      </c>
      <c r="BR88" s="1"/>
    </row>
    <row r="89" spans="2:70" ht="25.5" x14ac:dyDescent="0.2">
      <c r="B89" s="2" t="s">
        <v>248</v>
      </c>
      <c r="C89" s="2" t="s">
        <v>304</v>
      </c>
      <c r="E89" s="2" t="s">
        <v>235</v>
      </c>
      <c r="F89" s="2" t="s">
        <v>403</v>
      </c>
      <c r="G89" s="11" t="s">
        <v>97</v>
      </c>
      <c r="H89" s="11" t="s">
        <v>97</v>
      </c>
      <c r="I89" s="2" t="s">
        <v>120</v>
      </c>
      <c r="J89" s="2" t="s">
        <v>137</v>
      </c>
      <c r="K89" s="2" t="s">
        <v>120</v>
      </c>
      <c r="L89" s="11" t="s">
        <v>147</v>
      </c>
      <c r="M89" s="5">
        <v>195832</v>
      </c>
      <c r="N89" s="5">
        <v>264</v>
      </c>
      <c r="O89" s="5"/>
      <c r="P89" s="5"/>
      <c r="Q89" s="11"/>
      <c r="R89" s="6">
        <v>35735</v>
      </c>
      <c r="S89" s="15">
        <v>7700000</v>
      </c>
      <c r="T89" s="5" t="s">
        <v>335</v>
      </c>
      <c r="U89" s="5" t="s">
        <v>335</v>
      </c>
      <c r="V89" s="5" t="s">
        <v>335</v>
      </c>
      <c r="W89" s="5" t="s">
        <v>335</v>
      </c>
      <c r="X89" s="15">
        <v>1550001</v>
      </c>
      <c r="Y89" s="15"/>
      <c r="Z89" s="15"/>
      <c r="AA89" s="15"/>
      <c r="AB89" s="15"/>
      <c r="AC89" s="15"/>
      <c r="AD89" s="15"/>
      <c r="AE89" s="15"/>
      <c r="AF89" s="15"/>
      <c r="AG89" s="80">
        <f>SUM(Table1[[#This Row],[MLG Capital Historical Deal Equity]:[Legacy Fund Equity]])</f>
        <v>1550001</v>
      </c>
      <c r="AH89" s="80">
        <f>Table1[[#This Row],[Fund I Equity]]*6/27.28+Table1[[#This Row],[Fund II Equity]]</f>
        <v>0</v>
      </c>
      <c r="AI89" s="6">
        <v>38134</v>
      </c>
      <c r="AJ89" s="15">
        <v>11500000</v>
      </c>
      <c r="AK89" s="163">
        <f>IF(Table1[[#This Row],[Status]]="Sold",(Table1[[#This Row],[Date of Sale]]-Table1[[#This Row],[Acquisition Date]])/365,"")</f>
        <v>6.5726027397260278</v>
      </c>
      <c r="AL89" s="15">
        <v>5511591.8700000001</v>
      </c>
      <c r="AM89" s="167">
        <f>IF(Table1[[#This Row],[Status]]="Sold",Table1[[#This Row],[Total Property Distributions]]/Table1[[#This Row],[Total Equity]],"")</f>
        <v>3.5558634284752073</v>
      </c>
      <c r="AN89" s="168"/>
      <c r="AO89" s="168">
        <f>IF(Table1[[#This Row],[Status]]="Sold",((Table1[[#This Row],[Total Property Distributions]]-Table1[[#This Row],[Total Equity]])/Table1[[#This Row],[Total Equity]])/Table1[[#This Row],[Holding Period]],"")</f>
        <v>0.38886625735450214</v>
      </c>
      <c r="BR89" s="1"/>
    </row>
    <row r="90" spans="2:70" x14ac:dyDescent="0.2">
      <c r="B90" s="2" t="s">
        <v>257</v>
      </c>
      <c r="C90" s="2" t="s">
        <v>304</v>
      </c>
      <c r="E90" s="2" t="s">
        <v>235</v>
      </c>
      <c r="F90" s="2" t="s">
        <v>403</v>
      </c>
      <c r="G90" s="11" t="s">
        <v>97</v>
      </c>
      <c r="H90" s="11" t="s">
        <v>97</v>
      </c>
      <c r="I90" s="2" t="s">
        <v>50</v>
      </c>
      <c r="J90" s="2" t="s">
        <v>129</v>
      </c>
      <c r="K90" s="2" t="s">
        <v>50</v>
      </c>
      <c r="L90" s="11" t="s">
        <v>147</v>
      </c>
      <c r="M90" s="5">
        <v>143328</v>
      </c>
      <c r="N90" s="5">
        <v>200</v>
      </c>
      <c r="O90" s="5"/>
      <c r="P90" s="5"/>
      <c r="Q90" s="11"/>
      <c r="R90" s="6">
        <v>35886</v>
      </c>
      <c r="S90" s="15">
        <v>4600000</v>
      </c>
      <c r="T90" s="5" t="s">
        <v>335</v>
      </c>
      <c r="U90" s="5" t="s">
        <v>335</v>
      </c>
      <c r="V90" s="5" t="s">
        <v>335</v>
      </c>
      <c r="W90" s="5" t="s">
        <v>335</v>
      </c>
      <c r="X90" s="15">
        <v>1357789</v>
      </c>
      <c r="Y90" s="15"/>
      <c r="Z90" s="15"/>
      <c r="AA90" s="15"/>
      <c r="AB90" s="15"/>
      <c r="AC90" s="15"/>
      <c r="AD90" s="15"/>
      <c r="AE90" s="15"/>
      <c r="AF90" s="15"/>
      <c r="AG90" s="80">
        <f>SUM(Table1[[#This Row],[MLG Capital Historical Deal Equity]:[Legacy Fund Equity]])</f>
        <v>1357789</v>
      </c>
      <c r="AH90" s="80">
        <f>Table1[[#This Row],[Fund I Equity]]*6/27.28+Table1[[#This Row],[Fund II Equity]]</f>
        <v>0</v>
      </c>
      <c r="AI90" s="6">
        <v>42522</v>
      </c>
      <c r="AJ90" s="15">
        <v>13000000</v>
      </c>
      <c r="AK90" s="163">
        <f>IF(Table1[[#This Row],[Status]]="Sold",(Table1[[#This Row],[Date of Sale]]-Table1[[#This Row],[Acquisition Date]])/365,"")</f>
        <v>18.18082191780822</v>
      </c>
      <c r="AL90" s="15">
        <v>11443764.719999999</v>
      </c>
      <c r="AM90" s="167">
        <f>IF(Table1[[#This Row],[Status]]="Sold",Table1[[#This Row],[Total Property Distributions]]/Table1[[#This Row],[Total Equity]],"")</f>
        <v>8.4282349613968002</v>
      </c>
      <c r="AN90" s="168"/>
      <c r="AO90" s="168">
        <f>IF(Table1[[#This Row],[Status]]="Sold",((Table1[[#This Row],[Total Property Distributions]]-Table1[[#This Row],[Total Equity]])/Table1[[#This Row],[Total Equity]])/Table1[[#This Row],[Holding Period]],"")</f>
        <v>0.40857531056507407</v>
      </c>
      <c r="BR90" s="1"/>
    </row>
    <row r="91" spans="2:70" x14ac:dyDescent="0.2">
      <c r="B91" s="2" t="s">
        <v>288</v>
      </c>
      <c r="C91" s="2" t="s">
        <v>304</v>
      </c>
      <c r="E91" s="2" t="s">
        <v>235</v>
      </c>
      <c r="F91" s="2" t="s">
        <v>403</v>
      </c>
      <c r="G91" s="2" t="s">
        <v>397</v>
      </c>
      <c r="H91" s="2" t="s">
        <v>82</v>
      </c>
      <c r="I91" s="2" t="s">
        <v>356</v>
      </c>
      <c r="J91" s="2" t="s">
        <v>130</v>
      </c>
      <c r="K91" s="2" t="s">
        <v>105</v>
      </c>
      <c r="L91" s="11" t="s">
        <v>147</v>
      </c>
      <c r="M91" s="5">
        <v>16430</v>
      </c>
      <c r="N91" s="5"/>
      <c r="O91" s="5"/>
      <c r="P91" s="5"/>
      <c r="Q91" s="11"/>
      <c r="R91" s="6">
        <v>36077</v>
      </c>
      <c r="S91" s="15">
        <v>1150000</v>
      </c>
      <c r="T91" s="5" t="s">
        <v>335</v>
      </c>
      <c r="U91" s="5" t="s">
        <v>335</v>
      </c>
      <c r="V91" s="5" t="s">
        <v>335</v>
      </c>
      <c r="W91" s="5" t="s">
        <v>335</v>
      </c>
      <c r="X91" s="15">
        <v>316951</v>
      </c>
      <c r="Y91" s="15"/>
      <c r="Z91" s="15"/>
      <c r="AA91" s="15"/>
      <c r="AB91" s="15"/>
      <c r="AC91" s="15"/>
      <c r="AD91" s="15"/>
      <c r="AE91" s="15"/>
      <c r="AF91" s="15"/>
      <c r="AG91" s="80">
        <f>SUM(Table1[[#This Row],[MLG Capital Historical Deal Equity]:[Legacy Fund Equity]])</f>
        <v>316951</v>
      </c>
      <c r="AH91" s="80">
        <f>Table1[[#This Row],[Fund I Equity]]*6/27.28+Table1[[#This Row],[Fund II Equity]]</f>
        <v>0</v>
      </c>
      <c r="AI91" s="6">
        <v>41739</v>
      </c>
      <c r="AJ91" s="15">
        <v>1400000</v>
      </c>
      <c r="AK91" s="163">
        <f>IF(Table1[[#This Row],[Status]]="Sold",(Table1[[#This Row],[Date of Sale]]-Table1[[#This Row],[Acquisition Date]])/365,"")</f>
        <v>15.512328767123288</v>
      </c>
      <c r="AL91" s="15">
        <v>1117022.07</v>
      </c>
      <c r="AM91" s="167">
        <f>IF(Table1[[#This Row],[Status]]="Sold",Table1[[#This Row],[Total Property Distributions]]/Table1[[#This Row],[Total Equity]],"")</f>
        <v>3.524273688992936</v>
      </c>
      <c r="AN91" s="168"/>
      <c r="AO91" s="168">
        <f>IF(Table1[[#This Row],[Status]]="Sold",((Table1[[#This Row],[Total Property Distributions]]-Table1[[#This Row],[Total Equity]])/Table1[[#This Row],[Total Equity]])/Table1[[#This Row],[Holding Period]],"")</f>
        <v>0.16272693332434152</v>
      </c>
      <c r="BR91" s="1"/>
    </row>
    <row r="92" spans="2:70" x14ac:dyDescent="0.2">
      <c r="B92" s="2" t="s">
        <v>291</v>
      </c>
      <c r="C92" s="2" t="s">
        <v>304</v>
      </c>
      <c r="E92" s="2" t="s">
        <v>235</v>
      </c>
      <c r="F92" s="2" t="s">
        <v>403</v>
      </c>
      <c r="G92" s="2" t="s">
        <v>397</v>
      </c>
      <c r="H92" s="2" t="s">
        <v>82</v>
      </c>
      <c r="I92" s="2" t="s">
        <v>105</v>
      </c>
      <c r="J92" s="2" t="s">
        <v>130</v>
      </c>
      <c r="K92" s="2" t="s">
        <v>105</v>
      </c>
      <c r="L92" s="11" t="s">
        <v>147</v>
      </c>
      <c r="M92" s="5">
        <v>13220</v>
      </c>
      <c r="N92" s="5"/>
      <c r="O92" s="5"/>
      <c r="P92" s="5"/>
      <c r="Q92" s="11"/>
      <c r="R92" s="6">
        <v>36077</v>
      </c>
      <c r="S92" s="15">
        <v>900000</v>
      </c>
      <c r="T92" s="5" t="s">
        <v>335</v>
      </c>
      <c r="U92" s="5" t="s">
        <v>335</v>
      </c>
      <c r="V92" s="5" t="s">
        <v>335</v>
      </c>
      <c r="W92" s="5" t="s">
        <v>335</v>
      </c>
      <c r="X92" s="15">
        <v>248049</v>
      </c>
      <c r="Y92" s="15"/>
      <c r="Z92" s="15"/>
      <c r="AA92" s="15"/>
      <c r="AB92" s="15"/>
      <c r="AC92" s="15"/>
      <c r="AD92" s="15"/>
      <c r="AE92" s="15"/>
      <c r="AF92" s="15"/>
      <c r="AG92" s="80">
        <f>SUM(Table1[[#This Row],[MLG Capital Historical Deal Equity]:[Legacy Fund Equity]])</f>
        <v>248049</v>
      </c>
      <c r="AH92" s="80">
        <f>Table1[[#This Row],[Fund I Equity]]*6/27.28+Table1[[#This Row],[Fund II Equity]]</f>
        <v>0</v>
      </c>
      <c r="AI92" s="6">
        <v>42242</v>
      </c>
      <c r="AJ92" s="15">
        <v>865000</v>
      </c>
      <c r="AK92" s="163">
        <f>IF(Table1[[#This Row],[Status]]="Sold",(Table1[[#This Row],[Date of Sale]]-Table1[[#This Row],[Acquisition Date]])/365,"")</f>
        <v>16.890410958904109</v>
      </c>
      <c r="AL92" s="15">
        <v>654436.4</v>
      </c>
      <c r="AM92" s="167">
        <f>IF(Table1[[#This Row],[Status]]="Sold",Table1[[#This Row],[Total Property Distributions]]/Table1[[#This Row],[Total Equity]],"")</f>
        <v>2.6383351676483278</v>
      </c>
      <c r="AN92" s="168"/>
      <c r="AO92" s="168">
        <f>IF(Table1[[#This Row],[Status]]="Sold",((Table1[[#This Row],[Total Property Distributions]]-Table1[[#This Row],[Total Equity]])/Table1[[#This Row],[Total Equity]])/Table1[[#This Row],[Holding Period]],"")</f>
        <v>9.6997945854280551E-2</v>
      </c>
      <c r="BR92" s="1"/>
    </row>
    <row r="93" spans="2:70" x14ac:dyDescent="0.2">
      <c r="B93" s="2" t="s">
        <v>250</v>
      </c>
      <c r="C93" s="2" t="s">
        <v>304</v>
      </c>
      <c r="E93" s="2" t="s">
        <v>235</v>
      </c>
      <c r="F93" s="2" t="s">
        <v>403</v>
      </c>
      <c r="G93" s="11" t="s">
        <v>97</v>
      </c>
      <c r="H93" s="11" t="s">
        <v>97</v>
      </c>
      <c r="I93" s="2" t="s">
        <v>50</v>
      </c>
      <c r="J93" s="2" t="s">
        <v>129</v>
      </c>
      <c r="K93" s="2" t="s">
        <v>50</v>
      </c>
      <c r="L93" s="11" t="s">
        <v>147</v>
      </c>
      <c r="M93" s="5">
        <v>215400</v>
      </c>
      <c r="N93" s="5">
        <v>240</v>
      </c>
      <c r="O93" s="5"/>
      <c r="P93" s="5"/>
      <c r="Q93" s="11"/>
      <c r="R93" s="6">
        <v>36100</v>
      </c>
      <c r="S93" s="15">
        <v>9525000</v>
      </c>
      <c r="T93" s="5" t="s">
        <v>335</v>
      </c>
      <c r="U93" s="5" t="s">
        <v>335</v>
      </c>
      <c r="V93" s="5" t="s">
        <v>335</v>
      </c>
      <c r="W93" s="5" t="s">
        <v>335</v>
      </c>
      <c r="X93" s="15">
        <v>2460000</v>
      </c>
      <c r="Y93" s="15"/>
      <c r="Z93" s="15"/>
      <c r="AA93" s="15"/>
      <c r="AB93" s="15"/>
      <c r="AC93" s="15"/>
      <c r="AD93" s="15"/>
      <c r="AE93" s="15"/>
      <c r="AF93" s="15"/>
      <c r="AG93" s="80">
        <f>SUM(Table1[[#This Row],[MLG Capital Historical Deal Equity]:[Legacy Fund Equity]])</f>
        <v>2460000</v>
      </c>
      <c r="AH93" s="80">
        <f>Table1[[#This Row],[Fund I Equity]]*6/27.28+Table1[[#This Row],[Fund II Equity]]</f>
        <v>0</v>
      </c>
      <c r="AI93" s="6">
        <v>41017</v>
      </c>
      <c r="AJ93" s="15">
        <v>8425000</v>
      </c>
      <c r="AK93" s="163">
        <f>IF(Table1[[#This Row],[Status]]="Sold",(Table1[[#This Row],[Date of Sale]]-Table1[[#This Row],[Acquisition Date]])/365,"")</f>
        <v>13.471232876712328</v>
      </c>
      <c r="AL93" s="15">
        <v>881670</v>
      </c>
      <c r="AM93" s="167">
        <f>IF(Table1[[#This Row],[Status]]="Sold",Table1[[#This Row],[Total Property Distributions]]/Table1[[#This Row],[Total Equity]],"")</f>
        <v>0.35840243902439023</v>
      </c>
      <c r="AN93" s="168"/>
      <c r="AO93" s="168">
        <f>IF(Table1[[#This Row],[Status]]="Sold",((Table1[[#This Row],[Total Property Distributions]]-Table1[[#This Row],[Total Equity]])/Table1[[#This Row],[Total Equity]])/Table1[[#This Row],[Holding Period]],"")</f>
        <v>-4.7627234036220774E-2</v>
      </c>
      <c r="BR93" s="1"/>
    </row>
    <row r="94" spans="2:70" x14ac:dyDescent="0.2">
      <c r="B94" s="2" t="s">
        <v>254</v>
      </c>
      <c r="C94" s="2" t="s">
        <v>304</v>
      </c>
      <c r="E94" s="2" t="s">
        <v>235</v>
      </c>
      <c r="F94" s="2" t="s">
        <v>403</v>
      </c>
      <c r="G94" s="11" t="s">
        <v>97</v>
      </c>
      <c r="H94" s="11" t="s">
        <v>97</v>
      </c>
      <c r="I94" s="2" t="s">
        <v>50</v>
      </c>
      <c r="J94" s="2" t="s">
        <v>129</v>
      </c>
      <c r="K94" s="2" t="s">
        <v>50</v>
      </c>
      <c r="L94" s="11" t="s">
        <v>147</v>
      </c>
      <c r="M94" s="5">
        <v>195928</v>
      </c>
      <c r="N94" s="5">
        <v>280</v>
      </c>
      <c r="O94" s="5"/>
      <c r="P94" s="5"/>
      <c r="Q94" s="11"/>
      <c r="R94" s="6">
        <v>36160</v>
      </c>
      <c r="S94" s="15">
        <v>7950000</v>
      </c>
      <c r="T94" s="5" t="s">
        <v>335</v>
      </c>
      <c r="U94" s="5" t="s">
        <v>335</v>
      </c>
      <c r="V94" s="5" t="s">
        <v>335</v>
      </c>
      <c r="W94" s="5" t="s">
        <v>335</v>
      </c>
      <c r="X94" s="15">
        <v>1660000</v>
      </c>
      <c r="Y94" s="15"/>
      <c r="Z94" s="15"/>
      <c r="AA94" s="15"/>
      <c r="AB94" s="15"/>
      <c r="AC94" s="15"/>
      <c r="AD94" s="15"/>
      <c r="AE94" s="15"/>
      <c r="AF94" s="15"/>
      <c r="AG94" s="80">
        <f>SUM(Table1[[#This Row],[MLG Capital Historical Deal Equity]:[Legacy Fund Equity]])</f>
        <v>1660000</v>
      </c>
      <c r="AH94" s="80">
        <f>Table1[[#This Row],[Fund I Equity]]*6/27.28+Table1[[#This Row],[Fund II Equity]]</f>
        <v>0</v>
      </c>
      <c r="AI94" s="6">
        <v>41759</v>
      </c>
      <c r="AJ94" s="15">
        <v>11750000</v>
      </c>
      <c r="AK94" s="163">
        <f>IF(Table1[[#This Row],[Status]]="Sold",(Table1[[#This Row],[Date of Sale]]-Table1[[#This Row],[Acquisition Date]])/365,"")</f>
        <v>15.33972602739726</v>
      </c>
      <c r="AL94" s="15">
        <v>6049233</v>
      </c>
      <c r="AM94" s="167">
        <f>IF(Table1[[#This Row],[Status]]="Sold",Table1[[#This Row],[Total Property Distributions]]/Table1[[#This Row],[Total Equity]],"")</f>
        <v>3.6441162650602408</v>
      </c>
      <c r="AN94" s="168"/>
      <c r="AO94" s="168">
        <f>IF(Table1[[#This Row],[Status]]="Sold",((Table1[[#This Row],[Total Property Distributions]]-Table1[[#This Row],[Total Equity]])/Table1[[#This Row],[Total Equity]])/Table1[[#This Row],[Holding Period]],"")</f>
        <v>0.17237050129433612</v>
      </c>
      <c r="BR94" s="1"/>
    </row>
    <row r="95" spans="2:70" x14ac:dyDescent="0.2">
      <c r="B95" s="2" t="s">
        <v>287</v>
      </c>
      <c r="C95" s="2" t="s">
        <v>304</v>
      </c>
      <c r="E95" s="2" t="s">
        <v>235</v>
      </c>
      <c r="F95" s="2" t="s">
        <v>403</v>
      </c>
      <c r="G95" s="2" t="s">
        <v>397</v>
      </c>
      <c r="H95" s="2" t="s">
        <v>80</v>
      </c>
      <c r="I95" s="2" t="s">
        <v>287</v>
      </c>
      <c r="J95" s="2" t="s">
        <v>130</v>
      </c>
      <c r="K95" s="2" t="s">
        <v>287</v>
      </c>
      <c r="L95" s="11" t="s">
        <v>147</v>
      </c>
      <c r="M95" s="5">
        <v>20000</v>
      </c>
      <c r="N95" s="5"/>
      <c r="O95" s="5"/>
      <c r="P95" s="5"/>
      <c r="Q95" s="11"/>
      <c r="R95" s="6">
        <v>36192</v>
      </c>
      <c r="S95" s="15">
        <v>1000000</v>
      </c>
      <c r="T95" s="5" t="s">
        <v>335</v>
      </c>
      <c r="U95" s="5" t="s">
        <v>335</v>
      </c>
      <c r="V95" s="5" t="s">
        <v>335</v>
      </c>
      <c r="W95" s="5" t="s">
        <v>335</v>
      </c>
      <c r="X95" s="15">
        <v>600132</v>
      </c>
      <c r="Y95" s="15"/>
      <c r="Z95" s="15"/>
      <c r="AA95" s="15"/>
      <c r="AB95" s="15"/>
      <c r="AC95" s="15"/>
      <c r="AD95" s="15"/>
      <c r="AE95" s="15"/>
      <c r="AF95" s="15"/>
      <c r="AG95" s="80">
        <f>SUM(Table1[[#This Row],[MLG Capital Historical Deal Equity]:[Legacy Fund Equity]])</f>
        <v>600132</v>
      </c>
      <c r="AH95" s="80">
        <f>Table1[[#This Row],[Fund I Equity]]*6/27.28+Table1[[#This Row],[Fund II Equity]]</f>
        <v>0</v>
      </c>
      <c r="AI95" s="6">
        <v>41467</v>
      </c>
      <c r="AJ95" s="15">
        <v>1485000</v>
      </c>
      <c r="AK95" s="163">
        <f>IF(Table1[[#This Row],[Status]]="Sold",(Table1[[#This Row],[Date of Sale]]-Table1[[#This Row],[Acquisition Date]])/365,"")</f>
        <v>14.452054794520548</v>
      </c>
      <c r="AL95" s="15">
        <v>1018737.9</v>
      </c>
      <c r="AM95" s="167">
        <f>IF(Table1[[#This Row],[Status]]="Sold",Table1[[#This Row],[Total Property Distributions]]/Table1[[#This Row],[Total Equity]],"")</f>
        <v>1.6975230449301155</v>
      </c>
      <c r="AN95" s="168"/>
      <c r="AO95" s="168">
        <f>IF(Table1[[#This Row],[Status]]="Sold",((Table1[[#This Row],[Total Property Distributions]]-Table1[[#This Row],[Total Equity]])/Table1[[#This Row],[Total Equity]])/Table1[[#This Row],[Holding Period]],"")</f>
        <v>4.8264627753458224E-2</v>
      </c>
      <c r="BR95" s="1"/>
    </row>
    <row r="96" spans="2:70" x14ac:dyDescent="0.2">
      <c r="B96" s="2" t="s">
        <v>247</v>
      </c>
      <c r="C96" s="2" t="s">
        <v>304</v>
      </c>
      <c r="E96" s="2" t="s">
        <v>235</v>
      </c>
      <c r="F96" s="2" t="s">
        <v>403</v>
      </c>
      <c r="G96" s="11" t="s">
        <v>97</v>
      </c>
      <c r="H96" s="11" t="s">
        <v>97</v>
      </c>
      <c r="I96" s="2" t="s">
        <v>120</v>
      </c>
      <c r="J96" s="2" t="s">
        <v>137</v>
      </c>
      <c r="K96" s="2" t="s">
        <v>120</v>
      </c>
      <c r="L96" s="11" t="s">
        <v>147</v>
      </c>
      <c r="M96" s="5">
        <v>171500</v>
      </c>
      <c r="N96" s="5">
        <v>236</v>
      </c>
      <c r="O96" s="5"/>
      <c r="P96" s="5"/>
      <c r="Q96" s="11"/>
      <c r="R96" s="6">
        <v>36307</v>
      </c>
      <c r="S96" s="15">
        <v>7850000</v>
      </c>
      <c r="T96" s="5" t="s">
        <v>335</v>
      </c>
      <c r="U96" s="5" t="s">
        <v>335</v>
      </c>
      <c r="V96" s="5" t="s">
        <v>335</v>
      </c>
      <c r="W96" s="5" t="s">
        <v>335</v>
      </c>
      <c r="X96" s="15">
        <v>2225000</v>
      </c>
      <c r="Y96" s="15"/>
      <c r="Z96" s="15"/>
      <c r="AA96" s="15"/>
      <c r="AB96" s="15"/>
      <c r="AC96" s="15"/>
      <c r="AD96" s="15"/>
      <c r="AE96" s="15"/>
      <c r="AF96" s="15"/>
      <c r="AG96" s="80">
        <f>SUM(Table1[[#This Row],[MLG Capital Historical Deal Equity]:[Legacy Fund Equity]])</f>
        <v>2225000</v>
      </c>
      <c r="AH96" s="80">
        <f>Table1[[#This Row],[Fund I Equity]]*6/27.28+Table1[[#This Row],[Fund II Equity]]</f>
        <v>0</v>
      </c>
      <c r="AI96" s="6">
        <v>38139</v>
      </c>
      <c r="AJ96" s="15">
        <v>8500000</v>
      </c>
      <c r="AK96" s="163">
        <f>IF(Table1[[#This Row],[Status]]="Sold",(Table1[[#This Row],[Date of Sale]]-Table1[[#This Row],[Acquisition Date]])/365,"")</f>
        <v>5.0191780821917806</v>
      </c>
      <c r="AL96" s="15">
        <v>5825524.1999999993</v>
      </c>
      <c r="AM96" s="167">
        <f>IF(Table1[[#This Row],[Status]]="Sold",Table1[[#This Row],[Total Property Distributions]]/Table1[[#This Row],[Total Equity]],"")</f>
        <v>2.6182131235955053</v>
      </c>
      <c r="AN96" s="168"/>
      <c r="AO96" s="168">
        <f>IF(Table1[[#This Row],[Status]]="Sold",((Table1[[#This Row],[Total Property Distributions]]-Table1[[#This Row],[Total Equity]])/Table1[[#This Row],[Total Equity]])/Table1[[#This Row],[Holding Period]],"")</f>
        <v>0.32240599896962852</v>
      </c>
      <c r="BR96" s="1"/>
    </row>
    <row r="97" spans="2:70" x14ac:dyDescent="0.2">
      <c r="B97" s="2" t="s">
        <v>286</v>
      </c>
      <c r="C97" s="2" t="s">
        <v>304</v>
      </c>
      <c r="E97" s="2" t="s">
        <v>235</v>
      </c>
      <c r="F97" s="2" t="s">
        <v>403</v>
      </c>
      <c r="G97" s="2" t="s">
        <v>397</v>
      </c>
      <c r="H97" s="2" t="s">
        <v>81</v>
      </c>
      <c r="I97" s="2" t="s">
        <v>105</v>
      </c>
      <c r="J97" s="2" t="s">
        <v>130</v>
      </c>
      <c r="K97" s="2" t="s">
        <v>105</v>
      </c>
      <c r="L97" s="11" t="s">
        <v>147</v>
      </c>
      <c r="M97" s="5">
        <v>33000</v>
      </c>
      <c r="N97" s="5"/>
      <c r="O97" s="5"/>
      <c r="P97" s="5"/>
      <c r="Q97" s="11"/>
      <c r="R97" s="6">
        <v>36705</v>
      </c>
      <c r="S97" s="15">
        <v>1185000</v>
      </c>
      <c r="T97" s="5" t="s">
        <v>335</v>
      </c>
      <c r="U97" s="5" t="s">
        <v>335</v>
      </c>
      <c r="V97" s="5" t="s">
        <v>335</v>
      </c>
      <c r="W97" s="5" t="s">
        <v>335</v>
      </c>
      <c r="X97" s="15">
        <v>1232012</v>
      </c>
      <c r="Y97" s="15"/>
      <c r="Z97" s="15"/>
      <c r="AA97" s="15"/>
      <c r="AB97" s="15"/>
      <c r="AC97" s="15"/>
      <c r="AD97" s="15"/>
      <c r="AE97" s="15"/>
      <c r="AF97" s="15"/>
      <c r="AG97" s="80">
        <f>SUM(Table1[[#This Row],[MLG Capital Historical Deal Equity]:[Legacy Fund Equity]])</f>
        <v>1232012</v>
      </c>
      <c r="AH97" s="80">
        <f>Table1[[#This Row],[Fund I Equity]]*6/27.28+Table1[[#This Row],[Fund II Equity]]</f>
        <v>0</v>
      </c>
      <c r="AI97" s="6">
        <v>41030</v>
      </c>
      <c r="AJ97" s="15">
        <v>1410000</v>
      </c>
      <c r="AK97" s="163">
        <f>IF(Table1[[#This Row],[Status]]="Sold",(Table1[[#This Row],[Date of Sale]]-Table1[[#This Row],[Acquisition Date]])/365,"")</f>
        <v>11.849315068493151</v>
      </c>
      <c r="AL97" s="15">
        <v>1980021.5299999998</v>
      </c>
      <c r="AM97" s="167">
        <f>IF(Table1[[#This Row],[Status]]="Sold",Table1[[#This Row],[Total Property Distributions]]/Table1[[#This Row],[Total Equity]],"")</f>
        <v>1.6071446787855961</v>
      </c>
      <c r="AN97" s="168"/>
      <c r="AO97" s="168">
        <f>IF(Table1[[#This Row],[Status]]="Sold",((Table1[[#This Row],[Total Property Distributions]]-Table1[[#This Row],[Total Equity]])/Table1[[#This Row],[Total Equity]])/Table1[[#This Row],[Holding Period]],"")</f>
        <v>5.1238799481327757E-2</v>
      </c>
      <c r="BR97" s="1"/>
    </row>
    <row r="98" spans="2:70" x14ac:dyDescent="0.2">
      <c r="B98" s="2" t="s">
        <v>270</v>
      </c>
      <c r="C98" s="2" t="s">
        <v>304</v>
      </c>
      <c r="E98" s="2" t="s">
        <v>235</v>
      </c>
      <c r="F98" s="2" t="s">
        <v>403</v>
      </c>
      <c r="G98" s="2" t="s">
        <v>397</v>
      </c>
      <c r="H98" s="2" t="s">
        <v>80</v>
      </c>
      <c r="I98" s="2" t="s">
        <v>105</v>
      </c>
      <c r="J98" s="2" t="s">
        <v>130</v>
      </c>
      <c r="K98" s="2" t="s">
        <v>105</v>
      </c>
      <c r="L98" s="11" t="s">
        <v>147</v>
      </c>
      <c r="M98" s="5">
        <v>180000</v>
      </c>
      <c r="N98" s="5"/>
      <c r="O98" s="5"/>
      <c r="P98" s="5"/>
      <c r="Q98" s="11"/>
      <c r="R98" s="6">
        <v>36713</v>
      </c>
      <c r="S98" s="15">
        <v>925000</v>
      </c>
      <c r="T98" s="5" t="s">
        <v>335</v>
      </c>
      <c r="U98" s="5" t="s">
        <v>335</v>
      </c>
      <c r="V98" s="5" t="s">
        <v>335</v>
      </c>
      <c r="W98" s="5" t="s">
        <v>335</v>
      </c>
      <c r="X98" s="15">
        <v>1000001</v>
      </c>
      <c r="Y98" s="15"/>
      <c r="Z98" s="15"/>
      <c r="AA98" s="15"/>
      <c r="AB98" s="15"/>
      <c r="AC98" s="15"/>
      <c r="AD98" s="15"/>
      <c r="AE98" s="15"/>
      <c r="AF98" s="15"/>
      <c r="AG98" s="80">
        <f>SUM(Table1[[#This Row],[MLG Capital Historical Deal Equity]:[Legacy Fund Equity]])</f>
        <v>1000001</v>
      </c>
      <c r="AH98" s="80">
        <f>Table1[[#This Row],[Fund I Equity]]*6/27.28+Table1[[#This Row],[Fund II Equity]]</f>
        <v>0</v>
      </c>
      <c r="AI98" s="6">
        <v>37726</v>
      </c>
      <c r="AJ98" s="15">
        <v>1040000</v>
      </c>
      <c r="AK98" s="163">
        <f>IF(Table1[[#This Row],[Status]]="Sold",(Table1[[#This Row],[Date of Sale]]-Table1[[#This Row],[Acquisition Date]])/365,"")</f>
        <v>2.7753424657534245</v>
      </c>
      <c r="AL98" s="15">
        <v>1004276.03</v>
      </c>
      <c r="AM98" s="167">
        <f>IF(Table1[[#This Row],[Status]]="Sold",Table1[[#This Row],[Total Property Distributions]]/Table1[[#This Row],[Total Equity]],"")</f>
        <v>1.0042750257249744</v>
      </c>
      <c r="AN98" s="168"/>
      <c r="AO98" s="168">
        <f>IF(Table1[[#This Row],[Status]]="Sold",((Table1[[#This Row],[Total Property Distributions]]-Table1[[#This Row],[Total Equity]])/Table1[[#This Row],[Total Equity]])/Table1[[#This Row],[Holding Period]],"")</f>
        <v>1.5403597133421725E-3</v>
      </c>
      <c r="BR98" s="1"/>
    </row>
    <row r="99" spans="2:70" ht="25.5" x14ac:dyDescent="0.2">
      <c r="B99" s="11" t="s">
        <v>276</v>
      </c>
      <c r="C99" s="11" t="s">
        <v>304</v>
      </c>
      <c r="E99" s="2" t="s">
        <v>235</v>
      </c>
      <c r="F99" s="2" t="s">
        <v>403</v>
      </c>
      <c r="G99" s="2" t="s">
        <v>397</v>
      </c>
      <c r="H99" s="2" t="s">
        <v>81</v>
      </c>
      <c r="I99" s="2" t="s">
        <v>351</v>
      </c>
      <c r="J99" s="2" t="s">
        <v>130</v>
      </c>
      <c r="K99" s="2" t="s">
        <v>105</v>
      </c>
      <c r="L99" s="11" t="s">
        <v>147</v>
      </c>
      <c r="M99" s="5">
        <v>160000</v>
      </c>
      <c r="N99" s="5"/>
      <c r="O99" s="5"/>
      <c r="P99" s="5"/>
      <c r="Q99" s="11"/>
      <c r="R99" s="6">
        <v>36739</v>
      </c>
      <c r="S99" s="15">
        <v>2000000</v>
      </c>
      <c r="T99" s="5" t="s">
        <v>335</v>
      </c>
      <c r="U99" s="5" t="s">
        <v>335</v>
      </c>
      <c r="V99" s="5" t="s">
        <v>335</v>
      </c>
      <c r="W99" s="5" t="s">
        <v>335</v>
      </c>
      <c r="X99" s="15">
        <v>1300000</v>
      </c>
      <c r="Y99" s="15"/>
      <c r="Z99" s="15"/>
      <c r="AA99" s="15"/>
      <c r="AB99" s="15"/>
      <c r="AC99" s="15"/>
      <c r="AD99" s="15"/>
      <c r="AE99" s="15"/>
      <c r="AF99" s="15"/>
      <c r="AG99" s="80">
        <f>SUM(Table1[[#This Row],[MLG Capital Historical Deal Equity]:[Legacy Fund Equity]])</f>
        <v>1300000</v>
      </c>
      <c r="AH99" s="80">
        <f>Table1[[#This Row],[Fund I Equity]]*6/27.28+Table1[[#This Row],[Fund II Equity]]</f>
        <v>0</v>
      </c>
      <c r="AI99" s="6">
        <v>38642</v>
      </c>
      <c r="AJ99" s="15">
        <v>3650000</v>
      </c>
      <c r="AK99" s="163">
        <f>IF(Table1[[#This Row],[Status]]="Sold",(Table1[[#This Row],[Date of Sale]]-Table1[[#This Row],[Acquisition Date]])/365,"")</f>
        <v>5.2136986301369861</v>
      </c>
      <c r="AL99" s="15">
        <v>2485015.13</v>
      </c>
      <c r="AM99" s="167">
        <f>IF(Table1[[#This Row],[Status]]="Sold",Table1[[#This Row],[Total Property Distributions]]/Table1[[#This Row],[Total Equity]],"")</f>
        <v>1.9115500999999999</v>
      </c>
      <c r="AN99" s="168"/>
      <c r="AO99" s="168">
        <f>IF(Table1[[#This Row],[Status]]="Sold",((Table1[[#This Row],[Total Property Distributions]]-Table1[[#This Row],[Total Equity]])/Table1[[#This Row],[Total Equity]])/Table1[[#This Row],[Holding Period]],"")</f>
        <v>0.17483751261166577</v>
      </c>
      <c r="BR99" s="1"/>
    </row>
    <row r="100" spans="2:70" ht="25.5" x14ac:dyDescent="0.2">
      <c r="B100" s="11" t="s">
        <v>277</v>
      </c>
      <c r="C100" s="11" t="s">
        <v>304</v>
      </c>
      <c r="D100" s="11"/>
      <c r="E100" s="11" t="s">
        <v>235</v>
      </c>
      <c r="F100" s="2" t="s">
        <v>403</v>
      </c>
      <c r="G100" s="2" t="s">
        <v>397</v>
      </c>
      <c r="H100" s="11" t="s">
        <v>81</v>
      </c>
      <c r="I100" s="11" t="s">
        <v>351</v>
      </c>
      <c r="J100" s="11" t="s">
        <v>130</v>
      </c>
      <c r="K100" s="11" t="s">
        <v>105</v>
      </c>
      <c r="L100" s="11" t="s">
        <v>147</v>
      </c>
      <c r="M100" s="12">
        <v>80000</v>
      </c>
      <c r="N100" s="12"/>
      <c r="O100" s="12"/>
      <c r="P100" s="12"/>
      <c r="Q100" s="11"/>
      <c r="R100" s="13">
        <v>36739</v>
      </c>
      <c r="S100" s="16">
        <v>2000000</v>
      </c>
      <c r="T100" s="12" t="s">
        <v>335</v>
      </c>
      <c r="U100" s="12" t="s">
        <v>335</v>
      </c>
      <c r="V100" s="12" t="s">
        <v>335</v>
      </c>
      <c r="W100" s="12" t="s">
        <v>335</v>
      </c>
      <c r="X100" s="16" t="s">
        <v>336</v>
      </c>
      <c r="Y100" s="16"/>
      <c r="Z100" s="16"/>
      <c r="AA100" s="16"/>
      <c r="AB100" s="16"/>
      <c r="AC100" s="16"/>
      <c r="AD100" s="16"/>
      <c r="AE100" s="16"/>
      <c r="AF100" s="16"/>
      <c r="AG100" s="82">
        <f>SUM(Table1[[#This Row],[MLG Capital Historical Deal Equity]:[Legacy Fund Equity]])</f>
        <v>0</v>
      </c>
      <c r="AH100" s="82">
        <f>Table1[[#This Row],[Fund I Equity]]*6/27.28+Table1[[#This Row],[Fund II Equity]]</f>
        <v>0</v>
      </c>
      <c r="AI100" s="13">
        <v>38565</v>
      </c>
      <c r="AJ100" s="16">
        <v>2400000</v>
      </c>
      <c r="AK100" s="165">
        <f>IF(Table1[[#This Row],[Status]]="Sold",(Table1[[#This Row],[Date of Sale]]-Table1[[#This Row],[Acquisition Date]])/365,"")</f>
        <v>5.0027397260273974</v>
      </c>
      <c r="AL100" s="16" t="s">
        <v>337</v>
      </c>
      <c r="AM100" s="171"/>
      <c r="AN100" s="168"/>
      <c r="AO100" s="166"/>
      <c r="BR100" s="1"/>
    </row>
    <row r="101" spans="2:70" ht="25.5" x14ac:dyDescent="0.2">
      <c r="B101" s="11" t="s">
        <v>278</v>
      </c>
      <c r="C101" s="11" t="s">
        <v>304</v>
      </c>
      <c r="D101" s="11"/>
      <c r="E101" s="11" t="s">
        <v>235</v>
      </c>
      <c r="F101" s="2" t="s">
        <v>403</v>
      </c>
      <c r="G101" s="2" t="s">
        <v>397</v>
      </c>
      <c r="H101" s="11" t="s">
        <v>81</v>
      </c>
      <c r="I101" s="11" t="s">
        <v>352</v>
      </c>
      <c r="J101" s="11" t="s">
        <v>130</v>
      </c>
      <c r="K101" s="11" t="s">
        <v>105</v>
      </c>
      <c r="L101" s="11" t="s">
        <v>147</v>
      </c>
      <c r="M101" s="12">
        <v>248250</v>
      </c>
      <c r="N101" s="12"/>
      <c r="O101" s="12"/>
      <c r="P101" s="12"/>
      <c r="Q101" s="11"/>
      <c r="R101" s="13">
        <v>36739</v>
      </c>
      <c r="S101" s="16">
        <v>6000000</v>
      </c>
      <c r="T101" s="12" t="s">
        <v>335</v>
      </c>
      <c r="U101" s="12" t="s">
        <v>335</v>
      </c>
      <c r="V101" s="12" t="s">
        <v>335</v>
      </c>
      <c r="W101" s="12" t="s">
        <v>335</v>
      </c>
      <c r="X101" s="16" t="s">
        <v>336</v>
      </c>
      <c r="Y101" s="16"/>
      <c r="Z101" s="16"/>
      <c r="AA101" s="16"/>
      <c r="AB101" s="16"/>
      <c r="AC101" s="16"/>
      <c r="AD101" s="16"/>
      <c r="AE101" s="16"/>
      <c r="AF101" s="16"/>
      <c r="AG101" s="82">
        <f>SUM(Table1[[#This Row],[MLG Capital Historical Deal Equity]:[Legacy Fund Equity]])</f>
        <v>0</v>
      </c>
      <c r="AH101" s="82">
        <f>Table1[[#This Row],[Fund I Equity]]*6/27.28+Table1[[#This Row],[Fund II Equity]]</f>
        <v>0</v>
      </c>
      <c r="AI101" s="13">
        <v>37080</v>
      </c>
      <c r="AJ101" s="16">
        <v>6200000</v>
      </c>
      <c r="AK101" s="165">
        <f>IF(Table1[[#This Row],[Status]]="Sold",(Table1[[#This Row],[Date of Sale]]-Table1[[#This Row],[Acquisition Date]])/365,"")</f>
        <v>0.9342465753424658</v>
      </c>
      <c r="AL101" s="16" t="s">
        <v>337</v>
      </c>
      <c r="AM101" s="171"/>
      <c r="AN101" s="168"/>
      <c r="AO101" s="166"/>
      <c r="BR101" s="1"/>
    </row>
    <row r="102" spans="2:70" x14ac:dyDescent="0.2">
      <c r="B102" s="2" t="s">
        <v>280</v>
      </c>
      <c r="C102" s="2" t="s">
        <v>304</v>
      </c>
      <c r="E102" s="2" t="s">
        <v>235</v>
      </c>
      <c r="F102" s="2" t="s">
        <v>403</v>
      </c>
      <c r="G102" s="2" t="s">
        <v>397</v>
      </c>
      <c r="H102" s="2" t="s">
        <v>82</v>
      </c>
      <c r="I102" s="2" t="s">
        <v>105</v>
      </c>
      <c r="J102" s="2" t="s">
        <v>130</v>
      </c>
      <c r="K102" s="2" t="s">
        <v>105</v>
      </c>
      <c r="L102" s="11" t="s">
        <v>147</v>
      </c>
      <c r="M102" s="5">
        <v>45535</v>
      </c>
      <c r="N102" s="5"/>
      <c r="O102" s="5"/>
      <c r="P102" s="5"/>
      <c r="Q102" s="11"/>
      <c r="R102" s="6">
        <v>36739</v>
      </c>
      <c r="S102" s="15">
        <v>3350000</v>
      </c>
      <c r="T102" s="5" t="s">
        <v>335</v>
      </c>
      <c r="U102" s="5" t="s">
        <v>335</v>
      </c>
      <c r="V102" s="5" t="s">
        <v>335</v>
      </c>
      <c r="W102" s="5" t="s">
        <v>335</v>
      </c>
      <c r="X102" s="15">
        <v>1105557</v>
      </c>
      <c r="Y102" s="15"/>
      <c r="Z102" s="15"/>
      <c r="AA102" s="15"/>
      <c r="AB102" s="15"/>
      <c r="AC102" s="15"/>
      <c r="AD102" s="15"/>
      <c r="AE102" s="15"/>
      <c r="AF102" s="15"/>
      <c r="AG102" s="80">
        <f>SUM(Table1[[#This Row],[MLG Capital Historical Deal Equity]:[Legacy Fund Equity]])</f>
        <v>1105557</v>
      </c>
      <c r="AH102" s="80">
        <f>Table1[[#This Row],[Fund I Equity]]*6/27.28+Table1[[#This Row],[Fund II Equity]]</f>
        <v>0</v>
      </c>
      <c r="AI102" s="6">
        <v>38820</v>
      </c>
      <c r="AJ102" s="15">
        <v>5300000</v>
      </c>
      <c r="AK102" s="163">
        <f>IF(Table1[[#This Row],[Status]]="Sold",(Table1[[#This Row],[Date of Sale]]-Table1[[#This Row],[Acquisition Date]])/365,"")</f>
        <v>5.7013698630136984</v>
      </c>
      <c r="AL102" s="15">
        <v>3466425.97</v>
      </c>
      <c r="AM102" s="167">
        <f>IF(Table1[[#This Row],[Status]]="Sold",Table1[[#This Row],[Total Property Distributions]]/Table1[[#This Row],[Total Equity]],"")</f>
        <v>3.1354565798054739</v>
      </c>
      <c r="AN102" s="168"/>
      <c r="AO102" s="168">
        <f>IF(Table1[[#This Row],[Status]]="Sold",((Table1[[#This Row],[Total Property Distributions]]-Table1[[#This Row],[Total Equity]])/Table1[[#This Row],[Total Equity]])/Table1[[#This Row],[Holding Period]],"")</f>
        <v>0.37455149045122443</v>
      </c>
      <c r="BR102" s="1"/>
    </row>
    <row r="103" spans="2:70" x14ac:dyDescent="0.2">
      <c r="B103" s="2" t="s">
        <v>274</v>
      </c>
      <c r="C103" s="2" t="s">
        <v>304</v>
      </c>
      <c r="E103" s="2" t="s">
        <v>235</v>
      </c>
      <c r="F103" s="2" t="s">
        <v>403</v>
      </c>
      <c r="G103" s="2" t="s">
        <v>397</v>
      </c>
      <c r="H103" s="2" t="s">
        <v>82</v>
      </c>
      <c r="I103" s="2" t="s">
        <v>120</v>
      </c>
      <c r="J103" s="2" t="s">
        <v>137</v>
      </c>
      <c r="K103" s="2" t="s">
        <v>120</v>
      </c>
      <c r="L103" s="11" t="s">
        <v>147</v>
      </c>
      <c r="M103" s="5">
        <v>27000</v>
      </c>
      <c r="N103" s="5"/>
      <c r="O103" s="5"/>
      <c r="P103" s="5"/>
      <c r="Q103" s="11"/>
      <c r="R103" s="6">
        <v>36746</v>
      </c>
      <c r="S103" s="15">
        <v>825000</v>
      </c>
      <c r="T103" s="5" t="s">
        <v>335</v>
      </c>
      <c r="U103" s="5" t="s">
        <v>335</v>
      </c>
      <c r="V103" s="5" t="s">
        <v>335</v>
      </c>
      <c r="W103" s="5" t="s">
        <v>335</v>
      </c>
      <c r="X103" s="15">
        <v>137480.26999999999</v>
      </c>
      <c r="Y103" s="15"/>
      <c r="Z103" s="15"/>
      <c r="AA103" s="15"/>
      <c r="AB103" s="15"/>
      <c r="AC103" s="15"/>
      <c r="AD103" s="15"/>
      <c r="AE103" s="15"/>
      <c r="AF103" s="15"/>
      <c r="AG103" s="80">
        <f>SUM(Table1[[#This Row],[MLG Capital Historical Deal Equity]:[Legacy Fund Equity]])</f>
        <v>137480.26999999999</v>
      </c>
      <c r="AH103" s="80">
        <f>Table1[[#This Row],[Fund I Equity]]*6/27.28+Table1[[#This Row],[Fund II Equity]]</f>
        <v>0</v>
      </c>
      <c r="AI103" s="6">
        <v>38527</v>
      </c>
      <c r="AJ103" s="15">
        <v>1800000</v>
      </c>
      <c r="AK103" s="163">
        <f>IF(Table1[[#This Row],[Status]]="Sold",(Table1[[#This Row],[Date of Sale]]-Table1[[#This Row],[Acquisition Date]])/365,"")</f>
        <v>4.8794520547945206</v>
      </c>
      <c r="AL103" s="15">
        <v>1023419.73</v>
      </c>
      <c r="AM103" s="167">
        <f>IF(Table1[[#This Row],[Status]]="Sold",Table1[[#This Row],[Total Property Distributions]]/Table1[[#This Row],[Total Equity]],"")</f>
        <v>7.4441207454713325</v>
      </c>
      <c r="AN103" s="168"/>
      <c r="AO103" s="168">
        <f>IF(Table1[[#This Row],[Status]]="Sold",((Table1[[#This Row],[Total Property Distributions]]-Table1[[#This Row],[Total Equity]])/Table1[[#This Row],[Total Equity]])/Table1[[#This Row],[Holding Period]],"")</f>
        <v>1.3206648355401664</v>
      </c>
      <c r="BR103" s="1"/>
    </row>
    <row r="104" spans="2:70" x14ac:dyDescent="0.2">
      <c r="B104" s="2" t="s">
        <v>281</v>
      </c>
      <c r="C104" s="2" t="s">
        <v>304</v>
      </c>
      <c r="E104" s="2" t="s">
        <v>235</v>
      </c>
      <c r="F104" s="2" t="s">
        <v>403</v>
      </c>
      <c r="G104" s="2" t="s">
        <v>397</v>
      </c>
      <c r="H104" s="2" t="s">
        <v>80</v>
      </c>
      <c r="I104" s="2" t="s">
        <v>353</v>
      </c>
      <c r="J104" s="2" t="s">
        <v>341</v>
      </c>
      <c r="K104" s="2" t="s">
        <v>387</v>
      </c>
      <c r="L104" s="11" t="s">
        <v>147</v>
      </c>
      <c r="M104" s="5">
        <v>209562</v>
      </c>
      <c r="N104" s="5"/>
      <c r="O104" s="5"/>
      <c r="P104" s="5"/>
      <c r="Q104" s="11"/>
      <c r="R104" s="6">
        <v>36950</v>
      </c>
      <c r="S104" s="15">
        <v>8550000</v>
      </c>
      <c r="T104" s="5" t="s">
        <v>335</v>
      </c>
      <c r="U104" s="5" t="s">
        <v>335</v>
      </c>
      <c r="V104" s="5" t="s">
        <v>335</v>
      </c>
      <c r="W104" s="5" t="s">
        <v>335</v>
      </c>
      <c r="X104" s="15">
        <v>1850000</v>
      </c>
      <c r="Y104" s="15"/>
      <c r="Z104" s="15"/>
      <c r="AA104" s="15"/>
      <c r="AB104" s="15"/>
      <c r="AC104" s="15"/>
      <c r="AD104" s="15"/>
      <c r="AE104" s="15"/>
      <c r="AF104" s="15"/>
      <c r="AG104" s="80">
        <f>SUM(Table1[[#This Row],[MLG Capital Historical Deal Equity]:[Legacy Fund Equity]])</f>
        <v>1850000</v>
      </c>
      <c r="AH104" s="80">
        <f>Table1[[#This Row],[Fund I Equity]]*6/27.28+Table1[[#This Row],[Fund II Equity]]</f>
        <v>0</v>
      </c>
      <c r="AI104" s="6">
        <v>39345</v>
      </c>
      <c r="AJ104" s="15">
        <v>11100000</v>
      </c>
      <c r="AK104" s="163">
        <f>IF(Table1[[#This Row],[Status]]="Sold",(Table1[[#This Row],[Date of Sale]]-Table1[[#This Row],[Acquisition Date]])/365,"")</f>
        <v>6.5616438356164384</v>
      </c>
      <c r="AL104" s="15">
        <v>4996632.9800000004</v>
      </c>
      <c r="AM104" s="167">
        <f>IF(Table1[[#This Row],[Status]]="Sold",Table1[[#This Row],[Total Property Distributions]]/Table1[[#This Row],[Total Equity]],"")</f>
        <v>2.7008826918918922</v>
      </c>
      <c r="AN104" s="168"/>
      <c r="AO104" s="168">
        <f>IF(Table1[[#This Row],[Status]]="Sold",((Table1[[#This Row],[Total Property Distributions]]-Table1[[#This Row],[Total Equity]])/Table1[[#This Row],[Total Equity]])/Table1[[#This Row],[Holding Period]],"")</f>
        <v>0.25921594260565373</v>
      </c>
      <c r="BR104" s="1"/>
    </row>
    <row r="105" spans="2:70" x14ac:dyDescent="0.2">
      <c r="B105" s="2" t="s">
        <v>289</v>
      </c>
      <c r="C105" s="2" t="s">
        <v>304</v>
      </c>
      <c r="E105" s="2" t="s">
        <v>235</v>
      </c>
      <c r="F105" s="2" t="s">
        <v>403</v>
      </c>
      <c r="G105" s="2" t="s">
        <v>397</v>
      </c>
      <c r="H105" s="2" t="s">
        <v>82</v>
      </c>
      <c r="I105" s="2" t="s">
        <v>105</v>
      </c>
      <c r="J105" s="2" t="s">
        <v>130</v>
      </c>
      <c r="K105" s="2" t="s">
        <v>105</v>
      </c>
      <c r="L105" s="11" t="s">
        <v>147</v>
      </c>
      <c r="M105" s="5">
        <v>102000</v>
      </c>
      <c r="N105" s="5"/>
      <c r="O105" s="5"/>
      <c r="P105" s="5"/>
      <c r="Q105" s="11"/>
      <c r="R105" s="6">
        <v>36970</v>
      </c>
      <c r="S105" s="15">
        <v>9045000</v>
      </c>
      <c r="T105" s="5" t="s">
        <v>335</v>
      </c>
      <c r="U105" s="5" t="s">
        <v>335</v>
      </c>
      <c r="V105" s="5" t="s">
        <v>335</v>
      </c>
      <c r="W105" s="5" t="s">
        <v>335</v>
      </c>
      <c r="X105" s="15">
        <v>1900001</v>
      </c>
      <c r="Y105" s="15"/>
      <c r="Z105" s="15"/>
      <c r="AA105" s="15"/>
      <c r="AB105" s="15"/>
      <c r="AC105" s="15"/>
      <c r="AD105" s="15"/>
      <c r="AE105" s="15"/>
      <c r="AF105" s="15"/>
      <c r="AG105" s="80">
        <f>SUM(Table1[[#This Row],[MLG Capital Historical Deal Equity]:[Legacy Fund Equity]])</f>
        <v>1900001</v>
      </c>
      <c r="AH105" s="80">
        <f>Table1[[#This Row],[Fund I Equity]]*6/27.28+Table1[[#This Row],[Fund II Equity]]</f>
        <v>0</v>
      </c>
      <c r="AI105" s="6">
        <v>41854</v>
      </c>
      <c r="AJ105" s="15">
        <v>7255743.7800000003</v>
      </c>
      <c r="AK105" s="163">
        <f>IF(Table1[[#This Row],[Status]]="Sold",(Table1[[#This Row],[Date of Sale]]-Table1[[#This Row],[Acquisition Date]])/365,"")</f>
        <v>13.38082191780822</v>
      </c>
      <c r="AL105" s="15">
        <v>477436.89</v>
      </c>
      <c r="AM105" s="167">
        <f>IF(Table1[[#This Row],[Status]]="Sold",Table1[[#This Row],[Total Property Distributions]]/Table1[[#This Row],[Total Equity]],"")</f>
        <v>0.25128244143029399</v>
      </c>
      <c r="AN105" s="168"/>
      <c r="AO105" s="168">
        <f>IF(Table1[[#This Row],[Status]]="Sold",((Table1[[#This Row],[Total Property Distributions]]-Table1[[#This Row],[Total Equity]])/Table1[[#This Row],[Total Equity]])/Table1[[#This Row],[Holding Period]],"")</f>
        <v>-5.5954526797285555E-2</v>
      </c>
      <c r="BR105" s="1"/>
    </row>
    <row r="106" spans="2:70" x14ac:dyDescent="0.2">
      <c r="B106" s="2" t="s">
        <v>249</v>
      </c>
      <c r="C106" s="2" t="s">
        <v>304</v>
      </c>
      <c r="E106" s="2" t="s">
        <v>235</v>
      </c>
      <c r="F106" s="2" t="s">
        <v>403</v>
      </c>
      <c r="G106" s="11" t="s">
        <v>97</v>
      </c>
      <c r="H106" s="11" t="s">
        <v>97</v>
      </c>
      <c r="I106" s="2" t="s">
        <v>120</v>
      </c>
      <c r="J106" s="2" t="s">
        <v>137</v>
      </c>
      <c r="K106" s="2" t="s">
        <v>120</v>
      </c>
      <c r="L106" s="11" t="s">
        <v>147</v>
      </c>
      <c r="M106" s="5">
        <v>312240</v>
      </c>
      <c r="N106" s="5">
        <v>420</v>
      </c>
      <c r="O106" s="5"/>
      <c r="P106" s="5"/>
      <c r="Q106" s="11"/>
      <c r="R106" s="6">
        <v>37043</v>
      </c>
      <c r="S106" s="15">
        <v>14100000</v>
      </c>
      <c r="T106" s="5" t="s">
        <v>335</v>
      </c>
      <c r="U106" s="5" t="s">
        <v>335</v>
      </c>
      <c r="V106" s="5" t="s">
        <v>335</v>
      </c>
      <c r="W106" s="5" t="s">
        <v>335</v>
      </c>
      <c r="X106" s="15">
        <v>2725001</v>
      </c>
      <c r="Y106" s="15"/>
      <c r="Z106" s="15"/>
      <c r="AA106" s="15"/>
      <c r="AB106" s="15"/>
      <c r="AC106" s="15"/>
      <c r="AD106" s="15"/>
      <c r="AE106" s="15"/>
      <c r="AF106" s="15"/>
      <c r="AG106" s="80">
        <f>SUM(Table1[[#This Row],[MLG Capital Historical Deal Equity]:[Legacy Fund Equity]])</f>
        <v>2725001</v>
      </c>
      <c r="AH106" s="80">
        <f>Table1[[#This Row],[Fund I Equity]]*6/27.28+Table1[[#This Row],[Fund II Equity]]</f>
        <v>0</v>
      </c>
      <c r="AI106" s="6">
        <v>38596</v>
      </c>
      <c r="AJ106" s="15">
        <v>24000000</v>
      </c>
      <c r="AK106" s="163">
        <f>IF(Table1[[#This Row],[Status]]="Sold",(Table1[[#This Row],[Date of Sale]]-Table1[[#This Row],[Acquisition Date]])/365,"")</f>
        <v>4.2547945205479456</v>
      </c>
      <c r="AL106" s="15">
        <v>10917689.720000001</v>
      </c>
      <c r="AM106" s="167">
        <f>IF(Table1[[#This Row],[Status]]="Sold",Table1[[#This Row],[Total Property Distributions]]/Table1[[#This Row],[Total Equity]],"")</f>
        <v>4.0064901700953506</v>
      </c>
      <c r="AN106" s="168"/>
      <c r="AO106" s="168">
        <f>IF(Table1[[#This Row],[Status]]="Sold",((Table1[[#This Row],[Total Property Distributions]]-Table1[[#This Row],[Total Equity]])/Table1[[#This Row],[Total Equity]])/Table1[[#This Row],[Holding Period]],"")</f>
        <v>0.70661230655814733</v>
      </c>
      <c r="BR106" s="1"/>
    </row>
    <row r="107" spans="2:70" x14ac:dyDescent="0.2">
      <c r="B107" s="2" t="s">
        <v>275</v>
      </c>
      <c r="C107" s="2" t="s">
        <v>304</v>
      </c>
      <c r="E107" s="2" t="s">
        <v>235</v>
      </c>
      <c r="F107" s="2" t="s">
        <v>403</v>
      </c>
      <c r="G107" s="2" t="s">
        <v>397</v>
      </c>
      <c r="H107" s="2" t="s">
        <v>81</v>
      </c>
      <c r="I107" s="2" t="s">
        <v>105</v>
      </c>
      <c r="J107" s="2" t="s">
        <v>130</v>
      </c>
      <c r="K107" s="2" t="s">
        <v>105</v>
      </c>
      <c r="L107" s="11" t="s">
        <v>147</v>
      </c>
      <c r="M107" s="5">
        <v>67000</v>
      </c>
      <c r="N107" s="5"/>
      <c r="O107" s="5"/>
      <c r="P107" s="5"/>
      <c r="Q107" s="11"/>
      <c r="R107" s="6">
        <v>37330</v>
      </c>
      <c r="S107" s="15">
        <v>2200000</v>
      </c>
      <c r="T107" s="5" t="s">
        <v>335</v>
      </c>
      <c r="U107" s="5" t="s">
        <v>335</v>
      </c>
      <c r="V107" s="5" t="s">
        <v>335</v>
      </c>
      <c r="W107" s="5" t="s">
        <v>335</v>
      </c>
      <c r="X107" s="15">
        <v>550000</v>
      </c>
      <c r="Y107" s="15"/>
      <c r="Z107" s="15"/>
      <c r="AA107" s="15"/>
      <c r="AB107" s="15"/>
      <c r="AC107" s="15"/>
      <c r="AD107" s="15"/>
      <c r="AE107" s="15"/>
      <c r="AF107" s="15"/>
      <c r="AG107" s="80">
        <f>SUM(Table1[[#This Row],[MLG Capital Historical Deal Equity]:[Legacy Fund Equity]])</f>
        <v>550000</v>
      </c>
      <c r="AH107" s="80">
        <f>Table1[[#This Row],[Fund I Equity]]*6/27.28+Table1[[#This Row],[Fund II Equity]]</f>
        <v>0</v>
      </c>
      <c r="AI107" s="6">
        <v>38545</v>
      </c>
      <c r="AJ107" s="15">
        <v>3425000</v>
      </c>
      <c r="AK107" s="163">
        <f>IF(Table1[[#This Row],[Status]]="Sold",(Table1[[#This Row],[Date of Sale]]-Table1[[#This Row],[Acquisition Date]])/365,"")</f>
        <v>3.3287671232876712</v>
      </c>
      <c r="AL107" s="15">
        <v>1556008.05</v>
      </c>
      <c r="AM107" s="167">
        <f>IF(Table1[[#This Row],[Status]]="Sold",Table1[[#This Row],[Total Property Distributions]]/Table1[[#This Row],[Total Equity]],"")</f>
        <v>2.8291055454545457</v>
      </c>
      <c r="AN107" s="168"/>
      <c r="AO107" s="168">
        <f>IF(Table1[[#This Row],[Status]]="Sold",((Table1[[#This Row],[Total Property Distributions]]-Table1[[#This Row],[Total Equity]])/Table1[[#This Row],[Total Equity]])/Table1[[#This Row],[Holding Period]],"")</f>
        <v>0.54948438196782645</v>
      </c>
      <c r="BR107" s="1"/>
    </row>
    <row r="108" spans="2:70" x14ac:dyDescent="0.2">
      <c r="B108" s="2" t="s">
        <v>282</v>
      </c>
      <c r="C108" s="2" t="s">
        <v>304</v>
      </c>
      <c r="E108" s="2" t="s">
        <v>235</v>
      </c>
      <c r="F108" s="2" t="s">
        <v>403</v>
      </c>
      <c r="G108" s="2" t="s">
        <v>397</v>
      </c>
      <c r="H108" s="2" t="s">
        <v>80</v>
      </c>
      <c r="I108" s="2" t="s">
        <v>354</v>
      </c>
      <c r="J108" s="2" t="s">
        <v>137</v>
      </c>
      <c r="K108" s="2" t="s">
        <v>120</v>
      </c>
      <c r="L108" s="11" t="s">
        <v>147</v>
      </c>
      <c r="M108" s="5">
        <v>87352</v>
      </c>
      <c r="N108" s="5"/>
      <c r="O108" s="5"/>
      <c r="P108" s="5"/>
      <c r="Q108" s="11"/>
      <c r="R108" s="6">
        <v>37606</v>
      </c>
      <c r="S108" s="15">
        <v>8175000</v>
      </c>
      <c r="T108" s="5" t="s">
        <v>335</v>
      </c>
      <c r="U108" s="5" t="s">
        <v>335</v>
      </c>
      <c r="V108" s="5" t="s">
        <v>335</v>
      </c>
      <c r="W108" s="5" t="s">
        <v>335</v>
      </c>
      <c r="X108" s="15">
        <v>2325001</v>
      </c>
      <c r="Y108" s="15"/>
      <c r="Z108" s="15"/>
      <c r="AA108" s="15"/>
      <c r="AB108" s="15"/>
      <c r="AC108" s="15"/>
      <c r="AD108" s="15"/>
      <c r="AE108" s="15"/>
      <c r="AF108" s="15"/>
      <c r="AG108" s="80">
        <f>SUM(Table1[[#This Row],[MLG Capital Historical Deal Equity]:[Legacy Fund Equity]])</f>
        <v>2325001</v>
      </c>
      <c r="AH108" s="80">
        <f>Table1[[#This Row],[Fund I Equity]]*6/27.28+Table1[[#This Row],[Fund II Equity]]</f>
        <v>0</v>
      </c>
      <c r="AI108" s="6">
        <v>39187</v>
      </c>
      <c r="AJ108" s="15">
        <v>13500000</v>
      </c>
      <c r="AK108" s="163">
        <f>IF(Table1[[#This Row],[Status]]="Sold",(Table1[[#This Row],[Date of Sale]]-Table1[[#This Row],[Acquisition Date]])/365,"")</f>
        <v>4.3315068493150681</v>
      </c>
      <c r="AL108" s="15">
        <v>7351589.4199999999</v>
      </c>
      <c r="AM108" s="167">
        <f>IF(Table1[[#This Row],[Status]]="Sold",Table1[[#This Row],[Total Property Distributions]]/Table1[[#This Row],[Total Equity]],"")</f>
        <v>3.1619725840978132</v>
      </c>
      <c r="AN108" s="168"/>
      <c r="AO108" s="168">
        <f>IF(Table1[[#This Row],[Status]]="Sold",((Table1[[#This Row],[Total Property Distributions]]-Table1[[#This Row],[Total Equity]])/Table1[[#This Row],[Total Equity]])/Table1[[#This Row],[Holding Period]],"")</f>
        <v>0.49912713042106382</v>
      </c>
      <c r="BR108" s="1"/>
    </row>
    <row r="109" spans="2:70" x14ac:dyDescent="0.2">
      <c r="B109" s="2" t="s">
        <v>271</v>
      </c>
      <c r="C109" s="2" t="s">
        <v>304</v>
      </c>
      <c r="E109" s="2" t="s">
        <v>235</v>
      </c>
      <c r="F109" s="2" t="s">
        <v>403</v>
      </c>
      <c r="G109" s="2" t="s">
        <v>397</v>
      </c>
      <c r="H109" s="2" t="s">
        <v>82</v>
      </c>
      <c r="I109" s="2" t="s">
        <v>348</v>
      </c>
      <c r="J109" s="2" t="s">
        <v>137</v>
      </c>
      <c r="K109" s="2" t="s">
        <v>120</v>
      </c>
      <c r="L109" s="11" t="s">
        <v>147</v>
      </c>
      <c r="M109" s="5">
        <v>54441</v>
      </c>
      <c r="N109" s="5"/>
      <c r="O109" s="5"/>
      <c r="P109" s="5"/>
      <c r="Q109" s="11"/>
      <c r="R109" s="6">
        <v>37622</v>
      </c>
      <c r="S109" s="15">
        <v>2145000</v>
      </c>
      <c r="T109" s="5" t="s">
        <v>335</v>
      </c>
      <c r="U109" s="5" t="s">
        <v>335</v>
      </c>
      <c r="V109" s="5" t="s">
        <v>335</v>
      </c>
      <c r="W109" s="5" t="s">
        <v>335</v>
      </c>
      <c r="X109" s="15">
        <v>770001</v>
      </c>
      <c r="Y109" s="15"/>
      <c r="Z109" s="15"/>
      <c r="AA109" s="15"/>
      <c r="AB109" s="15"/>
      <c r="AC109" s="15"/>
      <c r="AD109" s="15"/>
      <c r="AE109" s="15"/>
      <c r="AF109" s="15"/>
      <c r="AG109" s="80">
        <f>SUM(Table1[[#This Row],[MLG Capital Historical Deal Equity]:[Legacy Fund Equity]])</f>
        <v>770001</v>
      </c>
      <c r="AH109" s="80">
        <f>Table1[[#This Row],[Fund I Equity]]*6/27.28+Table1[[#This Row],[Fund II Equity]]</f>
        <v>0</v>
      </c>
      <c r="AI109" s="6">
        <v>38145</v>
      </c>
      <c r="AJ109" s="15">
        <v>3500000</v>
      </c>
      <c r="AK109" s="163">
        <f>IF(Table1[[#This Row],[Status]]="Sold",(Table1[[#This Row],[Date of Sale]]-Table1[[#This Row],[Acquisition Date]])/365,"")</f>
        <v>1.4328767123287671</v>
      </c>
      <c r="AL109" s="15">
        <v>1448101</v>
      </c>
      <c r="AM109" s="167">
        <f>IF(Table1[[#This Row],[Status]]="Sold",Table1[[#This Row],[Total Property Distributions]]/Table1[[#This Row],[Total Equity]],"")</f>
        <v>1.8806482069503805</v>
      </c>
      <c r="AN109" s="168"/>
      <c r="AO109" s="168">
        <f>IF(Table1[[#This Row],[Status]]="Sold",((Table1[[#This Row],[Total Property Distributions]]-Table1[[#This Row],[Total Equity]])/Table1[[#This Row],[Total Equity]])/Table1[[#This Row],[Holding Period]],"")</f>
        <v>0.61460152110303812</v>
      </c>
      <c r="BR109" s="1"/>
    </row>
    <row r="110" spans="2:70" x14ac:dyDescent="0.2">
      <c r="B110" s="2" t="s">
        <v>262</v>
      </c>
      <c r="C110" s="2" t="s">
        <v>304</v>
      </c>
      <c r="E110" s="2" t="s">
        <v>235</v>
      </c>
      <c r="F110" s="2" t="s">
        <v>403</v>
      </c>
      <c r="G110" s="11" t="s">
        <v>97</v>
      </c>
      <c r="H110" s="11" t="s">
        <v>97</v>
      </c>
      <c r="I110" s="7" t="s">
        <v>344</v>
      </c>
      <c r="J110" s="7" t="s">
        <v>129</v>
      </c>
      <c r="K110" s="7" t="s">
        <v>50</v>
      </c>
      <c r="L110" s="11" t="s">
        <v>147</v>
      </c>
      <c r="M110" s="8">
        <v>164619</v>
      </c>
      <c r="N110" s="8">
        <v>222</v>
      </c>
      <c r="O110" s="8"/>
      <c r="P110" s="8"/>
      <c r="Q110" s="185"/>
      <c r="R110" s="9">
        <v>37727</v>
      </c>
      <c r="S110" s="17">
        <v>6000000</v>
      </c>
      <c r="T110" s="5" t="s">
        <v>335</v>
      </c>
      <c r="U110" s="5" t="s">
        <v>335</v>
      </c>
      <c r="V110" s="5" t="s">
        <v>335</v>
      </c>
      <c r="W110" s="5" t="s">
        <v>335</v>
      </c>
      <c r="X110" s="17">
        <v>2550001</v>
      </c>
      <c r="Y110" s="17"/>
      <c r="Z110" s="17"/>
      <c r="AA110" s="17"/>
      <c r="AB110" s="17"/>
      <c r="AC110" s="17"/>
      <c r="AD110" s="17"/>
      <c r="AE110" s="17"/>
      <c r="AF110" s="17"/>
      <c r="AG110" s="83">
        <f>SUM(Table1[[#This Row],[MLG Capital Historical Deal Equity]:[Legacy Fund Equity]])</f>
        <v>2550001</v>
      </c>
      <c r="AH110" s="83">
        <f>Table1[[#This Row],[Fund I Equity]]*6/27.28+Table1[[#This Row],[Fund II Equity]]</f>
        <v>0</v>
      </c>
      <c r="AI110" s="9">
        <v>43069</v>
      </c>
      <c r="AJ110" s="17">
        <v>19250000</v>
      </c>
      <c r="AK110" s="164">
        <f>IF(Table1[[#This Row],[Status]]="Sold",(Table1[[#This Row],[Date of Sale]]-Table1[[#This Row],[Acquisition Date]])/365,"")</f>
        <v>14.635616438356164</v>
      </c>
      <c r="AL110" s="17">
        <v>14501345.479474343</v>
      </c>
      <c r="AM110" s="169">
        <f>IF(Table1[[#This Row],[Status]]="Sold",Table1[[#This Row],[Total Property Distributions]]/Table1[[#This Row],[Total Equity]],"")</f>
        <v>5.6867999186958524</v>
      </c>
      <c r="AN110" s="168"/>
      <c r="AO110" s="170">
        <f>IF(Table1[[#This Row],[Status]]="Sold",((Table1[[#This Row],[Total Property Distributions]]-Table1[[#This Row],[Total Equity]])/Table1[[#This Row],[Total Equity]])/Table1[[#This Row],[Holding Period]],"")</f>
        <v>0.32023249163683754</v>
      </c>
      <c r="BR110" s="1"/>
    </row>
    <row r="111" spans="2:70" x14ac:dyDescent="0.2">
      <c r="B111" s="2" t="s">
        <v>252</v>
      </c>
      <c r="C111" s="2" t="s">
        <v>304</v>
      </c>
      <c r="E111" s="2" t="s">
        <v>235</v>
      </c>
      <c r="F111" s="2" t="s">
        <v>403</v>
      </c>
      <c r="G111" s="11" t="s">
        <v>97</v>
      </c>
      <c r="H111" s="11" t="s">
        <v>97</v>
      </c>
      <c r="I111" s="2" t="s">
        <v>110</v>
      </c>
      <c r="J111" s="2" t="s">
        <v>129</v>
      </c>
      <c r="K111" s="2" t="s">
        <v>110</v>
      </c>
      <c r="L111" s="11" t="s">
        <v>147</v>
      </c>
      <c r="M111" s="5">
        <v>226704</v>
      </c>
      <c r="N111" s="5">
        <v>244</v>
      </c>
      <c r="O111" s="5"/>
      <c r="P111" s="5"/>
      <c r="Q111" s="11"/>
      <c r="R111" s="6">
        <v>38231</v>
      </c>
      <c r="S111" s="15">
        <v>9275000</v>
      </c>
      <c r="T111" s="5" t="s">
        <v>335</v>
      </c>
      <c r="U111" s="5" t="s">
        <v>335</v>
      </c>
      <c r="V111" s="5" t="s">
        <v>335</v>
      </c>
      <c r="W111" s="5" t="s">
        <v>335</v>
      </c>
      <c r="X111" s="15">
        <v>3320000</v>
      </c>
      <c r="Y111" s="15"/>
      <c r="Z111" s="15"/>
      <c r="AA111" s="15"/>
      <c r="AB111" s="15"/>
      <c r="AC111" s="15"/>
      <c r="AD111" s="15"/>
      <c r="AE111" s="15"/>
      <c r="AF111" s="15"/>
      <c r="AG111" s="80">
        <f>SUM(Table1[[#This Row],[MLG Capital Historical Deal Equity]:[Legacy Fund Equity]])</f>
        <v>3320000</v>
      </c>
      <c r="AH111" s="80">
        <f>Table1[[#This Row],[Fund I Equity]]*6/27.28+Table1[[#This Row],[Fund II Equity]]</f>
        <v>0</v>
      </c>
      <c r="AI111" s="6">
        <v>41356</v>
      </c>
      <c r="AJ111" s="15">
        <v>11750000</v>
      </c>
      <c r="AK111" s="163">
        <f>IF(Table1[[#This Row],[Status]]="Sold",(Table1[[#This Row],[Date of Sale]]-Table1[[#This Row],[Acquisition Date]])/365,"")</f>
        <v>8.5616438356164384</v>
      </c>
      <c r="AL111" s="15">
        <v>6735334</v>
      </c>
      <c r="AM111" s="167">
        <f>IF(Table1[[#This Row],[Status]]="Sold",Table1[[#This Row],[Total Property Distributions]]/Table1[[#This Row],[Total Equity]],"")</f>
        <v>2.0287150602409638</v>
      </c>
      <c r="AN111" s="168"/>
      <c r="AO111" s="168">
        <f>IF(Table1[[#This Row],[Status]]="Sold",((Table1[[#This Row],[Total Property Distributions]]-Table1[[#This Row],[Total Equity]])/Table1[[#This Row],[Total Equity]])/Table1[[#This Row],[Holding Period]],"")</f>
        <v>0.12015391903614457</v>
      </c>
      <c r="BR111" s="1"/>
    </row>
    <row r="112" spans="2:70" x14ac:dyDescent="0.2">
      <c r="B112" s="2" t="s">
        <v>297</v>
      </c>
      <c r="C112" s="2" t="s">
        <v>304</v>
      </c>
      <c r="E112" s="2" t="s">
        <v>235</v>
      </c>
      <c r="F112" s="2" t="s">
        <v>403</v>
      </c>
      <c r="G112" s="2" t="s">
        <v>397</v>
      </c>
      <c r="H112" s="2" t="s">
        <v>80</v>
      </c>
      <c r="I112" s="2" t="s">
        <v>360</v>
      </c>
      <c r="J112" s="2" t="s">
        <v>130</v>
      </c>
      <c r="K112" s="2" t="s">
        <v>360</v>
      </c>
      <c r="L112" s="11" t="s">
        <v>147</v>
      </c>
      <c r="M112" s="5">
        <v>54445</v>
      </c>
      <c r="N112" s="5"/>
      <c r="O112" s="5"/>
      <c r="P112" s="5"/>
      <c r="Q112" s="11"/>
      <c r="R112" s="6">
        <v>38366</v>
      </c>
      <c r="S112" s="15">
        <v>4000000</v>
      </c>
      <c r="T112" s="5" t="s">
        <v>335</v>
      </c>
      <c r="U112" s="5" t="s">
        <v>335</v>
      </c>
      <c r="V112" s="5" t="s">
        <v>335</v>
      </c>
      <c r="W112" s="5" t="s">
        <v>335</v>
      </c>
      <c r="X112" s="15">
        <v>1000000</v>
      </c>
      <c r="Y112" s="15"/>
      <c r="Z112" s="15"/>
      <c r="AA112" s="15"/>
      <c r="AB112" s="15"/>
      <c r="AC112" s="15"/>
      <c r="AD112" s="15"/>
      <c r="AE112" s="15"/>
      <c r="AF112" s="15"/>
      <c r="AG112" s="80">
        <f>SUM(Table1[[#This Row],[MLG Capital Historical Deal Equity]:[Legacy Fund Equity]])</f>
        <v>1000000</v>
      </c>
      <c r="AH112" s="80">
        <f>Table1[[#This Row],[Fund I Equity]]*6/27.28+Table1[[#This Row],[Fund II Equity]]</f>
        <v>0</v>
      </c>
      <c r="AI112" s="6">
        <v>43054</v>
      </c>
      <c r="AJ112" s="15">
        <v>3250000</v>
      </c>
      <c r="AK112" s="163">
        <f>IF(Table1[[#This Row],[Status]]="Sold",(Table1[[#This Row],[Date of Sale]]-Table1[[#This Row],[Acquisition Date]])/365,"")</f>
        <v>12.843835616438357</v>
      </c>
      <c r="AL112" s="15">
        <v>1611553.3399999999</v>
      </c>
      <c r="AM112" s="167">
        <f>IF(Table1[[#This Row],[Status]]="Sold",Table1[[#This Row],[Total Property Distributions]]/Table1[[#This Row],[Total Equity]],"")</f>
        <v>1.6115533399999999</v>
      </c>
      <c r="AN112" s="168"/>
      <c r="AO112" s="168">
        <f>IF(Table1[[#This Row],[Status]]="Sold",((Table1[[#This Row],[Total Property Distributions]]-Table1[[#This Row],[Total Equity]])/Table1[[#This Row],[Total Equity]])/Table1[[#This Row],[Holding Period]],"")</f>
        <v>4.7614541190273023E-2</v>
      </c>
      <c r="BR112" s="1"/>
    </row>
    <row r="113" spans="1:70" x14ac:dyDescent="0.2">
      <c r="B113" s="2" t="s">
        <v>283</v>
      </c>
      <c r="C113" s="2" t="s">
        <v>304</v>
      </c>
      <c r="E113" s="2" t="s">
        <v>235</v>
      </c>
      <c r="F113" s="2" t="s">
        <v>403</v>
      </c>
      <c r="G113" s="2" t="s">
        <v>397</v>
      </c>
      <c r="H113" s="2" t="s">
        <v>80</v>
      </c>
      <c r="I113" s="2" t="s">
        <v>355</v>
      </c>
      <c r="J113" s="2" t="s">
        <v>137</v>
      </c>
      <c r="K113" s="2" t="s">
        <v>120</v>
      </c>
      <c r="L113" s="11" t="s">
        <v>147</v>
      </c>
      <c r="M113" s="5">
        <v>74065</v>
      </c>
      <c r="N113" s="5"/>
      <c r="O113" s="5"/>
      <c r="P113" s="5"/>
      <c r="Q113" s="11"/>
      <c r="R113" s="6">
        <v>38429</v>
      </c>
      <c r="S113" s="15">
        <v>5415000</v>
      </c>
      <c r="T113" s="5" t="s">
        <v>335</v>
      </c>
      <c r="U113" s="5" t="s">
        <v>335</v>
      </c>
      <c r="V113" s="5" t="s">
        <v>335</v>
      </c>
      <c r="W113" s="5" t="s">
        <v>335</v>
      </c>
      <c r="X113" s="15">
        <v>1675000</v>
      </c>
      <c r="Y113" s="15"/>
      <c r="Z113" s="15"/>
      <c r="AA113" s="15"/>
      <c r="AB113" s="15"/>
      <c r="AC113" s="15"/>
      <c r="AD113" s="15"/>
      <c r="AE113" s="15"/>
      <c r="AF113" s="15"/>
      <c r="AG113" s="80">
        <f>SUM(Table1[[#This Row],[MLG Capital Historical Deal Equity]:[Legacy Fund Equity]])</f>
        <v>1675000</v>
      </c>
      <c r="AH113" s="80">
        <f>Table1[[#This Row],[Fund I Equity]]*6/27.28+Table1[[#This Row],[Fund II Equity]]</f>
        <v>0</v>
      </c>
      <c r="AI113" s="6">
        <v>40816</v>
      </c>
      <c r="AJ113" s="15">
        <v>3850000</v>
      </c>
      <c r="AK113" s="163">
        <f>IF(Table1[[#This Row],[Status]]="Sold",(Table1[[#This Row],[Date of Sale]]-Table1[[#This Row],[Acquisition Date]])/365,"")</f>
        <v>6.5397260273972604</v>
      </c>
      <c r="AL113" s="15">
        <v>0</v>
      </c>
      <c r="AM113" s="167">
        <f>IF(Table1[[#This Row],[Status]]="Sold",Table1[[#This Row],[Total Property Distributions]]/Table1[[#This Row],[Total Equity]],"")</f>
        <v>0</v>
      </c>
      <c r="AN113" s="168"/>
      <c r="AO113" s="168">
        <f>IF(Table1[[#This Row],[Status]]="Sold",((Table1[[#This Row],[Total Property Distributions]]-Table1[[#This Row],[Total Equity]])/Table1[[#This Row],[Total Equity]])/Table1[[#This Row],[Holding Period]],"")</f>
        <v>-0.15291160452450775</v>
      </c>
      <c r="BR113" s="1"/>
    </row>
    <row r="114" spans="1:70" ht="25.5" x14ac:dyDescent="0.2">
      <c r="B114" s="11" t="s">
        <v>301</v>
      </c>
      <c r="C114" s="11" t="s">
        <v>304</v>
      </c>
      <c r="D114" s="11"/>
      <c r="E114" s="11" t="s">
        <v>235</v>
      </c>
      <c r="F114" s="2" t="s">
        <v>403</v>
      </c>
      <c r="G114" s="2" t="s">
        <v>397</v>
      </c>
      <c r="H114" s="11" t="s">
        <v>80</v>
      </c>
      <c r="I114" s="11" t="s">
        <v>355</v>
      </c>
      <c r="J114" s="11" t="s">
        <v>137</v>
      </c>
      <c r="K114" s="11" t="s">
        <v>120</v>
      </c>
      <c r="L114" s="11" t="s">
        <v>147</v>
      </c>
      <c r="M114" s="12">
        <v>126054</v>
      </c>
      <c r="N114" s="12"/>
      <c r="O114" s="12"/>
      <c r="P114" s="12"/>
      <c r="Q114" s="11"/>
      <c r="R114" s="13">
        <v>38456</v>
      </c>
      <c r="S114" s="16">
        <v>8100000</v>
      </c>
      <c r="T114" s="12" t="s">
        <v>335</v>
      </c>
      <c r="U114" s="12" t="s">
        <v>335</v>
      </c>
      <c r="V114" s="12" t="s">
        <v>335</v>
      </c>
      <c r="W114" s="12" t="s">
        <v>335</v>
      </c>
      <c r="X114" s="16">
        <v>2450000</v>
      </c>
      <c r="Y114" s="16"/>
      <c r="Z114" s="16"/>
      <c r="AA114" s="16"/>
      <c r="AB114" s="16"/>
      <c r="AC114" s="16"/>
      <c r="AD114" s="16"/>
      <c r="AE114" s="16"/>
      <c r="AF114" s="16"/>
      <c r="AG114" s="82">
        <f>SUM(Table1[[#This Row],[MLG Capital Historical Deal Equity]:[Legacy Fund Equity]])</f>
        <v>2450000</v>
      </c>
      <c r="AH114" s="82">
        <f>Table1[[#This Row],[Fund I Equity]]*6/27.28+Table1[[#This Row],[Fund II Equity]]</f>
        <v>0</v>
      </c>
      <c r="AI114" s="13">
        <v>43840</v>
      </c>
      <c r="AJ114" s="16"/>
      <c r="AK114" s="165">
        <f>IF(Table1[[#This Row],[Status]]="Sold",(Table1[[#This Row],[Date of Sale]]-Table1[[#This Row],[Acquisition Date]])/365,"")</f>
        <v>14.75068493150685</v>
      </c>
      <c r="AL114" s="16">
        <v>71009.73</v>
      </c>
      <c r="AM114" s="171">
        <f>IF(Table1[[#This Row],[Status]]="Sold",Table1[[#This Row],[Total Property Distributions]]/Table1[[#This Row],[Total Equity]],"")</f>
        <v>2.8983563265306121E-2</v>
      </c>
      <c r="AN114" s="168"/>
      <c r="AO114" s="166">
        <f>IF(Table1[[#This Row],[Status]]="Sold",((Table1[[#This Row],[Total Property Distributions]]-Table1[[#This Row],[Total Equity]])/Table1[[#This Row],[Total Equity]])/Table1[[#This Row],[Holding Period]],"")</f>
        <v>-6.5828566011917389E-2</v>
      </c>
      <c r="BR114" s="1"/>
    </row>
    <row r="115" spans="1:70" ht="25.5" x14ac:dyDescent="0.2">
      <c r="A115" s="10"/>
      <c r="B115" s="2" t="s">
        <v>284</v>
      </c>
      <c r="C115" s="2" t="s">
        <v>304</v>
      </c>
      <c r="E115" s="2" t="s">
        <v>235</v>
      </c>
      <c r="F115" s="2" t="s">
        <v>403</v>
      </c>
      <c r="G115" s="2" t="s">
        <v>397</v>
      </c>
      <c r="H115" s="2" t="s">
        <v>80</v>
      </c>
      <c r="I115" s="2" t="s">
        <v>114</v>
      </c>
      <c r="J115" s="2" t="s">
        <v>130</v>
      </c>
      <c r="K115" s="2" t="s">
        <v>105</v>
      </c>
      <c r="L115" s="11" t="s">
        <v>147</v>
      </c>
      <c r="M115" s="5">
        <v>95173</v>
      </c>
      <c r="N115" s="5"/>
      <c r="O115" s="5"/>
      <c r="P115" s="5"/>
      <c r="Q115" s="11"/>
      <c r="R115" s="6">
        <v>38673</v>
      </c>
      <c r="S115" s="15">
        <v>6025000</v>
      </c>
      <c r="T115" s="5" t="s">
        <v>335</v>
      </c>
      <c r="U115" s="5" t="s">
        <v>335</v>
      </c>
      <c r="V115" s="5" t="s">
        <v>335</v>
      </c>
      <c r="W115" s="5" t="s">
        <v>335</v>
      </c>
      <c r="X115" s="15">
        <v>1800000</v>
      </c>
      <c r="Y115" s="15"/>
      <c r="Z115" s="15"/>
      <c r="AA115" s="15"/>
      <c r="AB115" s="15"/>
      <c r="AC115" s="15"/>
      <c r="AD115" s="15"/>
      <c r="AE115" s="15"/>
      <c r="AF115" s="15"/>
      <c r="AG115" s="80">
        <f>SUM(Table1[[#This Row],[MLG Capital Historical Deal Equity]:[Legacy Fund Equity]])</f>
        <v>1800000</v>
      </c>
      <c r="AH115" s="80">
        <f>Table1[[#This Row],[Fund I Equity]]*6/27.28+Table1[[#This Row],[Fund II Equity]]</f>
        <v>0</v>
      </c>
      <c r="AI115" s="6">
        <v>40550</v>
      </c>
      <c r="AJ115" s="15">
        <v>4400000</v>
      </c>
      <c r="AK115" s="163">
        <f>IF(Table1[[#This Row],[Status]]="Sold",(Table1[[#This Row],[Date of Sale]]-Table1[[#This Row],[Acquisition Date]])/365,"")</f>
        <v>5.1424657534246574</v>
      </c>
      <c r="AL115" s="15">
        <v>97818.232052690306</v>
      </c>
      <c r="AM115" s="167">
        <f>IF(Table1[[#This Row],[Status]]="Sold",Table1[[#This Row],[Total Property Distributions]]/Table1[[#This Row],[Total Equity]],"")</f>
        <v>5.4343462251494612E-2</v>
      </c>
      <c r="AN115" s="168"/>
      <c r="AO115" s="168">
        <f>IF(Table1[[#This Row],[Status]]="Sold",((Table1[[#This Row],[Total Property Distributions]]-Table1[[#This Row],[Total Equity]])/Table1[[#This Row],[Total Equity]])/Table1[[#This Row],[Holding Period]],"")</f>
        <v>-0.18389165491646481</v>
      </c>
      <c r="BR115" s="1"/>
    </row>
    <row r="116" spans="1:70" s="10" customFormat="1" x14ac:dyDescent="0.2">
      <c r="B116" s="2" t="s">
        <v>292</v>
      </c>
      <c r="C116" s="2" t="s">
        <v>304</v>
      </c>
      <c r="D116" s="2"/>
      <c r="E116" s="2" t="s">
        <v>235</v>
      </c>
      <c r="F116" s="2" t="s">
        <v>403</v>
      </c>
      <c r="G116" s="2" t="s">
        <v>397</v>
      </c>
      <c r="H116" s="2" t="s">
        <v>80</v>
      </c>
      <c r="I116" s="2" t="s">
        <v>122</v>
      </c>
      <c r="J116" s="2" t="s">
        <v>132</v>
      </c>
      <c r="K116" s="2" t="s">
        <v>121</v>
      </c>
      <c r="L116" s="11" t="s">
        <v>147</v>
      </c>
      <c r="M116" s="5">
        <v>140193</v>
      </c>
      <c r="N116" s="5"/>
      <c r="O116" s="5"/>
      <c r="P116" s="5"/>
      <c r="Q116" s="11"/>
      <c r="R116" s="6">
        <v>39270</v>
      </c>
      <c r="S116" s="15">
        <v>16000000</v>
      </c>
      <c r="T116" s="5" t="s">
        <v>335</v>
      </c>
      <c r="U116" s="5" t="s">
        <v>335</v>
      </c>
      <c r="V116" s="5" t="s">
        <v>335</v>
      </c>
      <c r="W116" s="5" t="s">
        <v>335</v>
      </c>
      <c r="X116" s="15">
        <v>5200001</v>
      </c>
      <c r="Y116" s="15"/>
      <c r="Z116" s="15"/>
      <c r="AA116" s="15"/>
      <c r="AB116" s="15"/>
      <c r="AC116" s="15"/>
      <c r="AD116" s="15"/>
      <c r="AE116" s="15"/>
      <c r="AF116" s="15"/>
      <c r="AG116" s="80">
        <f>SUM(Table1[[#This Row],[MLG Capital Historical Deal Equity]:[Legacy Fund Equity]])</f>
        <v>5200001</v>
      </c>
      <c r="AH116" s="80">
        <f>Table1[[#This Row],[Fund I Equity]]*6/27.28+Table1[[#This Row],[Fund II Equity]]</f>
        <v>0</v>
      </c>
      <c r="AI116" s="6">
        <v>42360</v>
      </c>
      <c r="AJ116" s="15">
        <v>19950000</v>
      </c>
      <c r="AK116" s="163">
        <f>IF(Table1[[#This Row],[Status]]="Sold",(Table1[[#This Row],[Date of Sale]]-Table1[[#This Row],[Acquisition Date]])/365,"")</f>
        <v>8.4657534246575334</v>
      </c>
      <c r="AL116" s="15">
        <v>7503966.6083333325</v>
      </c>
      <c r="AM116" s="167">
        <f>IF(Table1[[#This Row],[Status]]="Sold",Table1[[#This Row],[Total Property Distributions]]/Table1[[#This Row],[Total Equity]],"")</f>
        <v>1.4430702240890594</v>
      </c>
      <c r="AN116" s="168">
        <v>4.9799999999999997E-2</v>
      </c>
      <c r="AO116" s="168">
        <f>IF(Table1[[#This Row],[Status]]="Sold",((Table1[[#This Row],[Total Property Distributions]]-Table1[[#This Row],[Total Equity]])/Table1[[#This Row],[Total Equity]])/Table1[[#This Row],[Holding Period]],"")</f>
        <v>5.2336774042882415E-2</v>
      </c>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row>
    <row r="117" spans="1:70" s="10" customFormat="1" x14ac:dyDescent="0.2">
      <c r="B117" s="2" t="s">
        <v>259</v>
      </c>
      <c r="C117" s="2" t="s">
        <v>304</v>
      </c>
      <c r="D117" s="2"/>
      <c r="E117" s="2" t="s">
        <v>235</v>
      </c>
      <c r="F117" s="2" t="s">
        <v>403</v>
      </c>
      <c r="G117" s="11" t="s">
        <v>97</v>
      </c>
      <c r="H117" s="11" t="s">
        <v>97</v>
      </c>
      <c r="I117" s="2" t="s">
        <v>343</v>
      </c>
      <c r="J117" s="2" t="s">
        <v>129</v>
      </c>
      <c r="K117" s="2" t="s">
        <v>50</v>
      </c>
      <c r="L117" s="11" t="s">
        <v>147</v>
      </c>
      <c r="M117" s="5">
        <v>203892</v>
      </c>
      <c r="N117" s="5">
        <v>266</v>
      </c>
      <c r="O117" s="5"/>
      <c r="P117" s="5"/>
      <c r="Q117" s="11"/>
      <c r="R117" s="6">
        <v>39661</v>
      </c>
      <c r="S117" s="15">
        <v>9350000</v>
      </c>
      <c r="T117" s="5" t="s">
        <v>335</v>
      </c>
      <c r="U117" s="5" t="s">
        <v>335</v>
      </c>
      <c r="V117" s="5" t="s">
        <v>335</v>
      </c>
      <c r="W117" s="5" t="s">
        <v>335</v>
      </c>
      <c r="X117" s="15">
        <v>4000000</v>
      </c>
      <c r="Y117" s="15"/>
      <c r="Z117" s="15"/>
      <c r="AA117" s="15"/>
      <c r="AB117" s="15"/>
      <c r="AC117" s="15"/>
      <c r="AD117" s="15"/>
      <c r="AE117" s="15"/>
      <c r="AF117" s="15"/>
      <c r="AG117" s="80">
        <f>SUM(Table1[[#This Row],[MLG Capital Historical Deal Equity]:[Legacy Fund Equity]])</f>
        <v>4000000</v>
      </c>
      <c r="AH117" s="80">
        <f>Table1[[#This Row],[Fund I Equity]]*6/27.28+Table1[[#This Row],[Fund II Equity]]</f>
        <v>0</v>
      </c>
      <c r="AI117" s="6">
        <v>42669</v>
      </c>
      <c r="AJ117" s="15">
        <v>18500000</v>
      </c>
      <c r="AK117" s="163">
        <f>IF(Table1[[#This Row],[Status]]="Sold",(Table1[[#This Row],[Date of Sale]]-Table1[[#This Row],[Acquisition Date]])/365,"")</f>
        <v>8.2410958904109588</v>
      </c>
      <c r="AL117" s="15">
        <v>11332625.99</v>
      </c>
      <c r="AM117" s="167">
        <f>IF(Table1[[#This Row],[Status]]="Sold",Table1[[#This Row],[Total Property Distributions]]/Table1[[#This Row],[Total Equity]],"")</f>
        <v>2.8331564975000001</v>
      </c>
      <c r="AN117" s="168"/>
      <c r="AO117" s="168">
        <f>IF(Table1[[#This Row],[Status]]="Sold",((Table1[[#This Row],[Total Property Distributions]]-Table1[[#This Row],[Total Equity]])/Table1[[#This Row],[Total Equity]])/Table1[[#This Row],[Holding Period]],"")</f>
        <v>0.22244086488946144</v>
      </c>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row>
    <row r="118" spans="1:70" x14ac:dyDescent="0.2">
      <c r="B118" s="2" t="s">
        <v>256</v>
      </c>
      <c r="C118" s="2" t="s">
        <v>304</v>
      </c>
      <c r="E118" s="2" t="s">
        <v>235</v>
      </c>
      <c r="F118" s="2" t="s">
        <v>403</v>
      </c>
      <c r="G118" s="11" t="s">
        <v>97</v>
      </c>
      <c r="H118" s="11" t="s">
        <v>97</v>
      </c>
      <c r="I118" s="2" t="s">
        <v>342</v>
      </c>
      <c r="J118" s="2" t="s">
        <v>137</v>
      </c>
      <c r="K118" s="2" t="s">
        <v>342</v>
      </c>
      <c r="L118" s="11" t="s">
        <v>147</v>
      </c>
      <c r="M118" s="5">
        <v>164096</v>
      </c>
      <c r="N118" s="5">
        <v>208</v>
      </c>
      <c r="O118" s="5"/>
      <c r="P118" s="5"/>
      <c r="Q118" s="11"/>
      <c r="R118" s="6">
        <v>39873</v>
      </c>
      <c r="S118" s="15">
        <v>7120000</v>
      </c>
      <c r="T118" s="5" t="s">
        <v>335</v>
      </c>
      <c r="U118" s="5" t="s">
        <v>335</v>
      </c>
      <c r="V118" s="5" t="s">
        <v>335</v>
      </c>
      <c r="W118" s="5" t="s">
        <v>335</v>
      </c>
      <c r="X118" s="15">
        <v>2200001</v>
      </c>
      <c r="Y118" s="15"/>
      <c r="Z118" s="15"/>
      <c r="AA118" s="15"/>
      <c r="AB118" s="15"/>
      <c r="AC118" s="15"/>
      <c r="AD118" s="15"/>
      <c r="AE118" s="15"/>
      <c r="AF118" s="15"/>
      <c r="AG118" s="80">
        <f>SUM(Table1[[#This Row],[MLG Capital Historical Deal Equity]:[Legacy Fund Equity]])</f>
        <v>2200001</v>
      </c>
      <c r="AH118" s="80">
        <f>Table1[[#This Row],[Fund I Equity]]*6/27.28+Table1[[#This Row],[Fund II Equity]]</f>
        <v>0</v>
      </c>
      <c r="AI118" s="6">
        <v>42496</v>
      </c>
      <c r="AJ118" s="15">
        <v>10200000</v>
      </c>
      <c r="AK118" s="163">
        <f>IF(Table1[[#This Row],[Status]]="Sold",(Table1[[#This Row],[Date of Sale]]-Table1[[#This Row],[Acquisition Date]])/365,"")</f>
        <v>7.1863013698630134</v>
      </c>
      <c r="AL118" s="15">
        <v>2856467.74</v>
      </c>
      <c r="AM118" s="167">
        <f>IF(Table1[[#This Row],[Status]]="Sold",Table1[[#This Row],[Total Property Distributions]]/Table1[[#This Row],[Total Equity]],"")</f>
        <v>1.2983938370937105</v>
      </c>
      <c r="AN118" s="168"/>
      <c r="AO118" s="168">
        <f>IF(Table1[[#This Row],[Status]]="Sold",((Table1[[#This Row],[Total Property Distributions]]-Table1[[#This Row],[Total Equity]])/Table1[[#This Row],[Total Equity]])/Table1[[#This Row],[Holding Period]],"")</f>
        <v>4.1522588844530826E-2</v>
      </c>
      <c r="BR118" s="1"/>
    </row>
    <row r="119" spans="1:70" x14ac:dyDescent="0.2">
      <c r="B119" s="2" t="s">
        <v>251</v>
      </c>
      <c r="C119" s="2" t="s">
        <v>304</v>
      </c>
      <c r="E119" s="2" t="s">
        <v>235</v>
      </c>
      <c r="F119" s="2" t="s">
        <v>403</v>
      </c>
      <c r="G119" s="11" t="s">
        <v>97</v>
      </c>
      <c r="H119" s="11" t="s">
        <v>97</v>
      </c>
      <c r="I119" s="2" t="s">
        <v>50</v>
      </c>
      <c r="J119" s="2" t="s">
        <v>129</v>
      </c>
      <c r="K119" s="2" t="s">
        <v>50</v>
      </c>
      <c r="L119" s="11" t="s">
        <v>147</v>
      </c>
      <c r="M119" s="5">
        <v>115184</v>
      </c>
      <c r="N119" s="5">
        <v>128</v>
      </c>
      <c r="O119" s="5"/>
      <c r="P119" s="5"/>
      <c r="Q119" s="11"/>
      <c r="R119" s="6">
        <v>40057</v>
      </c>
      <c r="S119" s="15">
        <v>2500000</v>
      </c>
      <c r="T119" s="5" t="s">
        <v>335</v>
      </c>
      <c r="U119" s="5" t="s">
        <v>335</v>
      </c>
      <c r="V119" s="5" t="s">
        <v>335</v>
      </c>
      <c r="W119" s="5" t="s">
        <v>335</v>
      </c>
      <c r="X119" s="15">
        <v>1300000</v>
      </c>
      <c r="Y119" s="15"/>
      <c r="Z119" s="15"/>
      <c r="AA119" s="15"/>
      <c r="AB119" s="15"/>
      <c r="AC119" s="15"/>
      <c r="AD119" s="15"/>
      <c r="AE119" s="15"/>
      <c r="AF119" s="15"/>
      <c r="AG119" s="80">
        <f>SUM(Table1[[#This Row],[MLG Capital Historical Deal Equity]:[Legacy Fund Equity]])</f>
        <v>1300000</v>
      </c>
      <c r="AH119" s="80">
        <f>Table1[[#This Row],[Fund I Equity]]*6/27.28+Table1[[#This Row],[Fund II Equity]]</f>
        <v>0</v>
      </c>
      <c r="AI119" s="6">
        <v>41016</v>
      </c>
      <c r="AJ119" s="15">
        <v>3705000</v>
      </c>
      <c r="AK119" s="163">
        <f>IF(Table1[[#This Row],[Status]]="Sold",(Table1[[#This Row],[Date of Sale]]-Table1[[#This Row],[Acquisition Date]])/365,"")</f>
        <v>2.6273972602739728</v>
      </c>
      <c r="AL119" s="15">
        <v>785782</v>
      </c>
      <c r="AM119" s="167">
        <f>IF(Table1[[#This Row],[Status]]="Sold",Table1[[#This Row],[Total Property Distributions]]/Table1[[#This Row],[Total Equity]],"")</f>
        <v>0.60444769230769235</v>
      </c>
      <c r="AN119" s="168"/>
      <c r="AO119" s="168">
        <f>IF(Table1[[#This Row],[Status]]="Sold",((Table1[[#This Row],[Total Property Distributions]]-Table1[[#This Row],[Total Equity]])/Table1[[#This Row],[Total Equity]])/Table1[[#This Row],[Holding Period]],"")</f>
        <v>-0.15054910563888665</v>
      </c>
      <c r="BR119" s="1"/>
    </row>
    <row r="120" spans="1:70" x14ac:dyDescent="0.2">
      <c r="B120" s="2" t="s">
        <v>260</v>
      </c>
      <c r="C120" s="2" t="s">
        <v>304</v>
      </c>
      <c r="E120" s="2" t="s">
        <v>235</v>
      </c>
      <c r="F120" s="2" t="s">
        <v>403</v>
      </c>
      <c r="G120" s="11" t="s">
        <v>97</v>
      </c>
      <c r="H120" s="11" t="s">
        <v>97</v>
      </c>
      <c r="I120" s="2" t="s">
        <v>334</v>
      </c>
      <c r="J120" s="2" t="s">
        <v>130</v>
      </c>
      <c r="L120" s="11" t="s">
        <v>147</v>
      </c>
      <c r="M120" s="5">
        <v>123541</v>
      </c>
      <c r="N120" s="5">
        <v>143</v>
      </c>
      <c r="O120" s="5"/>
      <c r="P120" s="5"/>
      <c r="Q120" s="11"/>
      <c r="R120" s="6">
        <v>40725</v>
      </c>
      <c r="S120" s="15">
        <v>4114080</v>
      </c>
      <c r="T120" s="5" t="s">
        <v>335</v>
      </c>
      <c r="U120" s="5" t="s">
        <v>335</v>
      </c>
      <c r="V120" s="5" t="s">
        <v>335</v>
      </c>
      <c r="W120" s="5" t="s">
        <v>335</v>
      </c>
      <c r="X120" s="15">
        <v>450000</v>
      </c>
      <c r="Y120" s="15"/>
      <c r="Z120" s="15"/>
      <c r="AA120" s="15"/>
      <c r="AB120" s="15"/>
      <c r="AC120" s="15"/>
      <c r="AD120" s="15"/>
      <c r="AE120" s="15"/>
      <c r="AF120" s="15"/>
      <c r="AG120" s="80">
        <f>SUM(Table1[[#This Row],[MLG Capital Historical Deal Equity]:[Legacy Fund Equity]])</f>
        <v>450000</v>
      </c>
      <c r="AH120" s="80">
        <f>Table1[[#This Row],[Fund I Equity]]*6/27.28+Table1[[#This Row],[Fund II Equity]]</f>
        <v>0</v>
      </c>
      <c r="AI120" s="6">
        <v>42716</v>
      </c>
      <c r="AJ120" s="15">
        <v>5006500</v>
      </c>
      <c r="AK120" s="163">
        <f>IF(Table1[[#This Row],[Status]]="Sold",(Table1[[#This Row],[Date of Sale]]-Table1[[#This Row],[Acquisition Date]])/365,"")</f>
        <v>5.4547945205479449</v>
      </c>
      <c r="AL120" s="15">
        <v>927045.61</v>
      </c>
      <c r="AM120" s="167">
        <f>IF(Table1[[#This Row],[Status]]="Sold",Table1[[#This Row],[Total Property Distributions]]/Table1[[#This Row],[Total Equity]],"")</f>
        <v>2.0601013555555556</v>
      </c>
      <c r="AN120" s="168"/>
      <c r="AO120" s="168">
        <f>IF(Table1[[#This Row],[Status]]="Sold",((Table1[[#This Row],[Total Property Distributions]]-Table1[[#This Row],[Total Equity]])/Table1[[#This Row],[Total Equity]])/Table1[[#This Row],[Holding Period]],"")</f>
        <v>0.19434304107372066</v>
      </c>
      <c r="BR120" s="1"/>
    </row>
    <row r="121" spans="1:70" ht="25.5" x14ac:dyDescent="0.2">
      <c r="B121" s="11" t="s">
        <v>302</v>
      </c>
      <c r="C121" s="11" t="s">
        <v>304</v>
      </c>
      <c r="D121" s="11"/>
      <c r="E121" s="11" t="s">
        <v>235</v>
      </c>
      <c r="F121" s="2" t="s">
        <v>403</v>
      </c>
      <c r="G121" s="2" t="s">
        <v>397</v>
      </c>
      <c r="H121" s="11" t="s">
        <v>80</v>
      </c>
      <c r="I121" s="11" t="s">
        <v>355</v>
      </c>
      <c r="J121" s="11" t="s">
        <v>137</v>
      </c>
      <c r="K121" s="11" t="s">
        <v>120</v>
      </c>
      <c r="L121" s="11" t="s">
        <v>147</v>
      </c>
      <c r="M121" s="16"/>
      <c r="N121" s="12"/>
      <c r="O121" s="12"/>
      <c r="P121" s="12"/>
      <c r="Q121" s="11"/>
      <c r="R121" s="13">
        <v>41116</v>
      </c>
      <c r="S121" s="16"/>
      <c r="T121" s="12" t="s">
        <v>335</v>
      </c>
      <c r="U121" s="12" t="s">
        <v>335</v>
      </c>
      <c r="V121" s="12" t="s">
        <v>335</v>
      </c>
      <c r="W121" s="12" t="s">
        <v>335</v>
      </c>
      <c r="X121" s="16"/>
      <c r="Y121" s="16">
        <v>4393100</v>
      </c>
      <c r="Z121" s="16"/>
      <c r="AA121" s="16"/>
      <c r="AB121" s="16"/>
      <c r="AC121" s="16"/>
      <c r="AD121" s="16"/>
      <c r="AE121" s="16"/>
      <c r="AF121" s="16"/>
      <c r="AG121" s="82">
        <f>SUM(Table1[[#This Row],[MLG Capital Historical Deal Equity]:[Legacy Fund Equity]])</f>
        <v>4393100</v>
      </c>
      <c r="AH121" s="82">
        <f>Table1[[#This Row],[Fund I Equity]]*6/27.28+Table1[[#This Row],[Fund II Equity]]</f>
        <v>966224.340175953</v>
      </c>
      <c r="AI121" s="13">
        <v>43840</v>
      </c>
      <c r="AJ121" s="16">
        <v>8100000</v>
      </c>
      <c r="AK121" s="165">
        <f>IF(Table1[[#This Row],[Status]]="Sold",(Table1[[#This Row],[Date of Sale]]-Table1[[#This Row],[Acquisition Date]])/365,"")</f>
        <v>7.463013698630137</v>
      </c>
      <c r="AL121" s="16">
        <v>6779462.6850228338</v>
      </c>
      <c r="AM121" s="171">
        <v>1.53</v>
      </c>
      <c r="AN121" s="168">
        <v>7.1400000000000005E-2</v>
      </c>
      <c r="AO121" s="166">
        <f>IF(Table1[[#This Row],[Status]]="Sold",((Table1[[#This Row],[Total Property Distributions]]-Table1[[#This Row],[Total Equity]])/Table1[[#This Row],[Total Equity]])/Table1[[#This Row],[Holding Period]],"")</f>
        <v>7.2786547763188505E-2</v>
      </c>
      <c r="BR121" s="1"/>
    </row>
    <row r="122" spans="1:70" x14ac:dyDescent="0.2">
      <c r="B122" s="11" t="s">
        <v>378</v>
      </c>
      <c r="C122" s="11" t="s">
        <v>304</v>
      </c>
      <c r="D122" s="11" t="s">
        <v>220</v>
      </c>
      <c r="E122" s="2" t="s">
        <v>236</v>
      </c>
      <c r="F122" s="2" t="s">
        <v>403</v>
      </c>
      <c r="G122" s="11" t="s">
        <v>221</v>
      </c>
      <c r="H122" s="11" t="s">
        <v>221</v>
      </c>
      <c r="I122" s="11" t="s">
        <v>384</v>
      </c>
      <c r="J122" s="11" t="s">
        <v>130</v>
      </c>
      <c r="K122" s="11" t="s">
        <v>105</v>
      </c>
      <c r="L122" s="11" t="s">
        <v>147</v>
      </c>
      <c r="M122" s="12"/>
      <c r="N122" s="12"/>
      <c r="O122" s="12">
        <v>24</v>
      </c>
      <c r="P122" s="12">
        <v>20</v>
      </c>
      <c r="Q122" s="12" t="s">
        <v>89</v>
      </c>
      <c r="R122" s="6">
        <v>41275</v>
      </c>
      <c r="S122" s="16">
        <v>307500</v>
      </c>
      <c r="T122" s="5" t="s">
        <v>335</v>
      </c>
      <c r="U122" s="82" t="str">
        <f>IF(Table1[[#This Row],[Sub Type]]="Multi-Family",Table1[[#This Row],[Fair Market Value Estimate]]/Table1[[#This Row],[Units]],"N/A")</f>
        <v>N/A</v>
      </c>
      <c r="V122" s="5" t="s">
        <v>335</v>
      </c>
      <c r="W122" s="5" t="s">
        <v>335</v>
      </c>
      <c r="X122" s="16"/>
      <c r="Y122" s="16">
        <v>393914.44</v>
      </c>
      <c r="Z122" s="16"/>
      <c r="AA122" s="16"/>
      <c r="AB122" s="16"/>
      <c r="AC122" s="16"/>
      <c r="AD122" s="16"/>
      <c r="AE122" s="16"/>
      <c r="AF122" s="16"/>
      <c r="AG122" s="82">
        <f>SUM(Table1[[#This Row],[MLG Capital Historical Deal Equity]:[Legacy Fund Equity]])</f>
        <v>393914.44</v>
      </c>
      <c r="AH122" s="82">
        <f>Table1[[#This Row],[Fund I Equity]]*6/27.28+Table1[[#This Row],[Fund II Equity]]</f>
        <v>86638.073313782996</v>
      </c>
      <c r="AI122" s="13">
        <v>43802</v>
      </c>
      <c r="AJ122" s="16">
        <v>878840</v>
      </c>
      <c r="AK122" s="162">
        <f>IF(Table1[[#This Row],[Status]]="Sold",(Table1[[#This Row],[Date of Sale]]-Table1[[#This Row],[Acquisition Date]])/365,"")</f>
        <v>6.9232876712328766</v>
      </c>
      <c r="AL122" s="117">
        <v>768904.1</v>
      </c>
      <c r="AM122" s="162">
        <f>IF(Table1[[#This Row],[Status]]="Sold",Table1[[#This Row],[Total Property Distributions]]/Table1[[#This Row],[Total Equity]],"")</f>
        <v>1.9519571305890691</v>
      </c>
      <c r="AN122" s="168">
        <v>0.43180000000000002</v>
      </c>
      <c r="AO122" s="166">
        <f>IF(Table1[[#This Row],[Status]]="Sold",((Table1[[#This Row],[Total Property Distributions]]-Table1[[#This Row],[Total Equity]])/Table1[[#This Row],[Total Equity]])/Table1[[#This Row],[Holding Period]],"")</f>
        <v>0.13750073314800562</v>
      </c>
      <c r="BR122" s="1"/>
    </row>
    <row r="123" spans="1:70" x14ac:dyDescent="0.2">
      <c r="B123" s="11" t="s">
        <v>376</v>
      </c>
      <c r="C123" s="11" t="s">
        <v>304</v>
      </c>
      <c r="D123" s="11" t="s">
        <v>220</v>
      </c>
      <c r="E123" s="2" t="s">
        <v>236</v>
      </c>
      <c r="F123" s="2" t="s">
        <v>403</v>
      </c>
      <c r="G123" s="11" t="s">
        <v>221</v>
      </c>
      <c r="H123" s="11" t="s">
        <v>221</v>
      </c>
      <c r="I123" s="11" t="s">
        <v>379</v>
      </c>
      <c r="J123" s="11" t="s">
        <v>130</v>
      </c>
      <c r="K123" s="11" t="s">
        <v>105</v>
      </c>
      <c r="L123" s="11" t="s">
        <v>147</v>
      </c>
      <c r="M123" s="12"/>
      <c r="N123" s="12"/>
      <c r="O123" s="12">
        <v>19</v>
      </c>
      <c r="P123" s="12"/>
      <c r="Q123" s="12" t="s">
        <v>89</v>
      </c>
      <c r="R123" s="6">
        <v>41306</v>
      </c>
      <c r="S123" s="16">
        <v>350000</v>
      </c>
      <c r="T123" s="5" t="s">
        <v>335</v>
      </c>
      <c r="U123" s="82" t="str">
        <f>IF(Table1[[#This Row],[Sub Type]]="Multi-Family",Table1[[#This Row],[Fair Market Value Estimate]]/Table1[[#This Row],[Units]],"N/A")</f>
        <v>N/A</v>
      </c>
      <c r="V123" s="5" t="s">
        <v>335</v>
      </c>
      <c r="W123" s="5" t="s">
        <v>335</v>
      </c>
      <c r="X123" s="16"/>
      <c r="Y123" s="16">
        <v>180000</v>
      </c>
      <c r="Z123" s="16"/>
      <c r="AA123" s="16"/>
      <c r="AB123" s="16"/>
      <c r="AC123" s="16"/>
      <c r="AD123" s="16">
        <v>180000</v>
      </c>
      <c r="AE123" s="16"/>
      <c r="AF123" s="16"/>
      <c r="AG123" s="82">
        <f>SUM(Table1[[#This Row],[MLG Capital Historical Deal Equity]:[Legacy Fund Equity]])</f>
        <v>360000</v>
      </c>
      <c r="AH123" s="82">
        <f>Table1[[#This Row],[Fund I Equity]]*6/27.28+Table1[[#This Row],[Fund II Equity]]</f>
        <v>39589.442815249262</v>
      </c>
      <c r="AI123" s="13">
        <v>42513</v>
      </c>
      <c r="AJ123" s="16">
        <v>986350</v>
      </c>
      <c r="AK123" s="162">
        <f>IF(Table1[[#This Row],[Status]]="Sold",(Table1[[#This Row],[Date of Sale]]-Table1[[#This Row],[Acquisition Date]])/365,"")</f>
        <v>3.3068493150684932</v>
      </c>
      <c r="AL123" s="117">
        <v>864798.89</v>
      </c>
      <c r="AM123" s="162">
        <f>IF(Table1[[#This Row],[Status]]="Sold",Table1[[#This Row],[Total Property Distributions]]/Table1[[#This Row],[Total Equity]],"")</f>
        <v>2.4022191388888889</v>
      </c>
      <c r="AN123" s="168">
        <v>0.79490000000000005</v>
      </c>
      <c r="AO123" s="166">
        <f>IF(Table1[[#This Row],[Status]]="Sold",((Table1[[#This Row],[Total Property Distributions]]-Table1[[#This Row],[Total Equity]])/Table1[[#This Row],[Total Equity]])/Table1[[#This Row],[Holding Period]],"")</f>
        <v>0.42403478516523979</v>
      </c>
      <c r="BR123" s="1"/>
    </row>
    <row r="124" spans="1:70" x14ac:dyDescent="0.2">
      <c r="B124" s="11" t="s">
        <v>373</v>
      </c>
      <c r="C124" s="11" t="s">
        <v>304</v>
      </c>
      <c r="D124" s="11" t="s">
        <v>220</v>
      </c>
      <c r="E124" s="2" t="s">
        <v>235</v>
      </c>
      <c r="F124" s="2" t="s">
        <v>403</v>
      </c>
      <c r="G124" s="11" t="s">
        <v>221</v>
      </c>
      <c r="H124" s="11" t="s">
        <v>221</v>
      </c>
      <c r="I124" s="11" t="s">
        <v>380</v>
      </c>
      <c r="J124" s="11" t="s">
        <v>130</v>
      </c>
      <c r="K124" s="11" t="s">
        <v>105</v>
      </c>
      <c r="L124" s="11" t="s">
        <v>147</v>
      </c>
      <c r="M124" s="12"/>
      <c r="N124" s="12"/>
      <c r="O124" s="12">
        <v>5</v>
      </c>
      <c r="P124" s="12"/>
      <c r="Q124" s="12" t="s">
        <v>89</v>
      </c>
      <c r="R124" s="6">
        <v>41365</v>
      </c>
      <c r="S124" s="16">
        <v>325000</v>
      </c>
      <c r="T124" s="5" t="s">
        <v>335</v>
      </c>
      <c r="U124" s="82" t="str">
        <f>IF(Table1[[#This Row],[Sub Type]]="Multi-Family",Table1[[#This Row],[Fair Market Value Estimate]]/Table1[[#This Row],[Units]],"N/A")</f>
        <v>N/A</v>
      </c>
      <c r="V124" s="5" t="s">
        <v>335</v>
      </c>
      <c r="W124" s="5" t="s">
        <v>335</v>
      </c>
      <c r="X124" s="16"/>
      <c r="Y124" s="16">
        <v>180000</v>
      </c>
      <c r="Z124" s="16"/>
      <c r="AA124" s="16"/>
      <c r="AB124" s="16"/>
      <c r="AC124" s="16"/>
      <c r="AD124" s="16">
        <v>180000</v>
      </c>
      <c r="AE124" s="16"/>
      <c r="AF124" s="16"/>
      <c r="AG124" s="82">
        <f>SUM(Table1[[#This Row],[MLG Capital Historical Deal Equity]:[Legacy Fund Equity]])</f>
        <v>360000</v>
      </c>
      <c r="AH124" s="82">
        <f>Table1[[#This Row],[Fund I Equity]]*6/27.28+Table1[[#This Row],[Fund II Equity]]</f>
        <v>39589.442815249262</v>
      </c>
      <c r="AI124" s="13">
        <v>42003</v>
      </c>
      <c r="AJ124" s="16">
        <v>591506</v>
      </c>
      <c r="AK124" s="162">
        <f>IF(Table1[[#This Row],[Status]]="Sold",(Table1[[#This Row],[Date of Sale]]-Table1[[#This Row],[Acquisition Date]])/365,"")</f>
        <v>1.747945205479452</v>
      </c>
      <c r="AL124" s="117">
        <v>489536.08</v>
      </c>
      <c r="AM124" s="162">
        <f>IF(Table1[[#This Row],[Status]]="Sold",Table1[[#This Row],[Total Property Distributions]]/Table1[[#This Row],[Total Equity]],"")</f>
        <v>1.3598224444444444</v>
      </c>
      <c r="AN124" s="168">
        <v>0.2407</v>
      </c>
      <c r="AO124" s="166">
        <f>IF(Table1[[#This Row],[Status]]="Sold",((Table1[[#This Row],[Total Property Distributions]]-Table1[[#This Row],[Total Equity]])/Table1[[#This Row],[Total Equity]])/Table1[[#This Row],[Holding Period]],"")</f>
        <v>0.20585453326367123</v>
      </c>
      <c r="BR124" s="1"/>
    </row>
    <row r="125" spans="1:70" x14ac:dyDescent="0.2">
      <c r="B125" s="2" t="s">
        <v>261</v>
      </c>
      <c r="C125" s="2" t="s">
        <v>304</v>
      </c>
      <c r="E125" s="2" t="s">
        <v>235</v>
      </c>
      <c r="F125" s="2" t="s">
        <v>403</v>
      </c>
      <c r="G125" s="11" t="s">
        <v>97</v>
      </c>
      <c r="H125" s="11" t="s">
        <v>97</v>
      </c>
      <c r="I125" s="2" t="s">
        <v>342</v>
      </c>
      <c r="J125" s="2" t="s">
        <v>137</v>
      </c>
      <c r="K125" s="2" t="s">
        <v>342</v>
      </c>
      <c r="L125" s="11" t="s">
        <v>338</v>
      </c>
      <c r="M125" s="5">
        <v>269832</v>
      </c>
      <c r="N125" s="5">
        <v>195</v>
      </c>
      <c r="O125" s="5"/>
      <c r="P125" s="5"/>
      <c r="Q125" s="11"/>
      <c r="R125" s="6">
        <v>41431</v>
      </c>
      <c r="S125" s="15">
        <v>4100000</v>
      </c>
      <c r="T125" s="5" t="s">
        <v>335</v>
      </c>
      <c r="U125" s="5" t="s">
        <v>335</v>
      </c>
      <c r="V125" s="5" t="s">
        <v>335</v>
      </c>
      <c r="W125" s="5" t="s">
        <v>335</v>
      </c>
      <c r="X125" s="15"/>
      <c r="Y125" s="15">
        <v>4353125</v>
      </c>
      <c r="Z125" s="15"/>
      <c r="AA125" s="15"/>
      <c r="AB125" s="15"/>
      <c r="AC125" s="15"/>
      <c r="AD125" s="15">
        <v>621875</v>
      </c>
      <c r="AE125" s="15"/>
      <c r="AF125" s="15"/>
      <c r="AG125" s="80">
        <f>SUM(Table1[[#This Row],[MLG Capital Historical Deal Equity]:[Legacy Fund Equity]])</f>
        <v>4975000</v>
      </c>
      <c r="AH125" s="80">
        <f>Table1[[#This Row],[Fund I Equity]]*6/27.28+Table1[[#This Row],[Fund II Equity]]</f>
        <v>957432.18475073308</v>
      </c>
      <c r="AI125" s="6">
        <v>42818</v>
      </c>
      <c r="AJ125" s="15">
        <v>17500000</v>
      </c>
      <c r="AK125" s="163">
        <f>IF(Table1[[#This Row],[Status]]="Sold",(Table1[[#This Row],[Date of Sale]]-Table1[[#This Row],[Acquisition Date]])/365,"")</f>
        <v>3.8</v>
      </c>
      <c r="AL125" s="15">
        <v>14095900.6</v>
      </c>
      <c r="AM125" s="167">
        <f>IF(Table1[[#This Row],[Status]]="Sold",Table1[[#This Row],[Total Property Distributions]]/Table1[[#This Row],[Total Equity]],"")</f>
        <v>2.8333468542713569</v>
      </c>
      <c r="AN125" s="168">
        <v>0.34939999999999999</v>
      </c>
      <c r="AO125" s="168">
        <f>IF(Table1[[#This Row],[Status]]="Sold",((Table1[[#This Row],[Total Property Distributions]]-Table1[[#This Row],[Total Equity]])/Table1[[#This Row],[Total Equity]])/Table1[[#This Row],[Holding Period]],"")</f>
        <v>0.48245969849246229</v>
      </c>
      <c r="BR125" s="1"/>
    </row>
    <row r="126" spans="1:70" x14ac:dyDescent="0.2">
      <c r="B126" s="2" t="s">
        <v>255</v>
      </c>
      <c r="C126" s="2" t="s">
        <v>304</v>
      </c>
      <c r="E126" s="2" t="s">
        <v>235</v>
      </c>
      <c r="F126" s="2" t="s">
        <v>403</v>
      </c>
      <c r="G126" s="11" t="s">
        <v>97</v>
      </c>
      <c r="H126" s="11" t="s">
        <v>97</v>
      </c>
      <c r="I126" s="2" t="s">
        <v>50</v>
      </c>
      <c r="J126" s="2" t="s">
        <v>129</v>
      </c>
      <c r="K126" s="2" t="s">
        <v>50</v>
      </c>
      <c r="L126" s="11" t="s">
        <v>147</v>
      </c>
      <c r="M126" s="5">
        <v>547548</v>
      </c>
      <c r="N126" s="5">
        <v>720</v>
      </c>
      <c r="O126" s="5"/>
      <c r="P126" s="5"/>
      <c r="Q126" s="11"/>
      <c r="R126" s="6">
        <v>41485</v>
      </c>
      <c r="S126" s="15">
        <v>28800000</v>
      </c>
      <c r="T126" s="5" t="s">
        <v>335</v>
      </c>
      <c r="U126" s="5" t="s">
        <v>335</v>
      </c>
      <c r="V126" s="5" t="s">
        <v>335</v>
      </c>
      <c r="W126" s="5" t="s">
        <v>335</v>
      </c>
      <c r="X126" s="15"/>
      <c r="Y126" s="15">
        <v>6350000</v>
      </c>
      <c r="Z126" s="15"/>
      <c r="AA126" s="15"/>
      <c r="AB126" s="15"/>
      <c r="AC126" s="15">
        <v>4000000</v>
      </c>
      <c r="AD126" s="15"/>
      <c r="AE126" s="15"/>
      <c r="AF126" s="15"/>
      <c r="AG126" s="80">
        <f>SUM(Table1[[#This Row],[MLG Capital Historical Deal Equity]:[Legacy Fund Equity]])</f>
        <v>10350000</v>
      </c>
      <c r="AH126" s="80">
        <f>Table1[[#This Row],[Fund I Equity]]*6/27.28+Table1[[#This Row],[Fund II Equity]]</f>
        <v>1396627.5659824046</v>
      </c>
      <c r="AI126" s="6">
        <v>42094</v>
      </c>
      <c r="AJ126" s="15">
        <v>43250000</v>
      </c>
      <c r="AK126" s="163">
        <f>IF(Table1[[#This Row],[Status]]="Sold",(Table1[[#This Row],[Date of Sale]]-Table1[[#This Row],[Acquisition Date]])/365,"")</f>
        <v>1.6684931506849314</v>
      </c>
      <c r="AL126" s="15">
        <v>21987148.210000001</v>
      </c>
      <c r="AM126" s="167">
        <f>IF(Table1[[#This Row],[Status]]="Sold",Table1[[#This Row],[Total Property Distributions]]/Table1[[#This Row],[Total Equity]],"")</f>
        <v>2.1243621458937199</v>
      </c>
      <c r="AN126" s="168">
        <v>0.58940000000000003</v>
      </c>
      <c r="AO126" s="168">
        <f>IF(Table1[[#This Row],[Status]]="Sold",((Table1[[#This Row],[Total Property Distributions]]-Table1[[#This Row],[Total Equity]])/Table1[[#This Row],[Total Equity]])/Table1[[#This Row],[Holding Period]],"")</f>
        <v>0.67387879023186825</v>
      </c>
      <c r="BR126" s="1"/>
    </row>
    <row r="127" spans="1:70" x14ac:dyDescent="0.2">
      <c r="B127" s="11" t="s">
        <v>375</v>
      </c>
      <c r="C127" s="11" t="s">
        <v>304</v>
      </c>
      <c r="D127" s="11" t="s">
        <v>220</v>
      </c>
      <c r="E127" s="2" t="s">
        <v>236</v>
      </c>
      <c r="F127" s="2" t="s">
        <v>403</v>
      </c>
      <c r="G127" s="11" t="s">
        <v>221</v>
      </c>
      <c r="H127" s="11" t="s">
        <v>221</v>
      </c>
      <c r="I127" s="11" t="s">
        <v>382</v>
      </c>
      <c r="J127" s="11" t="s">
        <v>130</v>
      </c>
      <c r="K127" s="11" t="s">
        <v>105</v>
      </c>
      <c r="L127" s="11" t="s">
        <v>147</v>
      </c>
      <c r="M127" s="12"/>
      <c r="N127" s="12"/>
      <c r="O127" s="12">
        <v>13</v>
      </c>
      <c r="P127" s="12"/>
      <c r="Q127" s="12" t="s">
        <v>89</v>
      </c>
      <c r="R127" s="6">
        <v>41579</v>
      </c>
      <c r="S127" s="16">
        <v>325000</v>
      </c>
      <c r="T127" s="5" t="s">
        <v>335</v>
      </c>
      <c r="U127" s="82" t="str">
        <f>IF(Table1[[#This Row],[Sub Type]]="Multi-Family",Table1[[#This Row],[Fair Market Value Estimate]]/Table1[[#This Row],[Units]],"N/A")</f>
        <v>N/A</v>
      </c>
      <c r="V127" s="5" t="s">
        <v>335</v>
      </c>
      <c r="W127" s="5" t="s">
        <v>335</v>
      </c>
      <c r="X127" s="16"/>
      <c r="Y127" s="16">
        <v>502073</v>
      </c>
      <c r="Z127" s="16"/>
      <c r="AA127" s="16"/>
      <c r="AB127" s="16"/>
      <c r="AC127" s="16"/>
      <c r="AD127" s="16"/>
      <c r="AE127" s="16"/>
      <c r="AF127" s="16"/>
      <c r="AG127" s="82">
        <f>SUM(Table1[[#This Row],[MLG Capital Historical Deal Equity]:[Legacy Fund Equity]])</f>
        <v>502073</v>
      </c>
      <c r="AH127" s="82">
        <f>Table1[[#This Row],[Fund I Equity]]*6/27.28+Table1[[#This Row],[Fund II Equity]]</f>
        <v>110426.6129032258</v>
      </c>
      <c r="AI127" s="13">
        <v>42398</v>
      </c>
      <c r="AJ127" s="16">
        <v>1403700</v>
      </c>
      <c r="AK127" s="162">
        <f>IF(Table1[[#This Row],[Status]]="Sold",(Table1[[#This Row],[Date of Sale]]-Table1[[#This Row],[Acquisition Date]])/365,"")</f>
        <v>2.2438356164383562</v>
      </c>
      <c r="AL127" s="117">
        <v>712782.25</v>
      </c>
      <c r="AM127" s="162">
        <f>IF(Table1[[#This Row],[Status]]="Sold",Table1[[#This Row],[Total Property Distributions]]/Table1[[#This Row],[Total Equity]],"")</f>
        <v>1.4196785128855764</v>
      </c>
      <c r="AN127" s="168">
        <v>0.22500000000000001</v>
      </c>
      <c r="AO127" s="166">
        <f>IF(Table1[[#This Row],[Status]]="Sold",((Table1[[#This Row],[Total Property Distributions]]-Table1[[#This Row],[Total Equity]])/Table1[[#This Row],[Total Equity]])/Table1[[#This Row],[Holding Period]],"")</f>
        <v>0.18703621148136187</v>
      </c>
      <c r="BR127" s="1"/>
    </row>
    <row r="128" spans="1:70" x14ac:dyDescent="0.2">
      <c r="B128" s="11" t="s">
        <v>374</v>
      </c>
      <c r="C128" s="11" t="s">
        <v>304</v>
      </c>
      <c r="D128" s="11" t="s">
        <v>220</v>
      </c>
      <c r="E128" s="2" t="s">
        <v>236</v>
      </c>
      <c r="F128" s="2" t="s">
        <v>403</v>
      </c>
      <c r="G128" s="11" t="s">
        <v>221</v>
      </c>
      <c r="H128" s="11" t="s">
        <v>221</v>
      </c>
      <c r="I128" s="11" t="s">
        <v>381</v>
      </c>
      <c r="J128" s="11" t="s">
        <v>130</v>
      </c>
      <c r="K128" s="11" t="s">
        <v>105</v>
      </c>
      <c r="L128" s="11" t="s">
        <v>147</v>
      </c>
      <c r="M128" s="12"/>
      <c r="N128" s="12"/>
      <c r="O128" s="12"/>
      <c r="P128" s="12">
        <v>75</v>
      </c>
      <c r="Q128" s="12" t="s">
        <v>89</v>
      </c>
      <c r="R128" s="6">
        <v>41791</v>
      </c>
      <c r="S128" s="16">
        <v>450000</v>
      </c>
      <c r="T128" s="5" t="s">
        <v>335</v>
      </c>
      <c r="U128" s="82" t="str">
        <f>IF(Table1[[#This Row],[Sub Type]]="Multi-Family",Table1[[#This Row],[Fair Market Value Estimate]]/Table1[[#This Row],[Units]],"N/A")</f>
        <v>N/A</v>
      </c>
      <c r="V128" s="5" t="s">
        <v>335</v>
      </c>
      <c r="W128" s="5" t="s">
        <v>335</v>
      </c>
      <c r="X128" s="16"/>
      <c r="Y128" s="16">
        <v>175000</v>
      </c>
      <c r="Z128" s="16"/>
      <c r="AA128" s="16"/>
      <c r="AB128" s="16"/>
      <c r="AC128" s="16"/>
      <c r="AD128" s="16">
        <v>175000</v>
      </c>
      <c r="AE128" s="16"/>
      <c r="AF128" s="16"/>
      <c r="AG128" s="82">
        <f>SUM(Table1[[#This Row],[MLG Capital Historical Deal Equity]:[Legacy Fund Equity]])</f>
        <v>350000</v>
      </c>
      <c r="AH128" s="82">
        <f>Table1[[#This Row],[Fund I Equity]]*6/27.28+Table1[[#This Row],[Fund II Equity]]</f>
        <v>38489.73607038123</v>
      </c>
      <c r="AI128" s="13">
        <v>42312</v>
      </c>
      <c r="AJ128" s="16">
        <v>868133</v>
      </c>
      <c r="AK128" s="162">
        <f>IF(Table1[[#This Row],[Status]]="Sold",(Table1[[#This Row],[Date of Sale]]-Table1[[#This Row],[Acquisition Date]])/365,"")</f>
        <v>1.4273972602739726</v>
      </c>
      <c r="AL128" s="117">
        <v>565500</v>
      </c>
      <c r="AM128" s="162">
        <f>IF(Table1[[#This Row],[Status]]="Sold",Table1[[#This Row],[Total Property Distributions]]/Table1[[#This Row],[Total Equity]],"")</f>
        <v>1.6157142857142857</v>
      </c>
      <c r="AN128" s="168">
        <v>0.4022</v>
      </c>
      <c r="AO128" s="166">
        <f>IF(Table1[[#This Row],[Status]]="Sold",((Table1[[#This Row],[Total Property Distributions]]-Table1[[#This Row],[Total Equity]])/Table1[[#This Row],[Total Equity]])/Table1[[#This Row],[Holding Period]],"")</f>
        <v>0.43135453797641898</v>
      </c>
      <c r="BR128" s="1"/>
    </row>
    <row r="129" spans="2:70" x14ac:dyDescent="0.2">
      <c r="B129" s="2" t="s">
        <v>296</v>
      </c>
      <c r="C129" s="2" t="s">
        <v>304</v>
      </c>
      <c r="E129" s="2" t="s">
        <v>235</v>
      </c>
      <c r="F129" s="2" t="s">
        <v>403</v>
      </c>
      <c r="G129" s="2" t="s">
        <v>397</v>
      </c>
      <c r="H129" s="2" t="s">
        <v>82</v>
      </c>
      <c r="I129" s="2" t="s">
        <v>359</v>
      </c>
      <c r="J129" s="2" t="s">
        <v>132</v>
      </c>
      <c r="K129" s="2" t="s">
        <v>121</v>
      </c>
      <c r="L129" s="11" t="s">
        <v>158</v>
      </c>
      <c r="M129" s="5">
        <v>103362</v>
      </c>
      <c r="N129" s="5"/>
      <c r="O129" s="5"/>
      <c r="P129" s="5"/>
      <c r="Q129" s="11"/>
      <c r="R129" s="6">
        <v>41829</v>
      </c>
      <c r="S129" s="15">
        <v>2525000</v>
      </c>
      <c r="T129" s="5" t="s">
        <v>335</v>
      </c>
      <c r="U129" s="5" t="s">
        <v>335</v>
      </c>
      <c r="V129" s="5" t="s">
        <v>335</v>
      </c>
      <c r="W129" s="5" t="s">
        <v>335</v>
      </c>
      <c r="X129" s="15"/>
      <c r="Y129" s="15">
        <v>1890000</v>
      </c>
      <c r="Z129" s="15"/>
      <c r="AA129" s="15"/>
      <c r="AB129" s="15"/>
      <c r="AC129" s="15"/>
      <c r="AD129" s="15">
        <v>210000</v>
      </c>
      <c r="AE129" s="15"/>
      <c r="AF129" s="15"/>
      <c r="AG129" s="80">
        <f>SUM(Table1[[#This Row],[MLG Capital Historical Deal Equity]:[Legacy Fund Equity]])</f>
        <v>2100000</v>
      </c>
      <c r="AH129" s="80">
        <f>Table1[[#This Row],[Fund I Equity]]*6/27.28+Table1[[#This Row],[Fund II Equity]]</f>
        <v>415689.14956011728</v>
      </c>
      <c r="AI129" s="6">
        <v>43038</v>
      </c>
      <c r="AJ129" s="15">
        <v>9200000</v>
      </c>
      <c r="AK129" s="163">
        <f>IF(Table1[[#This Row],[Status]]="Sold",(Table1[[#This Row],[Date of Sale]]-Table1[[#This Row],[Acquisition Date]])/365,"")</f>
        <v>3.3123287671232875</v>
      </c>
      <c r="AL129" s="15">
        <v>5659949.4400000004</v>
      </c>
      <c r="AM129" s="167">
        <f>IF(Table1[[#This Row],[Status]]="Sold",Table1[[#This Row],[Total Property Distributions]]/Table1[[#This Row],[Total Equity]],"")</f>
        <v>2.695214019047619</v>
      </c>
      <c r="AN129" s="168">
        <v>0.378</v>
      </c>
      <c r="AO129" s="168">
        <f>IF(Table1[[#This Row],[Status]]="Sold",((Table1[[#This Row],[Total Property Distributions]]-Table1[[#This Row],[Total Equity]])/Table1[[#This Row],[Total Equity]])/Table1[[#This Row],[Holding Period]],"")</f>
        <v>0.51178917862066253</v>
      </c>
      <c r="BR129" s="1"/>
    </row>
    <row r="130" spans="2:70" x14ac:dyDescent="0.2">
      <c r="B130" s="11" t="s">
        <v>377</v>
      </c>
      <c r="C130" s="11" t="s">
        <v>304</v>
      </c>
      <c r="D130" s="11" t="s">
        <v>220</v>
      </c>
      <c r="E130" s="2" t="s">
        <v>236</v>
      </c>
      <c r="F130" s="2" t="s">
        <v>403</v>
      </c>
      <c r="G130" s="11" t="s">
        <v>221</v>
      </c>
      <c r="H130" s="11" t="s">
        <v>221</v>
      </c>
      <c r="I130" s="11" t="s">
        <v>383</v>
      </c>
      <c r="J130" s="11" t="s">
        <v>130</v>
      </c>
      <c r="K130" s="11" t="s">
        <v>105</v>
      </c>
      <c r="L130" s="11" t="s">
        <v>147</v>
      </c>
      <c r="M130" s="12"/>
      <c r="N130" s="12"/>
      <c r="O130" s="12">
        <v>70</v>
      </c>
      <c r="P130" s="12"/>
      <c r="Q130" s="12" t="s">
        <v>89</v>
      </c>
      <c r="R130" s="6">
        <v>41852</v>
      </c>
      <c r="S130" s="16">
        <v>580000</v>
      </c>
      <c r="T130" s="5" t="s">
        <v>335</v>
      </c>
      <c r="U130" s="82" t="str">
        <f>IF(Table1[[#This Row],[Sub Type]]="Multi-Family",Table1[[#This Row],[Fair Market Value Estimate]]/Table1[[#This Row],[Units]],"N/A")</f>
        <v>N/A</v>
      </c>
      <c r="V130" s="5" t="s">
        <v>335</v>
      </c>
      <c r="W130" s="5" t="s">
        <v>335</v>
      </c>
      <c r="X130" s="16"/>
      <c r="Y130" s="16">
        <v>160000</v>
      </c>
      <c r="Z130" s="16"/>
      <c r="AA130" s="16"/>
      <c r="AB130" s="16"/>
      <c r="AC130" s="16"/>
      <c r="AD130" s="16">
        <v>320000</v>
      </c>
      <c r="AE130" s="16"/>
      <c r="AF130" s="16"/>
      <c r="AG130" s="82">
        <f>SUM(Table1[[#This Row],[MLG Capital Historical Deal Equity]:[Legacy Fund Equity]])</f>
        <v>480000</v>
      </c>
      <c r="AH130" s="82">
        <f>Table1[[#This Row],[Fund I Equity]]*6/27.28+Table1[[#This Row],[Fund II Equity]]</f>
        <v>35190.615835777127</v>
      </c>
      <c r="AI130" s="13">
        <v>43800</v>
      </c>
      <c r="AJ130" s="16">
        <v>2254204</v>
      </c>
      <c r="AK130" s="162">
        <f>IF(Table1[[#This Row],[Status]]="Sold",(Table1[[#This Row],[Date of Sale]]-Table1[[#This Row],[Acquisition Date]])/365,"")</f>
        <v>5.3369863013698629</v>
      </c>
      <c r="AL130" s="117">
        <v>1534031.91</v>
      </c>
      <c r="AM130" s="162">
        <f>IF(Table1[[#This Row],[Status]]="Sold",Table1[[#This Row],[Total Property Distributions]]/Table1[[#This Row],[Total Equity]],"")</f>
        <v>3.1958998125</v>
      </c>
      <c r="AN130" s="168">
        <v>0.30740000000000001</v>
      </c>
      <c r="AO130" s="166">
        <f>IF(Table1[[#This Row],[Status]]="Sold",((Table1[[#This Row],[Total Property Distributions]]-Table1[[#This Row],[Total Equity]])/Table1[[#This Row],[Total Equity]])/Table1[[#This Row],[Holding Period]],"")</f>
        <v>0.41144940018608833</v>
      </c>
      <c r="BR130" s="1"/>
    </row>
    <row r="131" spans="2:70" ht="25.5" x14ac:dyDescent="0.2">
      <c r="B131" s="2" t="s">
        <v>303</v>
      </c>
      <c r="C131" s="2" t="s">
        <v>304</v>
      </c>
      <c r="E131" s="2" t="s">
        <v>235</v>
      </c>
      <c r="F131" s="2" t="s">
        <v>403</v>
      </c>
      <c r="G131" s="2" t="s">
        <v>397</v>
      </c>
      <c r="H131" s="2" t="s">
        <v>81</v>
      </c>
      <c r="I131" s="2" t="s">
        <v>51</v>
      </c>
      <c r="J131" s="2" t="s">
        <v>130</v>
      </c>
      <c r="K131" s="2" t="s">
        <v>105</v>
      </c>
      <c r="L131" s="11" t="s">
        <v>147</v>
      </c>
      <c r="M131" s="5">
        <v>203922</v>
      </c>
      <c r="N131" s="5"/>
      <c r="O131" s="5"/>
      <c r="P131" s="5"/>
      <c r="Q131" s="11"/>
      <c r="R131" s="6">
        <v>41892</v>
      </c>
      <c r="S131" s="15">
        <v>3200000</v>
      </c>
      <c r="T131" s="5" t="s">
        <v>335</v>
      </c>
      <c r="U131" s="5" t="s">
        <v>335</v>
      </c>
      <c r="V131" s="5" t="s">
        <v>335</v>
      </c>
      <c r="W131" s="5" t="s">
        <v>335</v>
      </c>
      <c r="X131" s="15"/>
      <c r="Y131" s="15">
        <v>1447832</v>
      </c>
      <c r="Z131" s="15"/>
      <c r="AA131" s="15"/>
      <c r="AB131" s="15"/>
      <c r="AC131" s="15"/>
      <c r="AD131" s="15"/>
      <c r="AE131" s="15"/>
      <c r="AF131" s="15"/>
      <c r="AG131" s="80">
        <f>SUM(Table1[[#This Row],[MLG Capital Historical Deal Equity]:[Legacy Fund Equity]])</f>
        <v>1447832</v>
      </c>
      <c r="AH131" s="80">
        <f>Table1[[#This Row],[Fund I Equity]]*6/27.28+Table1[[#This Row],[Fund II Equity]]</f>
        <v>318438.12316715543</v>
      </c>
      <c r="AI131" s="6">
        <v>43875</v>
      </c>
      <c r="AJ131" s="15">
        <v>4700000</v>
      </c>
      <c r="AK131" s="163">
        <f>IF(Table1[[#This Row],[Status]]="Sold",(Table1[[#This Row],[Date of Sale]]-Table1[[#This Row],[Acquisition Date]])/365,"")</f>
        <v>5.4328767123287669</v>
      </c>
      <c r="AL131" s="15">
        <v>3918048.95</v>
      </c>
      <c r="AM131" s="167">
        <f>IF(Table1[[#This Row],[Status]]="Sold",Table1[[#This Row],[Total Property Distributions]]/Table1[[#This Row],[Total Equity]],"")</f>
        <v>2.7061488832958522</v>
      </c>
      <c r="AN131" s="168">
        <v>0.28849999999999998</v>
      </c>
      <c r="AO131" s="168">
        <f>IF(Table1[[#This Row],[Status]]="Sold",((Table1[[#This Row],[Total Property Distributions]]-Table1[[#This Row],[Total Equity]])/Table1[[#This Row],[Total Equity]])/Table1[[#This Row],[Holding Period]],"")</f>
        <v>0.31404152415682607</v>
      </c>
      <c r="BR131" s="1"/>
    </row>
    <row r="132" spans="2:70" x14ac:dyDescent="0.2">
      <c r="B132" s="2" t="s">
        <v>258</v>
      </c>
      <c r="C132" s="2" t="s">
        <v>304</v>
      </c>
      <c r="E132" s="2" t="s">
        <v>235</v>
      </c>
      <c r="F132" s="2" t="s">
        <v>403</v>
      </c>
      <c r="G132" s="11" t="s">
        <v>97</v>
      </c>
      <c r="H132" s="11" t="s">
        <v>97</v>
      </c>
      <c r="I132" s="2" t="s">
        <v>342</v>
      </c>
      <c r="J132" s="2" t="s">
        <v>137</v>
      </c>
      <c r="K132" s="2" t="s">
        <v>342</v>
      </c>
      <c r="L132" s="11" t="s">
        <v>147</v>
      </c>
      <c r="M132" s="5">
        <v>105461</v>
      </c>
      <c r="N132" s="5">
        <v>152</v>
      </c>
      <c r="O132" s="5"/>
      <c r="P132" s="5"/>
      <c r="Q132" s="11"/>
      <c r="R132" s="6">
        <v>41913</v>
      </c>
      <c r="S132" s="15">
        <v>4750000</v>
      </c>
      <c r="T132" s="5" t="s">
        <v>335</v>
      </c>
      <c r="U132" s="5" t="s">
        <v>335</v>
      </c>
      <c r="V132" s="5" t="s">
        <v>335</v>
      </c>
      <c r="W132" s="5" t="s">
        <v>335</v>
      </c>
      <c r="X132" s="15"/>
      <c r="Y132" s="15">
        <v>1534100</v>
      </c>
      <c r="Z132" s="15"/>
      <c r="AA132" s="15"/>
      <c r="AB132" s="15"/>
      <c r="AC132" s="15">
        <v>805000</v>
      </c>
      <c r="AD132" s="15"/>
      <c r="AE132" s="15"/>
      <c r="AF132" s="15"/>
      <c r="AG132" s="80">
        <f>SUM(Table1[[#This Row],[MLG Capital Historical Deal Equity]:[Legacy Fund Equity]])</f>
        <v>2339100</v>
      </c>
      <c r="AH132" s="80">
        <f>Table1[[#This Row],[Fund I Equity]]*6/27.28+Table1[[#This Row],[Fund II Equity]]</f>
        <v>337412.02346041054</v>
      </c>
      <c r="AI132" s="6">
        <v>42612</v>
      </c>
      <c r="AJ132" s="15">
        <v>7000000</v>
      </c>
      <c r="AK132" s="163">
        <f>IF(Table1[[#This Row],[Status]]="Sold",(Table1[[#This Row],[Date of Sale]]-Table1[[#This Row],[Acquisition Date]])/365,"")</f>
        <v>1.9150684931506849</v>
      </c>
      <c r="AL132" s="15">
        <v>4286641.76</v>
      </c>
      <c r="AM132" s="167">
        <f>IF(Table1[[#This Row],[Status]]="Sold",Table1[[#This Row],[Total Property Distributions]]/Table1[[#This Row],[Total Equity]],"")</f>
        <v>1.8326030353554785</v>
      </c>
      <c r="AN132" s="168">
        <v>0.39350000000000002</v>
      </c>
      <c r="AO132" s="168">
        <f>IF(Table1[[#This Row],[Status]]="Sold",((Table1[[#This Row],[Total Property Distributions]]-Table1[[#This Row],[Total Equity]])/Table1[[#This Row],[Total Equity]])/Table1[[#This Row],[Holding Period]],"")</f>
        <v>0.43476410286802525</v>
      </c>
      <c r="BR132" s="1"/>
    </row>
    <row r="133" spans="2:70" x14ac:dyDescent="0.2">
      <c r="B133" s="2" t="s">
        <v>298</v>
      </c>
      <c r="C133" s="2" t="s">
        <v>304</v>
      </c>
      <c r="E133" s="2" t="s">
        <v>235</v>
      </c>
      <c r="F133" s="2" t="s">
        <v>403</v>
      </c>
      <c r="G133" s="2" t="s">
        <v>397</v>
      </c>
      <c r="H133" s="2" t="s">
        <v>80</v>
      </c>
      <c r="I133" s="2" t="s">
        <v>361</v>
      </c>
      <c r="J133" s="2" t="s">
        <v>132</v>
      </c>
      <c r="K133" s="2" t="s">
        <v>121</v>
      </c>
      <c r="L133" s="11" t="s">
        <v>158</v>
      </c>
      <c r="M133" s="5">
        <v>104706</v>
      </c>
      <c r="N133" s="5"/>
      <c r="O133" s="5"/>
      <c r="P133" s="5"/>
      <c r="Q133" s="11"/>
      <c r="R133" s="6">
        <v>41975</v>
      </c>
      <c r="S133" s="15">
        <v>9000000</v>
      </c>
      <c r="T133" s="5" t="s">
        <v>335</v>
      </c>
      <c r="U133" s="5" t="s">
        <v>335</v>
      </c>
      <c r="V133" s="5" t="s">
        <v>335</v>
      </c>
      <c r="W133" s="5" t="s">
        <v>335</v>
      </c>
      <c r="X133" s="15"/>
      <c r="Y133" s="15">
        <v>2805000</v>
      </c>
      <c r="Z133" s="15"/>
      <c r="AA133" s="15"/>
      <c r="AB133" s="15"/>
      <c r="AC133" s="15"/>
      <c r="AD133" s="15">
        <v>495000</v>
      </c>
      <c r="AE133" s="15"/>
      <c r="AF133" s="15"/>
      <c r="AG133" s="80">
        <f>SUM(Table1[[#This Row],[MLG Capital Historical Deal Equity]:[Legacy Fund Equity]])</f>
        <v>3300000</v>
      </c>
      <c r="AH133" s="80">
        <f>Table1[[#This Row],[Fund I Equity]]*6/27.28+Table1[[#This Row],[Fund II Equity]]</f>
        <v>616935.48387096776</v>
      </c>
      <c r="AI133" s="6">
        <v>43154</v>
      </c>
      <c r="AJ133" s="15">
        <v>13975000</v>
      </c>
      <c r="AK133" s="163">
        <f>IF(Table1[[#This Row],[Status]]="Sold",(Table1[[#This Row],[Date of Sale]]-Table1[[#This Row],[Acquisition Date]])/365,"")</f>
        <v>3.2301369863013698</v>
      </c>
      <c r="AL133" s="15">
        <v>7011746</v>
      </c>
      <c r="AM133" s="167">
        <f>IF(Table1[[#This Row],[Status]]="Sold",Table1[[#This Row],[Total Property Distributions]]/Table1[[#This Row],[Total Equity]],"")</f>
        <v>2.1247715151515152</v>
      </c>
      <c r="AN133" s="168">
        <v>0.29299999999999998</v>
      </c>
      <c r="AO133" s="168">
        <f>IF(Table1[[#This Row],[Status]]="Sold",((Table1[[#This Row],[Total Property Distributions]]-Table1[[#This Row],[Total Equity]])/Table1[[#This Row],[Total Equity]])/Table1[[#This Row],[Holding Period]],"")</f>
        <v>0.3482117074048372</v>
      </c>
      <c r="BR133" s="1"/>
    </row>
    <row r="134" spans="2:70" x14ac:dyDescent="0.2">
      <c r="B134" s="2" t="s">
        <v>294</v>
      </c>
      <c r="C134" s="2" t="s">
        <v>304</v>
      </c>
      <c r="E134" s="2" t="s">
        <v>235</v>
      </c>
      <c r="F134" s="2" t="s">
        <v>403</v>
      </c>
      <c r="G134" s="2" t="s">
        <v>397</v>
      </c>
      <c r="H134" s="2" t="s">
        <v>81</v>
      </c>
      <c r="I134" s="2" t="s">
        <v>358</v>
      </c>
      <c r="J134" s="2" t="s">
        <v>132</v>
      </c>
      <c r="K134" s="2" t="s">
        <v>121</v>
      </c>
      <c r="L134" s="11" t="s">
        <v>160</v>
      </c>
      <c r="M134" s="5">
        <v>149039</v>
      </c>
      <c r="N134" s="5"/>
      <c r="O134" s="5"/>
      <c r="P134" s="5"/>
      <c r="Q134" s="11"/>
      <c r="R134" s="6">
        <v>42125</v>
      </c>
      <c r="S134" s="15">
        <v>6314000</v>
      </c>
      <c r="T134" s="5" t="s">
        <v>335</v>
      </c>
      <c r="U134" s="5" t="s">
        <v>335</v>
      </c>
      <c r="V134" s="5" t="s">
        <v>335</v>
      </c>
      <c r="W134" s="5" t="s">
        <v>335</v>
      </c>
      <c r="X134" s="15"/>
      <c r="Y134" s="15"/>
      <c r="Z134" s="15">
        <v>1940445</v>
      </c>
      <c r="AA134" s="15"/>
      <c r="AB134" s="15"/>
      <c r="AC134" s="15"/>
      <c r="AD134" s="15">
        <v>1940445</v>
      </c>
      <c r="AE134" s="15"/>
      <c r="AF134" s="15"/>
      <c r="AG134" s="80">
        <f>SUM(Table1[[#This Row],[MLG Capital Historical Deal Equity]:[Legacy Fund Equity]])</f>
        <v>3880890</v>
      </c>
      <c r="AH134" s="80">
        <f>Table1[[#This Row],[Fund I Equity]]*6/27.28+Table1[[#This Row],[Fund II Equity]]</f>
        <v>1940445</v>
      </c>
      <c r="AI134" s="6">
        <v>42888</v>
      </c>
      <c r="AJ134" s="15">
        <v>10600000</v>
      </c>
      <c r="AK134" s="163">
        <f>IF(Table1[[#This Row],[Status]]="Sold",(Table1[[#This Row],[Date of Sale]]-Table1[[#This Row],[Acquisition Date]])/365,"")</f>
        <v>2.0904109589041098</v>
      </c>
      <c r="AL134" s="15">
        <v>7554968.8799999999</v>
      </c>
      <c r="AM134" s="167">
        <f>IF(Table1[[#This Row],[Status]]="Sold",Table1[[#This Row],[Total Property Distributions]]/Table1[[#This Row],[Total Equity]],"")</f>
        <v>1.9467103885964301</v>
      </c>
      <c r="AN134" s="168">
        <v>0.40129999999999999</v>
      </c>
      <c r="AO134" s="168">
        <f>IF(Table1[[#This Row],[Status]]="Sold",((Table1[[#This Row],[Total Property Distributions]]-Table1[[#This Row],[Total Equity]])/Table1[[#This Row],[Total Equity]])/Table1[[#This Row],[Holding Period]],"")</f>
        <v>0.45288242704809567</v>
      </c>
      <c r="BR134" s="1"/>
    </row>
    <row r="135" spans="2:70" x14ac:dyDescent="0.2">
      <c r="B135" s="2" t="s">
        <v>263</v>
      </c>
      <c r="C135" s="2" t="s">
        <v>304</v>
      </c>
      <c r="E135" s="2" t="s">
        <v>235</v>
      </c>
      <c r="F135" s="2" t="s">
        <v>403</v>
      </c>
      <c r="G135" s="11" t="s">
        <v>97</v>
      </c>
      <c r="H135" s="11" t="s">
        <v>97</v>
      </c>
      <c r="I135" s="2" t="s">
        <v>101</v>
      </c>
      <c r="J135" s="2" t="s">
        <v>129</v>
      </c>
      <c r="K135" s="2" t="s">
        <v>50</v>
      </c>
      <c r="L135" s="11" t="s">
        <v>147</v>
      </c>
      <c r="M135" s="5">
        <v>200512</v>
      </c>
      <c r="N135" s="5">
        <v>202</v>
      </c>
      <c r="O135" s="5"/>
      <c r="P135" s="5"/>
      <c r="Q135" s="11"/>
      <c r="R135" s="6">
        <v>42200</v>
      </c>
      <c r="S135" s="15">
        <v>18550000</v>
      </c>
      <c r="T135" s="5" t="s">
        <v>335</v>
      </c>
      <c r="U135" s="5" t="s">
        <v>335</v>
      </c>
      <c r="V135" s="5" t="s">
        <v>335</v>
      </c>
      <c r="W135" s="5" t="s">
        <v>335</v>
      </c>
      <c r="X135" s="15"/>
      <c r="Y135" s="15">
        <v>3375000</v>
      </c>
      <c r="Z135" s="15">
        <v>1000000</v>
      </c>
      <c r="AA135" s="15"/>
      <c r="AB135" s="15"/>
      <c r="AC135" s="15">
        <v>3325000</v>
      </c>
      <c r="AD135" s="15"/>
      <c r="AE135" s="15"/>
      <c r="AF135" s="15"/>
      <c r="AG135" s="80">
        <f>SUM(Table1[[#This Row],[MLG Capital Historical Deal Equity]:[Legacy Fund Equity]])</f>
        <v>7700000</v>
      </c>
      <c r="AH135" s="80">
        <f>Table1[[#This Row],[Fund I Equity]]*6/27.28+Table1[[#This Row],[Fund II Equity]]</f>
        <v>1742302.0527859237</v>
      </c>
      <c r="AI135" s="6">
        <v>43390</v>
      </c>
      <c r="AJ135" s="15">
        <v>27250000</v>
      </c>
      <c r="AK135" s="163">
        <f>IF(Table1[[#This Row],[Status]]="Sold",(Table1[[#This Row],[Date of Sale]]-Table1[[#This Row],[Acquisition Date]])/365,"")</f>
        <v>3.2602739726027399</v>
      </c>
      <c r="AL135" s="15">
        <v>15867238.050000001</v>
      </c>
      <c r="AM135" s="167">
        <f>IF(Table1[[#This Row],[Status]]="Sold",Table1[[#This Row],[Total Property Distributions]]/Table1[[#This Row],[Total Equity]],"")</f>
        <v>2.0606802662337662</v>
      </c>
      <c r="AN135" s="168">
        <v>0.2727</v>
      </c>
      <c r="AO135" s="168">
        <f>IF(Table1[[#This Row],[Status]]="Sold",((Table1[[#This Row],[Total Property Distributions]]-Table1[[#This Row],[Total Equity]])/Table1[[#This Row],[Total Equity]])/Table1[[#This Row],[Holding Period]],"")</f>
        <v>0.32533470350867627</v>
      </c>
      <c r="BR135" s="1"/>
    </row>
    <row r="136" spans="2:70" x14ac:dyDescent="0.2">
      <c r="B136" s="2" t="s">
        <v>265</v>
      </c>
      <c r="C136" s="2" t="s">
        <v>304</v>
      </c>
      <c r="E136" s="2" t="s">
        <v>235</v>
      </c>
      <c r="F136" s="2" t="s">
        <v>403</v>
      </c>
      <c r="G136" s="11" t="s">
        <v>97</v>
      </c>
      <c r="H136" s="11" t="s">
        <v>97</v>
      </c>
      <c r="I136" s="2" t="s">
        <v>116</v>
      </c>
      <c r="J136" s="2" t="s">
        <v>132</v>
      </c>
      <c r="K136" s="2" t="s">
        <v>121</v>
      </c>
      <c r="L136" s="11" t="s">
        <v>365</v>
      </c>
      <c r="M136" s="5">
        <v>435200</v>
      </c>
      <c r="N136" s="5">
        <v>698</v>
      </c>
      <c r="O136" s="5"/>
      <c r="P136" s="5"/>
      <c r="Q136" s="11"/>
      <c r="R136" s="6">
        <v>42276</v>
      </c>
      <c r="S136" s="15">
        <v>41000000</v>
      </c>
      <c r="T136" s="5" t="s">
        <v>335</v>
      </c>
      <c r="U136" s="5" t="s">
        <v>335</v>
      </c>
      <c r="V136" s="5" t="s">
        <v>335</v>
      </c>
      <c r="W136" s="5" t="s">
        <v>335</v>
      </c>
      <c r="X136" s="15"/>
      <c r="Y136" s="15">
        <v>1500000</v>
      </c>
      <c r="Z136" s="15">
        <v>9500000</v>
      </c>
      <c r="AA136" s="15"/>
      <c r="AB136" s="15"/>
      <c r="AC136" s="15">
        <v>11500000</v>
      </c>
      <c r="AD136" s="15"/>
      <c r="AE136" s="15"/>
      <c r="AF136" s="15"/>
      <c r="AG136" s="80">
        <f>SUM(Table1[[#This Row],[MLG Capital Historical Deal Equity]:[Legacy Fund Equity]])</f>
        <v>22500000</v>
      </c>
      <c r="AH136" s="80">
        <f>Table1[[#This Row],[Fund I Equity]]*6/27.28+Table1[[#This Row],[Fund II Equity]]</f>
        <v>9829912.0234604105</v>
      </c>
      <c r="AI136" s="6">
        <v>43432</v>
      </c>
      <c r="AJ136" s="15">
        <v>95100000</v>
      </c>
      <c r="AK136" s="163">
        <f>IF(Table1[[#This Row],[Status]]="Sold",(Table1[[#This Row],[Date of Sale]]-Table1[[#This Row],[Acquisition Date]])/365,"")</f>
        <v>3.1671232876712327</v>
      </c>
      <c r="AL136" s="15">
        <v>68359673.060000002</v>
      </c>
      <c r="AM136" s="167">
        <f>IF(Table1[[#This Row],[Status]]="Sold",Table1[[#This Row],[Total Property Distributions]]/Table1[[#This Row],[Total Equity]],"")</f>
        <v>3.0382076915555558</v>
      </c>
      <c r="AN136" s="168">
        <v>0.46050000000000002</v>
      </c>
      <c r="AO136" s="168">
        <f>IF(Table1[[#This Row],[Status]]="Sold",((Table1[[#This Row],[Total Property Distributions]]-Table1[[#This Row],[Total Equity]])/Table1[[#This Row],[Total Equity]])/Table1[[#This Row],[Holding Period]],"")</f>
        <v>0.64355173652056907</v>
      </c>
      <c r="BR136" s="1"/>
    </row>
    <row r="137" spans="2:70" x14ac:dyDescent="0.2">
      <c r="B137" s="2" t="s">
        <v>295</v>
      </c>
      <c r="C137" s="2" t="s">
        <v>304</v>
      </c>
      <c r="E137" s="2" t="s">
        <v>235</v>
      </c>
      <c r="F137" s="2" t="s">
        <v>403</v>
      </c>
      <c r="G137" s="2" t="s">
        <v>397</v>
      </c>
      <c r="H137" s="2" t="s">
        <v>81</v>
      </c>
      <c r="I137" s="2" t="s">
        <v>358</v>
      </c>
      <c r="J137" s="2" t="s">
        <v>132</v>
      </c>
      <c r="K137" s="2" t="s">
        <v>121</v>
      </c>
      <c r="L137" s="11" t="s">
        <v>160</v>
      </c>
      <c r="M137" s="5">
        <v>120022</v>
      </c>
      <c r="N137" s="5"/>
      <c r="O137" s="5"/>
      <c r="P137" s="5"/>
      <c r="Q137" s="11"/>
      <c r="R137" s="6">
        <v>42398</v>
      </c>
      <c r="S137" s="15">
        <v>6525000</v>
      </c>
      <c r="T137" s="5" t="s">
        <v>335</v>
      </c>
      <c r="U137" s="5" t="s">
        <v>335</v>
      </c>
      <c r="V137" s="5" t="s">
        <v>335</v>
      </c>
      <c r="W137" s="5" t="s">
        <v>335</v>
      </c>
      <c r="X137" s="15"/>
      <c r="Y137" s="15"/>
      <c r="Z137" s="15">
        <v>1614000</v>
      </c>
      <c r="AA137" s="15"/>
      <c r="AB137" s="15"/>
      <c r="AC137" s="15"/>
      <c r="AD137" s="15">
        <v>1614000</v>
      </c>
      <c r="AE137" s="15"/>
      <c r="AF137" s="15"/>
      <c r="AG137" s="80">
        <f>SUM(Table1[[#This Row],[MLG Capital Historical Deal Equity]:[Legacy Fund Equity]])</f>
        <v>3228000</v>
      </c>
      <c r="AH137" s="80">
        <f>Table1[[#This Row],[Fund I Equity]]*6/27.28+Table1[[#This Row],[Fund II Equity]]</f>
        <v>1614000</v>
      </c>
      <c r="AI137" s="6">
        <v>42888</v>
      </c>
      <c r="AJ137" s="15">
        <v>8375000</v>
      </c>
      <c r="AK137" s="163">
        <f>IF(Table1[[#This Row],[Status]]="Sold",(Table1[[#This Row],[Date of Sale]]-Table1[[#This Row],[Acquisition Date]])/365,"")</f>
        <v>1.3424657534246576</v>
      </c>
      <c r="AL137" s="15">
        <v>4717661.6933333334</v>
      </c>
      <c r="AM137" s="167">
        <f>IF(Table1[[#This Row],[Status]]="Sold",Table1[[#This Row],[Total Property Distributions]]/Table1[[#This Row],[Total Equity]],"")</f>
        <v>1.46148131763734</v>
      </c>
      <c r="AN137" s="168">
        <v>0.3508</v>
      </c>
      <c r="AO137" s="168">
        <f>IF(Table1[[#This Row],[Status]]="Sold",((Table1[[#This Row],[Total Property Distributions]]-Table1[[#This Row],[Total Equity]])/Table1[[#This Row],[Total Equity]])/Table1[[#This Row],[Holding Period]],"")</f>
        <v>0.34375649170944711</v>
      </c>
      <c r="BR137" s="1"/>
    </row>
    <row r="138" spans="2:70" ht="25.5" x14ac:dyDescent="0.2">
      <c r="B138" s="2" t="s">
        <v>267</v>
      </c>
      <c r="C138" s="2" t="s">
        <v>304</v>
      </c>
      <c r="E138" s="2" t="s">
        <v>235</v>
      </c>
      <c r="F138" s="2" t="s">
        <v>403</v>
      </c>
      <c r="G138" s="11" t="s">
        <v>97</v>
      </c>
      <c r="H138" s="11" t="s">
        <v>97</v>
      </c>
      <c r="I138" s="2" t="s">
        <v>347</v>
      </c>
      <c r="J138" s="2" t="s">
        <v>340</v>
      </c>
      <c r="K138" s="2" t="s">
        <v>347</v>
      </c>
      <c r="L138" s="11" t="s">
        <v>151</v>
      </c>
      <c r="M138" s="5">
        <v>553698</v>
      </c>
      <c r="N138" s="5">
        <v>600</v>
      </c>
      <c r="O138" s="5"/>
      <c r="P138" s="5"/>
      <c r="Q138" s="11"/>
      <c r="R138" s="6">
        <v>42587</v>
      </c>
      <c r="S138" s="15">
        <v>39100000</v>
      </c>
      <c r="T138" s="5" t="s">
        <v>335</v>
      </c>
      <c r="U138" s="5" t="s">
        <v>335</v>
      </c>
      <c r="V138" s="5" t="s">
        <v>335</v>
      </c>
      <c r="W138" s="5" t="s">
        <v>335</v>
      </c>
      <c r="X138" s="15"/>
      <c r="Y138" s="15"/>
      <c r="Z138" s="15">
        <v>3300000</v>
      </c>
      <c r="AA138" s="15"/>
      <c r="AB138" s="15"/>
      <c r="AC138" s="15"/>
      <c r="AD138" s="15">
        <v>1400000</v>
      </c>
      <c r="AE138" s="15">
        <v>9300000</v>
      </c>
      <c r="AF138" s="15"/>
      <c r="AG138" s="80">
        <f>SUM(Table1[[#This Row],[MLG Capital Historical Deal Equity]:[Legacy Fund Equity]])</f>
        <v>14000000</v>
      </c>
      <c r="AH138" s="80">
        <f>Table1[[#This Row],[Fund I Equity]]*6/27.28+Table1[[#This Row],[Fund II Equity]]</f>
        <v>3300000</v>
      </c>
      <c r="AI138" s="6">
        <v>43845</v>
      </c>
      <c r="AJ138" s="15">
        <v>64000000</v>
      </c>
      <c r="AK138" s="163">
        <f>IF(Table1[[#This Row],[Status]]="Sold",(Table1[[#This Row],[Date of Sale]]-Table1[[#This Row],[Acquisition Date]])/365,"")</f>
        <v>3.4465753424657533</v>
      </c>
      <c r="AL138" s="15">
        <v>38300113.834069259</v>
      </c>
      <c r="AM138" s="167">
        <f>IF(Table1[[#This Row],[Status]]="Sold",Table1[[#This Row],[Total Property Distributions]]/Table1[[#This Row],[Total Equity]],"")</f>
        <v>2.7357224167192329</v>
      </c>
      <c r="AN138" s="168">
        <v>0.37930000000000003</v>
      </c>
      <c r="AO138" s="168">
        <f>IF(Table1[[#This Row],[Status]]="Sold",((Table1[[#This Row],[Total Property Distributions]]-Table1[[#This Row],[Total Equity]])/Table1[[#This Row],[Total Equity]])/Table1[[#This Row],[Holding Period]],"")</f>
        <v>0.5036078554074086</v>
      </c>
      <c r="BR138" s="1"/>
    </row>
    <row r="139" spans="2:70" x14ac:dyDescent="0.2">
      <c r="B139" s="2" t="s">
        <v>264</v>
      </c>
      <c r="C139" s="2" t="s">
        <v>304</v>
      </c>
      <c r="E139" s="2" t="s">
        <v>235</v>
      </c>
      <c r="F139" s="2" t="s">
        <v>403</v>
      </c>
      <c r="G139" s="11" t="s">
        <v>97</v>
      </c>
      <c r="H139" s="11" t="s">
        <v>97</v>
      </c>
      <c r="I139" s="2" t="s">
        <v>345</v>
      </c>
      <c r="J139" s="2" t="s">
        <v>137</v>
      </c>
      <c r="K139" s="2" t="s">
        <v>120</v>
      </c>
      <c r="L139" s="11" t="s">
        <v>147</v>
      </c>
      <c r="M139" s="5">
        <v>247015</v>
      </c>
      <c r="N139" s="5">
        <v>304</v>
      </c>
      <c r="O139" s="5"/>
      <c r="P139" s="5"/>
      <c r="Q139" s="11"/>
      <c r="R139" s="6">
        <v>42628</v>
      </c>
      <c r="S139" s="15">
        <v>23150000</v>
      </c>
      <c r="T139" s="5" t="s">
        <v>335</v>
      </c>
      <c r="U139" s="5" t="s">
        <v>335</v>
      </c>
      <c r="V139" s="5" t="s">
        <v>335</v>
      </c>
      <c r="W139" s="5" t="s">
        <v>335</v>
      </c>
      <c r="X139" s="15"/>
      <c r="Y139" s="15">
        <v>1000000</v>
      </c>
      <c r="Z139" s="15">
        <v>5000000</v>
      </c>
      <c r="AA139" s="15">
        <v>1000000</v>
      </c>
      <c r="AB139" s="15"/>
      <c r="AC139" s="15">
        <v>5900000</v>
      </c>
      <c r="AD139" s="15"/>
      <c r="AE139" s="15"/>
      <c r="AF139" s="15"/>
      <c r="AG139" s="80">
        <f>SUM(Table1[[#This Row],[MLG Capital Historical Deal Equity]:[Legacy Fund Equity]])</f>
        <v>12900000</v>
      </c>
      <c r="AH139" s="80">
        <f>Table1[[#This Row],[Fund I Equity]]*6/27.28+Table1[[#This Row],[Fund II Equity]]</f>
        <v>5219941.3489736067</v>
      </c>
      <c r="AI139" s="6">
        <v>43392</v>
      </c>
      <c r="AJ139" s="15">
        <v>32500000</v>
      </c>
      <c r="AK139" s="163">
        <f>IF(Table1[[#This Row],[Status]]="Sold",(Table1[[#This Row],[Date of Sale]]-Table1[[#This Row],[Acquisition Date]])/365,"")</f>
        <v>2.0931506849315067</v>
      </c>
      <c r="AL139" s="15">
        <v>21583057.440000001</v>
      </c>
      <c r="AM139" s="167">
        <f>IF(Table1[[#This Row],[Status]]="Sold",Table1[[#This Row],[Total Property Distributions]]/Table1[[#This Row],[Total Equity]],"")</f>
        <v>1.6731052279069769</v>
      </c>
      <c r="AN139" s="168">
        <v>0.29899999999999999</v>
      </c>
      <c r="AO139" s="168">
        <f>IF(Table1[[#This Row],[Status]]="Sold",((Table1[[#This Row],[Total Property Distributions]]-Table1[[#This Row],[Total Equity]])/Table1[[#This Row],[Total Equity]])/Table1[[#This Row],[Holding Period]],"")</f>
        <v>0.32157514160477296</v>
      </c>
    </row>
    <row r="140" spans="2:70" x14ac:dyDescent="0.2">
      <c r="B140" s="2" t="s">
        <v>266</v>
      </c>
      <c r="C140" s="2" t="s">
        <v>304</v>
      </c>
      <c r="E140" s="2" t="s">
        <v>235</v>
      </c>
      <c r="F140" s="2" t="s">
        <v>403</v>
      </c>
      <c r="G140" s="11" t="s">
        <v>97</v>
      </c>
      <c r="H140" s="11" t="s">
        <v>97</v>
      </c>
      <c r="I140" s="2" t="s">
        <v>346</v>
      </c>
      <c r="J140" s="2" t="s">
        <v>339</v>
      </c>
      <c r="K140" s="2" t="s">
        <v>346</v>
      </c>
      <c r="L140" s="11" t="s">
        <v>307</v>
      </c>
      <c r="M140" s="5">
        <v>258584</v>
      </c>
      <c r="N140" s="5">
        <v>280</v>
      </c>
      <c r="O140" s="5"/>
      <c r="P140" s="5"/>
      <c r="Q140" s="11"/>
      <c r="R140" s="6">
        <v>42641</v>
      </c>
      <c r="S140" s="15">
        <v>51250000</v>
      </c>
      <c r="T140" s="5" t="s">
        <v>335</v>
      </c>
      <c r="U140" s="5" t="s">
        <v>335</v>
      </c>
      <c r="V140" s="5" t="s">
        <v>335</v>
      </c>
      <c r="W140" s="5" t="s">
        <v>335</v>
      </c>
      <c r="X140" s="15"/>
      <c r="Y140" s="15">
        <v>1000000</v>
      </c>
      <c r="Z140" s="15">
        <v>7500000</v>
      </c>
      <c r="AA140" s="15">
        <v>8105000</v>
      </c>
      <c r="AB140" s="15"/>
      <c r="AC140" s="15"/>
      <c r="AD140" s="15">
        <v>1845000</v>
      </c>
      <c r="AE140" s="15"/>
      <c r="AF140" s="15"/>
      <c r="AG140" s="80">
        <f>SUM(Table1[[#This Row],[MLG Capital Historical Deal Equity]:[Legacy Fund Equity]])</f>
        <v>18450000</v>
      </c>
      <c r="AH140" s="80">
        <f>Table1[[#This Row],[Fund I Equity]]*6/27.28+Table1[[#This Row],[Fund II Equity]]</f>
        <v>7719941.3489736067</v>
      </c>
      <c r="AI140" s="6">
        <v>43539</v>
      </c>
      <c r="AJ140" s="15">
        <v>63500000</v>
      </c>
      <c r="AK140" s="163">
        <f>IF(Table1[[#This Row],[Status]]="Sold",(Table1[[#This Row],[Date of Sale]]-Table1[[#This Row],[Acquisition Date]])/365,"")</f>
        <v>2.4602739726027396</v>
      </c>
      <c r="AL140" s="15">
        <v>30916001.940000005</v>
      </c>
      <c r="AM140" s="167">
        <f>IF(Table1[[#This Row],[Status]]="Sold",Table1[[#This Row],[Total Property Distributions]]/Table1[[#This Row],[Total Equity]],"")</f>
        <v>1.6756640617886183</v>
      </c>
      <c r="AN140" s="168">
        <v>0.2626</v>
      </c>
      <c r="AO140" s="168">
        <f>IF(Table1[[#This Row],[Status]]="Sold",((Table1[[#This Row],[Total Property Distributions]]-Table1[[#This Row],[Total Equity]])/Table1[[#This Row],[Total Equity]])/Table1[[#This Row],[Holding Period]],"")</f>
        <v>0.27462960195194391</v>
      </c>
    </row>
    <row r="141" spans="2:70" s="10" customFormat="1" x14ac:dyDescent="0.2">
      <c r="B141" s="2" t="s">
        <v>299</v>
      </c>
      <c r="C141" s="2" t="s">
        <v>304</v>
      </c>
      <c r="D141" s="2"/>
      <c r="E141" s="2" t="s">
        <v>235</v>
      </c>
      <c r="F141" s="2" t="s">
        <v>403</v>
      </c>
      <c r="G141" s="2" t="s">
        <v>397</v>
      </c>
      <c r="H141" s="2" t="s">
        <v>80</v>
      </c>
      <c r="I141" s="2" t="s">
        <v>362</v>
      </c>
      <c r="J141" s="2" t="s">
        <v>130</v>
      </c>
      <c r="K141" s="2" t="s">
        <v>105</v>
      </c>
      <c r="L141" s="11" t="s">
        <v>147</v>
      </c>
      <c r="M141" s="5">
        <v>69530</v>
      </c>
      <c r="N141" s="5"/>
      <c r="O141" s="5"/>
      <c r="P141" s="5"/>
      <c r="Q141" s="11"/>
      <c r="R141" s="6">
        <v>42759</v>
      </c>
      <c r="S141" s="15">
        <v>1750000</v>
      </c>
      <c r="T141" s="5" t="s">
        <v>335</v>
      </c>
      <c r="U141" s="5" t="s">
        <v>335</v>
      </c>
      <c r="V141" s="5" t="s">
        <v>335</v>
      </c>
      <c r="W141" s="5" t="s">
        <v>335</v>
      </c>
      <c r="X141" s="15"/>
      <c r="Y141" s="15"/>
      <c r="Z141" s="15"/>
      <c r="AA141" s="15">
        <v>1975000</v>
      </c>
      <c r="AB141" s="15"/>
      <c r="AC141" s="15"/>
      <c r="AD141" s="15"/>
      <c r="AE141" s="15"/>
      <c r="AF141" s="15"/>
      <c r="AG141" s="80">
        <f>SUM(Table1[[#This Row],[MLG Capital Historical Deal Equity]:[Legacy Fund Equity]])</f>
        <v>1975000</v>
      </c>
      <c r="AH141" s="80">
        <f>Table1[[#This Row],[Fund I Equity]]*6/27.28+Table1[[#This Row],[Fund II Equity]]</f>
        <v>0</v>
      </c>
      <c r="AI141" s="6">
        <v>43349</v>
      </c>
      <c r="AJ141" s="15">
        <v>5500000</v>
      </c>
      <c r="AK141" s="163">
        <f>IF(Table1[[#This Row],[Status]]="Sold",(Table1[[#This Row],[Date of Sale]]-Table1[[#This Row],[Acquisition Date]])/365,"")</f>
        <v>1.6164383561643836</v>
      </c>
      <c r="AL141" s="15">
        <v>4184434.9899999998</v>
      </c>
      <c r="AM141" s="167">
        <f>IF(Table1[[#This Row],[Status]]="Sold",Table1[[#This Row],[Total Property Distributions]]/Table1[[#This Row],[Total Equity]],"")</f>
        <v>2.1187012607594937</v>
      </c>
      <c r="AN141" s="168">
        <v>0.62619999999999998</v>
      </c>
      <c r="AO141" s="168">
        <f>IF(Table1[[#This Row],[Status]]="Sold",((Table1[[#This Row],[Total Property Distributions]]-Table1[[#This Row],[Total Equity]])/Table1[[#This Row],[Total Equity]])/Table1[[#This Row],[Holding Period]],"")</f>
        <v>0.69207789860544933</v>
      </c>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c r="BO141" s="11"/>
      <c r="BP141" s="11"/>
      <c r="BQ141" s="11"/>
      <c r="BR141" s="11"/>
    </row>
    <row r="142" spans="2:70" s="10" customFormat="1" x14ac:dyDescent="0.2">
      <c r="B142" s="2" t="s">
        <v>300</v>
      </c>
      <c r="C142" s="2" t="s">
        <v>304</v>
      </c>
      <c r="D142" s="2"/>
      <c r="E142" s="2" t="s">
        <v>235</v>
      </c>
      <c r="F142" s="2" t="s">
        <v>403</v>
      </c>
      <c r="G142" s="2" t="s">
        <v>397</v>
      </c>
      <c r="H142" s="2" t="s">
        <v>80</v>
      </c>
      <c r="I142" s="2" t="s">
        <v>363</v>
      </c>
      <c r="J142" s="2" t="s">
        <v>130</v>
      </c>
      <c r="K142" s="2" t="s">
        <v>105</v>
      </c>
      <c r="L142" s="11" t="s">
        <v>364</v>
      </c>
      <c r="M142" s="5">
        <v>239177</v>
      </c>
      <c r="N142" s="5"/>
      <c r="O142" s="5"/>
      <c r="P142" s="5"/>
      <c r="Q142" s="11"/>
      <c r="R142" s="6">
        <v>43125</v>
      </c>
      <c r="S142" s="15">
        <v>33500000</v>
      </c>
      <c r="T142" s="5" t="s">
        <v>335</v>
      </c>
      <c r="U142" s="5" t="s">
        <v>335</v>
      </c>
      <c r="V142" s="5" t="s">
        <v>335</v>
      </c>
      <c r="W142" s="5" t="s">
        <v>335</v>
      </c>
      <c r="X142" s="15"/>
      <c r="Y142" s="15"/>
      <c r="Z142" s="15">
        <v>1500000</v>
      </c>
      <c r="AA142" s="15">
        <v>6500000</v>
      </c>
      <c r="AB142" s="15"/>
      <c r="AC142" s="15"/>
      <c r="AD142" s="15">
        <v>4000000</v>
      </c>
      <c r="AE142" s="15"/>
      <c r="AF142" s="15"/>
      <c r="AG142" s="80">
        <f>SUM(Table1[[#This Row],[MLG Capital Historical Deal Equity]:[Legacy Fund Equity]])</f>
        <v>12000000</v>
      </c>
      <c r="AH142" s="80">
        <f>Table1[[#This Row],[Fund I Equity]]*6/27.28+Table1[[#This Row],[Fund II Equity]]</f>
        <v>1500000</v>
      </c>
      <c r="AI142" s="6">
        <v>43818</v>
      </c>
      <c r="AJ142" s="15">
        <v>36035000</v>
      </c>
      <c r="AK142" s="163">
        <f>IF(Table1[[#This Row],[Status]]="Sold",(Table1[[#This Row],[Date of Sale]]-Table1[[#This Row],[Acquisition Date]])/365,"")</f>
        <v>1.8986301369863015</v>
      </c>
      <c r="AL142" s="15">
        <v>15876002.100000001</v>
      </c>
      <c r="AM142" s="167">
        <f>IF(Table1[[#This Row],[Status]]="Sold",Table1[[#This Row],[Total Property Distributions]]/Table1[[#This Row],[Total Equity]],"")</f>
        <v>1.3230001750000002</v>
      </c>
      <c r="AN142" s="168">
        <v>0.17660000000000001</v>
      </c>
      <c r="AO142" s="168">
        <f>IF(Table1[[#This Row],[Status]]="Sold",((Table1[[#This Row],[Total Property Distributions]]-Table1[[#This Row],[Total Equity]])/Table1[[#This Row],[Total Equity]])/Table1[[#This Row],[Holding Period]],"")</f>
        <v>0.17012274729437235</v>
      </c>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c r="BP142" s="11"/>
      <c r="BQ142" s="11"/>
      <c r="BR142" s="11"/>
    </row>
    <row r="143" spans="2:70" x14ac:dyDescent="0.2">
      <c r="B143" s="2" t="s">
        <v>366</v>
      </c>
      <c r="C143" s="2" t="s">
        <v>304</v>
      </c>
      <c r="E143" s="2" t="s">
        <v>235</v>
      </c>
      <c r="F143" s="2" t="s">
        <v>403</v>
      </c>
      <c r="G143" s="2" t="s">
        <v>141</v>
      </c>
      <c r="H143" s="2" t="s">
        <v>141</v>
      </c>
      <c r="I143" s="2" t="s">
        <v>367</v>
      </c>
      <c r="J143" s="2" t="s">
        <v>132</v>
      </c>
      <c r="K143" s="2" t="s">
        <v>121</v>
      </c>
      <c r="L143" s="2" t="s">
        <v>158</v>
      </c>
      <c r="M143" s="5">
        <v>109703</v>
      </c>
      <c r="N143" s="5"/>
      <c r="O143" s="5"/>
      <c r="P143" s="5"/>
      <c r="Q143" s="11"/>
      <c r="R143" s="6">
        <v>43559</v>
      </c>
      <c r="S143" s="15">
        <v>2500000</v>
      </c>
      <c r="T143" s="5" t="s">
        <v>368</v>
      </c>
      <c r="U143" s="80" t="str">
        <f>IF(Table1[[#This Row],[Sub Type]]="Multi-Family",Table1[[#This Row],[Fair Market Value Estimate]]/Table1[[#This Row],[Units]],"N/A")</f>
        <v>N/A</v>
      </c>
      <c r="V143" s="5" t="s">
        <v>368</v>
      </c>
      <c r="W143" s="5" t="s">
        <v>368</v>
      </c>
      <c r="X143" s="15"/>
      <c r="Y143" s="15"/>
      <c r="Z143" s="15"/>
      <c r="AA143" s="15">
        <v>2500000</v>
      </c>
      <c r="AB143" s="15"/>
      <c r="AC143" s="15"/>
      <c r="AD143" s="15"/>
      <c r="AE143" s="15"/>
      <c r="AF143" s="15"/>
      <c r="AG143" s="80">
        <f>SUM(Table1[[#This Row],[MLG Capital Historical Deal Equity]:[Legacy Fund Equity]])</f>
        <v>2500000</v>
      </c>
      <c r="AH143" s="80">
        <f>Table1[[#This Row],[Fund I Equity]]*6/27.28+Table1[[#This Row],[Fund II Equity]]</f>
        <v>0</v>
      </c>
      <c r="AI143" s="6">
        <v>43684</v>
      </c>
      <c r="AJ143" s="15">
        <v>2500000</v>
      </c>
      <c r="AK143" s="163">
        <f>IF(Table1[[#This Row],[Status]]="Sold",(Table1[[#This Row],[Date of Sale]]-Table1[[#This Row],[Acquisition Date]])/365,"")</f>
        <v>0.34246575342465752</v>
      </c>
      <c r="AL143" s="15">
        <v>2608010</v>
      </c>
      <c r="AM143" s="167">
        <f>IF(Table1[[#This Row],[Status]]="Sold",Table1[[#This Row],[Total Property Distributions]]/Table1[[#This Row],[Total Equity]],"")</f>
        <v>1.043204</v>
      </c>
      <c r="AN143" s="167"/>
      <c r="AO143" s="168">
        <f>IF(Table1[[#This Row],[Status]]="Sold",((Table1[[#This Row],[Total Property Distributions]]-Table1[[#This Row],[Total Equity]])/Table1[[#This Row],[Total Equity]])/Table1[[#This Row],[Holding Period]],"")</f>
        <v>0.12615567999999999</v>
      </c>
    </row>
    <row r="144" spans="2:70" x14ac:dyDescent="0.2">
      <c r="M144" s="14"/>
      <c r="N144" s="14"/>
      <c r="O144" s="14"/>
      <c r="P144" s="14"/>
      <c r="R144" s="6"/>
      <c r="S144" s="14"/>
      <c r="T144" s="14">
        <f>SUBTOTAL(109,Table1[Fair Market Value Estimate])</f>
        <v>1908176700</v>
      </c>
      <c r="U144" s="14"/>
      <c r="V144" s="14"/>
      <c r="W144" s="6"/>
      <c r="X144" s="14">
        <f>SUBTOTAL(109,Table1[MLG Capital Historical Deal Equity])</f>
        <v>76550403.210000008</v>
      </c>
      <c r="Y144" s="14">
        <f>SUBTOTAL(109,Table1[Fund I Equity])</f>
        <v>33563973.439999998</v>
      </c>
      <c r="Z144" s="14">
        <f>SUBTOTAL(109,Table1[Fund II Equity])</f>
        <v>75020378.090000004</v>
      </c>
      <c r="AA144" s="14">
        <f>SUBTOTAL(109,Table1[Fund III Equity])</f>
        <v>171386196.85000002</v>
      </c>
      <c r="AB144" s="14">
        <f>SUBTOTAL(109,Table1[Fund IV Equity])</f>
        <v>194623204</v>
      </c>
      <c r="AC144" s="14">
        <f>SUBTOTAL(109,Table1[MLG Co-Investor Equity])</f>
        <v>110000000</v>
      </c>
      <c r="AD144" s="14">
        <f>SUBTOTAL(109,Table1[Sponsor 3rd Party Equity])</f>
        <v>124405855.78</v>
      </c>
      <c r="AE144" s="14">
        <f>SUBTOTAL(109,Table1[Managed Account (1031) Equity])</f>
        <v>101505311.52</v>
      </c>
      <c r="AF144" s="14">
        <f>SUBTOTAL(109,Table1[Legacy Fund Equity])</f>
        <v>0</v>
      </c>
      <c r="AG144" s="14">
        <f>SUBTOTAL(109,Table1[Total Equity])</f>
        <v>887055322.88999999</v>
      </c>
      <c r="AH144" s="14"/>
      <c r="AJ144" s="14">
        <f>SUBTOTAL(109,Table1[Sales Price])</f>
        <v>825937750.66999996</v>
      </c>
      <c r="AL144" s="14">
        <f>SUBTOTAL(109,Table1[Total Property Distributions])</f>
        <v>473231426.14919835</v>
      </c>
      <c r="AM144" s="98"/>
      <c r="AN144" s="98"/>
    </row>
    <row r="146" spans="20:30" x14ac:dyDescent="0.2">
      <c r="T146" s="253">
        <v>5.2500000000000003E-3</v>
      </c>
      <c r="AB146" s="252"/>
    </row>
    <row r="147" spans="20:30" x14ac:dyDescent="0.2">
      <c r="AC147" s="5">
        <v>117655000</v>
      </c>
      <c r="AD147" s="1"/>
    </row>
    <row r="148" spans="20:30" x14ac:dyDescent="0.2">
      <c r="T148" s="254">
        <f>T66*T146</f>
        <v>144375</v>
      </c>
      <c r="AB148" s="120" t="s">
        <v>442</v>
      </c>
      <c r="AC148" s="5">
        <v>-9300000</v>
      </c>
      <c r="AD148" s="5"/>
    </row>
    <row r="149" spans="20:30" x14ac:dyDescent="0.2">
      <c r="AB149" s="120" t="s">
        <v>443</v>
      </c>
      <c r="AC149" s="5">
        <v>-2800000</v>
      </c>
      <c r="AD149" s="5"/>
    </row>
    <row r="150" spans="20:30" x14ac:dyDescent="0.2">
      <c r="AB150" s="120" t="s">
        <v>126</v>
      </c>
      <c r="AC150" s="5">
        <v>0</v>
      </c>
      <c r="AD150" s="5"/>
    </row>
    <row r="151" spans="20:30" x14ac:dyDescent="0.2">
      <c r="AB151" s="120" t="s">
        <v>444</v>
      </c>
      <c r="AC151" s="5">
        <v>-3555000</v>
      </c>
      <c r="AD151" s="5"/>
    </row>
    <row r="152" spans="20:30" x14ac:dyDescent="0.2">
      <c r="AC152" s="5"/>
      <c r="AD152" s="5"/>
    </row>
    <row r="153" spans="20:30" ht="13.5" thickBot="1" x14ac:dyDescent="0.25">
      <c r="AC153" s="124">
        <f>SUM(AC147:AC152)</f>
        <v>102000000</v>
      </c>
      <c r="AD153" s="5"/>
    </row>
    <row r="154" spans="20:30" ht="13.5" thickTop="1" x14ac:dyDescent="0.2">
      <c r="AB154" s="120" t="s">
        <v>422</v>
      </c>
      <c r="AC154" s="5">
        <f>Table1[[#Totals],[MLG Co-Investor Equity]]-AC153</f>
        <v>8000000</v>
      </c>
    </row>
    <row r="155" spans="20:30" x14ac:dyDescent="0.2">
      <c r="AC155" s="120"/>
      <c r="AD155" s="5">
        <v>116603235</v>
      </c>
    </row>
    <row r="156" spans="20:30" x14ac:dyDescent="0.2">
      <c r="AC156" s="120" t="s">
        <v>445</v>
      </c>
      <c r="AD156" s="5">
        <v>80000</v>
      </c>
    </row>
    <row r="157" spans="20:30" x14ac:dyDescent="0.2">
      <c r="AC157" s="120" t="s">
        <v>446</v>
      </c>
      <c r="AD157" s="5">
        <v>-396000</v>
      </c>
    </row>
    <row r="158" spans="20:30" x14ac:dyDescent="0.2">
      <c r="AC158" s="120" t="s">
        <v>75</v>
      </c>
      <c r="AD158" s="5">
        <v>277972.99</v>
      </c>
    </row>
    <row r="159" spans="20:30" x14ac:dyDescent="0.2">
      <c r="AC159" s="120" t="s">
        <v>15</v>
      </c>
      <c r="AD159" s="74">
        <f>AD9-29452950</f>
        <v>-29052950</v>
      </c>
    </row>
    <row r="160" spans="20:30" x14ac:dyDescent="0.2">
      <c r="AC160" s="120" t="s">
        <v>96</v>
      </c>
      <c r="AD160" s="74">
        <v>2350000</v>
      </c>
    </row>
    <row r="161" spans="29:30" ht="13.5" thickBot="1" x14ac:dyDescent="0.25">
      <c r="AC161" s="120"/>
      <c r="AD161" s="124">
        <f>SUM(AD155:AD160)</f>
        <v>89862257.989999995</v>
      </c>
    </row>
    <row r="162" spans="29:30" ht="13.5" thickTop="1" x14ac:dyDescent="0.2">
      <c r="AC162" s="120" t="s">
        <v>422</v>
      </c>
      <c r="AD162" s="14">
        <f>Table1[[#Totals],[Sponsor 3rd Party Equity]]-AD161</f>
        <v>34543597.790000007</v>
      </c>
    </row>
  </sheetData>
  <sheetProtection algorithmName="SHA-512" hashValue="xTavgUBKAOaBYu6MZ3Z/M9DvAVt5vIi43RoQRhm2tTo+0D2D2xSAzEPpf0FsVQzoq2IUDqqtQ6I+7KUWZmgvcw==" saltValue="ma8X9HawMyDi0yq9TyVTsg==" spinCount="100000" sheet="1" objects="1" scenarios="1"/>
  <phoneticPr fontId="5" type="noConversion"/>
  <pageMargins left="0.7" right="0.7" top="0.75" bottom="0.75" header="0.3" footer="0.3"/>
  <pageSetup scale="22" orientation="landscape" horizontalDpi="1200" verticalDpi="120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65345-4BBF-4A1F-A826-53184E137C0A}">
  <sheetPr>
    <tabColor theme="9" tint="0.59999389629810485"/>
  </sheetPr>
  <dimension ref="A1:Q55"/>
  <sheetViews>
    <sheetView showGridLines="0" zoomScaleNormal="100" workbookViewId="0">
      <selection activeCell="A5" sqref="A5:A6"/>
    </sheetView>
  </sheetViews>
  <sheetFormatPr defaultRowHeight="15" x14ac:dyDescent="0.25"/>
  <cols>
    <col min="1" max="1" width="13" customWidth="1"/>
    <col min="5" max="5" width="12" customWidth="1"/>
    <col min="6" max="7" width="11.28515625" customWidth="1"/>
    <col min="9" max="9" width="12.5703125" bestFit="1" customWidth="1"/>
    <col min="10" max="10" width="11.7109375" bestFit="1" customWidth="1"/>
  </cols>
  <sheetData>
    <row r="1" spans="1:17" ht="17.25" x14ac:dyDescent="0.3">
      <c r="A1" s="18" t="s">
        <v>170</v>
      </c>
      <c r="B1" s="19"/>
      <c r="C1" s="19"/>
      <c r="D1" s="19"/>
      <c r="E1" s="20" t="s">
        <v>610</v>
      </c>
      <c r="F1" s="19"/>
      <c r="G1" s="19"/>
      <c r="H1" s="19"/>
      <c r="I1" s="19"/>
      <c r="J1" s="19"/>
      <c r="K1" s="19"/>
      <c r="L1" s="19"/>
      <c r="M1" s="19"/>
      <c r="N1" s="19"/>
      <c r="O1" s="19"/>
      <c r="P1" s="19"/>
      <c r="Q1" s="19"/>
    </row>
    <row r="2" spans="1:17" ht="17.25" x14ac:dyDescent="0.3">
      <c r="A2" s="18" t="s">
        <v>171</v>
      </c>
      <c r="B2" s="19"/>
      <c r="C2" s="19"/>
      <c r="D2" s="19"/>
      <c r="E2" s="20" t="s">
        <v>172</v>
      </c>
      <c r="F2" s="19"/>
      <c r="G2" s="19"/>
      <c r="H2" s="19"/>
      <c r="I2" s="20"/>
      <c r="J2" s="19"/>
      <c r="K2" s="19"/>
      <c r="L2" s="19"/>
      <c r="M2" s="21">
        <v>1.8</v>
      </c>
      <c r="N2" s="19" t="s">
        <v>173</v>
      </c>
      <c r="O2" s="19"/>
      <c r="P2" s="19"/>
      <c r="Q2" s="19"/>
    </row>
    <row r="3" spans="1:17" x14ac:dyDescent="0.25">
      <c r="A3" s="19"/>
      <c r="B3" s="19"/>
      <c r="C3" s="19"/>
      <c r="D3" s="19"/>
      <c r="E3" s="20" t="s">
        <v>174</v>
      </c>
      <c r="F3" s="19"/>
      <c r="G3" s="19"/>
      <c r="H3" s="19"/>
      <c r="I3" s="20"/>
      <c r="J3" s="19"/>
      <c r="K3" s="19"/>
      <c r="L3" s="19"/>
      <c r="M3" s="19"/>
      <c r="N3" s="19"/>
      <c r="O3" s="19"/>
      <c r="P3" s="19"/>
      <c r="Q3" s="19"/>
    </row>
    <row r="4" spans="1:17" x14ac:dyDescent="0.25">
      <c r="A4" s="19" t="s">
        <v>628</v>
      </c>
      <c r="B4" s="22"/>
      <c r="C4" s="19"/>
      <c r="D4" s="19"/>
      <c r="E4" s="20"/>
      <c r="F4" s="19"/>
      <c r="G4" s="19"/>
      <c r="H4" s="19"/>
      <c r="I4" s="20"/>
      <c r="J4" s="19"/>
      <c r="K4" s="19"/>
      <c r="L4" s="19"/>
      <c r="M4" s="19"/>
      <c r="N4" s="19"/>
      <c r="O4" s="19"/>
      <c r="P4" s="19"/>
      <c r="Q4" s="19"/>
    </row>
    <row r="5" spans="1:17" ht="32.25" customHeight="1" thickBot="1" x14ac:dyDescent="0.3">
      <c r="A5" s="258" t="s">
        <v>175</v>
      </c>
      <c r="B5" s="258" t="s">
        <v>176</v>
      </c>
      <c r="C5" s="258" t="s">
        <v>177</v>
      </c>
      <c r="D5" s="258" t="s">
        <v>178</v>
      </c>
      <c r="E5" s="258" t="s">
        <v>179</v>
      </c>
      <c r="F5" s="258" t="s">
        <v>180</v>
      </c>
      <c r="G5" s="216" t="s">
        <v>181</v>
      </c>
      <c r="H5" s="19"/>
      <c r="I5" s="20"/>
      <c r="J5" s="19"/>
      <c r="K5" s="19"/>
      <c r="L5" s="19"/>
      <c r="M5" s="19"/>
      <c r="N5" s="19"/>
      <c r="O5" s="19"/>
      <c r="P5" s="19"/>
      <c r="Q5" s="19"/>
    </row>
    <row r="6" spans="1:17" x14ac:dyDescent="0.25">
      <c r="A6" s="258"/>
      <c r="B6" s="258"/>
      <c r="C6" s="258"/>
      <c r="D6" s="258"/>
      <c r="E6" s="258"/>
      <c r="F6" s="258"/>
      <c r="G6" s="216" t="s">
        <v>182</v>
      </c>
      <c r="H6" s="19" t="s">
        <v>167</v>
      </c>
      <c r="I6" s="19"/>
      <c r="J6" s="20"/>
      <c r="K6" s="259" t="s">
        <v>183</v>
      </c>
      <c r="L6" s="261" t="s">
        <v>184</v>
      </c>
      <c r="M6" s="19"/>
      <c r="N6" s="19"/>
      <c r="O6" s="19"/>
      <c r="P6" s="19"/>
      <c r="Q6" s="19"/>
    </row>
    <row r="7" spans="1:17" ht="15.75" thickBot="1" x14ac:dyDescent="0.3">
      <c r="A7" s="215" t="s">
        <v>185</v>
      </c>
      <c r="B7" s="24"/>
      <c r="C7" s="24"/>
      <c r="D7" s="24"/>
      <c r="E7" s="24"/>
      <c r="F7" s="24"/>
      <c r="G7" s="24"/>
      <c r="H7" s="19"/>
      <c r="I7" s="19"/>
      <c r="J7" s="19"/>
      <c r="K7" s="260" t="s">
        <v>186</v>
      </c>
      <c r="L7" s="262"/>
      <c r="M7" s="19"/>
      <c r="N7" s="19"/>
      <c r="O7" s="19"/>
      <c r="P7" s="19"/>
      <c r="Q7" s="19"/>
    </row>
    <row r="8" spans="1:17" ht="15.75" thickTop="1" x14ac:dyDescent="0.25">
      <c r="A8" s="25" t="s">
        <v>97</v>
      </c>
      <c r="B8" s="25">
        <f>MLGCapSum!B8</f>
        <v>30</v>
      </c>
      <c r="C8" s="26">
        <f>MLGCapSum!C8</f>
        <v>6149000</v>
      </c>
      <c r="D8" s="26">
        <f>MLGCapSum!D8</f>
        <v>7714</v>
      </c>
      <c r="E8" s="27">
        <f>MLGCapSum!E8</f>
        <v>537117000</v>
      </c>
      <c r="F8" s="27">
        <f>MLGCapSum!F8</f>
        <v>127854000</v>
      </c>
      <c r="G8" s="27">
        <f>MLGCapSum!G8</f>
        <v>321505000</v>
      </c>
      <c r="H8" s="28">
        <f>J8</f>
        <v>2.5146260578472321</v>
      </c>
      <c r="I8" s="19"/>
      <c r="J8" s="29">
        <f>G8/F8</f>
        <v>2.5146260578472321</v>
      </c>
      <c r="K8" s="259" t="s">
        <v>187</v>
      </c>
      <c r="L8" s="261" t="s">
        <v>188</v>
      </c>
      <c r="M8" s="19"/>
      <c r="N8" s="19"/>
      <c r="O8" s="19"/>
      <c r="P8" s="19"/>
      <c r="Q8" s="19"/>
    </row>
    <row r="9" spans="1:17" ht="23.25" thickBot="1" x14ac:dyDescent="0.3">
      <c r="A9" s="30" t="s">
        <v>189</v>
      </c>
      <c r="B9" s="30">
        <f>MLGCapSum!B9</f>
        <v>38</v>
      </c>
      <c r="C9" s="31">
        <f>MLGCapSum!C9</f>
        <v>3936000</v>
      </c>
      <c r="D9" s="30" t="s">
        <v>190</v>
      </c>
      <c r="E9" s="32">
        <f>MLGCapSum!E9</f>
        <v>279339000</v>
      </c>
      <c r="F9" s="32">
        <f>MLGCapSum!F9</f>
        <v>79529000</v>
      </c>
      <c r="G9" s="32">
        <f>MLGCapSum!G9</f>
        <v>144186000</v>
      </c>
      <c r="H9" s="28">
        <f>J9</f>
        <v>1.8129990317997209</v>
      </c>
      <c r="I9" s="19"/>
      <c r="J9" s="29">
        <f>G9/F9</f>
        <v>1.8129990317997209</v>
      </c>
      <c r="K9" s="260"/>
      <c r="L9" s="262"/>
      <c r="M9" s="19"/>
      <c r="N9" s="19"/>
      <c r="O9" s="19"/>
      <c r="P9" s="19"/>
      <c r="Q9" s="19"/>
    </row>
    <row r="10" spans="1:17" ht="15.75" thickTop="1" x14ac:dyDescent="0.25">
      <c r="A10" s="33" t="s">
        <v>191</v>
      </c>
      <c r="B10" s="33">
        <f t="shared" ref="B10:G10" si="0">SUM(B8:B9)</f>
        <v>68</v>
      </c>
      <c r="C10" s="34">
        <f t="shared" si="0"/>
        <v>10085000</v>
      </c>
      <c r="D10" s="34">
        <f t="shared" si="0"/>
        <v>7714</v>
      </c>
      <c r="E10" s="35">
        <f t="shared" si="0"/>
        <v>816456000</v>
      </c>
      <c r="F10" s="35">
        <f t="shared" si="0"/>
        <v>207383000</v>
      </c>
      <c r="G10" s="35">
        <f t="shared" si="0"/>
        <v>465691000</v>
      </c>
      <c r="H10" s="28">
        <f>J10</f>
        <v>2.2455601471673186</v>
      </c>
      <c r="I10" s="19"/>
      <c r="J10" s="29">
        <f>G10/F10</f>
        <v>2.2455601471673186</v>
      </c>
      <c r="K10" s="259" t="s">
        <v>192</v>
      </c>
      <c r="L10" s="261" t="s">
        <v>193</v>
      </c>
      <c r="M10" s="19"/>
      <c r="N10" s="19"/>
      <c r="O10" s="19"/>
      <c r="P10" s="19"/>
      <c r="Q10" s="19"/>
    </row>
    <row r="11" spans="1:17" ht="15.75" thickBot="1" x14ac:dyDescent="0.3">
      <c r="A11" s="36"/>
      <c r="B11" s="37"/>
      <c r="C11" s="38"/>
      <c r="D11" s="38"/>
      <c r="E11" s="39"/>
      <c r="F11" s="39"/>
      <c r="G11" s="39"/>
      <c r="H11" s="19"/>
      <c r="I11" s="19"/>
      <c r="J11" s="19"/>
      <c r="K11" s="260"/>
      <c r="L11" s="262"/>
      <c r="M11" s="19"/>
      <c r="N11" s="19"/>
      <c r="O11" s="19"/>
      <c r="P11" s="19"/>
      <c r="Q11" s="19"/>
    </row>
    <row r="12" spans="1:17" ht="50.25" customHeight="1" thickTop="1" x14ac:dyDescent="0.25">
      <c r="A12" s="265" t="s">
        <v>194</v>
      </c>
      <c r="B12" s="266"/>
      <c r="C12" s="266"/>
      <c r="D12" s="266"/>
      <c r="E12" s="266"/>
      <c r="F12" s="266"/>
      <c r="G12" s="266"/>
      <c r="H12" s="19"/>
      <c r="I12" s="19"/>
      <c r="J12" s="40"/>
      <c r="K12" s="19"/>
      <c r="L12" s="19"/>
      <c r="M12" s="19"/>
      <c r="N12" s="19"/>
      <c r="O12" s="19"/>
      <c r="P12" s="19"/>
      <c r="Q12" s="19"/>
    </row>
    <row r="13" spans="1:17" ht="15.75" thickBot="1" x14ac:dyDescent="0.3">
      <c r="A13" s="267" t="s">
        <v>195</v>
      </c>
      <c r="B13" s="268"/>
      <c r="C13" s="268"/>
      <c r="D13" s="268"/>
      <c r="E13" s="268"/>
      <c r="F13" s="268"/>
      <c r="G13" s="268"/>
      <c r="H13" s="19"/>
      <c r="I13" s="19"/>
      <c r="J13" s="19"/>
      <c r="K13" s="19"/>
      <c r="L13" s="19"/>
      <c r="M13" s="19"/>
      <c r="N13" s="19"/>
      <c r="O13" s="19"/>
      <c r="P13" s="19"/>
      <c r="Q13" s="19"/>
    </row>
    <row r="14" spans="1:17" ht="15.75" hidden="1" thickBot="1" x14ac:dyDescent="0.3">
      <c r="A14" s="41"/>
      <c r="B14" s="42"/>
      <c r="C14" s="42"/>
      <c r="D14" s="42"/>
      <c r="E14" s="42"/>
      <c r="F14" s="42"/>
      <c r="G14" s="42"/>
      <c r="H14" s="19"/>
      <c r="I14" s="19"/>
      <c r="J14" s="43"/>
      <c r="K14" s="19"/>
      <c r="L14" s="19"/>
      <c r="M14" s="19"/>
      <c r="N14" s="19"/>
      <c r="O14" s="19"/>
      <c r="P14" s="19"/>
      <c r="Q14" s="19"/>
    </row>
    <row r="15" spans="1:17" ht="15.75" thickBot="1" x14ac:dyDescent="0.3">
      <c r="A15" s="44" t="s">
        <v>196</v>
      </c>
      <c r="B15" s="45"/>
      <c r="C15" s="45"/>
      <c r="D15" s="45"/>
      <c r="E15" s="45"/>
      <c r="F15" s="45"/>
      <c r="G15" s="46"/>
      <c r="H15" s="19"/>
      <c r="I15" s="19"/>
      <c r="J15" s="19"/>
      <c r="K15" s="19"/>
      <c r="L15" s="19"/>
      <c r="M15" s="19"/>
      <c r="N15" s="19"/>
      <c r="O15" s="19"/>
      <c r="P15" s="19"/>
      <c r="Q15" s="19"/>
    </row>
    <row r="16" spans="1:17" x14ac:dyDescent="0.25">
      <c r="A16" s="47"/>
      <c r="B16" s="47"/>
      <c r="C16" s="47"/>
      <c r="D16" s="47"/>
      <c r="E16" s="47"/>
      <c r="F16" s="47"/>
      <c r="G16" s="47"/>
      <c r="H16" s="19"/>
      <c r="I16" s="19"/>
      <c r="J16" s="19"/>
      <c r="K16" s="19"/>
      <c r="L16" s="19"/>
      <c r="M16" s="19"/>
      <c r="N16" s="19"/>
      <c r="O16" s="19"/>
      <c r="P16" s="19"/>
      <c r="Q16" s="19"/>
    </row>
    <row r="17" spans="1:17" ht="17.25" x14ac:dyDescent="0.3">
      <c r="A17" s="18" t="s">
        <v>170</v>
      </c>
      <c r="B17" s="48"/>
      <c r="C17" s="48"/>
      <c r="D17" s="48"/>
      <c r="E17" s="47"/>
      <c r="F17" s="47"/>
      <c r="G17" s="47"/>
      <c r="H17" s="19"/>
      <c r="I17" s="19"/>
      <c r="J17" s="19"/>
      <c r="K17" s="19"/>
      <c r="L17" s="19"/>
      <c r="M17" s="21">
        <v>1.7</v>
      </c>
      <c r="N17" s="19" t="s">
        <v>173</v>
      </c>
      <c r="O17" s="19"/>
      <c r="P17" s="19"/>
      <c r="Q17" s="19"/>
    </row>
    <row r="18" spans="1:17" ht="17.25" x14ac:dyDescent="0.3">
      <c r="A18" s="18" t="s">
        <v>197</v>
      </c>
      <c r="B18" s="48"/>
      <c r="C18" s="48"/>
      <c r="D18" s="48"/>
      <c r="E18" s="47"/>
      <c r="F18" s="47"/>
      <c r="G18" s="47"/>
      <c r="H18" s="19"/>
      <c r="I18" s="19"/>
      <c r="J18" s="19"/>
      <c r="K18" s="19"/>
      <c r="L18" s="19"/>
      <c r="M18" s="19"/>
      <c r="N18" s="19"/>
      <c r="O18" s="19"/>
      <c r="P18" s="19"/>
      <c r="Q18" s="19"/>
    </row>
    <row r="19" spans="1:17" x14ac:dyDescent="0.25">
      <c r="A19" s="19" t="str">
        <f>A4</f>
        <v>As of 11/17/2020</v>
      </c>
      <c r="B19" s="47"/>
      <c r="C19" s="47"/>
      <c r="D19" s="47"/>
      <c r="E19" s="47"/>
      <c r="F19" s="47"/>
      <c r="G19" s="47"/>
      <c r="H19" s="19"/>
      <c r="I19" s="19"/>
      <c r="J19" s="19"/>
      <c r="K19" s="19"/>
      <c r="L19" s="19"/>
      <c r="M19" s="19"/>
      <c r="N19" s="19"/>
      <c r="O19" s="19"/>
      <c r="P19" s="19"/>
      <c r="Q19" s="19"/>
    </row>
    <row r="20" spans="1:17" ht="32.25" customHeight="1" x14ac:dyDescent="0.25">
      <c r="A20" s="269" t="s">
        <v>175</v>
      </c>
      <c r="B20" s="269" t="s">
        <v>176</v>
      </c>
      <c r="C20" s="269" t="s">
        <v>198</v>
      </c>
      <c r="D20" s="269" t="s">
        <v>178</v>
      </c>
      <c r="E20" s="269" t="s">
        <v>199</v>
      </c>
      <c r="F20" s="269" t="s">
        <v>200</v>
      </c>
      <c r="G20" s="19"/>
      <c r="H20" s="19"/>
      <c r="I20" s="19"/>
      <c r="J20" s="19"/>
      <c r="K20" s="19"/>
      <c r="L20" s="19"/>
      <c r="M20" s="19"/>
      <c r="N20" s="19"/>
      <c r="O20" s="19"/>
      <c r="P20" s="19"/>
    </row>
    <row r="21" spans="1:17" x14ac:dyDescent="0.25">
      <c r="A21" s="269"/>
      <c r="B21" s="269"/>
      <c r="C21" s="269"/>
      <c r="D21" s="269"/>
      <c r="E21" s="269"/>
      <c r="F21" s="269"/>
      <c r="G21" s="19"/>
      <c r="H21" s="19"/>
      <c r="I21" s="19"/>
      <c r="J21" s="19"/>
      <c r="K21" s="19"/>
      <c r="L21" s="19"/>
      <c r="M21" s="19"/>
      <c r="N21" s="19"/>
      <c r="O21" s="19"/>
      <c r="P21" s="19"/>
    </row>
    <row r="22" spans="1:17" x14ac:dyDescent="0.25">
      <c r="A22" s="270" t="s">
        <v>201</v>
      </c>
      <c r="B22" s="270"/>
      <c r="C22" s="24"/>
      <c r="D22" s="24"/>
      <c r="E22" s="24"/>
      <c r="F22" s="24"/>
      <c r="G22" s="19"/>
      <c r="H22" s="19"/>
      <c r="I22" s="19"/>
      <c r="J22" s="19"/>
      <c r="K22" s="19"/>
      <c r="L22" s="19"/>
      <c r="M22" s="19"/>
      <c r="N22" s="19"/>
      <c r="O22" s="19"/>
      <c r="P22" s="19"/>
    </row>
    <row r="23" spans="1:17" x14ac:dyDescent="0.25">
      <c r="A23" s="30" t="s">
        <v>97</v>
      </c>
      <c r="B23" s="30">
        <f>MLGCapSum!B23+LegacySum!B7</f>
        <v>42</v>
      </c>
      <c r="C23" s="31">
        <f>MLGCapSum!C23+LegacySum!C7</f>
        <v>10372000</v>
      </c>
      <c r="D23" s="31">
        <f>MLGCapSum!D23+LegacySum!D7</f>
        <v>11981</v>
      </c>
      <c r="E23" s="32">
        <f>MLGCapSum!E23+LegacySum!F7</f>
        <v>1576310000</v>
      </c>
      <c r="F23" s="32">
        <f>MLGCapSum!F23+LegacySum!G7</f>
        <v>545491000</v>
      </c>
      <c r="G23" s="19"/>
      <c r="H23" s="19"/>
      <c r="I23" s="29"/>
      <c r="J23" s="19"/>
      <c r="K23" s="19"/>
      <c r="L23" s="19"/>
      <c r="M23" s="19"/>
      <c r="N23" s="19"/>
      <c r="O23" s="19"/>
      <c r="P23" s="19"/>
    </row>
    <row r="24" spans="1:17" ht="22.5" x14ac:dyDescent="0.25">
      <c r="A24" s="25" t="s">
        <v>189</v>
      </c>
      <c r="B24" s="25">
        <f>MLGCapSum!B24+LegacySum!B8</f>
        <v>14</v>
      </c>
      <c r="C24" s="26">
        <f>MLGCapSum!C24+LegacySum!C8</f>
        <v>3957000</v>
      </c>
      <c r="D24" s="25" t="s">
        <v>190</v>
      </c>
      <c r="E24" s="27">
        <f>MLGCapSum!E24+LegacySum!F8</f>
        <v>203120000</v>
      </c>
      <c r="F24" s="27">
        <f>MLGCapSum!F24+LegacySum!G8</f>
        <v>78624000</v>
      </c>
      <c r="G24" s="19"/>
      <c r="H24" s="19"/>
      <c r="I24" s="53"/>
      <c r="J24" s="19"/>
      <c r="K24" s="19"/>
      <c r="L24" s="19"/>
      <c r="M24" s="19"/>
      <c r="N24" s="19"/>
      <c r="O24" s="19"/>
      <c r="P24" s="19"/>
    </row>
    <row r="25" spans="1:17" x14ac:dyDescent="0.25">
      <c r="A25" s="49" t="s">
        <v>191</v>
      </c>
      <c r="B25" s="49">
        <f>SUM(B23:B24)</f>
        <v>56</v>
      </c>
      <c r="C25" s="50">
        <f>SUM(C23:C24)</f>
        <v>14329000</v>
      </c>
      <c r="D25" s="50">
        <f>SUM(D23:D24)</f>
        <v>11981</v>
      </c>
      <c r="E25" s="51">
        <f>SUM(E23:E24)</f>
        <v>1779430000</v>
      </c>
      <c r="F25" s="51">
        <f>SUM(F23:F24)</f>
        <v>624115000</v>
      </c>
      <c r="G25" s="19"/>
      <c r="H25" s="19"/>
      <c r="I25" s="19"/>
      <c r="J25" s="52"/>
      <c r="K25" s="19"/>
      <c r="L25" s="19"/>
      <c r="M25" s="19"/>
      <c r="N25" s="19"/>
      <c r="O25" s="19"/>
      <c r="P25" s="19"/>
    </row>
    <row r="26" spans="1:17" x14ac:dyDescent="0.25">
      <c r="A26" s="270" t="s">
        <v>216</v>
      </c>
      <c r="B26" s="270"/>
      <c r="C26" s="24"/>
      <c r="D26" s="24"/>
      <c r="E26" s="24"/>
      <c r="F26" s="24"/>
      <c r="G26" s="19"/>
      <c r="H26" s="19"/>
      <c r="I26" s="19"/>
      <c r="J26" s="52"/>
      <c r="K26" s="19"/>
      <c r="L26" s="19"/>
      <c r="M26" s="19"/>
      <c r="N26" s="19"/>
      <c r="O26" s="19"/>
      <c r="P26" s="19"/>
    </row>
    <row r="27" spans="1:17" x14ac:dyDescent="0.25">
      <c r="A27" s="30" t="s">
        <v>97</v>
      </c>
      <c r="B27" s="30">
        <f>MLGCapSum!B27+LegacySum!B11</f>
        <v>3</v>
      </c>
      <c r="C27" s="31">
        <f>MLGCapSum!C27+LegacySum!C11</f>
        <v>1002019</v>
      </c>
      <c r="D27" s="31">
        <f>MLGCapSum!D27+LegacySum!D11</f>
        <v>984</v>
      </c>
      <c r="E27" s="32">
        <f>MLGCapSum!E27+LegacySum!F11</f>
        <v>123920000</v>
      </c>
      <c r="F27" s="32">
        <f>MLGCapSum!F27+LegacySum!G11</f>
        <v>46902000</v>
      </c>
      <c r="G27" s="19"/>
      <c r="H27" s="19"/>
      <c r="I27" s="19"/>
      <c r="J27" s="19"/>
      <c r="K27" s="19"/>
      <c r="L27" s="19"/>
      <c r="M27" s="19"/>
      <c r="N27" s="19"/>
      <c r="O27" s="19"/>
      <c r="P27" s="19"/>
    </row>
    <row r="28" spans="1:17" ht="22.5" x14ac:dyDescent="0.25">
      <c r="A28" s="25" t="s">
        <v>189</v>
      </c>
      <c r="B28" s="25">
        <f>MLGCapSum!B28+LegacySum!B12</f>
        <v>0</v>
      </c>
      <c r="C28" s="26">
        <f>MLGCapSum!C28+LegacySum!C12</f>
        <v>0</v>
      </c>
      <c r="D28" s="25" t="s">
        <v>190</v>
      </c>
      <c r="E28" s="27">
        <f>MLGCapSum!E28+LegacySum!F12</f>
        <v>0</v>
      </c>
      <c r="F28" s="27">
        <f>MLGCapSum!F28+LegacySum!G12</f>
        <v>0</v>
      </c>
      <c r="G28" s="19"/>
      <c r="H28" s="19"/>
      <c r="I28" s="19"/>
      <c r="J28" s="19"/>
      <c r="K28" s="29"/>
      <c r="L28" s="19"/>
      <c r="M28" s="19"/>
      <c r="N28" s="19"/>
      <c r="O28" s="19"/>
      <c r="P28" s="19"/>
    </row>
    <row r="29" spans="1:17" ht="22.5" x14ac:dyDescent="0.25">
      <c r="A29" s="49" t="s">
        <v>203</v>
      </c>
      <c r="B29" s="49">
        <f>SUM(B25:B28)</f>
        <v>59</v>
      </c>
      <c r="C29" s="50">
        <f>SUM(C25:C28)</f>
        <v>15331019</v>
      </c>
      <c r="D29" s="50">
        <f>SUM(D25:D28)</f>
        <v>12965</v>
      </c>
      <c r="E29" s="51">
        <f>SUM(E25:E28)</f>
        <v>1903350000</v>
      </c>
      <c r="F29" s="51">
        <f>SUM(F25:F28)</f>
        <v>671017000</v>
      </c>
      <c r="G29" s="19"/>
      <c r="H29" s="19"/>
      <c r="I29" s="19"/>
      <c r="J29" s="19"/>
      <c r="K29" s="19"/>
      <c r="L29" s="19"/>
      <c r="M29" s="19"/>
      <c r="N29" s="19"/>
      <c r="O29" s="19"/>
      <c r="P29" s="19"/>
    </row>
    <row r="30" spans="1:17" ht="6.75" customHeight="1" thickBot="1" x14ac:dyDescent="0.3">
      <c r="A30" s="47"/>
      <c r="B30" s="47"/>
      <c r="C30" s="47"/>
      <c r="D30" s="47"/>
      <c r="E30" s="47"/>
      <c r="F30" s="47"/>
      <c r="G30" s="19"/>
      <c r="H30" s="19"/>
      <c r="I30" s="19"/>
      <c r="J30" s="19"/>
      <c r="K30" s="19"/>
      <c r="L30" s="19"/>
      <c r="M30" s="19"/>
      <c r="N30" s="19"/>
      <c r="O30" s="19"/>
      <c r="P30" s="19"/>
      <c r="Q30" s="19"/>
    </row>
    <row r="31" spans="1:17" ht="46.5" customHeight="1" x14ac:dyDescent="0.25">
      <c r="A31" s="271" t="s">
        <v>204</v>
      </c>
      <c r="B31" s="272"/>
      <c r="C31" s="272"/>
      <c r="D31" s="272"/>
      <c r="E31" s="272"/>
      <c r="F31" s="272"/>
      <c r="G31" s="19"/>
      <c r="H31" s="19"/>
      <c r="I31" s="19"/>
      <c r="J31" s="19"/>
      <c r="K31" s="19"/>
      <c r="L31" s="19"/>
      <c r="M31" s="19"/>
      <c r="N31" s="19"/>
      <c r="O31" s="19"/>
      <c r="P31" s="19"/>
      <c r="Q31" s="19"/>
    </row>
    <row r="32" spans="1:17" ht="22.5" customHeight="1" x14ac:dyDescent="0.25">
      <c r="A32" s="263" t="s">
        <v>205</v>
      </c>
      <c r="B32" s="264"/>
      <c r="C32" s="264"/>
      <c r="D32" s="264"/>
      <c r="E32" s="264"/>
      <c r="F32" s="264"/>
      <c r="G32" s="19"/>
      <c r="H32" s="19"/>
      <c r="I32" s="19"/>
      <c r="J32" s="19"/>
      <c r="K32" s="19"/>
      <c r="L32" s="19"/>
      <c r="M32" s="19"/>
      <c r="N32" s="19"/>
      <c r="O32" s="19"/>
      <c r="P32" s="19"/>
      <c r="Q32" s="19"/>
    </row>
    <row r="33" spans="1:17" ht="40.5" customHeight="1" x14ac:dyDescent="0.25">
      <c r="A33" s="263" t="s">
        <v>412</v>
      </c>
      <c r="B33" s="264"/>
      <c r="C33" s="264"/>
      <c r="D33" s="264"/>
      <c r="E33" s="264"/>
      <c r="F33" s="264"/>
      <c r="G33" s="19"/>
      <c r="H33" s="19"/>
      <c r="I33" s="19"/>
      <c r="J33" s="19"/>
      <c r="K33" s="19"/>
      <c r="L33" s="19"/>
      <c r="M33" s="19"/>
      <c r="N33" s="19"/>
      <c r="O33" s="19"/>
      <c r="P33" s="19"/>
      <c r="Q33" s="19"/>
    </row>
    <row r="34" spans="1:17" x14ac:dyDescent="0.25">
      <c r="A34" s="263" t="s">
        <v>196</v>
      </c>
      <c r="B34" s="264"/>
      <c r="C34" s="264"/>
      <c r="D34" s="264"/>
      <c r="E34" s="264"/>
      <c r="F34" s="264"/>
      <c r="G34" s="19"/>
      <c r="H34" s="19"/>
      <c r="I34" s="19"/>
      <c r="J34" s="19"/>
      <c r="K34" s="19"/>
      <c r="L34" s="19"/>
      <c r="M34" s="19"/>
      <c r="N34" s="19"/>
      <c r="O34" s="19"/>
      <c r="P34" s="19"/>
      <c r="Q34" s="19"/>
    </row>
    <row r="35" spans="1:17" x14ac:dyDescent="0.25">
      <c r="A35" s="47"/>
      <c r="B35" s="47"/>
      <c r="C35" s="47"/>
      <c r="D35" s="47"/>
      <c r="E35" s="47"/>
      <c r="F35" s="47"/>
      <c r="G35" s="19"/>
      <c r="H35" s="19"/>
      <c r="I35" s="19"/>
      <c r="J35" s="19"/>
      <c r="K35" s="19"/>
      <c r="L35" s="19"/>
      <c r="M35" s="19"/>
      <c r="N35" s="19"/>
      <c r="O35" s="19"/>
      <c r="P35" s="19"/>
      <c r="Q35" s="19"/>
    </row>
    <row r="36" spans="1:17" ht="17.25" x14ac:dyDescent="0.3">
      <c r="A36" s="18" t="s">
        <v>207</v>
      </c>
      <c r="B36" s="18"/>
      <c r="C36" s="48"/>
      <c r="D36" s="47"/>
      <c r="E36" s="47"/>
      <c r="F36" s="47"/>
      <c r="G36" s="19"/>
      <c r="H36" s="19"/>
      <c r="I36" s="19"/>
      <c r="J36" s="19"/>
      <c r="K36" s="19"/>
      <c r="L36" s="19"/>
      <c r="M36" s="19"/>
      <c r="N36" s="19"/>
      <c r="O36" s="19"/>
      <c r="P36" s="19"/>
      <c r="Q36" s="19"/>
    </row>
    <row r="37" spans="1:17" ht="17.25" x14ac:dyDescent="0.3">
      <c r="A37" s="18" t="s">
        <v>208</v>
      </c>
      <c r="B37" s="18"/>
      <c r="C37" s="48"/>
      <c r="D37" s="47"/>
      <c r="E37" s="47"/>
      <c r="F37" s="47"/>
      <c r="G37" s="19"/>
      <c r="H37" s="19"/>
      <c r="I37" s="19"/>
      <c r="J37" s="19"/>
      <c r="K37" s="19"/>
      <c r="L37" s="19"/>
      <c r="M37" s="19"/>
      <c r="N37" s="19"/>
      <c r="O37" s="19"/>
      <c r="P37" s="19"/>
      <c r="Q37" s="19"/>
    </row>
    <row r="38" spans="1:17" x14ac:dyDescent="0.25">
      <c r="A38" s="19" t="str">
        <f>A4</f>
        <v>As of 11/17/2020</v>
      </c>
      <c r="B38" s="47"/>
      <c r="C38" s="47"/>
      <c r="D38" s="47"/>
      <c r="E38" s="47"/>
      <c r="F38" s="47"/>
      <c r="G38" s="47"/>
      <c r="H38" s="19"/>
      <c r="I38" s="19"/>
      <c r="J38" s="19"/>
      <c r="K38" s="19"/>
      <c r="L38" s="19"/>
      <c r="M38" s="19"/>
      <c r="N38" s="19"/>
      <c r="O38" s="19"/>
      <c r="P38" s="19"/>
      <c r="Q38" s="19"/>
    </row>
    <row r="39" spans="1:17" x14ac:dyDescent="0.25">
      <c r="A39" s="258" t="s">
        <v>209</v>
      </c>
      <c r="B39" s="258" t="s">
        <v>176</v>
      </c>
      <c r="C39" s="258" t="s">
        <v>177</v>
      </c>
      <c r="D39" s="258" t="s">
        <v>178</v>
      </c>
      <c r="E39" s="258" t="s">
        <v>210</v>
      </c>
      <c r="F39" s="258" t="s">
        <v>180</v>
      </c>
      <c r="G39" s="19"/>
      <c r="H39" s="19"/>
      <c r="I39" s="19"/>
      <c r="J39" s="19"/>
      <c r="K39" s="19"/>
      <c r="L39" s="19"/>
      <c r="M39" s="19"/>
      <c r="N39" s="19"/>
      <c r="O39" s="19"/>
      <c r="P39" s="19"/>
    </row>
    <row r="40" spans="1:17" x14ac:dyDescent="0.25">
      <c r="A40" s="258"/>
      <c r="B40" s="258"/>
      <c r="C40" s="258"/>
      <c r="D40" s="258"/>
      <c r="E40" s="258"/>
      <c r="F40" s="258"/>
      <c r="G40" s="19"/>
      <c r="H40" s="19"/>
      <c r="I40" s="19"/>
      <c r="J40" s="19"/>
      <c r="K40" s="19"/>
      <c r="L40" s="19"/>
      <c r="M40" s="19"/>
      <c r="N40" s="19"/>
      <c r="O40" s="19"/>
      <c r="P40" s="19"/>
    </row>
    <row r="41" spans="1:17" x14ac:dyDescent="0.25">
      <c r="A41" s="33" t="s">
        <v>185</v>
      </c>
      <c r="B41" s="33">
        <f>B10</f>
        <v>68</v>
      </c>
      <c r="C41" s="34">
        <f>C10</f>
        <v>10085000</v>
      </c>
      <c r="D41" s="34">
        <f>D10</f>
        <v>7714</v>
      </c>
      <c r="E41" s="35">
        <f>E10</f>
        <v>816456000</v>
      </c>
      <c r="F41" s="35">
        <f>F10</f>
        <v>207383000</v>
      </c>
      <c r="G41" s="19"/>
      <c r="H41" s="19"/>
      <c r="I41" s="19"/>
      <c r="J41" s="53"/>
      <c r="K41" s="19"/>
      <c r="L41" s="19"/>
      <c r="M41" s="19"/>
      <c r="N41" s="19"/>
      <c r="O41" s="19"/>
      <c r="P41" s="19"/>
    </row>
    <row r="42" spans="1:17" ht="22.5" x14ac:dyDescent="0.25">
      <c r="A42" s="49" t="s">
        <v>201</v>
      </c>
      <c r="B42" s="49">
        <f>B25</f>
        <v>56</v>
      </c>
      <c r="C42" s="50">
        <f>C25</f>
        <v>14329000</v>
      </c>
      <c r="D42" s="50">
        <f>D25</f>
        <v>11981</v>
      </c>
      <c r="E42" s="51">
        <f>E25</f>
        <v>1779430000</v>
      </c>
      <c r="F42" s="51">
        <f>F25</f>
        <v>624115000</v>
      </c>
      <c r="G42" s="19"/>
      <c r="H42" s="19"/>
      <c r="I42" s="19"/>
      <c r="J42" s="54"/>
      <c r="K42" s="19"/>
      <c r="L42" s="19"/>
      <c r="M42" s="19"/>
      <c r="N42" s="19"/>
      <c r="O42" s="19"/>
      <c r="P42" s="19"/>
    </row>
    <row r="43" spans="1:17" ht="22.5" x14ac:dyDescent="0.25">
      <c r="A43" s="33" t="s">
        <v>414</v>
      </c>
      <c r="B43" s="33">
        <f>B27+B28</f>
        <v>3</v>
      </c>
      <c r="C43" s="34">
        <f>C27+C28</f>
        <v>1002019</v>
      </c>
      <c r="D43" s="55">
        <f>D27</f>
        <v>984</v>
      </c>
      <c r="E43" s="35">
        <f>E27+E28</f>
        <v>123920000</v>
      </c>
      <c r="F43" s="35">
        <f>F27+F28</f>
        <v>46902000</v>
      </c>
      <c r="G43" s="19"/>
      <c r="H43" s="19"/>
      <c r="I43" s="19"/>
      <c r="J43" s="19"/>
      <c r="K43" s="19"/>
      <c r="L43" s="19"/>
      <c r="M43" s="19"/>
      <c r="N43" s="19"/>
      <c r="O43" s="19"/>
      <c r="P43" s="19"/>
    </row>
    <row r="44" spans="1:17" x14ac:dyDescent="0.25">
      <c r="A44" s="56" t="s">
        <v>211</v>
      </c>
      <c r="B44" s="56">
        <f t="shared" ref="B44:F44" si="1">SUM(B41:B43)</f>
        <v>127</v>
      </c>
      <c r="C44" s="57">
        <f t="shared" si="1"/>
        <v>25416019</v>
      </c>
      <c r="D44" s="57">
        <f t="shared" si="1"/>
        <v>20679</v>
      </c>
      <c r="E44" s="58">
        <f t="shared" si="1"/>
        <v>2719806000</v>
      </c>
      <c r="F44" s="58">
        <f t="shared" si="1"/>
        <v>878400000</v>
      </c>
      <c r="G44" s="146"/>
      <c r="H44" s="19"/>
      <c r="I44" s="19"/>
      <c r="J44" s="59"/>
      <c r="K44" s="19"/>
      <c r="L44" s="19"/>
      <c r="M44" s="19"/>
      <c r="N44" s="19"/>
      <c r="O44" s="19"/>
      <c r="P44" s="19"/>
    </row>
    <row r="45" spans="1:17" ht="15.75" thickBot="1" x14ac:dyDescent="0.3">
      <c r="A45" s="47"/>
      <c r="B45" s="47"/>
      <c r="C45" s="47"/>
      <c r="D45" s="47"/>
      <c r="E45" s="47"/>
      <c r="F45" s="47"/>
      <c r="G45" s="146"/>
      <c r="H45" s="19"/>
      <c r="I45" s="19"/>
      <c r="J45" s="19"/>
      <c r="K45" s="19"/>
      <c r="L45" s="19"/>
      <c r="M45" s="19"/>
      <c r="N45" s="19"/>
      <c r="O45" s="19"/>
      <c r="P45" s="19"/>
      <c r="Q45" s="19"/>
    </row>
    <row r="46" spans="1:17" ht="51" customHeight="1" thickBot="1" x14ac:dyDescent="0.3">
      <c r="A46" s="271" t="s">
        <v>212</v>
      </c>
      <c r="B46" s="272"/>
      <c r="C46" s="272"/>
      <c r="D46" s="272"/>
      <c r="E46" s="272"/>
      <c r="F46" s="272"/>
      <c r="G46" s="146"/>
      <c r="H46" s="19"/>
      <c r="I46" s="19"/>
      <c r="J46" s="19"/>
      <c r="K46" s="60"/>
      <c r="L46" s="19"/>
      <c r="M46" s="19"/>
      <c r="N46" s="19"/>
      <c r="O46" s="19"/>
      <c r="P46" s="19"/>
      <c r="Q46" s="19"/>
    </row>
    <row r="47" spans="1:17" ht="30" customHeight="1" thickBot="1" x14ac:dyDescent="0.3">
      <c r="A47" s="271" t="s">
        <v>213</v>
      </c>
      <c r="B47" s="272"/>
      <c r="C47" s="272"/>
      <c r="D47" s="272"/>
      <c r="E47" s="272"/>
      <c r="F47" s="272"/>
      <c r="G47" s="146"/>
      <c r="H47" s="19"/>
      <c r="I47" s="19"/>
      <c r="J47" s="19"/>
      <c r="K47" s="19"/>
      <c r="L47" s="19"/>
      <c r="M47" s="19"/>
      <c r="N47" s="19"/>
      <c r="O47" s="19"/>
      <c r="P47" s="19"/>
      <c r="Q47" s="19"/>
    </row>
    <row r="48" spans="1:17" ht="15.75" customHeight="1" thickBot="1" x14ac:dyDescent="0.3">
      <c r="A48" s="271" t="s">
        <v>206</v>
      </c>
      <c r="B48" s="272"/>
      <c r="C48" s="272"/>
      <c r="D48" s="272"/>
      <c r="E48" s="272"/>
      <c r="F48" s="272"/>
      <c r="G48" s="146"/>
      <c r="H48" s="19"/>
      <c r="I48" s="19"/>
      <c r="J48" s="19"/>
      <c r="K48" s="19"/>
      <c r="L48" s="19"/>
      <c r="M48" s="19"/>
      <c r="N48" s="19"/>
      <c r="O48" s="19"/>
      <c r="P48" s="19"/>
      <c r="Q48" s="19"/>
    </row>
    <row r="49" spans="1:17" ht="15.75" customHeight="1" x14ac:dyDescent="0.25">
      <c r="A49" s="271" t="s">
        <v>196</v>
      </c>
      <c r="B49" s="272"/>
      <c r="C49" s="272"/>
      <c r="D49" s="272"/>
      <c r="E49" s="272"/>
      <c r="F49" s="272"/>
      <c r="G49" s="146"/>
      <c r="H49" s="19"/>
      <c r="I49" s="19"/>
      <c r="J49" s="19"/>
      <c r="K49" s="19"/>
      <c r="L49" s="19"/>
      <c r="M49" s="19"/>
      <c r="N49" s="19"/>
      <c r="O49" s="19"/>
      <c r="P49" s="19"/>
      <c r="Q49" s="19"/>
    </row>
    <row r="50" spans="1:17" x14ac:dyDescent="0.25">
      <c r="A50" s="19"/>
      <c r="B50" s="19"/>
      <c r="C50" s="19"/>
      <c r="D50" s="19"/>
      <c r="E50" s="19"/>
      <c r="F50" s="19"/>
      <c r="G50" s="146"/>
      <c r="H50" s="19"/>
      <c r="I50" s="19"/>
      <c r="J50" s="19"/>
      <c r="K50" s="19"/>
      <c r="L50" s="19"/>
      <c r="M50" s="19"/>
      <c r="N50" s="19"/>
      <c r="O50" s="19"/>
      <c r="P50" s="19"/>
      <c r="Q50" s="19"/>
    </row>
    <row r="51" spans="1:17" x14ac:dyDescent="0.25">
      <c r="A51" s="19"/>
      <c r="B51" s="19"/>
      <c r="C51" s="19"/>
      <c r="D51" s="19"/>
      <c r="E51" s="19"/>
      <c r="F51" s="19"/>
      <c r="G51" s="146"/>
      <c r="H51" s="19"/>
      <c r="I51" s="19"/>
      <c r="J51" s="19"/>
      <c r="K51" s="19"/>
      <c r="L51" s="19"/>
      <c r="M51" s="19"/>
      <c r="N51" s="19"/>
      <c r="O51" s="19"/>
      <c r="P51" s="19"/>
      <c r="Q51" s="19"/>
    </row>
    <row r="52" spans="1:17" x14ac:dyDescent="0.25">
      <c r="A52" s="19"/>
      <c r="B52" s="19"/>
      <c r="C52" s="19"/>
      <c r="D52" s="19"/>
      <c r="E52" s="19"/>
      <c r="F52" s="19"/>
      <c r="G52" s="146"/>
      <c r="H52" s="19"/>
      <c r="I52" s="19"/>
      <c r="J52" s="19"/>
      <c r="K52" s="19"/>
      <c r="L52" s="19"/>
      <c r="M52" s="19"/>
      <c r="N52" s="19"/>
      <c r="O52" s="19"/>
      <c r="P52" s="19"/>
      <c r="Q52" s="19"/>
    </row>
    <row r="53" spans="1:17" x14ac:dyDescent="0.25">
      <c r="A53" s="19"/>
      <c r="B53" s="19"/>
      <c r="C53" s="19"/>
      <c r="D53" s="19"/>
      <c r="E53" s="19"/>
      <c r="F53" s="19"/>
      <c r="G53" s="146"/>
      <c r="H53" s="19"/>
      <c r="I53" s="19"/>
      <c r="J53" s="19"/>
      <c r="K53" s="19"/>
      <c r="L53" s="19"/>
      <c r="M53" s="19"/>
      <c r="N53" s="19"/>
      <c r="O53" s="19"/>
      <c r="P53" s="19"/>
      <c r="Q53" s="19"/>
    </row>
    <row r="54" spans="1:17" x14ac:dyDescent="0.25">
      <c r="G54" s="146"/>
    </row>
    <row r="55" spans="1:17" x14ac:dyDescent="0.25">
      <c r="G55" s="146"/>
    </row>
  </sheetData>
  <sheetProtection algorithmName="SHA-512" hashValue="fWt5NPGOu+On+8BCATRbk4c06jswI5K2F31tpfXdeQFM5oqhw0SkQ3dnGwgcOFYyH0IhxqlzWd1rKxQb+eEHFQ==" saltValue="RKnapGX7uubZZ6wp5w2RDw==" spinCount="100000" sheet="1" objects="1" scenarios="1"/>
  <mergeCells count="36">
    <mergeCell ref="A46:F46"/>
    <mergeCell ref="A47:F47"/>
    <mergeCell ref="A48:F48"/>
    <mergeCell ref="A49:F49"/>
    <mergeCell ref="A39:A40"/>
    <mergeCell ref="B39:B40"/>
    <mergeCell ref="C39:C40"/>
    <mergeCell ref="D39:D40"/>
    <mergeCell ref="E39:E40"/>
    <mergeCell ref="F39:F40"/>
    <mergeCell ref="A34:F34"/>
    <mergeCell ref="A12:G12"/>
    <mergeCell ref="A13:G13"/>
    <mergeCell ref="A20:A21"/>
    <mergeCell ref="B20:B21"/>
    <mergeCell ref="C20:C21"/>
    <mergeCell ref="D20:D21"/>
    <mergeCell ref="E20:E21"/>
    <mergeCell ref="F20:F21"/>
    <mergeCell ref="A22:B22"/>
    <mergeCell ref="A26:B26"/>
    <mergeCell ref="A31:F31"/>
    <mergeCell ref="A32:F32"/>
    <mergeCell ref="A33:F33"/>
    <mergeCell ref="K6:K7"/>
    <mergeCell ref="L6:L7"/>
    <mergeCell ref="K8:K9"/>
    <mergeCell ref="L8:L9"/>
    <mergeCell ref="K10:K11"/>
    <mergeCell ref="L10:L11"/>
    <mergeCell ref="F5:F6"/>
    <mergeCell ref="A5:A6"/>
    <mergeCell ref="B5:B6"/>
    <mergeCell ref="C5:C6"/>
    <mergeCell ref="D5:D6"/>
    <mergeCell ref="E5:E6"/>
  </mergeCells>
  <pageMargins left="0.7" right="0.7" top="0.75" bottom="0.75" header="0.3" footer="0.3"/>
  <pageSetup orientation="portrait"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B62E2-E279-47CF-BB9C-C353E8453679}">
  <sheetPr>
    <tabColor theme="9" tint="0.59999389629810485"/>
  </sheetPr>
  <dimension ref="A1:Q55"/>
  <sheetViews>
    <sheetView showGridLines="0" zoomScaleNormal="100" workbookViewId="0">
      <selection activeCell="A5" sqref="A5:A6"/>
    </sheetView>
  </sheetViews>
  <sheetFormatPr defaultRowHeight="15" x14ac:dyDescent="0.25"/>
  <cols>
    <col min="1" max="1" width="13" customWidth="1"/>
    <col min="5" max="5" width="12" customWidth="1"/>
    <col min="6" max="7" width="11.28515625" customWidth="1"/>
    <col min="9" max="9" width="12.5703125" bestFit="1" customWidth="1"/>
    <col min="10" max="10" width="11.7109375" bestFit="1" customWidth="1"/>
  </cols>
  <sheetData>
    <row r="1" spans="1:17" ht="17.25" x14ac:dyDescent="0.3">
      <c r="A1" s="18" t="s">
        <v>170</v>
      </c>
      <c r="B1" s="19"/>
      <c r="C1" s="19"/>
      <c r="D1" s="19"/>
      <c r="E1" s="20" t="s">
        <v>610</v>
      </c>
      <c r="F1" s="19"/>
      <c r="G1" s="19"/>
      <c r="H1" s="19"/>
      <c r="I1" s="19"/>
      <c r="J1" s="19"/>
      <c r="K1" s="19"/>
      <c r="L1" s="19"/>
      <c r="M1" s="19"/>
      <c r="N1" s="19"/>
      <c r="O1" s="19"/>
      <c r="P1" s="19"/>
      <c r="Q1" s="19"/>
    </row>
    <row r="2" spans="1:17" ht="17.25" x14ac:dyDescent="0.3">
      <c r="A2" s="18" t="s">
        <v>171</v>
      </c>
      <c r="B2" s="19"/>
      <c r="C2" s="19"/>
      <c r="D2" s="19"/>
      <c r="E2" s="20" t="s">
        <v>172</v>
      </c>
      <c r="F2" s="19"/>
      <c r="G2" s="19"/>
      <c r="H2" s="19"/>
      <c r="I2" s="20"/>
      <c r="J2" s="19"/>
      <c r="K2" s="19"/>
      <c r="L2" s="19"/>
      <c r="M2" s="21">
        <v>1.8</v>
      </c>
      <c r="N2" s="19" t="s">
        <v>173</v>
      </c>
      <c r="O2" s="19"/>
      <c r="P2" s="19"/>
      <c r="Q2" s="19"/>
    </row>
    <row r="3" spans="1:17" x14ac:dyDescent="0.25">
      <c r="A3" s="19"/>
      <c r="B3" s="19"/>
      <c r="C3" s="19"/>
      <c r="D3" s="19"/>
      <c r="E3" s="20" t="s">
        <v>174</v>
      </c>
      <c r="F3" s="19"/>
      <c r="G3" s="19"/>
      <c r="H3" s="19"/>
      <c r="I3" s="20"/>
      <c r="J3" s="19"/>
      <c r="K3" s="19"/>
      <c r="L3" s="19"/>
      <c r="M3" s="19"/>
      <c r="N3" s="19"/>
      <c r="O3" s="19"/>
      <c r="P3" s="19"/>
      <c r="Q3" s="19"/>
    </row>
    <row r="4" spans="1:17" x14ac:dyDescent="0.25">
      <c r="A4" s="19" t="s">
        <v>628</v>
      </c>
      <c r="B4" s="22"/>
      <c r="C4" s="19"/>
      <c r="D4" s="19"/>
      <c r="E4" s="20"/>
      <c r="F4" s="19"/>
      <c r="G4" s="19"/>
      <c r="H4" s="19"/>
      <c r="I4" s="20"/>
      <c r="J4" s="19"/>
      <c r="K4" s="19"/>
      <c r="L4" s="19"/>
      <c r="M4" s="19"/>
      <c r="N4" s="19"/>
      <c r="O4" s="19"/>
      <c r="P4" s="19"/>
      <c r="Q4" s="19"/>
    </row>
    <row r="5" spans="1:17" ht="32.25" customHeight="1" thickBot="1" x14ac:dyDescent="0.3">
      <c r="A5" s="258" t="s">
        <v>175</v>
      </c>
      <c r="B5" s="258" t="s">
        <v>176</v>
      </c>
      <c r="C5" s="258" t="s">
        <v>177</v>
      </c>
      <c r="D5" s="258" t="s">
        <v>178</v>
      </c>
      <c r="E5" s="258" t="s">
        <v>179</v>
      </c>
      <c r="F5" s="258" t="s">
        <v>180</v>
      </c>
      <c r="G5" s="23" t="s">
        <v>181</v>
      </c>
      <c r="H5" s="19"/>
      <c r="I5" s="20"/>
      <c r="J5" s="19"/>
      <c r="K5" s="19"/>
      <c r="L5" s="19"/>
      <c r="M5" s="19"/>
      <c r="N5" s="19"/>
      <c r="O5" s="19"/>
      <c r="P5" s="19"/>
      <c r="Q5" s="19"/>
    </row>
    <row r="6" spans="1:17" x14ac:dyDescent="0.25">
      <c r="A6" s="258"/>
      <c r="B6" s="258"/>
      <c r="C6" s="258"/>
      <c r="D6" s="258"/>
      <c r="E6" s="258"/>
      <c r="F6" s="258"/>
      <c r="G6" s="23" t="s">
        <v>182</v>
      </c>
      <c r="H6" s="19" t="s">
        <v>167</v>
      </c>
      <c r="I6" s="19"/>
      <c r="J6" s="20"/>
      <c r="K6" s="259" t="s">
        <v>183</v>
      </c>
      <c r="L6" s="261" t="s">
        <v>184</v>
      </c>
      <c r="M6" s="19"/>
      <c r="N6" s="19"/>
      <c r="O6" s="19"/>
      <c r="P6" s="19"/>
      <c r="Q6" s="19"/>
    </row>
    <row r="7" spans="1:17" ht="15.75" thickBot="1" x14ac:dyDescent="0.3">
      <c r="A7" s="143" t="s">
        <v>185</v>
      </c>
      <c r="B7" s="24"/>
      <c r="C7" s="24"/>
      <c r="D7" s="24"/>
      <c r="E7" s="24"/>
      <c r="F7" s="24"/>
      <c r="G7" s="24"/>
      <c r="H7" s="19"/>
      <c r="I7" s="19"/>
      <c r="J7" s="19"/>
      <c r="K7" s="260" t="s">
        <v>186</v>
      </c>
      <c r="L7" s="262"/>
      <c r="M7" s="19"/>
      <c r="N7" s="19"/>
      <c r="O7" s="19"/>
      <c r="P7" s="19"/>
      <c r="Q7" s="19"/>
    </row>
    <row r="8" spans="1:17" ht="15.75" thickTop="1" x14ac:dyDescent="0.25">
      <c r="A8" s="25" t="s">
        <v>97</v>
      </c>
      <c r="B8" s="25">
        <f>GETPIVOTDATA("Property",'MLGCap Pivots'!$B$9,"Type","Multi-Family")</f>
        <v>30</v>
      </c>
      <c r="C8" s="26">
        <f>ROUND(GETPIVOTDATA("Sum of Size (SF)",'MLGCap Pivots'!$B$20,"Type","Multi-Family"),-3)</f>
        <v>6149000</v>
      </c>
      <c r="D8" s="26">
        <f>GETPIVOTDATA("Sum of Units",'MLGCap Pivots'!$B$20,"Type","Multi-Family")</f>
        <v>7714</v>
      </c>
      <c r="E8" s="27">
        <f>ROUND(GETPIVOTDATA("Sum of Sales Price",'MLGCap Pivots'!$B$20,"Type","Multi-Family"),-3)</f>
        <v>537117000</v>
      </c>
      <c r="F8" s="27">
        <f>ROUND(GETPIVOTDATA("Sum of Total Equity",'MLGCap Pivots'!$B$20,"Type","Multi-Family"),-3)</f>
        <v>127854000</v>
      </c>
      <c r="G8" s="27">
        <f>ROUND(GETPIVOTDATA("Sum of Total Property Distributions",'MLGCap Pivots'!$B$20,"Type","Multi-Family"),-3)</f>
        <v>321505000</v>
      </c>
      <c r="H8" s="28">
        <f>J8</f>
        <v>2.5146260578472321</v>
      </c>
      <c r="I8" s="19"/>
      <c r="J8" s="29">
        <f>G8/F8</f>
        <v>2.5146260578472321</v>
      </c>
      <c r="K8" s="259" t="s">
        <v>187</v>
      </c>
      <c r="L8" s="261" t="s">
        <v>188</v>
      </c>
      <c r="M8" s="19"/>
      <c r="N8" s="19"/>
      <c r="O8" s="19"/>
      <c r="P8" s="19"/>
      <c r="Q8" s="19"/>
    </row>
    <row r="9" spans="1:17" ht="23.25" thickBot="1" x14ac:dyDescent="0.3">
      <c r="A9" s="30" t="s">
        <v>189</v>
      </c>
      <c r="B9" s="30">
        <f>GETPIVOTDATA("Property",'MLGCap Pivots'!$B$9,"Type","Commercial")</f>
        <v>38</v>
      </c>
      <c r="C9" s="31">
        <f>ROUND(GETPIVOTDATA("Sum of Size (SF)",'MLGCap Pivots'!$B$20,"Type","Commercial"),-3)</f>
        <v>3936000</v>
      </c>
      <c r="D9" s="30" t="s">
        <v>190</v>
      </c>
      <c r="E9" s="32">
        <f>ROUND(GETPIVOTDATA("Sum of Sales Price",'MLGCap Pivots'!$B$20,"Type","Commercial"),-3)</f>
        <v>279339000</v>
      </c>
      <c r="F9" s="32">
        <f>ROUND(GETPIVOTDATA("Sum of Total Equity",'MLGCap Pivots'!$B$20,"Type","Commercial"),-3)</f>
        <v>79529000</v>
      </c>
      <c r="G9" s="32">
        <f>ROUND(GETPIVOTDATA("Sum of Total Property Distributions",'MLGCap Pivots'!$B$20,"Type","Commercial"),-3)</f>
        <v>144186000</v>
      </c>
      <c r="H9" s="28">
        <f>J9</f>
        <v>1.8129990317997209</v>
      </c>
      <c r="I9" s="19"/>
      <c r="J9" s="29">
        <f>G9/F9</f>
        <v>1.8129990317997209</v>
      </c>
      <c r="K9" s="260"/>
      <c r="L9" s="262"/>
      <c r="M9" s="19"/>
      <c r="N9" s="19"/>
      <c r="O9" s="19"/>
      <c r="P9" s="19"/>
      <c r="Q9" s="19"/>
    </row>
    <row r="10" spans="1:17" ht="15.75" thickTop="1" x14ac:dyDescent="0.25">
      <c r="A10" s="33" t="s">
        <v>191</v>
      </c>
      <c r="B10" s="33">
        <f t="shared" ref="B10:G10" si="0">SUM(B8:B9)</f>
        <v>68</v>
      </c>
      <c r="C10" s="34">
        <f t="shared" si="0"/>
        <v>10085000</v>
      </c>
      <c r="D10" s="34">
        <f t="shared" si="0"/>
        <v>7714</v>
      </c>
      <c r="E10" s="35">
        <f t="shared" si="0"/>
        <v>816456000</v>
      </c>
      <c r="F10" s="35">
        <f t="shared" si="0"/>
        <v>207383000</v>
      </c>
      <c r="G10" s="35">
        <f t="shared" si="0"/>
        <v>465691000</v>
      </c>
      <c r="H10" s="28">
        <f>J10</f>
        <v>2.2455601471673186</v>
      </c>
      <c r="I10" s="19"/>
      <c r="J10" s="29">
        <f>G10/F10</f>
        <v>2.2455601471673186</v>
      </c>
      <c r="K10" s="259" t="s">
        <v>192</v>
      </c>
      <c r="L10" s="261" t="s">
        <v>193</v>
      </c>
      <c r="M10" s="19"/>
      <c r="N10" s="19"/>
      <c r="O10" s="19"/>
      <c r="P10" s="19"/>
      <c r="Q10" s="19"/>
    </row>
    <row r="11" spans="1:17" ht="15.75" thickBot="1" x14ac:dyDescent="0.3">
      <c r="A11" s="36"/>
      <c r="B11" s="37"/>
      <c r="C11" s="38"/>
      <c r="D11" s="38"/>
      <c r="E11" s="39"/>
      <c r="F11" s="39"/>
      <c r="G11" s="39"/>
      <c r="H11" s="19"/>
      <c r="I11" s="19"/>
      <c r="J11" s="19"/>
      <c r="K11" s="260"/>
      <c r="L11" s="262"/>
      <c r="M11" s="19"/>
      <c r="N11" s="19"/>
      <c r="O11" s="19"/>
      <c r="P11" s="19"/>
      <c r="Q11" s="19"/>
    </row>
    <row r="12" spans="1:17" ht="50.25" customHeight="1" thickTop="1" x14ac:dyDescent="0.25">
      <c r="A12" s="265" t="s">
        <v>194</v>
      </c>
      <c r="B12" s="266"/>
      <c r="C12" s="266"/>
      <c r="D12" s="266"/>
      <c r="E12" s="266"/>
      <c r="F12" s="266"/>
      <c r="G12" s="266"/>
      <c r="H12" s="19"/>
      <c r="I12" s="19"/>
      <c r="J12" s="40"/>
      <c r="K12" s="19"/>
      <c r="L12" s="19"/>
      <c r="M12" s="19"/>
      <c r="N12" s="19"/>
      <c r="O12" s="19"/>
      <c r="P12" s="19"/>
      <c r="Q12" s="19"/>
    </row>
    <row r="13" spans="1:17" ht="15.75" thickBot="1" x14ac:dyDescent="0.3">
      <c r="A13" s="267" t="s">
        <v>195</v>
      </c>
      <c r="B13" s="268"/>
      <c r="C13" s="268"/>
      <c r="D13" s="268"/>
      <c r="E13" s="268"/>
      <c r="F13" s="268"/>
      <c r="G13" s="268"/>
      <c r="H13" s="19"/>
      <c r="I13" s="19"/>
      <c r="J13" s="19"/>
      <c r="K13" s="19"/>
      <c r="L13" s="19"/>
      <c r="M13" s="19"/>
      <c r="N13" s="19"/>
      <c r="O13" s="19"/>
      <c r="P13" s="19"/>
      <c r="Q13" s="19"/>
    </row>
    <row r="14" spans="1:17" ht="15.75" hidden="1" thickBot="1" x14ac:dyDescent="0.3">
      <c r="A14" s="41"/>
      <c r="B14" s="42"/>
      <c r="C14" s="42"/>
      <c r="D14" s="42"/>
      <c r="E14" s="42"/>
      <c r="F14" s="42"/>
      <c r="G14" s="42"/>
      <c r="H14" s="19"/>
      <c r="I14" s="19"/>
      <c r="J14" s="43"/>
      <c r="K14" s="19"/>
      <c r="L14" s="19"/>
      <c r="M14" s="19"/>
      <c r="N14" s="19"/>
      <c r="O14" s="19"/>
      <c r="P14" s="19"/>
      <c r="Q14" s="19"/>
    </row>
    <row r="15" spans="1:17" ht="15.75" thickBot="1" x14ac:dyDescent="0.3">
      <c r="A15" s="44" t="s">
        <v>196</v>
      </c>
      <c r="B15" s="45"/>
      <c r="C15" s="45"/>
      <c r="D15" s="45"/>
      <c r="E15" s="45"/>
      <c r="F15" s="45"/>
      <c r="G15" s="46"/>
      <c r="H15" s="19"/>
      <c r="I15" s="19"/>
      <c r="J15" s="19"/>
      <c r="K15" s="19"/>
      <c r="L15" s="19"/>
      <c r="M15" s="19"/>
      <c r="N15" s="19"/>
      <c r="O15" s="19"/>
      <c r="P15" s="19"/>
      <c r="Q15" s="19"/>
    </row>
    <row r="16" spans="1:17" x14ac:dyDescent="0.25">
      <c r="A16" s="47"/>
      <c r="B16" s="47"/>
      <c r="C16" s="47"/>
      <c r="D16" s="47"/>
      <c r="E16" s="47"/>
      <c r="F16" s="47"/>
      <c r="G16" s="47"/>
      <c r="H16" s="19"/>
      <c r="I16" s="19"/>
      <c r="J16" s="19"/>
      <c r="K16" s="19"/>
      <c r="L16" s="19"/>
      <c r="M16" s="19"/>
      <c r="N16" s="19"/>
      <c r="O16" s="19"/>
      <c r="P16" s="19"/>
      <c r="Q16" s="19"/>
    </row>
    <row r="17" spans="1:17" ht="17.25" x14ac:dyDescent="0.3">
      <c r="A17" s="18" t="s">
        <v>170</v>
      </c>
      <c r="B17" s="48"/>
      <c r="C17" s="48"/>
      <c r="D17" s="48"/>
      <c r="E17" s="47"/>
      <c r="F17" s="47"/>
      <c r="G17" s="47"/>
      <c r="H17" s="19"/>
      <c r="I17" s="19"/>
      <c r="J17" s="19"/>
      <c r="K17" s="19"/>
      <c r="L17" s="19"/>
      <c r="M17" s="21">
        <v>1.7</v>
      </c>
      <c r="N17" s="19" t="s">
        <v>173</v>
      </c>
      <c r="O17" s="19"/>
      <c r="P17" s="19"/>
      <c r="Q17" s="19"/>
    </row>
    <row r="18" spans="1:17" ht="17.25" x14ac:dyDescent="0.3">
      <c r="A18" s="18" t="s">
        <v>197</v>
      </c>
      <c r="B18" s="48"/>
      <c r="C18" s="48"/>
      <c r="D18" s="48"/>
      <c r="E18" s="47"/>
      <c r="F18" s="47"/>
      <c r="G18" s="47"/>
      <c r="H18" s="19"/>
      <c r="I18" s="19"/>
      <c r="J18" s="19"/>
      <c r="K18" s="19"/>
      <c r="L18" s="19"/>
      <c r="M18" s="19"/>
      <c r="N18" s="19"/>
      <c r="O18" s="19"/>
      <c r="P18" s="19"/>
      <c r="Q18" s="19"/>
    </row>
    <row r="19" spans="1:17" x14ac:dyDescent="0.25">
      <c r="A19" s="19" t="str">
        <f>A4</f>
        <v>As of 11/17/2020</v>
      </c>
      <c r="B19" s="47"/>
      <c r="C19" s="47"/>
      <c r="D19" s="47"/>
      <c r="E19" s="47"/>
      <c r="F19" s="47"/>
      <c r="G19" s="47"/>
      <c r="H19" s="19"/>
      <c r="I19" s="19"/>
      <c r="J19" s="19"/>
      <c r="K19" s="19"/>
      <c r="L19" s="19"/>
      <c r="M19" s="19"/>
      <c r="N19" s="19"/>
      <c r="O19" s="19"/>
      <c r="P19" s="19"/>
      <c r="Q19" s="19"/>
    </row>
    <row r="20" spans="1:17" ht="32.25" customHeight="1" x14ac:dyDescent="0.25">
      <c r="A20" s="269" t="s">
        <v>175</v>
      </c>
      <c r="B20" s="269" t="s">
        <v>176</v>
      </c>
      <c r="C20" s="269" t="s">
        <v>198</v>
      </c>
      <c r="D20" s="269" t="s">
        <v>178</v>
      </c>
      <c r="E20" s="269" t="s">
        <v>199</v>
      </c>
      <c r="F20" s="269" t="s">
        <v>200</v>
      </c>
      <c r="G20" s="19"/>
      <c r="H20" s="19"/>
      <c r="I20" s="19"/>
      <c r="J20" s="19"/>
      <c r="K20" s="19"/>
      <c r="L20" s="19"/>
      <c r="M20" s="19"/>
      <c r="N20" s="19"/>
      <c r="O20" s="19"/>
      <c r="P20" s="19"/>
    </row>
    <row r="21" spans="1:17" x14ac:dyDescent="0.25">
      <c r="A21" s="269"/>
      <c r="B21" s="269"/>
      <c r="C21" s="269"/>
      <c r="D21" s="269"/>
      <c r="E21" s="269"/>
      <c r="F21" s="269"/>
      <c r="G21" s="19"/>
      <c r="H21" s="19"/>
      <c r="I21" s="19"/>
      <c r="J21" s="19"/>
      <c r="K21" s="19"/>
      <c r="L21" s="19"/>
      <c r="M21" s="19"/>
      <c r="N21" s="19"/>
      <c r="O21" s="19"/>
      <c r="P21" s="19"/>
    </row>
    <row r="22" spans="1:17" x14ac:dyDescent="0.25">
      <c r="A22" s="270" t="s">
        <v>201</v>
      </c>
      <c r="B22" s="270"/>
      <c r="C22" s="24"/>
      <c r="D22" s="24"/>
      <c r="E22" s="24"/>
      <c r="F22" s="24"/>
      <c r="G22" s="19"/>
      <c r="H22" s="19"/>
      <c r="I22" s="19"/>
      <c r="J22" s="19"/>
      <c r="K22" s="19"/>
      <c r="L22" s="19"/>
      <c r="M22" s="19"/>
      <c r="N22" s="19"/>
      <c r="O22" s="19"/>
      <c r="P22" s="19"/>
    </row>
    <row r="23" spans="1:17" x14ac:dyDescent="0.25">
      <c r="A23" s="30" t="s">
        <v>97</v>
      </c>
      <c r="B23" s="30">
        <f>GETPIVOTDATA("Property",'MLGCap Pivots'!$B$35,"Type","Multi-Family")</f>
        <v>37</v>
      </c>
      <c r="C23" s="31">
        <f>ROUND(GETPIVOTDATA("Sum of Size (SF)",'MLGCap Pivots'!$B$47,"Type","Multi-Family"),-3)</f>
        <v>9720000</v>
      </c>
      <c r="D23" s="31">
        <f>GETPIVOTDATA("Sum of Units",'MLGCap Pivots'!$B$47,"Type","Multi-Family")</f>
        <v>11184</v>
      </c>
      <c r="E23" s="32">
        <f>ROUND(GETPIVOTDATA("Sum of Fair Market Value Estimate",'MLGCap Pivots'!$B$47,"Type","Multi-Family"),-3)</f>
        <v>1485650000</v>
      </c>
      <c r="F23" s="32">
        <f>ROUND(GETPIVOTDATA("Sum of Total Equity",'MLGCap Pivots'!$B$47,"Type","Multi-Family"),-3)</f>
        <v>493696000</v>
      </c>
      <c r="G23" s="19"/>
      <c r="H23" s="19"/>
      <c r="I23" s="29"/>
      <c r="J23" s="19"/>
      <c r="K23" s="19"/>
      <c r="L23" s="19"/>
      <c r="M23" s="19"/>
      <c r="N23" s="19"/>
      <c r="O23" s="19"/>
      <c r="P23" s="19"/>
    </row>
    <row r="24" spans="1:17" ht="22.5" x14ac:dyDescent="0.25">
      <c r="A24" s="25" t="s">
        <v>189</v>
      </c>
      <c r="B24" s="25">
        <f>GETPIVOTDATA("Property",'MLGCap Pivots'!$B$35,"Type","Commercial")</f>
        <v>12</v>
      </c>
      <c r="C24" s="26">
        <f>ROUND(GETPIVOTDATA("Sum of Size (SF)",'MLGCap Pivots'!$B$47,"Type","Commercial"),-3)</f>
        <v>3791000</v>
      </c>
      <c r="D24" s="25" t="s">
        <v>190</v>
      </c>
      <c r="E24" s="27">
        <f>ROUND(GETPIVOTDATA("Sum of Fair Market Value Estimate",'MLGCap Pivots'!$B$47,"Type","Commercial"),3)</f>
        <v>194750000</v>
      </c>
      <c r="F24" s="27">
        <f>ROUND(GETPIVOTDATA("Sum of Total Equity",'MLGCap Pivots'!$B$47,"Type","Commercial"),-3)</f>
        <v>75393000</v>
      </c>
      <c r="G24" s="19"/>
      <c r="H24" s="19"/>
      <c r="I24" s="53"/>
      <c r="J24" s="19"/>
      <c r="K24" s="19"/>
      <c r="L24" s="19"/>
      <c r="M24" s="19"/>
      <c r="N24" s="19"/>
      <c r="O24" s="19"/>
      <c r="P24" s="19"/>
    </row>
    <row r="25" spans="1:17" x14ac:dyDescent="0.25">
      <c r="A25" s="49" t="s">
        <v>191</v>
      </c>
      <c r="B25" s="49">
        <f t="shared" ref="B25:F25" si="1">SUM(B23:B24)</f>
        <v>49</v>
      </c>
      <c r="C25" s="50">
        <f t="shared" si="1"/>
        <v>13511000</v>
      </c>
      <c r="D25" s="50">
        <f t="shared" si="1"/>
        <v>11184</v>
      </c>
      <c r="E25" s="51">
        <f t="shared" si="1"/>
        <v>1680400000</v>
      </c>
      <c r="F25" s="51">
        <f t="shared" si="1"/>
        <v>569089000</v>
      </c>
      <c r="G25" s="19"/>
      <c r="H25" s="19"/>
      <c r="I25" s="19"/>
      <c r="J25" s="52"/>
      <c r="K25" s="19"/>
      <c r="L25" s="19"/>
      <c r="M25" s="19"/>
      <c r="N25" s="19"/>
      <c r="O25" s="19"/>
      <c r="P25" s="19"/>
    </row>
    <row r="26" spans="1:17" x14ac:dyDescent="0.25">
      <c r="A26" s="270" t="s">
        <v>216</v>
      </c>
      <c r="B26" s="270"/>
      <c r="C26" s="24"/>
      <c r="D26" s="24"/>
      <c r="E26" s="24"/>
      <c r="F26" s="24"/>
      <c r="G26" s="19"/>
      <c r="H26" s="19"/>
      <c r="I26" s="19"/>
      <c r="J26" s="52"/>
      <c r="K26" s="19"/>
      <c r="L26" s="19"/>
      <c r="M26" s="19"/>
      <c r="N26" s="19"/>
      <c r="O26" s="19"/>
      <c r="P26" s="19"/>
    </row>
    <row r="27" spans="1:17" x14ac:dyDescent="0.25">
      <c r="A27" s="30" t="s">
        <v>97</v>
      </c>
      <c r="B27" s="30">
        <f>GETPIVOTDATA("Property",'MLGCap Pivots'!$B$58,"Type","Multi-Family")</f>
        <v>3</v>
      </c>
      <c r="C27" s="31">
        <f>GETPIVOTDATA("Sum of Size (SF)",'MLGCap Pivots'!$B$70,"Type","Multi-Family")</f>
        <v>1002019</v>
      </c>
      <c r="D27" s="31">
        <f>GETPIVOTDATA("Sum of Units",'MLGCap Pivots'!$B$70,"Type","Multi-Family")</f>
        <v>984</v>
      </c>
      <c r="E27" s="32">
        <f>GETPIVOTDATA("Sum of Fair Market Value Estimate",'MLGCap Pivots'!$B$70,"Type","Multi-Family")</f>
        <v>123920000</v>
      </c>
      <c r="F27" s="32">
        <f>GETPIVOTDATA("Sum of Total Equity",'MLGCap Pivots'!$B$70,"Type","Multi-Family")</f>
        <v>46902000</v>
      </c>
      <c r="G27" s="19"/>
      <c r="H27" s="19"/>
      <c r="I27" s="19"/>
      <c r="J27" s="19"/>
      <c r="K27" s="19"/>
      <c r="L27" s="19"/>
      <c r="M27" s="19"/>
      <c r="N27" s="19"/>
      <c r="O27" s="19"/>
      <c r="P27" s="19"/>
    </row>
    <row r="28" spans="1:17" ht="22.5" x14ac:dyDescent="0.25">
      <c r="A28" s="25" t="s">
        <v>189</v>
      </c>
      <c r="B28" s="25">
        <v>0</v>
      </c>
      <c r="C28" s="26">
        <v>0</v>
      </c>
      <c r="D28" s="25" t="s">
        <v>190</v>
      </c>
      <c r="E28" s="27">
        <v>0</v>
      </c>
      <c r="F28" s="27">
        <v>0</v>
      </c>
      <c r="G28" s="19"/>
      <c r="H28" s="19"/>
      <c r="I28" s="19"/>
      <c r="J28" s="19"/>
      <c r="K28" s="29"/>
      <c r="L28" s="19"/>
      <c r="M28" s="19"/>
      <c r="N28" s="19"/>
      <c r="O28" s="19"/>
      <c r="P28" s="19"/>
    </row>
    <row r="29" spans="1:17" ht="22.5" x14ac:dyDescent="0.25">
      <c r="A29" s="49" t="s">
        <v>203</v>
      </c>
      <c r="B29" s="49">
        <f>SUM(B25:B28)</f>
        <v>52</v>
      </c>
      <c r="C29" s="50">
        <f>SUM(C25:C28)</f>
        <v>14513019</v>
      </c>
      <c r="D29" s="50">
        <f>SUM(D25:D28)</f>
        <v>12168</v>
      </c>
      <c r="E29" s="51">
        <f t="shared" ref="E29" si="2">SUM(E25:E28)</f>
        <v>1804320000</v>
      </c>
      <c r="F29" s="51">
        <f>SUM(F25:F28)</f>
        <v>615991000</v>
      </c>
      <c r="G29" s="19"/>
      <c r="H29" s="19"/>
      <c r="I29" s="19"/>
      <c r="J29" s="19"/>
      <c r="K29" s="19"/>
      <c r="L29" s="19"/>
      <c r="M29" s="19"/>
      <c r="N29" s="19"/>
      <c r="O29" s="19"/>
      <c r="P29" s="19"/>
    </row>
    <row r="30" spans="1:17" ht="6.75" customHeight="1" thickBot="1" x14ac:dyDescent="0.3">
      <c r="A30" s="47"/>
      <c r="B30" s="47"/>
      <c r="C30" s="47"/>
      <c r="D30" s="47"/>
      <c r="E30" s="47"/>
      <c r="F30" s="47"/>
      <c r="G30" s="19"/>
      <c r="H30" s="19"/>
      <c r="I30" s="19"/>
      <c r="J30" s="19"/>
      <c r="K30" s="19"/>
      <c r="L30" s="19"/>
      <c r="M30" s="19"/>
      <c r="N30" s="19"/>
      <c r="O30" s="19"/>
      <c r="P30" s="19"/>
      <c r="Q30" s="19"/>
    </row>
    <row r="31" spans="1:17" ht="46.5" customHeight="1" x14ac:dyDescent="0.25">
      <c r="A31" s="271" t="s">
        <v>204</v>
      </c>
      <c r="B31" s="272"/>
      <c r="C31" s="272"/>
      <c r="D31" s="272"/>
      <c r="E31" s="272"/>
      <c r="F31" s="272"/>
      <c r="G31" s="19"/>
      <c r="H31" s="19"/>
      <c r="I31" s="19"/>
      <c r="J31" s="19"/>
      <c r="K31" s="19"/>
      <c r="L31" s="19"/>
      <c r="M31" s="19"/>
      <c r="N31" s="19"/>
      <c r="O31" s="19"/>
      <c r="P31" s="19"/>
      <c r="Q31" s="19"/>
    </row>
    <row r="32" spans="1:17" ht="22.5" customHeight="1" x14ac:dyDescent="0.25">
      <c r="A32" s="263" t="s">
        <v>205</v>
      </c>
      <c r="B32" s="264"/>
      <c r="C32" s="264"/>
      <c r="D32" s="264"/>
      <c r="E32" s="264"/>
      <c r="F32" s="264"/>
      <c r="G32" s="19"/>
      <c r="H32" s="19"/>
      <c r="I32" s="19"/>
      <c r="J32" s="19"/>
      <c r="K32" s="19"/>
      <c r="L32" s="19"/>
      <c r="M32" s="19"/>
      <c r="N32" s="19"/>
      <c r="O32" s="19"/>
      <c r="P32" s="19"/>
      <c r="Q32" s="19"/>
    </row>
    <row r="33" spans="1:17" ht="40.5" customHeight="1" x14ac:dyDescent="0.25">
      <c r="A33" s="263" t="s">
        <v>412</v>
      </c>
      <c r="B33" s="264"/>
      <c r="C33" s="264"/>
      <c r="D33" s="264"/>
      <c r="E33" s="264"/>
      <c r="F33" s="264"/>
      <c r="G33" s="19"/>
      <c r="H33" s="19"/>
      <c r="I33" s="19"/>
      <c r="J33" s="19"/>
      <c r="K33" s="19"/>
      <c r="L33" s="19"/>
      <c r="M33" s="19"/>
      <c r="N33" s="19"/>
      <c r="O33" s="19"/>
      <c r="P33" s="19"/>
      <c r="Q33" s="19"/>
    </row>
    <row r="34" spans="1:17" x14ac:dyDescent="0.25">
      <c r="A34" s="263" t="s">
        <v>196</v>
      </c>
      <c r="B34" s="264"/>
      <c r="C34" s="264"/>
      <c r="D34" s="264"/>
      <c r="E34" s="264"/>
      <c r="F34" s="264"/>
      <c r="G34" s="19"/>
      <c r="H34" s="19"/>
      <c r="I34" s="19"/>
      <c r="J34" s="19"/>
      <c r="K34" s="19"/>
      <c r="L34" s="19"/>
      <c r="M34" s="19"/>
      <c r="N34" s="19"/>
      <c r="O34" s="19"/>
      <c r="P34" s="19"/>
      <c r="Q34" s="19"/>
    </row>
    <row r="35" spans="1:17" x14ac:dyDescent="0.25">
      <c r="A35" s="47"/>
      <c r="B35" s="47"/>
      <c r="C35" s="47"/>
      <c r="D35" s="47"/>
      <c r="E35" s="47"/>
      <c r="F35" s="47"/>
      <c r="G35" s="19"/>
      <c r="H35" s="19"/>
      <c r="I35" s="19"/>
      <c r="J35" s="19"/>
      <c r="K35" s="19"/>
      <c r="L35" s="19"/>
      <c r="M35" s="19"/>
      <c r="N35" s="19"/>
      <c r="O35" s="19"/>
      <c r="P35" s="19"/>
      <c r="Q35" s="19"/>
    </row>
    <row r="36" spans="1:17" ht="17.25" x14ac:dyDescent="0.3">
      <c r="A36" s="18" t="s">
        <v>207</v>
      </c>
      <c r="B36" s="18"/>
      <c r="C36" s="48"/>
      <c r="D36" s="47"/>
      <c r="E36" s="47"/>
      <c r="F36" s="47"/>
      <c r="G36" s="19"/>
      <c r="H36" s="19"/>
      <c r="I36" s="19"/>
      <c r="J36" s="19"/>
      <c r="K36" s="19"/>
      <c r="L36" s="19"/>
      <c r="M36" s="19"/>
      <c r="N36" s="19"/>
      <c r="O36" s="19"/>
      <c r="P36" s="19"/>
      <c r="Q36" s="19"/>
    </row>
    <row r="37" spans="1:17" ht="17.25" x14ac:dyDescent="0.3">
      <c r="A37" s="18" t="s">
        <v>208</v>
      </c>
      <c r="B37" s="18"/>
      <c r="C37" s="48"/>
      <c r="D37" s="47"/>
      <c r="E37" s="47"/>
      <c r="F37" s="47"/>
      <c r="G37" s="19"/>
      <c r="H37" s="19"/>
      <c r="I37" s="19"/>
      <c r="J37" s="19"/>
      <c r="K37" s="19"/>
      <c r="L37" s="19"/>
      <c r="M37" s="19"/>
      <c r="N37" s="19"/>
      <c r="O37" s="19"/>
      <c r="P37" s="19"/>
      <c r="Q37" s="19"/>
    </row>
    <row r="38" spans="1:17" x14ac:dyDescent="0.25">
      <c r="A38" s="19" t="str">
        <f>A4</f>
        <v>As of 11/17/2020</v>
      </c>
      <c r="B38" s="47"/>
      <c r="C38" s="47"/>
      <c r="D38" s="47"/>
      <c r="E38" s="47"/>
      <c r="F38" s="47"/>
      <c r="G38" s="47"/>
      <c r="H38" s="19"/>
      <c r="I38" s="19"/>
      <c r="J38" s="19"/>
      <c r="K38" s="19"/>
      <c r="L38" s="19"/>
      <c r="M38" s="19"/>
      <c r="N38" s="19"/>
      <c r="O38" s="19"/>
      <c r="P38" s="19"/>
      <c r="Q38" s="19"/>
    </row>
    <row r="39" spans="1:17" x14ac:dyDescent="0.25">
      <c r="A39" s="258" t="s">
        <v>209</v>
      </c>
      <c r="B39" s="258" t="s">
        <v>176</v>
      </c>
      <c r="C39" s="258" t="s">
        <v>177</v>
      </c>
      <c r="D39" s="258" t="s">
        <v>178</v>
      </c>
      <c r="E39" s="258" t="s">
        <v>210</v>
      </c>
      <c r="F39" s="258" t="s">
        <v>180</v>
      </c>
      <c r="G39" s="19"/>
      <c r="H39" s="19"/>
      <c r="I39" s="19"/>
      <c r="J39" s="19"/>
      <c r="K39" s="19"/>
      <c r="L39" s="19"/>
      <c r="M39" s="19"/>
      <c r="N39" s="19"/>
      <c r="O39" s="19"/>
      <c r="P39" s="19"/>
    </row>
    <row r="40" spans="1:17" x14ac:dyDescent="0.25">
      <c r="A40" s="258"/>
      <c r="B40" s="258"/>
      <c r="C40" s="258"/>
      <c r="D40" s="258"/>
      <c r="E40" s="258"/>
      <c r="F40" s="258"/>
      <c r="G40" s="19"/>
      <c r="H40" s="19"/>
      <c r="I40" s="19"/>
      <c r="J40" s="19"/>
      <c r="K40" s="19"/>
      <c r="L40" s="19"/>
      <c r="M40" s="19"/>
      <c r="N40" s="19"/>
      <c r="O40" s="19"/>
      <c r="P40" s="19"/>
    </row>
    <row r="41" spans="1:17" x14ac:dyDescent="0.25">
      <c r="A41" s="33" t="s">
        <v>185</v>
      </c>
      <c r="B41" s="33">
        <f>B10</f>
        <v>68</v>
      </c>
      <c r="C41" s="34">
        <f>C10</f>
        <v>10085000</v>
      </c>
      <c r="D41" s="34">
        <f>D10</f>
        <v>7714</v>
      </c>
      <c r="E41" s="35">
        <f>E10</f>
        <v>816456000</v>
      </c>
      <c r="F41" s="35">
        <f>F10</f>
        <v>207383000</v>
      </c>
      <c r="G41" s="19"/>
      <c r="H41" s="19"/>
      <c r="I41" s="19"/>
      <c r="J41" s="53"/>
      <c r="K41" s="19"/>
      <c r="L41" s="19"/>
      <c r="M41" s="19"/>
      <c r="N41" s="19"/>
      <c r="O41" s="19"/>
      <c r="P41" s="19"/>
    </row>
    <row r="42" spans="1:17" ht="22.5" x14ac:dyDescent="0.25">
      <c r="A42" s="49" t="s">
        <v>201</v>
      </c>
      <c r="B42" s="49">
        <f>B25</f>
        <v>49</v>
      </c>
      <c r="C42" s="50">
        <f>C25</f>
        <v>13511000</v>
      </c>
      <c r="D42" s="50">
        <f>D25</f>
        <v>11184</v>
      </c>
      <c r="E42" s="51">
        <f>E25</f>
        <v>1680400000</v>
      </c>
      <c r="F42" s="51">
        <f>F25</f>
        <v>569089000</v>
      </c>
      <c r="G42" s="19"/>
      <c r="H42" s="19"/>
      <c r="I42" s="19"/>
      <c r="J42" s="54"/>
      <c r="K42" s="19"/>
      <c r="L42" s="19"/>
      <c r="M42" s="19"/>
      <c r="N42" s="19"/>
      <c r="O42" s="19"/>
      <c r="P42" s="19"/>
    </row>
    <row r="43" spans="1:17" ht="22.5" x14ac:dyDescent="0.25">
      <c r="A43" s="33" t="s">
        <v>414</v>
      </c>
      <c r="B43" s="33">
        <f>B27+B28</f>
        <v>3</v>
      </c>
      <c r="C43" s="34">
        <f>C27+C28</f>
        <v>1002019</v>
      </c>
      <c r="D43" s="55">
        <f>D27</f>
        <v>984</v>
      </c>
      <c r="E43" s="35">
        <f>E27+E28</f>
        <v>123920000</v>
      </c>
      <c r="F43" s="35">
        <f>F27+F28</f>
        <v>46902000</v>
      </c>
      <c r="G43" s="19"/>
      <c r="H43" s="19"/>
      <c r="I43" s="19"/>
      <c r="J43" s="19"/>
      <c r="K43" s="19"/>
      <c r="L43" s="19"/>
      <c r="M43" s="19"/>
      <c r="N43" s="19"/>
      <c r="O43" s="19"/>
      <c r="P43" s="19"/>
    </row>
    <row r="44" spans="1:17" x14ac:dyDescent="0.25">
      <c r="A44" s="56" t="s">
        <v>211</v>
      </c>
      <c r="B44" s="56">
        <f t="shared" ref="B44:F44" si="3">SUM(B41:B43)</f>
        <v>120</v>
      </c>
      <c r="C44" s="57">
        <f t="shared" si="3"/>
        <v>24598019</v>
      </c>
      <c r="D44" s="57">
        <f t="shared" si="3"/>
        <v>19882</v>
      </c>
      <c r="E44" s="58">
        <f t="shared" si="3"/>
        <v>2620776000</v>
      </c>
      <c r="F44" s="58">
        <f t="shared" si="3"/>
        <v>823374000</v>
      </c>
      <c r="G44" s="146"/>
      <c r="H44" s="19"/>
      <c r="I44" s="19"/>
      <c r="J44" s="59"/>
      <c r="K44" s="19"/>
      <c r="L44" s="19"/>
      <c r="M44" s="19"/>
      <c r="N44" s="19"/>
      <c r="O44" s="19"/>
      <c r="P44" s="19"/>
    </row>
    <row r="45" spans="1:17" ht="15.75" thickBot="1" x14ac:dyDescent="0.3">
      <c r="A45" s="47"/>
      <c r="B45" s="47"/>
      <c r="C45" s="47"/>
      <c r="D45" s="47"/>
      <c r="E45" s="47"/>
      <c r="F45" s="47"/>
      <c r="G45" s="146"/>
      <c r="H45" s="19"/>
      <c r="I45" s="19"/>
      <c r="J45" s="19"/>
      <c r="K45" s="19"/>
      <c r="L45" s="19"/>
      <c r="M45" s="19"/>
      <c r="N45" s="19"/>
      <c r="O45" s="19"/>
      <c r="P45" s="19"/>
      <c r="Q45" s="19"/>
    </row>
    <row r="46" spans="1:17" ht="51" customHeight="1" thickBot="1" x14ac:dyDescent="0.3">
      <c r="A46" s="271" t="s">
        <v>212</v>
      </c>
      <c r="B46" s="272"/>
      <c r="C46" s="272"/>
      <c r="D46" s="272"/>
      <c r="E46" s="272"/>
      <c r="F46" s="272"/>
      <c r="G46" s="146"/>
      <c r="H46" s="19"/>
      <c r="I46" s="19"/>
      <c r="J46" s="19"/>
      <c r="K46" s="60"/>
      <c r="L46" s="19"/>
      <c r="M46" s="19"/>
      <c r="N46" s="19"/>
      <c r="O46" s="19"/>
      <c r="P46" s="19"/>
      <c r="Q46" s="19"/>
    </row>
    <row r="47" spans="1:17" ht="30" customHeight="1" thickBot="1" x14ac:dyDescent="0.3">
      <c r="A47" s="271" t="s">
        <v>213</v>
      </c>
      <c r="B47" s="272"/>
      <c r="C47" s="272"/>
      <c r="D47" s="272"/>
      <c r="E47" s="272"/>
      <c r="F47" s="272"/>
      <c r="G47" s="146"/>
      <c r="H47" s="19"/>
      <c r="I47" s="19"/>
      <c r="J47" s="19"/>
      <c r="K47" s="19"/>
      <c r="L47" s="19"/>
      <c r="M47" s="19"/>
      <c r="N47" s="19"/>
      <c r="O47" s="19"/>
      <c r="P47" s="19"/>
      <c r="Q47" s="19"/>
    </row>
    <row r="48" spans="1:17" ht="15.75" customHeight="1" thickBot="1" x14ac:dyDescent="0.3">
      <c r="A48" s="271" t="s">
        <v>206</v>
      </c>
      <c r="B48" s="272"/>
      <c r="C48" s="272"/>
      <c r="D48" s="272"/>
      <c r="E48" s="272"/>
      <c r="F48" s="272"/>
      <c r="G48" s="146"/>
      <c r="H48" s="19"/>
      <c r="I48" s="19"/>
      <c r="J48" s="19"/>
      <c r="K48" s="19"/>
      <c r="L48" s="19"/>
      <c r="M48" s="19"/>
      <c r="N48" s="19"/>
      <c r="O48" s="19"/>
      <c r="P48" s="19"/>
      <c r="Q48" s="19"/>
    </row>
    <row r="49" spans="1:17" ht="15.75" customHeight="1" x14ac:dyDescent="0.25">
      <c r="A49" s="271" t="s">
        <v>196</v>
      </c>
      <c r="B49" s="272"/>
      <c r="C49" s="272"/>
      <c r="D49" s="272"/>
      <c r="E49" s="272"/>
      <c r="F49" s="272"/>
      <c r="G49" s="146"/>
      <c r="H49" s="19"/>
      <c r="I49" s="19"/>
      <c r="J49" s="19"/>
      <c r="K49" s="19"/>
      <c r="L49" s="19"/>
      <c r="M49" s="19"/>
      <c r="N49" s="19"/>
      <c r="O49" s="19"/>
      <c r="P49" s="19"/>
      <c r="Q49" s="19"/>
    </row>
    <row r="50" spans="1:17" x14ac:dyDescent="0.25">
      <c r="A50" s="19"/>
      <c r="B50" s="19"/>
      <c r="C50" s="19"/>
      <c r="D50" s="19"/>
      <c r="E50" s="19"/>
      <c r="F50" s="19"/>
      <c r="G50" s="146"/>
      <c r="H50" s="19"/>
      <c r="I50" s="19"/>
      <c r="J50" s="19"/>
      <c r="K50" s="19"/>
      <c r="L50" s="19"/>
      <c r="M50" s="19"/>
      <c r="N50" s="19"/>
      <c r="O50" s="19"/>
      <c r="P50" s="19"/>
      <c r="Q50" s="19"/>
    </row>
    <row r="51" spans="1:17" x14ac:dyDescent="0.25">
      <c r="A51" s="19"/>
      <c r="B51" s="19"/>
      <c r="C51" s="19"/>
      <c r="D51" s="19"/>
      <c r="E51" s="19"/>
      <c r="F51" s="19"/>
      <c r="G51" s="146"/>
      <c r="H51" s="19"/>
      <c r="I51" s="19"/>
      <c r="J51" s="19"/>
      <c r="K51" s="19"/>
      <c r="L51" s="19"/>
      <c r="M51" s="19"/>
      <c r="N51" s="19"/>
      <c r="O51" s="19"/>
      <c r="P51" s="19"/>
      <c r="Q51" s="19"/>
    </row>
    <row r="52" spans="1:17" x14ac:dyDescent="0.25">
      <c r="A52" s="19"/>
      <c r="B52" s="19"/>
      <c r="C52" s="19"/>
      <c r="D52" s="19"/>
      <c r="E52" s="19"/>
      <c r="F52" s="19"/>
      <c r="G52" s="146"/>
      <c r="H52" s="19"/>
      <c r="I52" s="19"/>
      <c r="J52" s="19"/>
      <c r="K52" s="19"/>
      <c r="L52" s="19"/>
      <c r="M52" s="19"/>
      <c r="N52" s="19"/>
      <c r="O52" s="19"/>
      <c r="P52" s="19"/>
      <c r="Q52" s="19"/>
    </row>
    <row r="53" spans="1:17" x14ac:dyDescent="0.25">
      <c r="A53" s="19"/>
      <c r="B53" s="19"/>
      <c r="C53" s="19"/>
      <c r="D53" s="19"/>
      <c r="E53" s="19"/>
      <c r="F53" s="19"/>
      <c r="G53" s="146"/>
      <c r="H53" s="19"/>
      <c r="I53" s="19"/>
      <c r="J53" s="19"/>
      <c r="K53" s="19"/>
      <c r="L53" s="19"/>
      <c r="M53" s="19"/>
      <c r="N53" s="19"/>
      <c r="O53" s="19"/>
      <c r="P53" s="19"/>
      <c r="Q53" s="19"/>
    </row>
    <row r="54" spans="1:17" x14ac:dyDescent="0.25">
      <c r="G54" s="146"/>
    </row>
    <row r="55" spans="1:17" x14ac:dyDescent="0.25">
      <c r="G55" s="146"/>
    </row>
  </sheetData>
  <sheetProtection algorithmName="SHA-512" hashValue="Eh05l8KME5tKJq84ID9b/oblHz26O1SLpT9Ef2ZMkIs5KLLAPxHzmuzVE7UyMqsM0Fi+1jkqQ08yqxpzf4/Byg==" saltValue="Vb8waXD66cCLd7C+TemNuQ==" spinCount="100000" sheet="1" objects="1" scenarios="1"/>
  <mergeCells count="36">
    <mergeCell ref="A48:F48"/>
    <mergeCell ref="A49:F49"/>
    <mergeCell ref="A22:B22"/>
    <mergeCell ref="A26:B26"/>
    <mergeCell ref="A31:F31"/>
    <mergeCell ref="A39:A40"/>
    <mergeCell ref="B39:B40"/>
    <mergeCell ref="C39:C40"/>
    <mergeCell ref="D39:D40"/>
    <mergeCell ref="E39:E40"/>
    <mergeCell ref="F39:F40"/>
    <mergeCell ref="A32:F32"/>
    <mergeCell ref="A33:F33"/>
    <mergeCell ref="A34:F34"/>
    <mergeCell ref="A46:F46"/>
    <mergeCell ref="A47:F47"/>
    <mergeCell ref="A12:G12"/>
    <mergeCell ref="A13:G13"/>
    <mergeCell ref="A20:A21"/>
    <mergeCell ref="B20:B21"/>
    <mergeCell ref="C20:C21"/>
    <mergeCell ref="D20:D21"/>
    <mergeCell ref="E20:E21"/>
    <mergeCell ref="F20:F21"/>
    <mergeCell ref="K6:K7"/>
    <mergeCell ref="L6:L7"/>
    <mergeCell ref="K8:K9"/>
    <mergeCell ref="L8:L9"/>
    <mergeCell ref="K10:K11"/>
    <mergeCell ref="L10:L11"/>
    <mergeCell ref="F5:F6"/>
    <mergeCell ref="A5:A6"/>
    <mergeCell ref="B5:B6"/>
    <mergeCell ref="C5:C6"/>
    <mergeCell ref="D5:D6"/>
    <mergeCell ref="E5:E6"/>
  </mergeCells>
  <pageMargins left="0.7" right="0.7" top="0.75" bottom="0.75" header="0.3" footer="0.3"/>
  <pageSetup orientation="portrait"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FFE74-76BC-4CAC-BB64-F9A7CB8CA189}">
  <sheetPr>
    <tabColor theme="9" tint="0.59999389629810485"/>
  </sheetPr>
  <dimension ref="A1:G19"/>
  <sheetViews>
    <sheetView showGridLines="0" zoomScaleNormal="100" workbookViewId="0">
      <selection activeCell="A4" sqref="A4:A5"/>
    </sheetView>
  </sheetViews>
  <sheetFormatPr defaultRowHeight="15" x14ac:dyDescent="0.25"/>
  <cols>
    <col min="1" max="1" width="13.28515625" customWidth="1"/>
    <col min="5" max="7" width="9.85546875" bestFit="1" customWidth="1"/>
  </cols>
  <sheetData>
    <row r="1" spans="1:7" ht="17.25" x14ac:dyDescent="0.3">
      <c r="A1" s="18" t="s">
        <v>214</v>
      </c>
      <c r="B1" s="48"/>
      <c r="C1" s="48"/>
      <c r="D1" s="48"/>
      <c r="E1" s="48"/>
      <c r="F1" s="47"/>
      <c r="G1" s="47"/>
    </row>
    <row r="2" spans="1:7" ht="17.25" x14ac:dyDescent="0.3">
      <c r="A2" s="18" t="s">
        <v>215</v>
      </c>
      <c r="B2" s="48"/>
      <c r="C2" s="48"/>
      <c r="D2" s="48"/>
      <c r="E2" s="48"/>
      <c r="F2" s="47"/>
      <c r="G2" s="47"/>
    </row>
    <row r="3" spans="1:7" x14ac:dyDescent="0.25">
      <c r="A3" s="19" t="s">
        <v>628</v>
      </c>
      <c r="B3" s="47"/>
      <c r="C3" s="47"/>
      <c r="D3" s="47"/>
      <c r="E3" s="47"/>
      <c r="F3" s="47"/>
      <c r="G3" s="47"/>
    </row>
    <row r="4" spans="1:7" x14ac:dyDescent="0.25">
      <c r="A4" s="269" t="s">
        <v>175</v>
      </c>
      <c r="B4" s="269" t="s">
        <v>176</v>
      </c>
      <c r="C4" s="269" t="s">
        <v>198</v>
      </c>
      <c r="D4" s="269" t="s">
        <v>178</v>
      </c>
      <c r="E4" s="269" t="s">
        <v>8</v>
      </c>
      <c r="F4" s="269" t="s">
        <v>199</v>
      </c>
      <c r="G4" s="269" t="s">
        <v>200</v>
      </c>
    </row>
    <row r="5" spans="1:7" x14ac:dyDescent="0.25">
      <c r="A5" s="269"/>
      <c r="B5" s="269"/>
      <c r="C5" s="269"/>
      <c r="D5" s="269"/>
      <c r="E5" s="269"/>
      <c r="F5" s="269"/>
      <c r="G5" s="269"/>
    </row>
    <row r="6" spans="1:7" x14ac:dyDescent="0.25">
      <c r="A6" s="277" t="s">
        <v>201</v>
      </c>
      <c r="B6" s="277"/>
      <c r="C6" s="24"/>
      <c r="D6" s="24"/>
      <c r="E6" s="24"/>
      <c r="F6" s="24"/>
      <c r="G6" s="24"/>
    </row>
    <row r="7" spans="1:7" x14ac:dyDescent="0.25">
      <c r="A7" s="30" t="s">
        <v>97</v>
      </c>
      <c r="B7" s="30">
        <f>GETPIVOTDATA("Property",'Legacy Pivots'!$B$35,"Type","Multi-Family")</f>
        <v>5</v>
      </c>
      <c r="C7" s="31">
        <f>ROUND(GETPIVOTDATA("Sum of Size (SF)",'Legacy Pivots'!$B$52,"Type","Multi-Family"),-3)</f>
        <v>652000</v>
      </c>
      <c r="D7" s="31">
        <f>GETPIVOTDATA("Sum of Units",'Legacy Pivots'!$B$52,"Type","Multi-Family")</f>
        <v>797</v>
      </c>
      <c r="E7" s="32">
        <f>ROUND(GETPIVOTDATA("Sum of Purchase Price",'Legacy Pivots'!$B$52,"Type","Multi-Family"),-3)</f>
        <v>84935000</v>
      </c>
      <c r="F7" s="32">
        <f>ROUND(GETPIVOTDATA("Sum of Fair Market Value Estimate",'Legacy Pivots'!$B$52,"Type","Multi-Family"),-3)</f>
        <v>90660000</v>
      </c>
      <c r="G7" s="32">
        <f>ROUND(GETPIVOTDATA("Sum of Total Equity",'Legacy Pivots'!$B$52,"Type","Multi-Family"),-3)</f>
        <v>51795000</v>
      </c>
    </row>
    <row r="8" spans="1:7" ht="22.5" x14ac:dyDescent="0.25">
      <c r="A8" s="25" t="s">
        <v>189</v>
      </c>
      <c r="B8" s="25">
        <f>GETPIVOTDATA("Property",'Legacy Pivots'!$B$35,"Type","Commercial")</f>
        <v>2</v>
      </c>
      <c r="C8" s="26">
        <f>ROUND(GETPIVOTDATA("Sum of Size (SF)",'Legacy Pivots'!$B$52,"Type","Commercial"),-3)</f>
        <v>166000</v>
      </c>
      <c r="D8" s="25" t="s">
        <v>190</v>
      </c>
      <c r="E8" s="27">
        <f>ROUND(GETPIVOTDATA("Sum of Purchase Price",'Legacy Pivots'!$B$52,"Type","Commercial"),-3)</f>
        <v>6670000</v>
      </c>
      <c r="F8" s="27">
        <f>ROUND(GETPIVOTDATA("Sum of Fair Market Value Estimate",'Legacy Pivots'!$B$52,"Type","Commercial"),-3)</f>
        <v>8370000</v>
      </c>
      <c r="G8" s="27">
        <f>ROUND(GETPIVOTDATA("Sum of Total Equity",'Legacy Pivots'!$B$52,"Type","Commercial"),-3)</f>
        <v>3231000</v>
      </c>
    </row>
    <row r="9" spans="1:7" x14ac:dyDescent="0.25">
      <c r="A9" s="49" t="s">
        <v>191</v>
      </c>
      <c r="B9" s="49">
        <f t="shared" ref="B9:G9" si="0">SUM(B7:B8)</f>
        <v>7</v>
      </c>
      <c r="C9" s="50">
        <f t="shared" si="0"/>
        <v>818000</v>
      </c>
      <c r="D9" s="50">
        <f t="shared" si="0"/>
        <v>797</v>
      </c>
      <c r="E9" s="51">
        <f t="shared" ref="E9" si="1">SUM(E7:E8)</f>
        <v>91605000</v>
      </c>
      <c r="F9" s="51">
        <f t="shared" si="0"/>
        <v>99030000</v>
      </c>
      <c r="G9" s="51">
        <f t="shared" si="0"/>
        <v>55026000</v>
      </c>
    </row>
    <row r="10" spans="1:7" x14ac:dyDescent="0.25">
      <c r="A10" s="277" t="s">
        <v>216</v>
      </c>
      <c r="B10" s="277"/>
      <c r="C10" s="24"/>
      <c r="D10" s="24"/>
      <c r="E10" s="24"/>
      <c r="F10" s="24"/>
      <c r="G10" s="24"/>
    </row>
    <row r="11" spans="1:7" x14ac:dyDescent="0.25">
      <c r="A11" s="30" t="s">
        <v>97</v>
      </c>
      <c r="B11" s="30">
        <v>0</v>
      </c>
      <c r="C11" s="31">
        <v>0</v>
      </c>
      <c r="D11" s="31">
        <v>0</v>
      </c>
      <c r="E11" s="32">
        <v>0</v>
      </c>
      <c r="F11" s="32">
        <v>0</v>
      </c>
      <c r="G11" s="32">
        <v>0</v>
      </c>
    </row>
    <row r="12" spans="1:7" x14ac:dyDescent="0.25">
      <c r="A12" s="25" t="s">
        <v>202</v>
      </c>
      <c r="B12" s="25">
        <v>0</v>
      </c>
      <c r="C12" s="26">
        <v>0</v>
      </c>
      <c r="D12" s="25" t="s">
        <v>190</v>
      </c>
      <c r="E12" s="27">
        <v>0</v>
      </c>
      <c r="F12" s="27">
        <v>0</v>
      </c>
      <c r="G12" s="27">
        <v>0</v>
      </c>
    </row>
    <row r="13" spans="1:7" ht="22.5" x14ac:dyDescent="0.25">
      <c r="A13" s="49" t="s">
        <v>203</v>
      </c>
      <c r="B13" s="49">
        <f>SUM(B9:B12)</f>
        <v>7</v>
      </c>
      <c r="C13" s="50">
        <f>SUM(C9:C12)</f>
        <v>818000</v>
      </c>
      <c r="D13" s="50">
        <f>SUM(D9:D12)</f>
        <v>797</v>
      </c>
      <c r="E13" s="51">
        <f t="shared" ref="E13:F13" si="2">SUM(E9:E12)</f>
        <v>91605000</v>
      </c>
      <c r="F13" s="51">
        <f t="shared" si="2"/>
        <v>99030000</v>
      </c>
      <c r="G13" s="51">
        <f>SUM(G9:G12)</f>
        <v>55026000</v>
      </c>
    </row>
    <row r="14" spans="1:7" ht="6" customHeight="1" thickBot="1" x14ac:dyDescent="0.3">
      <c r="A14" s="47"/>
      <c r="B14" s="47"/>
      <c r="C14" s="47"/>
      <c r="D14" s="47"/>
      <c r="E14" s="47"/>
      <c r="F14" s="47"/>
      <c r="G14" s="47"/>
    </row>
    <row r="15" spans="1:7" ht="20.25" customHeight="1" x14ac:dyDescent="0.25">
      <c r="A15" s="271" t="s">
        <v>217</v>
      </c>
      <c r="B15" s="272"/>
      <c r="C15" s="272"/>
      <c r="D15" s="272"/>
      <c r="E15" s="272"/>
      <c r="F15" s="272"/>
      <c r="G15" s="272"/>
    </row>
    <row r="16" spans="1:7" ht="24" customHeight="1" x14ac:dyDescent="0.25">
      <c r="A16" s="263" t="s">
        <v>205</v>
      </c>
      <c r="B16" s="278"/>
      <c r="C16" s="278"/>
      <c r="D16" s="278"/>
      <c r="E16" s="278"/>
      <c r="F16" s="278"/>
      <c r="G16" s="278"/>
    </row>
    <row r="17" spans="1:7" ht="21" customHeight="1" thickBot="1" x14ac:dyDescent="0.3">
      <c r="A17" s="273" t="s">
        <v>218</v>
      </c>
      <c r="B17" s="274"/>
      <c r="C17" s="274"/>
      <c r="D17" s="274"/>
      <c r="E17" s="274"/>
      <c r="F17" s="274"/>
      <c r="G17" s="274"/>
    </row>
    <row r="18" spans="1:7" ht="12.75" customHeight="1" thickBot="1" x14ac:dyDescent="0.3">
      <c r="A18" s="275" t="s">
        <v>196</v>
      </c>
      <c r="B18" s="276"/>
      <c r="C18" s="276"/>
      <c r="D18" s="276"/>
      <c r="E18" s="276"/>
      <c r="F18" s="276"/>
      <c r="G18" s="276"/>
    </row>
    <row r="19" spans="1:7" x14ac:dyDescent="0.25">
      <c r="A19" s="47"/>
      <c r="B19" s="47"/>
      <c r="C19" s="47"/>
      <c r="D19" s="47"/>
      <c r="E19" s="47"/>
      <c r="F19" s="47"/>
      <c r="G19" s="47"/>
    </row>
  </sheetData>
  <sheetProtection algorithmName="SHA-512" hashValue="+56rVXYxQHeL1QK5Qs7ec2gWNuOtVOk+LVrYaj7awHilQ1eGo6zS5diQmCQLKtwdPvfQu+gi+6KhquokMFtNVA==" saltValue="Hr3yLj0YPwVwckAA7DJpUw==" spinCount="100000" sheet="1" objects="1" scenarios="1"/>
  <mergeCells count="13">
    <mergeCell ref="A17:G17"/>
    <mergeCell ref="A18:G18"/>
    <mergeCell ref="G4:G5"/>
    <mergeCell ref="A6:B6"/>
    <mergeCell ref="A10:B10"/>
    <mergeCell ref="A15:G15"/>
    <mergeCell ref="A16:G16"/>
    <mergeCell ref="A4:A5"/>
    <mergeCell ref="B4:B5"/>
    <mergeCell ref="C4:C5"/>
    <mergeCell ref="D4:D5"/>
    <mergeCell ref="E4:E5"/>
    <mergeCell ref="F4:F5"/>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3A340-DF92-4CA6-BCD2-574BCB126BE3}">
  <sheetPr>
    <tabColor theme="9" tint="0.59999389629810485"/>
  </sheetPr>
  <dimension ref="B2:Q159"/>
  <sheetViews>
    <sheetView showGridLines="0" topLeftCell="A26" workbookViewId="0">
      <selection activeCell="C85" sqref="C85 C88:C91"/>
    </sheetView>
  </sheetViews>
  <sheetFormatPr defaultColWidth="9.140625" defaultRowHeight="12.75" x14ac:dyDescent="0.2"/>
  <cols>
    <col min="1" max="1" width="4.85546875" style="1" customWidth="1"/>
    <col min="2" max="2" width="27.7109375" style="1" bestFit="1" customWidth="1"/>
    <col min="3" max="3" width="15.28515625" style="1" bestFit="1" customWidth="1"/>
    <col min="4" max="4" width="13.28515625" style="1" customWidth="1"/>
    <col min="5" max="5" width="13.5703125" style="1" bestFit="1" customWidth="1"/>
    <col min="6" max="6" width="12" style="1" bestFit="1" customWidth="1"/>
    <col min="7" max="7" width="16.140625" style="1" bestFit="1" customWidth="1"/>
    <col min="8" max="8" width="12" style="1" bestFit="1" customWidth="1"/>
    <col min="9" max="9" width="7.5703125" style="1" bestFit="1" customWidth="1"/>
    <col min="10" max="10" width="11" style="1" bestFit="1" customWidth="1"/>
    <col min="11" max="11" width="30.140625" style="1" bestFit="1" customWidth="1"/>
    <col min="12" max="12" width="13.5703125" style="1" bestFit="1" customWidth="1"/>
    <col min="13" max="13" width="9.140625" style="1"/>
    <col min="14" max="14" width="46" style="1" bestFit="1" customWidth="1"/>
    <col min="15" max="15" width="12.5703125" style="1" bestFit="1" customWidth="1"/>
    <col min="16" max="16384" width="9.140625" style="1"/>
  </cols>
  <sheetData>
    <row r="2" spans="2:9" x14ac:dyDescent="0.2">
      <c r="B2" s="134" t="s">
        <v>405</v>
      </c>
      <c r="C2" s="137"/>
      <c r="D2" s="137"/>
      <c r="E2" s="137"/>
      <c r="F2" s="137"/>
      <c r="G2" s="137"/>
      <c r="H2" s="137"/>
      <c r="I2" s="137"/>
    </row>
    <row r="3" spans="2:9" ht="13.5" thickBot="1" x14ac:dyDescent="0.25">
      <c r="B3" s="138" t="s">
        <v>411</v>
      </c>
      <c r="C3" s="141"/>
      <c r="D3" s="141"/>
      <c r="E3" s="141"/>
      <c r="F3" s="141"/>
      <c r="G3" s="141"/>
      <c r="H3" s="141"/>
      <c r="I3" s="141"/>
    </row>
    <row r="5" spans="2:9" x14ac:dyDescent="0.2">
      <c r="B5" s="128" t="s">
        <v>9</v>
      </c>
      <c r="C5" s="1" t="s">
        <v>304</v>
      </c>
    </row>
    <row r="6" spans="2:9" x14ac:dyDescent="0.2">
      <c r="B6" s="128" t="s">
        <v>234</v>
      </c>
      <c r="C6" s="1" t="s">
        <v>235</v>
      </c>
    </row>
    <row r="7" spans="2:9" x14ac:dyDescent="0.2">
      <c r="B7" s="128" t="s">
        <v>402</v>
      </c>
      <c r="C7" s="1" t="s">
        <v>403</v>
      </c>
    </row>
    <row r="9" spans="2:9" x14ac:dyDescent="0.2">
      <c r="B9" s="128" t="s">
        <v>90</v>
      </c>
      <c r="C9" s="1" t="s">
        <v>395</v>
      </c>
      <c r="I9" s="128"/>
    </row>
    <row r="10" spans="2:9" x14ac:dyDescent="0.2">
      <c r="B10" s="129" t="s">
        <v>221</v>
      </c>
      <c r="C10" s="74">
        <v>1</v>
      </c>
    </row>
    <row r="11" spans="2:9" x14ac:dyDescent="0.2">
      <c r="B11" s="129" t="s">
        <v>141</v>
      </c>
      <c r="C11" s="74">
        <v>1</v>
      </c>
    </row>
    <row r="12" spans="2:9" x14ac:dyDescent="0.2">
      <c r="B12" s="129" t="s">
        <v>97</v>
      </c>
      <c r="C12" s="74">
        <v>30</v>
      </c>
    </row>
    <row r="13" spans="2:9" x14ac:dyDescent="0.2">
      <c r="B13" s="129" t="s">
        <v>397</v>
      </c>
      <c r="C13" s="74">
        <v>38</v>
      </c>
    </row>
    <row r="14" spans="2:9" x14ac:dyDescent="0.2">
      <c r="B14" s="129" t="s">
        <v>91</v>
      </c>
      <c r="C14" s="74">
        <v>70</v>
      </c>
    </row>
    <row r="15" spans="2:9" x14ac:dyDescent="0.2">
      <c r="B15" s="129"/>
      <c r="C15" s="74"/>
    </row>
    <row r="16" spans="2:9" x14ac:dyDescent="0.2">
      <c r="B16" s="128" t="s">
        <v>9</v>
      </c>
      <c r="C16" s="1" t="s">
        <v>304</v>
      </c>
    </row>
    <row r="17" spans="2:9" x14ac:dyDescent="0.2">
      <c r="B17" s="128" t="s">
        <v>234</v>
      </c>
      <c r="C17" s="1" t="s">
        <v>235</v>
      </c>
    </row>
    <row r="18" spans="2:9" x14ac:dyDescent="0.2">
      <c r="B18" s="128" t="s">
        <v>402</v>
      </c>
      <c r="C18" s="1" t="s">
        <v>403</v>
      </c>
    </row>
    <row r="20" spans="2:9" s="115" customFormat="1" ht="38.25" x14ac:dyDescent="0.2">
      <c r="B20" s="132" t="s">
        <v>90</v>
      </c>
      <c r="C20" s="115" t="s">
        <v>395</v>
      </c>
      <c r="D20" s="115" t="s">
        <v>398</v>
      </c>
      <c r="E20" s="115" t="s">
        <v>399</v>
      </c>
      <c r="F20" s="115" t="s">
        <v>400</v>
      </c>
      <c r="G20" s="1" t="s">
        <v>413</v>
      </c>
      <c r="H20" s="115" t="s">
        <v>401</v>
      </c>
      <c r="I20" s="130" t="s">
        <v>167</v>
      </c>
    </row>
    <row r="21" spans="2:9" x14ac:dyDescent="0.2">
      <c r="B21" s="129" t="s">
        <v>221</v>
      </c>
      <c r="C21" s="74">
        <v>1</v>
      </c>
      <c r="D21" s="74"/>
      <c r="E21" s="74"/>
      <c r="F21" s="74">
        <v>591506</v>
      </c>
      <c r="G21" s="74">
        <v>360000</v>
      </c>
      <c r="H21" s="74">
        <v>489536.08</v>
      </c>
      <c r="I21" s="114">
        <f t="shared" ref="I21:I24" si="0">H21/G21</f>
        <v>1.3598224444444444</v>
      </c>
    </row>
    <row r="22" spans="2:9" x14ac:dyDescent="0.2">
      <c r="B22" s="129" t="s">
        <v>141</v>
      </c>
      <c r="C22" s="74">
        <v>1</v>
      </c>
      <c r="D22" s="74">
        <v>109703</v>
      </c>
      <c r="E22" s="74"/>
      <c r="F22" s="74">
        <v>2500000</v>
      </c>
      <c r="G22" s="74">
        <v>2500000</v>
      </c>
      <c r="H22" s="74">
        <v>2608010</v>
      </c>
      <c r="I22" s="114">
        <f t="shared" si="0"/>
        <v>1.043204</v>
      </c>
    </row>
    <row r="23" spans="2:9" x14ac:dyDescent="0.2">
      <c r="B23" s="129" t="s">
        <v>97</v>
      </c>
      <c r="C23" s="74">
        <v>30</v>
      </c>
      <c r="D23" s="74">
        <v>6149243</v>
      </c>
      <c r="E23" s="74">
        <v>7714</v>
      </c>
      <c r="F23" s="74">
        <v>537116500</v>
      </c>
      <c r="G23" s="74">
        <v>127853684.42</v>
      </c>
      <c r="H23" s="74">
        <v>321505468.94354361</v>
      </c>
      <c r="I23" s="114">
        <f t="shared" si="0"/>
        <v>2.5146359324882379</v>
      </c>
    </row>
    <row r="24" spans="2:9" x14ac:dyDescent="0.2">
      <c r="B24" s="129" t="s">
        <v>397</v>
      </c>
      <c r="C24" s="74">
        <v>38</v>
      </c>
      <c r="D24" s="74">
        <v>3936052</v>
      </c>
      <c r="E24" s="74"/>
      <c r="F24" s="74">
        <v>279338517.66999996</v>
      </c>
      <c r="G24" s="74">
        <v>79529023.789999992</v>
      </c>
      <c r="H24" s="74">
        <v>144185678.97565469</v>
      </c>
      <c r="I24" s="114">
        <f t="shared" si="0"/>
        <v>1.8129944528978947</v>
      </c>
    </row>
    <row r="25" spans="2:9" x14ac:dyDescent="0.2">
      <c r="B25" s="129" t="s">
        <v>91</v>
      </c>
      <c r="C25" s="74">
        <v>70</v>
      </c>
      <c r="D25" s="74">
        <v>10194998</v>
      </c>
      <c r="E25" s="74">
        <v>7714</v>
      </c>
      <c r="F25" s="74">
        <v>819546523.66999996</v>
      </c>
      <c r="G25" s="74">
        <v>210242708.21000001</v>
      </c>
      <c r="H25" s="74">
        <v>468788693.99919838</v>
      </c>
      <c r="I25" s="114">
        <f>H25/G25</f>
        <v>2.2297500730962372</v>
      </c>
    </row>
    <row r="26" spans="2:9" ht="15" x14ac:dyDescent="0.25">
      <c r="B26"/>
      <c r="C26"/>
      <c r="D26"/>
      <c r="E26"/>
      <c r="F26"/>
      <c r="G26"/>
      <c r="H26"/>
      <c r="I26" s="114"/>
    </row>
    <row r="27" spans="2:9" x14ac:dyDescent="0.2">
      <c r="B27" s="129"/>
      <c r="C27" s="74"/>
      <c r="D27" s="74"/>
      <c r="E27" s="74"/>
      <c r="F27" s="74"/>
      <c r="G27" s="74"/>
      <c r="H27" s="74"/>
      <c r="I27" s="114"/>
    </row>
    <row r="28" spans="2:9" x14ac:dyDescent="0.2">
      <c r="B28" s="134" t="s">
        <v>405</v>
      </c>
      <c r="C28" s="135"/>
      <c r="D28" s="135"/>
      <c r="E28" s="135"/>
      <c r="F28" s="135"/>
      <c r="G28" s="135"/>
      <c r="H28" s="135"/>
      <c r="I28" s="136"/>
    </row>
    <row r="29" spans="2:9" ht="13.5" thickBot="1" x14ac:dyDescent="0.25">
      <c r="B29" s="138" t="s">
        <v>406</v>
      </c>
      <c r="C29" s="139"/>
      <c r="D29" s="139"/>
      <c r="E29" s="139"/>
      <c r="F29" s="139"/>
      <c r="G29" s="139"/>
      <c r="H29" s="139"/>
      <c r="I29" s="140"/>
    </row>
    <row r="30" spans="2:9" x14ac:dyDescent="0.2">
      <c r="B30" s="133"/>
      <c r="C30" s="74"/>
      <c r="D30" s="74"/>
      <c r="E30" s="74"/>
      <c r="F30" s="74"/>
      <c r="G30" s="74"/>
      <c r="H30" s="74"/>
      <c r="I30" s="114"/>
    </row>
    <row r="31" spans="2:9" x14ac:dyDescent="0.2">
      <c r="B31" s="128" t="s">
        <v>9</v>
      </c>
      <c r="C31" s="1" t="s">
        <v>49</v>
      </c>
      <c r="D31" s="74"/>
      <c r="G31" s="74"/>
      <c r="H31" s="74"/>
      <c r="I31" s="114"/>
    </row>
    <row r="32" spans="2:9" x14ac:dyDescent="0.2">
      <c r="B32" s="128" t="s">
        <v>234</v>
      </c>
      <c r="C32" s="1" t="s">
        <v>235</v>
      </c>
      <c r="D32" s="74"/>
      <c r="G32" s="74"/>
      <c r="H32" s="74"/>
      <c r="I32" s="114"/>
    </row>
    <row r="33" spans="2:17" x14ac:dyDescent="0.2">
      <c r="B33" s="128" t="s">
        <v>402</v>
      </c>
      <c r="C33" s="1" t="s">
        <v>403</v>
      </c>
      <c r="D33" s="74"/>
      <c r="G33" s="74"/>
      <c r="H33" s="74"/>
      <c r="I33" s="114"/>
    </row>
    <row r="34" spans="2:17" x14ac:dyDescent="0.2">
      <c r="D34" s="74"/>
      <c r="G34" s="74"/>
      <c r="H34" s="74"/>
      <c r="I34" s="114"/>
    </row>
    <row r="35" spans="2:17" x14ac:dyDescent="0.2">
      <c r="B35" s="132" t="s">
        <v>90</v>
      </c>
      <c r="C35" s="1" t="s">
        <v>395</v>
      </c>
      <c r="D35" s="74"/>
      <c r="G35" s="142"/>
      <c r="H35" s="142"/>
      <c r="I35" s="145"/>
    </row>
    <row r="36" spans="2:17" x14ac:dyDescent="0.2">
      <c r="B36" s="129" t="s">
        <v>221</v>
      </c>
      <c r="C36" s="74">
        <v>1</v>
      </c>
      <c r="D36" s="74"/>
      <c r="G36" s="74"/>
      <c r="H36" s="74"/>
      <c r="I36" s="114"/>
    </row>
    <row r="37" spans="2:17" x14ac:dyDescent="0.2">
      <c r="B37" s="129" t="s">
        <v>141</v>
      </c>
      <c r="C37" s="74">
        <v>1</v>
      </c>
      <c r="D37" s="74"/>
      <c r="G37" s="74"/>
      <c r="H37" s="74"/>
      <c r="I37" s="114"/>
    </row>
    <row r="38" spans="2:17" ht="15" x14ac:dyDescent="0.25">
      <c r="B38" s="129" t="s">
        <v>97</v>
      </c>
      <c r="C38" s="74">
        <v>37</v>
      </c>
      <c r="D38" s="74"/>
      <c r="E38"/>
      <c r="F38"/>
      <c r="G38" s="74"/>
      <c r="H38" s="74"/>
      <c r="I38" s="114"/>
    </row>
    <row r="39" spans="2:17" ht="15" x14ac:dyDescent="0.25">
      <c r="B39" s="129" t="s">
        <v>397</v>
      </c>
      <c r="C39" s="74">
        <v>12</v>
      </c>
      <c r="D39" s="74"/>
      <c r="E39"/>
      <c r="F39"/>
      <c r="G39" s="74"/>
      <c r="H39" s="74"/>
      <c r="I39" s="114"/>
    </row>
    <row r="40" spans="2:17" ht="15" x14ac:dyDescent="0.25">
      <c r="B40" s="129" t="s">
        <v>91</v>
      </c>
      <c r="C40" s="74">
        <v>51</v>
      </c>
      <c r="D40" s="74"/>
      <c r="E40"/>
      <c r="F40"/>
      <c r="G40" s="74"/>
      <c r="H40" s="74"/>
      <c r="I40" s="114"/>
    </row>
    <row r="41" spans="2:17" ht="15" x14ac:dyDescent="0.25">
      <c r="B41" s="129"/>
      <c r="C41" s="74"/>
      <c r="D41" s="74"/>
      <c r="E41"/>
      <c r="F41"/>
      <c r="G41" s="74"/>
      <c r="H41" s="74"/>
      <c r="I41" s="114"/>
    </row>
    <row r="42" spans="2:17" x14ac:dyDescent="0.2">
      <c r="B42" s="133"/>
      <c r="C42" s="74"/>
      <c r="D42" s="74"/>
      <c r="E42" s="74"/>
      <c r="F42" s="74"/>
      <c r="G42" s="74"/>
      <c r="H42" s="74"/>
      <c r="I42" s="114"/>
    </row>
    <row r="43" spans="2:17" x14ac:dyDescent="0.2">
      <c r="B43" s="128" t="s">
        <v>9</v>
      </c>
      <c r="C43" s="1" t="s">
        <v>49</v>
      </c>
    </row>
    <row r="44" spans="2:17" x14ac:dyDescent="0.2">
      <c r="B44" s="128" t="s">
        <v>234</v>
      </c>
      <c r="C44" s="1" t="s">
        <v>394</v>
      </c>
    </row>
    <row r="45" spans="2:17" x14ac:dyDescent="0.2">
      <c r="B45" s="128" t="s">
        <v>402</v>
      </c>
      <c r="C45" s="1" t="s">
        <v>403</v>
      </c>
      <c r="K45" s="137"/>
      <c r="L45" s="137"/>
      <c r="M45" s="137"/>
      <c r="N45" s="137"/>
      <c r="O45" s="137"/>
      <c r="P45" s="137"/>
      <c r="Q45" s="137"/>
    </row>
    <row r="46" spans="2:17" x14ac:dyDescent="0.2">
      <c r="K46" s="137"/>
      <c r="L46" s="137"/>
      <c r="M46" s="137"/>
      <c r="N46" s="137"/>
      <c r="O46" s="137"/>
      <c r="P46" s="137"/>
      <c r="Q46" s="137"/>
    </row>
    <row r="47" spans="2:17" s="115" customFormat="1" ht="38.25" x14ac:dyDescent="0.2">
      <c r="B47" s="131" t="s">
        <v>90</v>
      </c>
      <c r="C47" s="115" t="s">
        <v>398</v>
      </c>
      <c r="D47" s="115" t="s">
        <v>399</v>
      </c>
      <c r="E47" s="115" t="s">
        <v>92</v>
      </c>
      <c r="F47" s="115" t="s">
        <v>413</v>
      </c>
      <c r="K47" s="191"/>
      <c r="L47" s="192"/>
      <c r="M47" s="193"/>
      <c r="N47" s="191"/>
      <c r="O47" s="192"/>
      <c r="P47" s="193"/>
      <c r="Q47" s="193"/>
    </row>
    <row r="48" spans="2:17" x14ac:dyDescent="0.2">
      <c r="B48" s="129" t="s">
        <v>221</v>
      </c>
      <c r="C48" s="74"/>
      <c r="D48" s="74"/>
      <c r="E48" s="74">
        <v>2326700</v>
      </c>
      <c r="F48" s="74">
        <v>1470698.56</v>
      </c>
      <c r="K48" s="194"/>
      <c r="L48" s="195"/>
      <c r="M48" s="137"/>
      <c r="N48" s="194"/>
      <c r="O48" s="195"/>
      <c r="P48" s="137"/>
      <c r="Q48" s="137"/>
    </row>
    <row r="49" spans="2:17" x14ac:dyDescent="0.2">
      <c r="B49" s="129" t="s">
        <v>141</v>
      </c>
      <c r="C49" s="74">
        <v>297650</v>
      </c>
      <c r="D49" s="74"/>
      <c r="E49" s="74">
        <v>2500000</v>
      </c>
      <c r="F49" s="74">
        <v>2500000</v>
      </c>
      <c r="K49" s="194"/>
      <c r="L49" s="195"/>
      <c r="M49" s="137"/>
      <c r="N49" s="194"/>
      <c r="O49" s="195"/>
      <c r="P49" s="137"/>
      <c r="Q49" s="137"/>
    </row>
    <row r="50" spans="2:17" x14ac:dyDescent="0.2">
      <c r="B50" s="129" t="s">
        <v>97</v>
      </c>
      <c r="C50" s="74">
        <v>9719883</v>
      </c>
      <c r="D50" s="74">
        <v>11184</v>
      </c>
      <c r="E50" s="74">
        <v>1485650000</v>
      </c>
      <c r="F50" s="74">
        <v>493695517.17999995</v>
      </c>
      <c r="H50" s="62"/>
      <c r="K50" s="194"/>
      <c r="L50" s="195"/>
      <c r="M50" s="137"/>
      <c r="N50" s="194"/>
      <c r="O50" s="195"/>
      <c r="P50" s="137"/>
      <c r="Q50" s="137"/>
    </row>
    <row r="51" spans="2:17" x14ac:dyDescent="0.2">
      <c r="B51" s="129" t="s">
        <v>397</v>
      </c>
      <c r="C51" s="74">
        <v>3791231</v>
      </c>
      <c r="D51" s="74"/>
      <c r="E51" s="74">
        <v>194750000</v>
      </c>
      <c r="F51" s="74">
        <v>75392781.980000004</v>
      </c>
      <c r="H51" s="62"/>
      <c r="J51" s="74"/>
      <c r="K51" s="194"/>
      <c r="L51" s="195"/>
      <c r="M51" s="137"/>
      <c r="N51" s="194"/>
      <c r="O51" s="195"/>
      <c r="P51" s="137"/>
      <c r="Q51" s="137"/>
    </row>
    <row r="52" spans="2:17" x14ac:dyDescent="0.2">
      <c r="B52" s="129" t="s">
        <v>91</v>
      </c>
      <c r="C52" s="74">
        <v>13808764</v>
      </c>
      <c r="D52" s="74">
        <v>11184</v>
      </c>
      <c r="E52" s="74">
        <v>1685226700</v>
      </c>
      <c r="F52" s="74">
        <v>573058997.71999991</v>
      </c>
      <c r="K52" s="196"/>
      <c r="L52" s="195"/>
      <c r="M52" s="197"/>
      <c r="N52" s="194"/>
      <c r="O52" s="195"/>
      <c r="P52" s="137"/>
      <c r="Q52" s="137"/>
    </row>
    <row r="53" spans="2:17" x14ac:dyDescent="0.2">
      <c r="K53" s="137"/>
      <c r="L53" s="195"/>
      <c r="M53" s="137"/>
      <c r="N53" s="194"/>
      <c r="O53" s="195"/>
      <c r="P53" s="137"/>
      <c r="Q53" s="137"/>
    </row>
    <row r="54" spans="2:17" x14ac:dyDescent="0.2">
      <c r="B54" s="128" t="s">
        <v>9</v>
      </c>
      <c r="C54" s="1" t="s">
        <v>601</v>
      </c>
      <c r="D54" s="74"/>
      <c r="K54" s="137"/>
      <c r="L54" s="195"/>
      <c r="M54" s="137"/>
      <c r="N54" s="194"/>
      <c r="O54" s="195"/>
      <c r="P54" s="137"/>
      <c r="Q54" s="137"/>
    </row>
    <row r="55" spans="2:17" x14ac:dyDescent="0.2">
      <c r="B55" s="128" t="s">
        <v>234</v>
      </c>
      <c r="C55" s="1" t="s">
        <v>235</v>
      </c>
      <c r="D55" s="74"/>
      <c r="K55" s="137"/>
      <c r="L55" s="195"/>
      <c r="M55" s="137"/>
      <c r="N55" s="194"/>
      <c r="O55" s="195"/>
      <c r="P55" s="137"/>
      <c r="Q55" s="137"/>
    </row>
    <row r="56" spans="2:17" x14ac:dyDescent="0.2">
      <c r="B56" s="128" t="s">
        <v>402</v>
      </c>
      <c r="C56" s="1" t="s">
        <v>403</v>
      </c>
      <c r="D56" s="74"/>
      <c r="K56" s="137"/>
      <c r="L56" s="195"/>
      <c r="M56" s="137"/>
      <c r="N56" s="194"/>
      <c r="O56" s="195"/>
      <c r="P56" s="137"/>
      <c r="Q56" s="137"/>
    </row>
    <row r="57" spans="2:17" x14ac:dyDescent="0.2">
      <c r="D57" s="74"/>
      <c r="K57" s="137"/>
      <c r="L57" s="195"/>
      <c r="M57" s="137"/>
      <c r="N57" s="194"/>
      <c r="O57" s="195"/>
      <c r="P57" s="137"/>
      <c r="Q57" s="137"/>
    </row>
    <row r="58" spans="2:17" x14ac:dyDescent="0.2">
      <c r="B58" s="132" t="s">
        <v>90</v>
      </c>
      <c r="C58" s="1" t="s">
        <v>395</v>
      </c>
      <c r="D58" s="142"/>
      <c r="E58" s="128"/>
      <c r="F58" s="128"/>
      <c r="G58" s="128"/>
      <c r="H58" s="128"/>
      <c r="I58" s="128"/>
      <c r="J58" s="128"/>
      <c r="K58" s="225"/>
      <c r="L58" s="226"/>
      <c r="M58" s="225"/>
      <c r="N58" s="227"/>
      <c r="O58" s="226"/>
      <c r="P58" s="225"/>
      <c r="Q58" s="225"/>
    </row>
    <row r="59" spans="2:17" x14ac:dyDescent="0.2">
      <c r="B59" s="129" t="s">
        <v>97</v>
      </c>
      <c r="C59" s="74">
        <v>3</v>
      </c>
      <c r="D59" s="74"/>
      <c r="K59" s="137"/>
      <c r="L59" s="195"/>
      <c r="M59" s="137"/>
      <c r="N59" s="194"/>
      <c r="O59" s="195"/>
      <c r="P59" s="137"/>
      <c r="Q59" s="137"/>
    </row>
    <row r="60" spans="2:17" x14ac:dyDescent="0.2">
      <c r="B60" s="129" t="s">
        <v>91</v>
      </c>
      <c r="C60" s="74">
        <v>3</v>
      </c>
      <c r="D60" s="74"/>
      <c r="K60" s="137"/>
      <c r="L60" s="195"/>
      <c r="M60" s="137"/>
      <c r="N60" s="194"/>
      <c r="O60" s="195"/>
      <c r="P60" s="137"/>
      <c r="Q60" s="137"/>
    </row>
    <row r="61" spans="2:17" ht="15" x14ac:dyDescent="0.25">
      <c r="B61"/>
      <c r="C61"/>
      <c r="D61" s="74"/>
      <c r="E61"/>
      <c r="F61"/>
      <c r="K61" s="137"/>
      <c r="L61" s="195"/>
      <c r="M61" s="137"/>
      <c r="N61" s="194"/>
      <c r="O61" s="195"/>
      <c r="P61" s="137"/>
      <c r="Q61" s="137"/>
    </row>
    <row r="62" spans="2:17" ht="15" hidden="1" x14ac:dyDescent="0.25">
      <c r="B62"/>
      <c r="C62"/>
      <c r="D62" s="74"/>
      <c r="E62"/>
      <c r="F62"/>
      <c r="K62" s="137"/>
      <c r="L62" s="195"/>
      <c r="M62" s="137"/>
      <c r="N62" s="194"/>
      <c r="O62" s="195"/>
      <c r="P62" s="137"/>
      <c r="Q62" s="137"/>
    </row>
    <row r="63" spans="2:17" ht="15" hidden="1" x14ac:dyDescent="0.25">
      <c r="B63"/>
      <c r="C63"/>
      <c r="D63" s="74"/>
      <c r="E63"/>
      <c r="F63"/>
      <c r="K63" s="137"/>
      <c r="L63" s="195"/>
      <c r="M63" s="137"/>
      <c r="N63" s="194"/>
      <c r="O63" s="195"/>
      <c r="P63" s="137"/>
      <c r="Q63" s="137"/>
    </row>
    <row r="64" spans="2:17" ht="15" hidden="1" x14ac:dyDescent="0.25">
      <c r="B64" s="129"/>
      <c r="C64" s="74"/>
      <c r="D64" s="74"/>
      <c r="E64"/>
      <c r="F64"/>
      <c r="K64" s="137"/>
      <c r="L64" s="195"/>
      <c r="M64" s="137"/>
      <c r="N64" s="194"/>
      <c r="O64" s="195"/>
      <c r="P64" s="137"/>
      <c r="Q64" s="137"/>
    </row>
    <row r="65" spans="2:17" x14ac:dyDescent="0.2">
      <c r="B65" s="133"/>
      <c r="C65" s="74"/>
      <c r="D65" s="74"/>
      <c r="E65" s="74"/>
      <c r="F65" s="74"/>
      <c r="K65" s="137"/>
      <c r="L65" s="195"/>
      <c r="M65" s="137"/>
      <c r="N65" s="194"/>
      <c r="O65" s="195"/>
      <c r="P65" s="137"/>
      <c r="Q65" s="137"/>
    </row>
    <row r="66" spans="2:17" x14ac:dyDescent="0.2">
      <c r="B66" s="128" t="s">
        <v>9</v>
      </c>
      <c r="C66" s="1" t="s">
        <v>601</v>
      </c>
      <c r="K66" s="137"/>
      <c r="L66" s="195"/>
      <c r="M66" s="137"/>
      <c r="N66" s="194"/>
      <c r="O66" s="195"/>
      <c r="P66" s="137"/>
      <c r="Q66" s="137"/>
    </row>
    <row r="67" spans="2:17" x14ac:dyDescent="0.2">
      <c r="B67" s="128" t="s">
        <v>234</v>
      </c>
      <c r="C67" s="1" t="s">
        <v>394</v>
      </c>
      <c r="K67" s="137"/>
      <c r="L67" s="195"/>
      <c r="M67" s="137"/>
      <c r="N67" s="194"/>
      <c r="O67" s="195"/>
      <c r="P67" s="137"/>
      <c r="Q67" s="137"/>
    </row>
    <row r="68" spans="2:17" x14ac:dyDescent="0.2">
      <c r="B68" s="128" t="s">
        <v>402</v>
      </c>
      <c r="C68" s="1" t="s">
        <v>403</v>
      </c>
      <c r="K68" s="137"/>
      <c r="L68" s="195"/>
      <c r="M68" s="137"/>
      <c r="N68" s="194"/>
      <c r="O68" s="195"/>
      <c r="P68" s="137"/>
      <c r="Q68" s="137"/>
    </row>
    <row r="69" spans="2:17" x14ac:dyDescent="0.2">
      <c r="K69" s="137"/>
      <c r="L69" s="195"/>
      <c r="M69" s="137"/>
      <c r="N69" s="194"/>
      <c r="O69" s="195"/>
      <c r="P69" s="137"/>
      <c r="Q69" s="137"/>
    </row>
    <row r="70" spans="2:17" ht="38.25" x14ac:dyDescent="0.2">
      <c r="B70" s="131" t="s">
        <v>90</v>
      </c>
      <c r="C70" s="115" t="s">
        <v>398</v>
      </c>
      <c r="D70" s="115" t="s">
        <v>399</v>
      </c>
      <c r="E70" s="115" t="s">
        <v>92</v>
      </c>
      <c r="F70" s="115" t="s">
        <v>413</v>
      </c>
      <c r="G70" s="128"/>
      <c r="H70" s="128"/>
      <c r="I70" s="128"/>
      <c r="J70" s="128"/>
      <c r="K70" s="225"/>
      <c r="L70" s="226"/>
      <c r="M70" s="225"/>
      <c r="N70" s="227"/>
      <c r="O70" s="226"/>
      <c r="P70" s="225"/>
      <c r="Q70" s="225"/>
    </row>
    <row r="71" spans="2:17" x14ac:dyDescent="0.2">
      <c r="B71" s="129" t="s">
        <v>97</v>
      </c>
      <c r="C71" s="74">
        <v>1002019</v>
      </c>
      <c r="D71" s="74">
        <v>984</v>
      </c>
      <c r="E71" s="74">
        <v>123920000</v>
      </c>
      <c r="F71" s="74">
        <v>46902000</v>
      </c>
      <c r="K71" s="137"/>
      <c r="L71" s="195"/>
      <c r="M71" s="137"/>
      <c r="N71" s="194"/>
      <c r="O71" s="195"/>
      <c r="P71" s="137"/>
      <c r="Q71" s="137"/>
    </row>
    <row r="72" spans="2:17" x14ac:dyDescent="0.2">
      <c r="B72" s="129" t="s">
        <v>91</v>
      </c>
      <c r="C72" s="74">
        <v>1002019</v>
      </c>
      <c r="D72" s="74">
        <v>984</v>
      </c>
      <c r="E72" s="74">
        <v>123920000</v>
      </c>
      <c r="F72" s="74">
        <v>46902000</v>
      </c>
      <c r="K72" s="137"/>
      <c r="L72" s="195"/>
      <c r="M72" s="137"/>
      <c r="N72" s="194"/>
      <c r="O72" s="195"/>
      <c r="P72" s="137"/>
      <c r="Q72" s="137"/>
    </row>
    <row r="73" spans="2:17" ht="15" x14ac:dyDescent="0.25">
      <c r="B73"/>
      <c r="C73"/>
      <c r="D73"/>
      <c r="E73"/>
      <c r="F73"/>
      <c r="K73" s="137"/>
      <c r="L73" s="195"/>
      <c r="M73" s="137"/>
      <c r="N73" s="194"/>
      <c r="O73" s="195"/>
      <c r="P73" s="137"/>
      <c r="Q73" s="137"/>
    </row>
    <row r="74" spans="2:17" ht="15" x14ac:dyDescent="0.25">
      <c r="B74"/>
      <c r="C74"/>
      <c r="D74"/>
      <c r="E74"/>
      <c r="F74"/>
      <c r="K74" s="137"/>
      <c r="L74" s="195"/>
      <c r="M74" s="137"/>
      <c r="N74" s="194"/>
      <c r="O74" s="195"/>
      <c r="P74" s="137"/>
      <c r="Q74" s="137"/>
    </row>
    <row r="75" spans="2:17" ht="15" x14ac:dyDescent="0.25">
      <c r="B75"/>
      <c r="C75"/>
      <c r="D75"/>
      <c r="E75"/>
      <c r="F75"/>
      <c r="K75" s="137"/>
      <c r="L75" s="195"/>
      <c r="M75" s="137"/>
      <c r="N75" s="194"/>
      <c r="O75" s="195"/>
      <c r="P75" s="137"/>
      <c r="Q75" s="137"/>
    </row>
    <row r="76" spans="2:17" x14ac:dyDescent="0.2">
      <c r="K76" s="137"/>
      <c r="L76" s="195"/>
      <c r="M76" s="137"/>
      <c r="N76" s="194"/>
      <c r="O76" s="195"/>
      <c r="P76" s="137"/>
      <c r="Q76" s="137"/>
    </row>
    <row r="77" spans="2:17" x14ac:dyDescent="0.2">
      <c r="K77" s="137"/>
      <c r="L77" s="195"/>
      <c r="M77" s="137"/>
      <c r="N77" s="194"/>
      <c r="O77" s="195"/>
      <c r="P77" s="137"/>
      <c r="Q77" s="137"/>
    </row>
    <row r="78" spans="2:17" x14ac:dyDescent="0.2">
      <c r="K78" s="137"/>
      <c r="L78" s="195"/>
      <c r="M78" s="137"/>
      <c r="N78" s="194"/>
      <c r="O78" s="195"/>
      <c r="P78" s="137"/>
      <c r="Q78" s="137"/>
    </row>
    <row r="79" spans="2:17" x14ac:dyDescent="0.2">
      <c r="K79" s="137"/>
      <c r="L79" s="195"/>
      <c r="M79" s="137"/>
      <c r="N79" s="194"/>
      <c r="O79" s="195"/>
      <c r="P79" s="137"/>
      <c r="Q79" s="137"/>
    </row>
    <row r="80" spans="2:17" x14ac:dyDescent="0.2">
      <c r="B80" s="134" t="s">
        <v>405</v>
      </c>
      <c r="C80" s="135"/>
      <c r="D80" s="135"/>
      <c r="E80" s="135"/>
      <c r="F80" s="135"/>
      <c r="G80" s="135"/>
      <c r="H80" s="135"/>
      <c r="I80" s="136"/>
    </row>
    <row r="81" spans="2:9" ht="13.5" thickBot="1" x14ac:dyDescent="0.25">
      <c r="B81" s="138" t="s">
        <v>407</v>
      </c>
      <c r="C81" s="139"/>
      <c r="D81" s="139"/>
      <c r="E81" s="139"/>
      <c r="F81" s="139"/>
      <c r="G81" s="139"/>
      <c r="H81" s="139"/>
      <c r="I81" s="140"/>
    </row>
    <row r="82" spans="2:9" ht="15" x14ac:dyDescent="0.25">
      <c r="B82"/>
      <c r="C82"/>
    </row>
    <row r="83" spans="2:9" x14ac:dyDescent="0.2">
      <c r="B83" s="128" t="s">
        <v>234</v>
      </c>
      <c r="C83" s="1" t="s">
        <v>235</v>
      </c>
      <c r="D83" s="74"/>
      <c r="E83" s="74"/>
    </row>
    <row r="84" spans="2:9" x14ac:dyDescent="0.2">
      <c r="B84" s="128" t="s">
        <v>402</v>
      </c>
      <c r="C84" s="1" t="s">
        <v>403</v>
      </c>
      <c r="D84" s="74"/>
      <c r="E84" s="74"/>
    </row>
    <row r="85" spans="2:9" x14ac:dyDescent="0.2">
      <c r="B85" s="132" t="s">
        <v>1</v>
      </c>
      <c r="C85" s="1" t="s">
        <v>410</v>
      </c>
      <c r="D85" s="74"/>
      <c r="E85" s="74"/>
    </row>
    <row r="86" spans="2:9" x14ac:dyDescent="0.2">
      <c r="D86" s="74"/>
      <c r="E86" s="74"/>
    </row>
    <row r="87" spans="2:9" x14ac:dyDescent="0.2">
      <c r="B87" s="128" t="s">
        <v>90</v>
      </c>
      <c r="C87" s="1" t="s">
        <v>409</v>
      </c>
      <c r="D87" s="142"/>
      <c r="E87" s="142"/>
      <c r="F87" s="128"/>
      <c r="G87" s="128"/>
      <c r="H87" s="128"/>
      <c r="I87" s="128"/>
    </row>
    <row r="88" spans="2:9" x14ac:dyDescent="0.2">
      <c r="B88" s="129" t="s">
        <v>49</v>
      </c>
      <c r="C88" s="74">
        <v>49</v>
      </c>
      <c r="D88" s="74"/>
      <c r="E88" s="74"/>
    </row>
    <row r="89" spans="2:9" x14ac:dyDescent="0.2">
      <c r="B89" s="129" t="s">
        <v>304</v>
      </c>
      <c r="C89" s="74">
        <v>68</v>
      </c>
      <c r="D89" s="74"/>
      <c r="E89" s="74"/>
    </row>
    <row r="90" spans="2:9" x14ac:dyDescent="0.2">
      <c r="B90" s="129" t="s">
        <v>601</v>
      </c>
      <c r="C90" s="74">
        <v>3</v>
      </c>
      <c r="D90" s="74"/>
      <c r="E90" s="74"/>
    </row>
    <row r="91" spans="2:9" x14ac:dyDescent="0.2">
      <c r="B91" s="129" t="s">
        <v>91</v>
      </c>
      <c r="C91" s="74">
        <v>120</v>
      </c>
      <c r="D91" s="74"/>
      <c r="E91" s="74"/>
    </row>
    <row r="92" spans="2:9" ht="15" x14ac:dyDescent="0.25">
      <c r="B92"/>
      <c r="C92"/>
      <c r="D92" s="74"/>
      <c r="E92" s="74"/>
    </row>
    <row r="93" spans="2:9" x14ac:dyDescent="0.2">
      <c r="B93" s="133"/>
      <c r="C93" s="74"/>
      <c r="D93" s="74"/>
      <c r="E93" s="74"/>
    </row>
    <row r="94" spans="2:9" x14ac:dyDescent="0.2">
      <c r="B94" s="128" t="s">
        <v>234</v>
      </c>
      <c r="C94" s="1" t="s">
        <v>394</v>
      </c>
    </row>
    <row r="95" spans="2:9" x14ac:dyDescent="0.2">
      <c r="B95" s="128" t="s">
        <v>402</v>
      </c>
      <c r="C95" s="1" t="s">
        <v>403</v>
      </c>
    </row>
    <row r="96" spans="2:9" x14ac:dyDescent="0.2">
      <c r="B96" s="131" t="s">
        <v>1</v>
      </c>
      <c r="C96" s="1" t="s">
        <v>410</v>
      </c>
    </row>
    <row r="97" spans="2:12" x14ac:dyDescent="0.2">
      <c r="K97" s="115"/>
      <c r="L97" s="115"/>
    </row>
    <row r="98" spans="2:12" s="115" customFormat="1" ht="38.25" x14ac:dyDescent="0.2">
      <c r="B98" s="131" t="s">
        <v>90</v>
      </c>
      <c r="C98" s="115" t="s">
        <v>398</v>
      </c>
      <c r="D98" s="115" t="s">
        <v>399</v>
      </c>
      <c r="E98" s="115" t="s">
        <v>408</v>
      </c>
      <c r="F98" s="115" t="s">
        <v>413</v>
      </c>
      <c r="G98" s="131"/>
      <c r="H98" s="131"/>
      <c r="I98" s="131"/>
      <c r="K98" s="1"/>
      <c r="L98" s="1"/>
    </row>
    <row r="99" spans="2:12" x14ac:dyDescent="0.2">
      <c r="B99" s="129" t="s">
        <v>49</v>
      </c>
      <c r="C99" s="74">
        <v>13511114</v>
      </c>
      <c r="D99" s="74">
        <v>11184</v>
      </c>
      <c r="E99" s="74">
        <v>1680400000</v>
      </c>
      <c r="F99" s="74">
        <v>569088299.15999985</v>
      </c>
    </row>
    <row r="100" spans="2:12" x14ac:dyDescent="0.2">
      <c r="B100" s="129" t="s">
        <v>304</v>
      </c>
      <c r="C100" s="74">
        <v>10085295</v>
      </c>
      <c r="D100" s="74">
        <v>7714</v>
      </c>
      <c r="E100" s="74">
        <v>816455017.66999996</v>
      </c>
      <c r="F100" s="74">
        <v>207382708.21000001</v>
      </c>
    </row>
    <row r="101" spans="2:12" x14ac:dyDescent="0.2">
      <c r="B101" s="129" t="s">
        <v>601</v>
      </c>
      <c r="C101" s="74">
        <v>1002019</v>
      </c>
      <c r="D101" s="74">
        <v>984</v>
      </c>
      <c r="E101" s="74">
        <v>123920000</v>
      </c>
      <c r="F101" s="74">
        <v>46902000</v>
      </c>
    </row>
    <row r="102" spans="2:12" x14ac:dyDescent="0.2">
      <c r="B102" s="129" t="s">
        <v>91</v>
      </c>
      <c r="C102" s="74">
        <v>24598428</v>
      </c>
      <c r="D102" s="74">
        <v>19882</v>
      </c>
      <c r="E102" s="74">
        <v>2620775017.6700001</v>
      </c>
      <c r="F102" s="74">
        <v>823373007.36999989</v>
      </c>
    </row>
    <row r="103" spans="2:12" ht="15" x14ac:dyDescent="0.25">
      <c r="B103"/>
      <c r="C103"/>
      <c r="D103"/>
      <c r="E103"/>
      <c r="F103"/>
    </row>
    <row r="104" spans="2:12" ht="15" x14ac:dyDescent="0.25">
      <c r="B104"/>
      <c r="C104"/>
      <c r="D104"/>
      <c r="E104"/>
      <c r="F104"/>
    </row>
    <row r="105" spans="2:12" ht="15" x14ac:dyDescent="0.25">
      <c r="B105"/>
      <c r="C105"/>
      <c r="D105"/>
      <c r="E105"/>
      <c r="F105"/>
    </row>
    <row r="106" spans="2:12" ht="15" x14ac:dyDescent="0.25">
      <c r="B106"/>
      <c r="C106"/>
      <c r="D106"/>
      <c r="E106"/>
      <c r="F106"/>
    </row>
    <row r="107" spans="2:12" ht="15" x14ac:dyDescent="0.25">
      <c r="B107"/>
      <c r="C107"/>
      <c r="D107"/>
      <c r="E107"/>
      <c r="F107"/>
    </row>
    <row r="108" spans="2:12" ht="15" x14ac:dyDescent="0.25">
      <c r="B108"/>
      <c r="C108"/>
      <c r="D108"/>
      <c r="E108"/>
      <c r="F108"/>
    </row>
    <row r="109" spans="2:12" ht="15" x14ac:dyDescent="0.25">
      <c r="B109"/>
      <c r="C109"/>
      <c r="D109"/>
      <c r="E109"/>
      <c r="F109"/>
    </row>
    <row r="110" spans="2:12" ht="15" x14ac:dyDescent="0.25">
      <c r="B110"/>
      <c r="C110"/>
      <c r="D110"/>
      <c r="E110"/>
      <c r="F110"/>
    </row>
    <row r="111" spans="2:12" ht="15" x14ac:dyDescent="0.25">
      <c r="B111"/>
      <c r="C111"/>
      <c r="D111"/>
      <c r="E111"/>
      <c r="F111"/>
    </row>
    <row r="112" spans="2:12" ht="15" x14ac:dyDescent="0.25">
      <c r="B112"/>
      <c r="C112"/>
      <c r="D112"/>
      <c r="E112"/>
      <c r="F112"/>
    </row>
    <row r="113" spans="2:6" ht="15" x14ac:dyDescent="0.25">
      <c r="B113"/>
      <c r="C113"/>
      <c r="D113"/>
      <c r="E113"/>
      <c r="F113"/>
    </row>
    <row r="114" spans="2:6" ht="15" x14ac:dyDescent="0.25">
      <c r="B114"/>
      <c r="C114"/>
      <c r="D114"/>
      <c r="E114"/>
      <c r="F114"/>
    </row>
    <row r="115" spans="2:6" ht="15" x14ac:dyDescent="0.25">
      <c r="B115"/>
      <c r="C115"/>
      <c r="D115"/>
      <c r="E115"/>
      <c r="F115"/>
    </row>
    <row r="116" spans="2:6" ht="15" x14ac:dyDescent="0.25">
      <c r="B116"/>
      <c r="C116"/>
      <c r="D116"/>
      <c r="E116"/>
      <c r="F116"/>
    </row>
    <row r="117" spans="2:6" ht="15" x14ac:dyDescent="0.25">
      <c r="B117"/>
      <c r="C117"/>
      <c r="D117"/>
      <c r="E117"/>
      <c r="F117"/>
    </row>
    <row r="118" spans="2:6" ht="15" x14ac:dyDescent="0.25">
      <c r="B118"/>
      <c r="C118"/>
      <c r="D118"/>
      <c r="E118"/>
      <c r="F118"/>
    </row>
    <row r="119" spans="2:6" ht="15" x14ac:dyDescent="0.25">
      <c r="B119"/>
      <c r="C119"/>
      <c r="D119"/>
      <c r="E119"/>
      <c r="F119"/>
    </row>
    <row r="120" spans="2:6" ht="15" x14ac:dyDescent="0.25">
      <c r="B120"/>
      <c r="C120"/>
      <c r="D120"/>
      <c r="E120"/>
      <c r="F120"/>
    </row>
    <row r="121" spans="2:6" ht="15" x14ac:dyDescent="0.25">
      <c r="B121"/>
      <c r="C121"/>
      <c r="D121"/>
      <c r="E121"/>
      <c r="F121"/>
    </row>
    <row r="122" spans="2:6" ht="15" x14ac:dyDescent="0.25">
      <c r="B122"/>
      <c r="C122"/>
      <c r="D122"/>
      <c r="E122"/>
      <c r="F122"/>
    </row>
    <row r="123" spans="2:6" ht="15" x14ac:dyDescent="0.25">
      <c r="B123"/>
      <c r="C123"/>
      <c r="D123"/>
      <c r="E123"/>
      <c r="F123"/>
    </row>
    <row r="124" spans="2:6" ht="15" x14ac:dyDescent="0.25">
      <c r="B124"/>
      <c r="C124"/>
      <c r="D124"/>
      <c r="E124"/>
      <c r="F124"/>
    </row>
    <row r="125" spans="2:6" ht="15" x14ac:dyDescent="0.25">
      <c r="B125"/>
      <c r="C125"/>
      <c r="D125"/>
      <c r="E125"/>
      <c r="F125"/>
    </row>
    <row r="126" spans="2:6" ht="15" x14ac:dyDescent="0.25">
      <c r="B126"/>
      <c r="C126"/>
      <c r="D126"/>
      <c r="E126"/>
      <c r="F126"/>
    </row>
    <row r="127" spans="2:6" ht="15" x14ac:dyDescent="0.25">
      <c r="B127"/>
      <c r="C127"/>
      <c r="D127"/>
      <c r="E127"/>
      <c r="F127"/>
    </row>
    <row r="128" spans="2:6" ht="15" x14ac:dyDescent="0.25">
      <c r="B128"/>
      <c r="C128"/>
      <c r="D128"/>
      <c r="E128"/>
      <c r="F128"/>
    </row>
    <row r="129" spans="2:6" ht="15" x14ac:dyDescent="0.25">
      <c r="B129"/>
      <c r="C129"/>
      <c r="D129"/>
      <c r="E129"/>
      <c r="F129"/>
    </row>
    <row r="130" spans="2:6" ht="15" x14ac:dyDescent="0.25">
      <c r="B130"/>
      <c r="C130"/>
      <c r="D130"/>
      <c r="E130"/>
      <c r="F130"/>
    </row>
    <row r="131" spans="2:6" ht="15" x14ac:dyDescent="0.25">
      <c r="B131"/>
      <c r="C131"/>
      <c r="D131"/>
      <c r="E131"/>
      <c r="F131"/>
    </row>
    <row r="132" spans="2:6" ht="15" x14ac:dyDescent="0.25">
      <c r="B132"/>
      <c r="C132"/>
      <c r="D132"/>
      <c r="E132"/>
      <c r="F132"/>
    </row>
    <row r="133" spans="2:6" ht="15" x14ac:dyDescent="0.25">
      <c r="B133"/>
      <c r="C133"/>
      <c r="D133"/>
      <c r="E133"/>
      <c r="F133"/>
    </row>
    <row r="134" spans="2:6" ht="15" x14ac:dyDescent="0.25">
      <c r="B134"/>
      <c r="C134"/>
      <c r="D134"/>
      <c r="E134"/>
      <c r="F134"/>
    </row>
    <row r="135" spans="2:6" ht="15" x14ac:dyDescent="0.25">
      <c r="B135"/>
      <c r="C135"/>
      <c r="D135"/>
      <c r="E135"/>
      <c r="F135"/>
    </row>
    <row r="136" spans="2:6" ht="15" x14ac:dyDescent="0.25">
      <c r="B136"/>
      <c r="C136"/>
      <c r="D136"/>
      <c r="E136"/>
      <c r="F136"/>
    </row>
    <row r="137" spans="2:6" ht="15" x14ac:dyDescent="0.25">
      <c r="B137"/>
      <c r="C137"/>
      <c r="D137"/>
      <c r="E137"/>
      <c r="F137"/>
    </row>
    <row r="138" spans="2:6" ht="15" x14ac:dyDescent="0.25">
      <c r="B138"/>
      <c r="C138"/>
      <c r="D138"/>
      <c r="E138"/>
      <c r="F138"/>
    </row>
    <row r="139" spans="2:6" ht="15" x14ac:dyDescent="0.25">
      <c r="B139"/>
      <c r="C139"/>
      <c r="D139"/>
      <c r="E139"/>
      <c r="F139"/>
    </row>
    <row r="140" spans="2:6" ht="15" x14ac:dyDescent="0.25">
      <c r="B140"/>
      <c r="C140"/>
      <c r="D140"/>
      <c r="E140"/>
      <c r="F140"/>
    </row>
    <row r="141" spans="2:6" ht="15" x14ac:dyDescent="0.25">
      <c r="B141"/>
      <c r="C141"/>
      <c r="D141"/>
      <c r="E141"/>
      <c r="F141"/>
    </row>
    <row r="142" spans="2:6" ht="15" x14ac:dyDescent="0.25">
      <c r="B142"/>
      <c r="C142"/>
      <c r="D142"/>
      <c r="E142"/>
      <c r="F142"/>
    </row>
    <row r="143" spans="2:6" ht="15" x14ac:dyDescent="0.25">
      <c r="B143"/>
      <c r="C143"/>
      <c r="D143"/>
      <c r="E143"/>
      <c r="F143"/>
    </row>
    <row r="144" spans="2:6" ht="15" x14ac:dyDescent="0.25">
      <c r="B144"/>
      <c r="C144"/>
      <c r="D144"/>
      <c r="E144"/>
      <c r="F144"/>
    </row>
    <row r="145" spans="2:6" ht="15" x14ac:dyDescent="0.25">
      <c r="B145"/>
      <c r="C145"/>
      <c r="D145"/>
      <c r="E145"/>
      <c r="F145"/>
    </row>
    <row r="146" spans="2:6" ht="15" x14ac:dyDescent="0.25">
      <c r="B146"/>
      <c r="C146"/>
      <c r="D146"/>
      <c r="E146"/>
      <c r="F146"/>
    </row>
    <row r="147" spans="2:6" ht="15" x14ac:dyDescent="0.25">
      <c r="B147"/>
      <c r="C147"/>
      <c r="D147"/>
      <c r="E147"/>
      <c r="F147"/>
    </row>
    <row r="148" spans="2:6" ht="15" x14ac:dyDescent="0.25">
      <c r="B148"/>
      <c r="C148"/>
      <c r="D148"/>
      <c r="E148"/>
      <c r="F148"/>
    </row>
    <row r="149" spans="2:6" ht="15" x14ac:dyDescent="0.25">
      <c r="B149"/>
      <c r="C149"/>
      <c r="D149"/>
      <c r="E149"/>
      <c r="F149"/>
    </row>
    <row r="150" spans="2:6" ht="15" x14ac:dyDescent="0.25">
      <c r="B150"/>
      <c r="C150"/>
      <c r="D150"/>
      <c r="E150"/>
      <c r="F150"/>
    </row>
    <row r="151" spans="2:6" ht="15" x14ac:dyDescent="0.25">
      <c r="B151"/>
      <c r="C151"/>
      <c r="D151"/>
      <c r="E151"/>
      <c r="F151"/>
    </row>
    <row r="152" spans="2:6" ht="15" x14ac:dyDescent="0.25">
      <c r="B152"/>
      <c r="C152"/>
      <c r="D152"/>
      <c r="E152"/>
      <c r="F152"/>
    </row>
    <row r="153" spans="2:6" ht="15" x14ac:dyDescent="0.25">
      <c r="B153"/>
      <c r="C153"/>
      <c r="D153"/>
      <c r="E153"/>
      <c r="F153"/>
    </row>
    <row r="154" spans="2:6" ht="15" x14ac:dyDescent="0.25">
      <c r="B154"/>
      <c r="C154"/>
      <c r="D154"/>
      <c r="E154"/>
      <c r="F154"/>
    </row>
    <row r="155" spans="2:6" ht="15" x14ac:dyDescent="0.25">
      <c r="B155"/>
      <c r="C155"/>
      <c r="D155"/>
      <c r="E155"/>
      <c r="F155"/>
    </row>
    <row r="156" spans="2:6" ht="15" x14ac:dyDescent="0.25">
      <c r="B156"/>
      <c r="C156"/>
      <c r="D156"/>
      <c r="E156"/>
      <c r="F156"/>
    </row>
    <row r="157" spans="2:6" ht="15" x14ac:dyDescent="0.25">
      <c r="B157"/>
      <c r="C157"/>
      <c r="D157"/>
      <c r="E157"/>
      <c r="F157"/>
    </row>
    <row r="158" spans="2:6" ht="15" x14ac:dyDescent="0.25">
      <c r="B158"/>
      <c r="C158"/>
      <c r="D158"/>
      <c r="E158"/>
      <c r="F158"/>
    </row>
    <row r="159" spans="2:6" ht="15" x14ac:dyDescent="0.25">
      <c r="B159"/>
      <c r="C159"/>
      <c r="D159"/>
      <c r="E159"/>
      <c r="F159"/>
    </row>
  </sheetData>
  <sheetProtection algorithmName="SHA-512" hashValue="DMVL5HPsJHBtL05nbz7axiLKq+EAsLUWRrGTtVO1qr3oDIGKK8y1ArGGCkhjGfnlMgeHHoRnt6hFzxmlpr+xqg==" saltValue="s314YUApCb21kaVHZrtnqQ=="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04846-8CA7-42DE-A707-5CADEE6ABC5D}">
  <sheetPr>
    <tabColor theme="9" tint="0.59999389629810485"/>
  </sheetPr>
  <dimension ref="B2:O147"/>
  <sheetViews>
    <sheetView showGridLines="0" workbookViewId="0">
      <selection activeCell="H39" sqref="H38:H39"/>
    </sheetView>
  </sheetViews>
  <sheetFormatPr defaultColWidth="9.140625" defaultRowHeight="12.75" outlineLevelRow="1" x14ac:dyDescent="0.2"/>
  <cols>
    <col min="1" max="1" width="4.85546875" style="1" customWidth="1"/>
    <col min="2" max="2" width="22.5703125" style="1" bestFit="1" customWidth="1"/>
    <col min="3" max="3" width="16" style="1" bestFit="1" customWidth="1"/>
    <col min="4" max="4" width="6.42578125" style="1" bestFit="1" customWidth="1"/>
    <col min="5" max="5" width="16.85546875" style="1" bestFit="1" customWidth="1"/>
    <col min="6" max="7" width="16.140625" style="1" bestFit="1" customWidth="1"/>
    <col min="8" max="8" width="11" style="1" bestFit="1" customWidth="1"/>
    <col min="9" max="9" width="15.28515625" style="1" bestFit="1" customWidth="1"/>
    <col min="10" max="10" width="9.140625" style="1"/>
    <col min="11" max="11" width="11" style="1" bestFit="1" customWidth="1"/>
    <col min="12" max="12" width="38" style="1" customWidth="1"/>
    <col min="13" max="13" width="12" style="1" bestFit="1" customWidth="1"/>
    <col min="14" max="14" width="30.140625" style="1" bestFit="1" customWidth="1"/>
    <col min="15" max="15" width="13.5703125" style="1" bestFit="1" customWidth="1"/>
    <col min="16" max="16" width="9.140625" style="1"/>
    <col min="17" max="17" width="46" style="1" bestFit="1" customWidth="1"/>
    <col min="18" max="18" width="12.5703125" style="1" bestFit="1" customWidth="1"/>
    <col min="19" max="16384" width="9.140625" style="1"/>
  </cols>
  <sheetData>
    <row r="2" spans="2:10" x14ac:dyDescent="0.2">
      <c r="B2" s="134" t="s">
        <v>428</v>
      </c>
      <c r="C2" s="137"/>
      <c r="D2" s="137"/>
      <c r="E2" s="137"/>
      <c r="F2" s="137"/>
      <c r="G2" s="137"/>
      <c r="H2" s="137"/>
      <c r="I2" s="137"/>
      <c r="J2" s="137"/>
    </row>
    <row r="3" spans="2:10" ht="13.5" thickBot="1" x14ac:dyDescent="0.25">
      <c r="B3" s="138" t="s">
        <v>431</v>
      </c>
      <c r="C3" s="141"/>
      <c r="D3" s="141"/>
      <c r="E3" s="141"/>
      <c r="F3" s="141"/>
      <c r="G3" s="141"/>
      <c r="H3" s="141"/>
      <c r="I3" s="141"/>
      <c r="J3" s="141"/>
    </row>
    <row r="5" spans="2:10" outlineLevel="1" x14ac:dyDescent="0.2">
      <c r="B5" s="128" t="s">
        <v>9</v>
      </c>
      <c r="C5" s="1" t="s">
        <v>304</v>
      </c>
    </row>
    <row r="6" spans="2:10" outlineLevel="1" x14ac:dyDescent="0.2">
      <c r="B6" s="128" t="s">
        <v>234</v>
      </c>
      <c r="C6" s="1" t="s">
        <v>235</v>
      </c>
    </row>
    <row r="7" spans="2:10" outlineLevel="1" x14ac:dyDescent="0.2">
      <c r="B7" s="128" t="s">
        <v>402</v>
      </c>
      <c r="C7" s="1" t="s">
        <v>404</v>
      </c>
    </row>
    <row r="8" spans="2:10" outlineLevel="1" x14ac:dyDescent="0.2"/>
    <row r="9" spans="2:10" outlineLevel="1" x14ac:dyDescent="0.2">
      <c r="B9" s="128" t="s">
        <v>90</v>
      </c>
      <c r="C9" s="1" t="s">
        <v>395</v>
      </c>
    </row>
    <row r="10" spans="2:10" outlineLevel="1" x14ac:dyDescent="0.2">
      <c r="B10" s="129" t="s">
        <v>91</v>
      </c>
      <c r="C10" s="74"/>
    </row>
    <row r="11" spans="2:10" ht="15" outlineLevel="1" x14ac:dyDescent="0.25">
      <c r="B11"/>
      <c r="C11"/>
    </row>
    <row r="12" spans="2:10" ht="15" outlineLevel="1" x14ac:dyDescent="0.25">
      <c r="B12"/>
      <c r="C12"/>
    </row>
    <row r="13" spans="2:10" ht="15" outlineLevel="1" x14ac:dyDescent="0.25">
      <c r="B13"/>
      <c r="C13"/>
    </row>
    <row r="14" spans="2:10" ht="15" outlineLevel="1" x14ac:dyDescent="0.25">
      <c r="B14"/>
      <c r="C14"/>
    </row>
    <row r="15" spans="2:10" outlineLevel="1" x14ac:dyDescent="0.2">
      <c r="B15" s="129"/>
      <c r="C15" s="74"/>
    </row>
    <row r="16" spans="2:10" outlineLevel="1" x14ac:dyDescent="0.2">
      <c r="B16" s="128" t="s">
        <v>9</v>
      </c>
      <c r="C16" s="1" t="s">
        <v>304</v>
      </c>
    </row>
    <row r="17" spans="2:10" outlineLevel="1" x14ac:dyDescent="0.2">
      <c r="B17" s="128" t="s">
        <v>234</v>
      </c>
      <c r="C17" s="1" t="s">
        <v>394</v>
      </c>
    </row>
    <row r="18" spans="2:10" outlineLevel="1" x14ac:dyDescent="0.2">
      <c r="B18" s="128" t="s">
        <v>402</v>
      </c>
      <c r="C18" s="1" t="s">
        <v>404</v>
      </c>
    </row>
    <row r="19" spans="2:10" outlineLevel="1" x14ac:dyDescent="0.2"/>
    <row r="20" spans="2:10" s="115" customFormat="1" ht="51" outlineLevel="1" x14ac:dyDescent="0.2">
      <c r="B20" s="132" t="s">
        <v>90</v>
      </c>
      <c r="C20" s="115" t="s">
        <v>395</v>
      </c>
      <c r="D20" s="115" t="s">
        <v>398</v>
      </c>
      <c r="E20" s="115" t="s">
        <v>399</v>
      </c>
      <c r="F20" s="115" t="s">
        <v>400</v>
      </c>
      <c r="G20" s="1" t="s">
        <v>413</v>
      </c>
      <c r="H20" s="115" t="s">
        <v>401</v>
      </c>
      <c r="I20" s="75" t="s">
        <v>167</v>
      </c>
    </row>
    <row r="21" spans="2:10" outlineLevel="1" x14ac:dyDescent="0.2">
      <c r="B21" s="129" t="s">
        <v>91</v>
      </c>
      <c r="C21" s="74"/>
      <c r="D21" s="74"/>
      <c r="E21" s="74"/>
      <c r="F21" s="74"/>
      <c r="G21" s="74"/>
      <c r="H21" s="74"/>
      <c r="I21" s="114"/>
    </row>
    <row r="22" spans="2:10" ht="15" outlineLevel="1" x14ac:dyDescent="0.25">
      <c r="B22"/>
      <c r="C22"/>
      <c r="D22"/>
      <c r="E22"/>
      <c r="F22"/>
      <c r="G22"/>
      <c r="H22"/>
      <c r="I22" s="114"/>
    </row>
    <row r="23" spans="2:10" ht="15" outlineLevel="1" x14ac:dyDescent="0.25">
      <c r="B23"/>
      <c r="C23"/>
      <c r="D23"/>
      <c r="E23"/>
      <c r="F23"/>
      <c r="G23"/>
      <c r="H23"/>
      <c r="I23" s="114"/>
    </row>
    <row r="24" spans="2:10" ht="15" outlineLevel="1" x14ac:dyDescent="0.25">
      <c r="B24"/>
      <c r="C24"/>
      <c r="D24"/>
      <c r="E24"/>
      <c r="F24"/>
      <c r="G24"/>
      <c r="H24"/>
      <c r="I24" s="114"/>
    </row>
    <row r="25" spans="2:10" ht="15" outlineLevel="1" x14ac:dyDescent="0.25">
      <c r="B25"/>
      <c r="C25"/>
      <c r="D25"/>
      <c r="E25"/>
      <c r="F25"/>
      <c r="G25"/>
      <c r="H25"/>
      <c r="I25" s="114"/>
    </row>
    <row r="26" spans="2:10" ht="15" outlineLevel="1" x14ac:dyDescent="0.25">
      <c r="B26"/>
      <c r="C26"/>
      <c r="D26"/>
      <c r="E26"/>
      <c r="F26"/>
      <c r="G26"/>
      <c r="H26"/>
      <c r="I26" s="114"/>
    </row>
    <row r="27" spans="2:10" x14ac:dyDescent="0.2">
      <c r="B27" s="129"/>
      <c r="C27" s="74"/>
      <c r="D27" s="74"/>
      <c r="E27" s="74"/>
      <c r="F27" s="74"/>
      <c r="G27" s="74"/>
      <c r="H27" s="74"/>
      <c r="I27" s="114"/>
    </row>
    <row r="28" spans="2:10" x14ac:dyDescent="0.2">
      <c r="B28" s="134" t="s">
        <v>428</v>
      </c>
      <c r="C28" s="135"/>
      <c r="D28" s="135"/>
      <c r="E28" s="135"/>
      <c r="F28" s="135"/>
      <c r="G28" s="135"/>
      <c r="H28" s="135"/>
      <c r="I28" s="136"/>
      <c r="J28" s="137"/>
    </row>
    <row r="29" spans="2:10" ht="13.5" thickBot="1" x14ac:dyDescent="0.25">
      <c r="B29" s="138" t="s">
        <v>430</v>
      </c>
      <c r="C29" s="139"/>
      <c r="D29" s="139"/>
      <c r="E29" s="139"/>
      <c r="F29" s="139"/>
      <c r="G29" s="139"/>
      <c r="H29" s="139"/>
      <c r="I29" s="140"/>
      <c r="J29" s="141"/>
    </row>
    <row r="30" spans="2:10" x14ac:dyDescent="0.2">
      <c r="B30" s="133"/>
      <c r="C30" s="74"/>
      <c r="D30" s="74"/>
      <c r="E30" s="74"/>
      <c r="F30" s="74"/>
      <c r="G30" s="74"/>
      <c r="H30" s="74"/>
      <c r="I30" s="114"/>
    </row>
    <row r="31" spans="2:10" x14ac:dyDescent="0.2">
      <c r="B31" s="128" t="s">
        <v>9</v>
      </c>
      <c r="C31" s="1" t="s">
        <v>49</v>
      </c>
      <c r="D31" s="74"/>
      <c r="G31" s="74"/>
      <c r="H31" s="74"/>
      <c r="I31" s="114"/>
    </row>
    <row r="32" spans="2:10" x14ac:dyDescent="0.2">
      <c r="B32" s="128" t="s">
        <v>234</v>
      </c>
      <c r="C32" s="1" t="s">
        <v>235</v>
      </c>
      <c r="D32" s="74"/>
      <c r="G32" s="74"/>
      <c r="H32" s="74"/>
      <c r="I32" s="114"/>
    </row>
    <row r="33" spans="2:9" x14ac:dyDescent="0.2">
      <c r="B33" s="128" t="s">
        <v>402</v>
      </c>
      <c r="C33" s="1" t="s">
        <v>404</v>
      </c>
      <c r="D33" s="74"/>
      <c r="G33" s="74"/>
      <c r="H33" s="74"/>
      <c r="I33" s="114"/>
    </row>
    <row r="34" spans="2:9" x14ac:dyDescent="0.2">
      <c r="D34" s="74"/>
      <c r="G34" s="74"/>
      <c r="H34" s="74"/>
      <c r="I34" s="114"/>
    </row>
    <row r="35" spans="2:9" x14ac:dyDescent="0.2">
      <c r="B35" s="132" t="s">
        <v>90</v>
      </c>
      <c r="C35" s="1" t="s">
        <v>395</v>
      </c>
      <c r="D35" s="74"/>
      <c r="G35" s="74"/>
      <c r="H35" s="74"/>
      <c r="I35" s="114"/>
    </row>
    <row r="36" spans="2:9" x14ac:dyDescent="0.2">
      <c r="B36" s="129" t="s">
        <v>97</v>
      </c>
      <c r="C36" s="74">
        <v>5</v>
      </c>
      <c r="D36" s="74"/>
      <c r="G36" s="74"/>
      <c r="H36" s="74"/>
      <c r="I36" s="114"/>
    </row>
    <row r="37" spans="2:9" x14ac:dyDescent="0.2">
      <c r="B37" s="129" t="s">
        <v>397</v>
      </c>
      <c r="C37" s="74">
        <v>2</v>
      </c>
      <c r="D37" s="74"/>
      <c r="G37" s="74"/>
      <c r="H37" s="74"/>
      <c r="I37" s="114"/>
    </row>
    <row r="38" spans="2:9" ht="15" x14ac:dyDescent="0.25">
      <c r="B38" s="129" t="s">
        <v>91</v>
      </c>
      <c r="C38" s="74">
        <v>7</v>
      </c>
      <c r="D38" s="74"/>
      <c r="E38"/>
      <c r="F38"/>
      <c r="G38" s="74"/>
      <c r="H38" s="74"/>
      <c r="I38" s="114"/>
    </row>
    <row r="39" spans="2:9" ht="15" x14ac:dyDescent="0.25">
      <c r="B39"/>
      <c r="C39"/>
      <c r="D39" s="74"/>
      <c r="E39"/>
      <c r="F39"/>
      <c r="G39" s="74"/>
      <c r="H39" s="74"/>
      <c r="I39" s="114"/>
    </row>
    <row r="40" spans="2:9" ht="15" x14ac:dyDescent="0.25">
      <c r="B40" s="128" t="s">
        <v>9</v>
      </c>
      <c r="C40" s="1" t="s">
        <v>601</v>
      </c>
      <c r="D40" s="74"/>
      <c r="E40"/>
      <c r="F40"/>
      <c r="G40" s="74"/>
      <c r="H40" s="74"/>
      <c r="I40" s="114"/>
    </row>
    <row r="41" spans="2:9" ht="15" x14ac:dyDescent="0.25">
      <c r="B41" s="128" t="s">
        <v>234</v>
      </c>
      <c r="C41" s="1" t="s">
        <v>235</v>
      </c>
      <c r="D41" s="74"/>
      <c r="E41"/>
      <c r="F41"/>
      <c r="G41" s="74"/>
      <c r="H41" s="74"/>
      <c r="I41" s="114"/>
    </row>
    <row r="42" spans="2:9" ht="15" x14ac:dyDescent="0.25">
      <c r="B42" s="128" t="s">
        <v>402</v>
      </c>
      <c r="C42" s="1" t="s">
        <v>404</v>
      </c>
      <c r="D42" s="74"/>
      <c r="E42"/>
      <c r="F42"/>
      <c r="G42" s="74"/>
      <c r="H42" s="74"/>
      <c r="I42" s="114"/>
    </row>
    <row r="43" spans="2:9" ht="15" x14ac:dyDescent="0.25">
      <c r="D43" s="74"/>
      <c r="E43"/>
      <c r="F43"/>
      <c r="G43" s="74"/>
      <c r="H43" s="74"/>
      <c r="I43" s="114"/>
    </row>
    <row r="44" spans="2:9" ht="15" x14ac:dyDescent="0.25">
      <c r="B44" s="132" t="s">
        <v>90</v>
      </c>
      <c r="C44" s="1" t="s">
        <v>395</v>
      </c>
      <c r="D44" s="74"/>
      <c r="E44"/>
      <c r="F44"/>
      <c r="G44" s="74"/>
      <c r="H44" s="74"/>
      <c r="I44" s="114"/>
    </row>
    <row r="45" spans="2:9" ht="15" x14ac:dyDescent="0.25">
      <c r="B45" s="129" t="s">
        <v>91</v>
      </c>
      <c r="C45" s="74"/>
      <c r="D45" s="74"/>
      <c r="E45"/>
      <c r="F45"/>
      <c r="G45" s="74"/>
      <c r="H45" s="74"/>
      <c r="I45" s="114"/>
    </row>
    <row r="46" spans="2:9" ht="15" x14ac:dyDescent="0.25">
      <c r="B46"/>
      <c r="C46"/>
      <c r="D46" s="74"/>
      <c r="E46"/>
      <c r="F46"/>
      <c r="G46" s="74"/>
      <c r="H46" s="74"/>
      <c r="I46" s="114"/>
    </row>
    <row r="47" spans="2:9" ht="15" x14ac:dyDescent="0.25">
      <c r="B47"/>
      <c r="C47"/>
      <c r="D47" s="74"/>
      <c r="E47" s="74"/>
      <c r="F47" s="74"/>
      <c r="G47" s="74"/>
      <c r="H47" s="74"/>
      <c r="I47" s="114"/>
    </row>
    <row r="48" spans="2:9" x14ac:dyDescent="0.2">
      <c r="B48" s="128" t="s">
        <v>9</v>
      </c>
      <c r="C48" s="1" t="s">
        <v>49</v>
      </c>
    </row>
    <row r="49" spans="2:15" x14ac:dyDescent="0.2">
      <c r="B49" s="128" t="s">
        <v>234</v>
      </c>
      <c r="C49" s="1" t="s">
        <v>394</v>
      </c>
      <c r="K49" s="137"/>
      <c r="L49" s="137"/>
      <c r="M49" s="137"/>
      <c r="N49" s="137"/>
    </row>
    <row r="50" spans="2:15" x14ac:dyDescent="0.2">
      <c r="B50" s="128" t="s">
        <v>402</v>
      </c>
      <c r="C50" s="1" t="s">
        <v>404</v>
      </c>
      <c r="K50" s="137"/>
      <c r="L50" s="137"/>
      <c r="M50" s="137"/>
      <c r="N50" s="137"/>
    </row>
    <row r="51" spans="2:15" x14ac:dyDescent="0.2">
      <c r="K51" s="137"/>
      <c r="L51" s="137"/>
      <c r="M51" s="137"/>
      <c r="N51" s="137"/>
    </row>
    <row r="52" spans="2:15" ht="25.5" x14ac:dyDescent="0.2">
      <c r="B52" s="132" t="s">
        <v>90</v>
      </c>
      <c r="C52" s="115" t="s">
        <v>398</v>
      </c>
      <c r="D52" s="115" t="s">
        <v>399</v>
      </c>
      <c r="E52" s="1" t="s">
        <v>432</v>
      </c>
      <c r="F52" s="76" t="s">
        <v>92</v>
      </c>
      <c r="G52" s="1" t="s">
        <v>413</v>
      </c>
      <c r="K52" s="137"/>
      <c r="L52" s="137"/>
      <c r="M52" s="137"/>
      <c r="N52" s="137"/>
    </row>
    <row r="53" spans="2:15" x14ac:dyDescent="0.2">
      <c r="B53" s="129" t="s">
        <v>97</v>
      </c>
      <c r="C53" s="74">
        <v>651771</v>
      </c>
      <c r="D53" s="74">
        <v>797</v>
      </c>
      <c r="E53" s="74">
        <v>84935000</v>
      </c>
      <c r="F53" s="74">
        <v>90660000</v>
      </c>
      <c r="G53" s="74">
        <v>51794863.93</v>
      </c>
      <c r="K53" s="137"/>
      <c r="L53" s="194"/>
      <c r="M53" s="195"/>
      <c r="N53" s="137"/>
    </row>
    <row r="54" spans="2:15" x14ac:dyDescent="0.2">
      <c r="B54" s="129" t="s">
        <v>397</v>
      </c>
      <c r="C54" s="74">
        <v>165990</v>
      </c>
      <c r="D54" s="74"/>
      <c r="E54" s="74">
        <v>6670000</v>
      </c>
      <c r="F54" s="74">
        <v>8370000</v>
      </c>
      <c r="G54" s="74">
        <v>3231447.59</v>
      </c>
      <c r="K54" s="137"/>
      <c r="L54" s="137"/>
      <c r="M54" s="198"/>
      <c r="N54" s="197"/>
    </row>
    <row r="55" spans="2:15" x14ac:dyDescent="0.2">
      <c r="B55" s="129" t="s">
        <v>91</v>
      </c>
      <c r="C55" s="74">
        <v>817761</v>
      </c>
      <c r="D55" s="74">
        <v>797</v>
      </c>
      <c r="E55" s="74">
        <v>91605000</v>
      </c>
      <c r="F55" s="74">
        <v>99030000</v>
      </c>
      <c r="G55" s="74">
        <v>55026311.519999996</v>
      </c>
      <c r="H55" s="62"/>
      <c r="K55" s="137"/>
      <c r="L55" s="137"/>
      <c r="M55" s="137"/>
      <c r="N55" s="137"/>
    </row>
    <row r="56" spans="2:15" ht="15" x14ac:dyDescent="0.25">
      <c r="B56"/>
      <c r="C56"/>
      <c r="D56"/>
      <c r="E56"/>
      <c r="F56"/>
      <c r="H56" s="62"/>
      <c r="K56" s="74"/>
    </row>
    <row r="57" spans="2:15" ht="15" x14ac:dyDescent="0.25">
      <c r="B57"/>
      <c r="C57"/>
      <c r="D57"/>
      <c r="E57"/>
      <c r="F57"/>
    </row>
    <row r="59" spans="2:15" x14ac:dyDescent="0.2">
      <c r="B59" s="128" t="s">
        <v>9</v>
      </c>
      <c r="C59" s="1" t="s">
        <v>601</v>
      </c>
    </row>
    <row r="60" spans="2:15" x14ac:dyDescent="0.2">
      <c r="B60" s="128" t="s">
        <v>234</v>
      </c>
      <c r="C60" s="1" t="s">
        <v>394</v>
      </c>
    </row>
    <row r="61" spans="2:15" x14ac:dyDescent="0.2">
      <c r="B61" s="128" t="s">
        <v>402</v>
      </c>
      <c r="C61" s="1" t="s">
        <v>404</v>
      </c>
    </row>
    <row r="63" spans="2:15" ht="25.5" x14ac:dyDescent="0.2">
      <c r="B63" s="132" t="s">
        <v>90</v>
      </c>
      <c r="C63" s="115" t="s">
        <v>398</v>
      </c>
      <c r="D63" s="115" t="s">
        <v>399</v>
      </c>
      <c r="E63" s="1" t="s">
        <v>432</v>
      </c>
      <c r="F63" s="76" t="s">
        <v>92</v>
      </c>
      <c r="G63" s="1" t="s">
        <v>413</v>
      </c>
      <c r="O63" s="147"/>
    </row>
    <row r="64" spans="2:15" x14ac:dyDescent="0.2">
      <c r="B64" s="129" t="s">
        <v>91</v>
      </c>
      <c r="C64" s="74"/>
      <c r="D64" s="74"/>
      <c r="E64" s="74"/>
      <c r="F64" s="74"/>
      <c r="G64" s="74"/>
    </row>
    <row r="65" spans="2:10" ht="15" x14ac:dyDescent="0.25">
      <c r="B65"/>
      <c r="C65"/>
      <c r="D65"/>
      <c r="E65"/>
      <c r="F65"/>
      <c r="G65"/>
    </row>
    <row r="66" spans="2:10" ht="15" x14ac:dyDescent="0.25">
      <c r="B66"/>
      <c r="C66"/>
      <c r="D66"/>
      <c r="E66"/>
      <c r="F66"/>
    </row>
    <row r="68" spans="2:10" x14ac:dyDescent="0.2">
      <c r="B68" s="134" t="s">
        <v>428</v>
      </c>
      <c r="C68" s="135"/>
      <c r="D68" s="135"/>
      <c r="E68" s="135"/>
      <c r="F68" s="135"/>
      <c r="G68" s="135"/>
      <c r="H68" s="135"/>
      <c r="I68" s="136"/>
      <c r="J68" s="137"/>
    </row>
    <row r="69" spans="2:10" ht="13.5" thickBot="1" x14ac:dyDescent="0.25">
      <c r="B69" s="138" t="s">
        <v>429</v>
      </c>
      <c r="C69" s="139"/>
      <c r="D69" s="139"/>
      <c r="E69" s="139"/>
      <c r="F69" s="139"/>
      <c r="G69" s="139"/>
      <c r="H69" s="139"/>
      <c r="I69" s="140"/>
      <c r="J69" s="141"/>
    </row>
    <row r="70" spans="2:10" ht="15" x14ac:dyDescent="0.25">
      <c r="B70"/>
      <c r="C70"/>
    </row>
    <row r="71" spans="2:10" x14ac:dyDescent="0.2">
      <c r="B71" s="128" t="s">
        <v>234</v>
      </c>
      <c r="C71" s="1" t="s">
        <v>235</v>
      </c>
      <c r="D71" s="74"/>
      <c r="E71" s="74"/>
    </row>
    <row r="72" spans="2:10" x14ac:dyDescent="0.2">
      <c r="B72" s="128" t="s">
        <v>402</v>
      </c>
      <c r="C72" s="1" t="s">
        <v>404</v>
      </c>
      <c r="D72" s="74"/>
      <c r="E72" s="74"/>
    </row>
    <row r="73" spans="2:10" x14ac:dyDescent="0.2">
      <c r="B73" s="132" t="s">
        <v>1</v>
      </c>
      <c r="C73" s="1" t="s">
        <v>410</v>
      </c>
      <c r="D73" s="74"/>
      <c r="E73" s="74"/>
    </row>
    <row r="74" spans="2:10" x14ac:dyDescent="0.2">
      <c r="D74" s="74"/>
      <c r="E74" s="74"/>
    </row>
    <row r="75" spans="2:10" x14ac:dyDescent="0.2">
      <c r="B75" s="128" t="s">
        <v>90</v>
      </c>
      <c r="C75" s="1" t="s">
        <v>409</v>
      </c>
      <c r="D75" s="74"/>
      <c r="E75" s="74"/>
    </row>
    <row r="76" spans="2:10" x14ac:dyDescent="0.2">
      <c r="B76" s="129" t="s">
        <v>49</v>
      </c>
      <c r="C76" s="74">
        <v>7</v>
      </c>
      <c r="D76" s="74"/>
      <c r="E76" s="74"/>
    </row>
    <row r="77" spans="2:10" x14ac:dyDescent="0.2">
      <c r="B77" s="129" t="s">
        <v>91</v>
      </c>
      <c r="C77" s="74">
        <v>7</v>
      </c>
      <c r="D77" s="74"/>
      <c r="E77" s="74"/>
    </row>
    <row r="78" spans="2:10" ht="15" x14ac:dyDescent="0.25">
      <c r="B78"/>
      <c r="C78"/>
      <c r="D78" s="74"/>
      <c r="E78" s="74"/>
    </row>
    <row r="79" spans="2:10" ht="15" x14ac:dyDescent="0.25">
      <c r="B79"/>
      <c r="C79"/>
      <c r="D79" s="74"/>
      <c r="E79" s="74"/>
    </row>
    <row r="80" spans="2:10" ht="15" x14ac:dyDescent="0.25">
      <c r="B80"/>
      <c r="C80"/>
      <c r="D80" s="74"/>
      <c r="E80" s="74"/>
    </row>
    <row r="81" spans="2:6" x14ac:dyDescent="0.2">
      <c r="B81" s="133"/>
      <c r="C81" s="74"/>
      <c r="D81" s="74"/>
      <c r="E81" s="74"/>
    </row>
    <row r="82" spans="2:6" x14ac:dyDescent="0.2">
      <c r="B82" s="128" t="s">
        <v>234</v>
      </c>
      <c r="C82" s="1" t="s">
        <v>394</v>
      </c>
    </row>
    <row r="83" spans="2:6" x14ac:dyDescent="0.2">
      <c r="B83" s="128" t="s">
        <v>402</v>
      </c>
      <c r="C83" s="1" t="s">
        <v>404</v>
      </c>
    </row>
    <row r="84" spans="2:6" x14ac:dyDescent="0.2">
      <c r="B84" s="131" t="s">
        <v>1</v>
      </c>
      <c r="C84" s="1" t="s">
        <v>410</v>
      </c>
    </row>
    <row r="86" spans="2:6" ht="25.5" x14ac:dyDescent="0.2">
      <c r="B86" s="128" t="s">
        <v>90</v>
      </c>
      <c r="C86" s="115" t="s">
        <v>398</v>
      </c>
      <c r="D86" s="115" t="s">
        <v>399</v>
      </c>
      <c r="E86" s="115" t="s">
        <v>408</v>
      </c>
      <c r="F86" s="1" t="s">
        <v>413</v>
      </c>
    </row>
    <row r="87" spans="2:6" x14ac:dyDescent="0.2">
      <c r="B87" s="129" t="s">
        <v>49</v>
      </c>
      <c r="C87" s="74">
        <v>817761</v>
      </c>
      <c r="D87" s="74">
        <v>797</v>
      </c>
      <c r="E87" s="74">
        <v>99030000</v>
      </c>
      <c r="F87" s="74">
        <v>55026311.520000003</v>
      </c>
    </row>
    <row r="88" spans="2:6" x14ac:dyDescent="0.2">
      <c r="B88" s="129" t="s">
        <v>91</v>
      </c>
      <c r="C88" s="74">
        <v>817761</v>
      </c>
      <c r="D88" s="74">
        <v>797</v>
      </c>
      <c r="E88" s="74">
        <v>99030000</v>
      </c>
      <c r="F88" s="74">
        <v>55026311.520000003</v>
      </c>
    </row>
    <row r="89" spans="2:6" ht="15" x14ac:dyDescent="0.25">
      <c r="B89"/>
      <c r="C89"/>
      <c r="D89"/>
      <c r="E89"/>
      <c r="F89"/>
    </row>
    <row r="90" spans="2:6" ht="15" x14ac:dyDescent="0.25">
      <c r="B90"/>
      <c r="C90"/>
      <c r="D90"/>
      <c r="E90"/>
      <c r="F90"/>
    </row>
    <row r="91" spans="2:6" ht="15" x14ac:dyDescent="0.25">
      <c r="B91"/>
      <c r="C91"/>
      <c r="D91"/>
      <c r="E91"/>
      <c r="F91"/>
    </row>
    <row r="92" spans="2:6" ht="15" x14ac:dyDescent="0.25">
      <c r="B92"/>
      <c r="C92"/>
      <c r="D92"/>
      <c r="E92"/>
      <c r="F92"/>
    </row>
    <row r="93" spans="2:6" ht="15" x14ac:dyDescent="0.25">
      <c r="B93"/>
      <c r="C93"/>
      <c r="D93"/>
      <c r="E93"/>
      <c r="F93"/>
    </row>
    <row r="94" spans="2:6" ht="15" x14ac:dyDescent="0.25">
      <c r="B94"/>
      <c r="C94"/>
      <c r="D94"/>
      <c r="E94"/>
      <c r="F94"/>
    </row>
    <row r="95" spans="2:6" ht="15" x14ac:dyDescent="0.25">
      <c r="B95"/>
      <c r="C95"/>
      <c r="D95"/>
      <c r="E95"/>
      <c r="F95"/>
    </row>
    <row r="96" spans="2:6" ht="15" x14ac:dyDescent="0.25">
      <c r="B96"/>
      <c r="C96"/>
      <c r="D96"/>
      <c r="E96"/>
      <c r="F96"/>
    </row>
    <row r="97" spans="2:6" ht="15" x14ac:dyDescent="0.25">
      <c r="B97"/>
      <c r="C97"/>
      <c r="D97"/>
      <c r="E97"/>
      <c r="F97"/>
    </row>
    <row r="98" spans="2:6" ht="15" x14ac:dyDescent="0.25">
      <c r="B98"/>
      <c r="C98"/>
      <c r="D98"/>
      <c r="E98"/>
      <c r="F98"/>
    </row>
    <row r="99" spans="2:6" ht="15" x14ac:dyDescent="0.25">
      <c r="B99"/>
      <c r="C99"/>
      <c r="D99"/>
      <c r="E99"/>
      <c r="F99"/>
    </row>
    <row r="100" spans="2:6" ht="15" x14ac:dyDescent="0.25">
      <c r="B100"/>
      <c r="C100"/>
      <c r="D100"/>
      <c r="E100"/>
      <c r="F100"/>
    </row>
    <row r="101" spans="2:6" ht="15" x14ac:dyDescent="0.25">
      <c r="B101"/>
      <c r="C101"/>
      <c r="D101"/>
      <c r="E101"/>
      <c r="F101"/>
    </row>
    <row r="102" spans="2:6" ht="15" x14ac:dyDescent="0.25">
      <c r="B102"/>
      <c r="C102"/>
      <c r="D102"/>
      <c r="E102"/>
      <c r="F102"/>
    </row>
    <row r="103" spans="2:6" ht="15" x14ac:dyDescent="0.25">
      <c r="B103"/>
      <c r="C103"/>
      <c r="D103"/>
      <c r="E103"/>
      <c r="F103"/>
    </row>
    <row r="104" spans="2:6" ht="15" x14ac:dyDescent="0.25">
      <c r="B104"/>
      <c r="C104"/>
      <c r="D104"/>
      <c r="E104"/>
      <c r="F104"/>
    </row>
    <row r="105" spans="2:6" ht="15" x14ac:dyDescent="0.25">
      <c r="B105"/>
      <c r="C105"/>
      <c r="D105"/>
      <c r="E105"/>
      <c r="F105"/>
    </row>
    <row r="106" spans="2:6" ht="15" x14ac:dyDescent="0.25">
      <c r="B106"/>
      <c r="C106"/>
      <c r="D106"/>
      <c r="E106"/>
      <c r="F106"/>
    </row>
    <row r="107" spans="2:6" ht="15" x14ac:dyDescent="0.25">
      <c r="B107"/>
      <c r="C107"/>
      <c r="D107"/>
      <c r="E107"/>
      <c r="F107"/>
    </row>
    <row r="108" spans="2:6" ht="15" x14ac:dyDescent="0.25">
      <c r="B108"/>
      <c r="C108"/>
      <c r="D108"/>
      <c r="E108"/>
      <c r="F108"/>
    </row>
    <row r="109" spans="2:6" ht="15" x14ac:dyDescent="0.25">
      <c r="B109"/>
      <c r="C109"/>
      <c r="D109"/>
      <c r="E109"/>
      <c r="F109"/>
    </row>
    <row r="110" spans="2:6" ht="15" x14ac:dyDescent="0.25">
      <c r="B110"/>
      <c r="C110"/>
      <c r="D110"/>
      <c r="E110"/>
      <c r="F110"/>
    </row>
    <row r="111" spans="2:6" ht="15" x14ac:dyDescent="0.25">
      <c r="B111"/>
      <c r="C111"/>
      <c r="D111"/>
      <c r="E111"/>
      <c r="F111"/>
    </row>
    <row r="112" spans="2:6" ht="15" x14ac:dyDescent="0.25">
      <c r="B112"/>
      <c r="C112"/>
      <c r="D112"/>
      <c r="E112"/>
      <c r="F112"/>
    </row>
    <row r="113" spans="2:6" ht="15" x14ac:dyDescent="0.25">
      <c r="B113"/>
      <c r="C113"/>
      <c r="D113"/>
      <c r="E113"/>
      <c r="F113"/>
    </row>
    <row r="114" spans="2:6" ht="15" x14ac:dyDescent="0.25">
      <c r="B114"/>
      <c r="C114"/>
      <c r="D114"/>
      <c r="E114"/>
      <c r="F114"/>
    </row>
    <row r="115" spans="2:6" ht="15" x14ac:dyDescent="0.25">
      <c r="B115"/>
      <c r="C115"/>
      <c r="D115"/>
      <c r="E115"/>
      <c r="F115"/>
    </row>
    <row r="116" spans="2:6" ht="15" x14ac:dyDescent="0.25">
      <c r="B116"/>
      <c r="C116"/>
      <c r="D116"/>
      <c r="E116"/>
      <c r="F116"/>
    </row>
    <row r="117" spans="2:6" ht="15" x14ac:dyDescent="0.25">
      <c r="B117"/>
      <c r="C117"/>
      <c r="D117"/>
      <c r="E117"/>
      <c r="F117"/>
    </row>
    <row r="118" spans="2:6" ht="15" x14ac:dyDescent="0.25">
      <c r="B118"/>
      <c r="C118"/>
      <c r="D118"/>
      <c r="E118"/>
      <c r="F118"/>
    </row>
    <row r="119" spans="2:6" ht="15" x14ac:dyDescent="0.25">
      <c r="B119"/>
      <c r="C119"/>
      <c r="D119"/>
      <c r="E119"/>
      <c r="F119"/>
    </row>
    <row r="120" spans="2:6" ht="15" x14ac:dyDescent="0.25">
      <c r="B120"/>
      <c r="C120"/>
      <c r="D120"/>
      <c r="E120"/>
      <c r="F120"/>
    </row>
    <row r="121" spans="2:6" ht="15" x14ac:dyDescent="0.25">
      <c r="B121"/>
      <c r="C121"/>
      <c r="D121"/>
      <c r="E121"/>
      <c r="F121"/>
    </row>
    <row r="122" spans="2:6" ht="15" x14ac:dyDescent="0.25">
      <c r="B122"/>
      <c r="C122"/>
      <c r="D122"/>
      <c r="E122"/>
      <c r="F122"/>
    </row>
    <row r="123" spans="2:6" ht="15" x14ac:dyDescent="0.25">
      <c r="B123"/>
      <c r="C123"/>
      <c r="D123"/>
      <c r="E123"/>
      <c r="F123"/>
    </row>
    <row r="124" spans="2:6" ht="15" x14ac:dyDescent="0.25">
      <c r="B124"/>
      <c r="C124"/>
      <c r="D124"/>
      <c r="E124"/>
      <c r="F124"/>
    </row>
    <row r="125" spans="2:6" ht="15" x14ac:dyDescent="0.25">
      <c r="B125"/>
      <c r="C125"/>
      <c r="D125"/>
      <c r="E125"/>
      <c r="F125"/>
    </row>
    <row r="126" spans="2:6" ht="15" x14ac:dyDescent="0.25">
      <c r="B126"/>
      <c r="C126"/>
      <c r="D126"/>
      <c r="E126"/>
      <c r="F126"/>
    </row>
    <row r="127" spans="2:6" ht="15" x14ac:dyDescent="0.25">
      <c r="B127"/>
      <c r="C127"/>
      <c r="D127"/>
      <c r="E127"/>
      <c r="F127"/>
    </row>
    <row r="128" spans="2:6" ht="15" x14ac:dyDescent="0.25">
      <c r="B128"/>
      <c r="C128"/>
      <c r="D128"/>
      <c r="E128"/>
      <c r="F128"/>
    </row>
    <row r="129" spans="2:6" ht="15" x14ac:dyDescent="0.25">
      <c r="B129"/>
      <c r="C129"/>
      <c r="D129"/>
      <c r="E129"/>
      <c r="F129"/>
    </row>
    <row r="130" spans="2:6" ht="15" x14ac:dyDescent="0.25">
      <c r="B130"/>
      <c r="C130"/>
      <c r="D130"/>
      <c r="E130"/>
      <c r="F130"/>
    </row>
    <row r="131" spans="2:6" ht="15" x14ac:dyDescent="0.25">
      <c r="B131"/>
      <c r="C131"/>
      <c r="D131"/>
      <c r="E131"/>
      <c r="F131"/>
    </row>
    <row r="132" spans="2:6" ht="15" x14ac:dyDescent="0.25">
      <c r="B132"/>
      <c r="C132"/>
      <c r="D132"/>
      <c r="E132"/>
      <c r="F132"/>
    </row>
    <row r="133" spans="2:6" ht="15" x14ac:dyDescent="0.25">
      <c r="B133"/>
      <c r="C133"/>
      <c r="D133"/>
      <c r="E133"/>
      <c r="F133"/>
    </row>
    <row r="134" spans="2:6" ht="15" x14ac:dyDescent="0.25">
      <c r="B134"/>
      <c r="C134"/>
      <c r="D134"/>
      <c r="E134"/>
      <c r="F134"/>
    </row>
    <row r="135" spans="2:6" ht="15" x14ac:dyDescent="0.25">
      <c r="B135"/>
      <c r="C135"/>
      <c r="D135"/>
      <c r="E135"/>
      <c r="F135"/>
    </row>
    <row r="136" spans="2:6" ht="15" x14ac:dyDescent="0.25">
      <c r="B136"/>
      <c r="C136"/>
      <c r="D136"/>
      <c r="E136"/>
      <c r="F136"/>
    </row>
    <row r="137" spans="2:6" ht="15" x14ac:dyDescent="0.25">
      <c r="B137"/>
      <c r="C137"/>
      <c r="D137"/>
      <c r="E137"/>
      <c r="F137"/>
    </row>
    <row r="138" spans="2:6" ht="15" x14ac:dyDescent="0.25">
      <c r="B138"/>
      <c r="C138"/>
      <c r="D138"/>
      <c r="E138"/>
      <c r="F138"/>
    </row>
    <row r="139" spans="2:6" ht="15" x14ac:dyDescent="0.25">
      <c r="B139"/>
      <c r="C139"/>
      <c r="D139"/>
      <c r="E139"/>
      <c r="F139"/>
    </row>
    <row r="140" spans="2:6" ht="15" x14ac:dyDescent="0.25">
      <c r="B140"/>
      <c r="C140"/>
      <c r="D140"/>
      <c r="E140"/>
      <c r="F140"/>
    </row>
    <row r="141" spans="2:6" ht="15" x14ac:dyDescent="0.25">
      <c r="B141"/>
      <c r="C141"/>
      <c r="D141"/>
      <c r="E141"/>
      <c r="F141"/>
    </row>
    <row r="142" spans="2:6" ht="15" x14ac:dyDescent="0.25">
      <c r="B142"/>
      <c r="C142"/>
      <c r="D142"/>
      <c r="E142"/>
      <c r="F142"/>
    </row>
    <row r="143" spans="2:6" ht="15" x14ac:dyDescent="0.25">
      <c r="B143"/>
      <c r="C143"/>
      <c r="D143"/>
      <c r="E143"/>
      <c r="F143"/>
    </row>
    <row r="144" spans="2:6" ht="15" x14ac:dyDescent="0.25">
      <c r="B144"/>
      <c r="C144"/>
      <c r="D144"/>
      <c r="E144"/>
      <c r="F144"/>
    </row>
    <row r="145" spans="2:6" ht="15" x14ac:dyDescent="0.25">
      <c r="B145"/>
      <c r="C145"/>
      <c r="D145"/>
      <c r="E145"/>
      <c r="F145"/>
    </row>
    <row r="146" spans="2:6" ht="15" x14ac:dyDescent="0.25">
      <c r="B146"/>
      <c r="C146"/>
      <c r="D146"/>
      <c r="E146"/>
      <c r="F146"/>
    </row>
    <row r="147" spans="2:6" ht="15" x14ac:dyDescent="0.25">
      <c r="B147"/>
      <c r="C147"/>
      <c r="D147"/>
      <c r="E147"/>
      <c r="F147"/>
    </row>
  </sheetData>
  <sheetProtection algorithmName="SHA-512" hashValue="/i6uIi/ps514MyajHr74163dVxO5OhpcPjYuh+VG6NIziUkPyhcucVpBu+NzVmBttISSvzfyCdXpmrBk+vy33w==" saltValue="r5ezazIaAJ9k9SG0qDwgqg==" spinCount="100000"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B9A191B859822428C2BAC0D740CA620" ma:contentTypeVersion="12" ma:contentTypeDescription="Create a new document." ma:contentTypeScope="" ma:versionID="84c8e8ddf0910dcfa988f098509e21ef">
  <xsd:schema xmlns:xsd="http://www.w3.org/2001/XMLSchema" xmlns:xs="http://www.w3.org/2001/XMLSchema" xmlns:p="http://schemas.microsoft.com/office/2006/metadata/properties" xmlns:ns2="f7ea31bf-c93b-4d05-96b5-f009f46961f2" xmlns:ns3="cc7e747c-936b-4474-afe6-9e724d4ab8eb" targetNamespace="http://schemas.microsoft.com/office/2006/metadata/properties" ma:root="true" ma:fieldsID="9418879d163550579719be4419357d8f" ns2:_="" ns3:_="">
    <xsd:import namespace="f7ea31bf-c93b-4d05-96b5-f009f46961f2"/>
    <xsd:import namespace="cc7e747c-936b-4474-afe6-9e724d4ab8e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ea31bf-c93b-4d05-96b5-f009f46961f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c7e747c-936b-4474-afe6-9e724d4ab8eb"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CA2D31C-F79D-4554-9FE5-3882F101B06C}">
  <ds:schemaRefs>
    <ds:schemaRef ds:uri="http://schemas.microsoft.com/sharepoint/v3/contenttype/forms"/>
  </ds:schemaRefs>
</ds:datastoreItem>
</file>

<file path=customXml/itemProps2.xml><?xml version="1.0" encoding="utf-8"?>
<ds:datastoreItem xmlns:ds="http://schemas.openxmlformats.org/officeDocument/2006/customXml" ds:itemID="{8A59DCFA-8202-4944-8D50-2993C7E035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7ea31bf-c93b-4d05-96b5-f009f46961f2"/>
    <ds:schemaRef ds:uri="cc7e747c-936b-4474-afe6-9e724d4ab8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7C68AC3-A33D-4B47-AFEC-6007FE44FCC0}">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f7ea31bf-c93b-4d05-96b5-f009f46961f2"/>
    <ds:schemaRef ds:uri="http://purl.org/dc/elements/1.1/"/>
    <ds:schemaRef ds:uri="http://schemas.microsoft.com/office/2006/metadata/properties"/>
    <ds:schemaRef ds:uri="cc7e747c-936b-4474-afe6-9e724d4ab8eb"/>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 Collaboration Service</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Questions</vt:lpstr>
      <vt:lpstr>Policy</vt:lpstr>
      <vt:lpstr>Sign-offs</vt:lpstr>
      <vt:lpstr>Master Property List</vt:lpstr>
      <vt:lpstr>TotalTotal</vt:lpstr>
      <vt:lpstr>MLGCapSum</vt:lpstr>
      <vt:lpstr>LegacySum</vt:lpstr>
      <vt:lpstr>MLGCap Pivots</vt:lpstr>
      <vt:lpstr>Legacy Pivots</vt:lpstr>
      <vt:lpstr>Geo Sum</vt:lpstr>
      <vt:lpstr>Asset Class</vt:lpstr>
      <vt:lpstr>EOM</vt:lpstr>
      <vt:lpstr>AUM</vt:lpstr>
      <vt:lpstr>Tie-outs to Holding Sum</vt:lpstr>
      <vt:lpstr>WI Land Inv</vt:lpstr>
      <vt:lpstr>Tie-out to 3.31 Sum</vt:lpstr>
      <vt:lpstr>IRR</vt:lpstr>
      <vt:lpstr>Toro</vt:lpstr>
      <vt:lpstr>Midwest CCC</vt:lpstr>
      <vt:lpstr>MSP Retail</vt:lpstr>
      <vt:lpstr>Calculated Fields</vt:lpstr>
      <vt:lpstr>'Master Property List'!Print_Area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Austin Carlson</dc:creator>
  <cp:lastModifiedBy>Austin Carlson</cp:lastModifiedBy>
  <cp:lastPrinted>2020-11-30T16:07:06Z</cp:lastPrinted>
  <dcterms:created xsi:type="dcterms:W3CDTF">2020-04-24T23:03:51Z</dcterms:created>
  <dcterms:modified xsi:type="dcterms:W3CDTF">2020-12-16T03:48:37Z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0x0101000B9A191B859822428C2BAC0D740CA620</vt:lpwstr>
  </property>
</Properties>
</file>