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48DAA2DB-20FB-428E-964A-FA6D3299799E}" xr6:coauthVersionLast="47" xr6:coauthVersionMax="47" xr10:uidLastSave="{00000000-0000-0000-0000-000000000000}"/>
  <bookViews>
    <workbookView xWindow="57480" yWindow="-120" windowWidth="29040" windowHeight="15720" tabRatio="906" firstSheet="1" activeTab="1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COVERS" sheetId="153" state="hidden" r:id="rId5"/>
    <sheet name="Budget - 2026" sheetId="109" r:id="rId6"/>
    <sheet name="Bottle Service Sales" sheetId="124" r:id="rId7"/>
    <sheet name="Summary - Avg Ck" sheetId="122" state="hidden" r:id="rId8"/>
    <sheet name="BTL service" sheetId="140" state="hidden" r:id="rId9"/>
    <sheet name="MILA 2F - Avg Ck" sheetId="134" state="hidden" r:id="rId10"/>
    <sheet name="Legend" sheetId="139" state="hidden" r:id="rId11"/>
    <sheet name="Dates" sheetId="35" state="hidden" r:id="rId12"/>
    <sheet name="RDG Weekly Sales" sheetId="103" r:id="rId13"/>
    <sheet name="MILA 3F - Avg Ck" sheetId="133" state="hidden" r:id="rId14"/>
    <sheet name="MILA Sales - 3F" sheetId="104" r:id="rId15"/>
    <sheet name="MILA Sales - 2F" sheetId="105" r:id="rId16"/>
    <sheet name="AVA WP Sales" sheetId="107" r:id="rId17"/>
    <sheet name="CASA NEOS Sales" sheetId="106" r:id="rId18"/>
    <sheet name="CN Lounge Sales" sheetId="141" r:id="rId19"/>
    <sheet name="CLAUDIE Sales" sheetId="108" r:id="rId20"/>
    <sheet name="AVA CG Sales" sheetId="120" r:id="rId21"/>
    <sheet name="Appendix" sheetId="60" r:id="rId22"/>
    <sheet name="MILA 3F - Overview" sheetId="115" r:id="rId23"/>
    <sheet name="MILA 2F - Overview" sheetId="119" r:id="rId24"/>
    <sheet name="AVA WP - Overview" sheetId="118" r:id="rId25"/>
    <sheet name="CASA NEOS Overview " sheetId="116" r:id="rId26"/>
    <sheet name="CASA NEOS LOUNGE - Overview" sheetId="142" r:id="rId27"/>
    <sheet name="CLAUDIE Overview" sheetId="117" r:id="rId28"/>
    <sheet name="AVA CG - Overview" sheetId="121" r:id="rId29"/>
    <sheet name="Sources--&gt;" sheetId="145" r:id="rId30"/>
    <sheet name="MILA 3F" sheetId="146" r:id="rId31"/>
    <sheet name="MILA II" sheetId="147" r:id="rId32"/>
    <sheet name="AVA WP" sheetId="152" r:id="rId33"/>
    <sheet name="CASA NEOS" sheetId="148" r:id="rId34"/>
    <sheet name="CLAUDIE" sheetId="149" r:id="rId35"/>
    <sheet name="AVA CG" sheetId="150" r:id="rId36"/>
    <sheet name="CN LOUNGE" sheetId="151" r:id="rId37"/>
    <sheet name="HONO Sales" sheetId="112" state="hidden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ExternalData_1" localSheetId="35" hidden="1">'AVA CG'!$A$1:$G$280</definedName>
    <definedName name="ExternalData_1" localSheetId="32" hidden="1">'AVA WP'!$A$1:$G$288</definedName>
    <definedName name="ExternalData_1" localSheetId="33" hidden="1">'CASA NEOS'!$A$1:$G$276</definedName>
    <definedName name="ExternalData_1" localSheetId="34" hidden="1">CLAUDIE!$A$1:$G$226</definedName>
    <definedName name="ExternalData_1" localSheetId="36" hidden="1">'CN LOUNGE'!$A$1:$G$165</definedName>
    <definedName name="ExternalData_1" localSheetId="30" hidden="1">'MILA 3F'!$A$1:$G$652</definedName>
    <definedName name="ExternalData_1" localSheetId="31" hidden="1">'MILA II'!$A$1:$G$206</definedName>
    <definedName name="ExternalData_2" localSheetId="35" hidden="1">'AVA CG'!$I$1:$O$81</definedName>
    <definedName name="ExternalData_2" localSheetId="32" hidden="1">'AVA WP'!$I$1:$O$83</definedName>
    <definedName name="ExternalData_2" localSheetId="33" hidden="1">'CASA NEOS'!$I$1:$O$152</definedName>
    <definedName name="ExternalData_2" localSheetId="34" hidden="1">CLAUDIE!$I$1:$O$606</definedName>
    <definedName name="ExternalData_2" localSheetId="36" hidden="1">'CN LOUNGE'!$I$1:$O$112</definedName>
    <definedName name="ExternalData_2" localSheetId="30" hidden="1">'MILA 3F'!$I$1:$O$99</definedName>
    <definedName name="ExternalData_2" localSheetId="31" hidden="1">'MILA II'!$I$1:$O$201</definedName>
    <definedName name="ExternalData_3" localSheetId="35" hidden="1">'AVA CG'!$Q$1:$AA$270</definedName>
    <definedName name="ExternalData_3" localSheetId="32" hidden="1">'AVA WP'!$Q$1:$W$194</definedName>
    <definedName name="ExternalData_3" localSheetId="33" hidden="1">'CASA NEOS'!$Q$1:$AA$294</definedName>
    <definedName name="ExternalData_3" localSheetId="34" hidden="1">CLAUDIE!$Q$1:$AA$264</definedName>
    <definedName name="ExternalData_3" localSheetId="36" hidden="1">'CN LOUNGE'!$Q$1:$AA$284</definedName>
    <definedName name="ExternalData_3" localSheetId="30" hidden="1">'MILA 3F'!$Q$1:$AA$353</definedName>
    <definedName name="ExternalData_3" localSheetId="31" hidden="1">'MILA II'!$Q$1:$W$220</definedName>
    <definedName name="ExternalData_4" localSheetId="32" hidden="1">'AVA WP'!$Y$1:$AI$322</definedName>
    <definedName name="ExternalData_4" localSheetId="31" hidden="1">'MILA II'!$Y$1:$AI$317</definedName>
    <definedName name="_xlnm.Print_Area" localSheetId="28">'AVA CG - Overview'!$D:$U</definedName>
    <definedName name="_xlnm.Print_Area" localSheetId="20">'AVA CG Sales'!$D$2:$P$29</definedName>
    <definedName name="_xlnm.Print_Area" localSheetId="24">'AVA WP - Overview'!$D:$U</definedName>
    <definedName name="_xlnm.Print_Area" localSheetId="16">'AVA WP Sales'!$D$2:$P$29</definedName>
    <definedName name="_xlnm.Print_Area" localSheetId="26">'CASA NEOS LOUNGE - Overview'!$D$2:$R$69</definedName>
    <definedName name="_xlnm.Print_Area" localSheetId="25">'CASA NEOS Overview '!$D:$R</definedName>
    <definedName name="_xlnm.Print_Area" localSheetId="17">'CASA NEOS Sales'!$D$2:$P$35</definedName>
    <definedName name="_xlnm.Print_Area" localSheetId="27">'CLAUDIE Overview'!$D:$R</definedName>
    <definedName name="_xlnm.Print_Area" localSheetId="19">'CLAUDIE Sales'!$D$2:$P$23</definedName>
    <definedName name="_xlnm.Print_Area" localSheetId="18">'CN Lounge Sales'!$D$2:$P$23</definedName>
    <definedName name="_xlnm.Print_Area" localSheetId="37">'HONO Sales'!$D$2:$P$21</definedName>
    <definedName name="_xlnm.Print_Area" localSheetId="23">'MILA 2F - Overview'!$D:$U</definedName>
    <definedName name="_xlnm.Print_Area" localSheetId="22">'MILA 3F - Overview'!$D:$R</definedName>
    <definedName name="_xlnm.Print_Area" localSheetId="15">'MILA Sales - 2F'!$D$2:$P$29</definedName>
    <definedName name="_xlnm.Print_Area" localSheetId="14">'MILA Sales - 3F'!$D$2:$P$23</definedName>
    <definedName name="_xlnm.Print_Area" localSheetId="0">'RDG Weekly'!$D$2:$AI$43</definedName>
    <definedName name="_xlnm.Print_Area" localSheetId="12">'RDG Weekly Sales'!$D$2:$P$53</definedName>
    <definedName name="_xlnm.Print_Area">#N/A</definedName>
    <definedName name="SERVER" localSheetId="28">#REF!</definedName>
    <definedName name="SERVER" localSheetId="20">#REF!</definedName>
    <definedName name="SERVER" localSheetId="24">#REF!</definedName>
    <definedName name="SERVER" localSheetId="16">#REF!</definedName>
    <definedName name="SERVER" localSheetId="25">#REF!</definedName>
    <definedName name="SERVER" localSheetId="17">#REF!</definedName>
    <definedName name="SERVER" localSheetId="27">#REF!</definedName>
    <definedName name="SERVER" localSheetId="19">#REF!</definedName>
    <definedName name="SERVER" localSheetId="37">#REF!</definedName>
    <definedName name="SERVER" localSheetId="23">#REF!</definedName>
    <definedName name="SERVER" localSheetId="22">#REF!</definedName>
    <definedName name="SERVER" localSheetId="15">#REF!</definedName>
    <definedName name="SERVER" localSheetId="14">#REF!</definedName>
    <definedName name="SERVER" localSheetId="0">#REF!</definedName>
    <definedName name="SERVER" localSheetId="12">#REF!</definedName>
    <definedName name="SERVER">'[1]2017 Forecast'!$E$19</definedName>
    <definedName name="spec" localSheetId="28">#REF!</definedName>
    <definedName name="spec" localSheetId="20">#REF!</definedName>
    <definedName name="spec" localSheetId="24">#REF!</definedName>
    <definedName name="spec" localSheetId="16">#REF!</definedName>
    <definedName name="spec" localSheetId="25">#REF!</definedName>
    <definedName name="spec" localSheetId="17">#REF!</definedName>
    <definedName name="spec" localSheetId="27">#REF!</definedName>
    <definedName name="spec" localSheetId="19">#REF!</definedName>
    <definedName name="spec" localSheetId="11">[2]Montreal!#REF!</definedName>
    <definedName name="spec" localSheetId="37">#REF!</definedName>
    <definedName name="spec" localSheetId="23">#REF!</definedName>
    <definedName name="spec" localSheetId="22">#REF!</definedName>
    <definedName name="spec" localSheetId="15">#REF!</definedName>
    <definedName name="spec" localSheetId="14">#REF!</definedName>
    <definedName name="spec" localSheetId="0">#REF!</definedName>
    <definedName name="spec" localSheetId="12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5" i="110" l="1" a="1"/>
  <c r="BG45" i="110"/>
  <c r="AC45" i="110" a="1"/>
  <c r="BD45" i="110"/>
  <c r="Z45" i="110" a="1"/>
  <c r="F45" i="110" a="1"/>
  <c r="CI45" i="110"/>
  <c r="CH45" i="110"/>
  <c r="CJ45" i="110" s="1"/>
  <c r="CG45" i="110"/>
  <c r="CD45" i="110"/>
  <c r="CA45" i="110"/>
  <c r="BT45" i="110" a="1"/>
  <c r="BS45" i="110"/>
  <c r="BU45" i="110" s="1"/>
  <c r="BQ45" i="110" a="1"/>
  <c r="BP45" i="110"/>
  <c r="BL45" i="110"/>
  <c r="BH45" i="110" a="1"/>
  <c r="BI45" i="110"/>
  <c r="BE45" i="110" a="1"/>
  <c r="BN45" i="110" s="1"/>
  <c r="AY45" i="110" a="1"/>
  <c r="AX45" i="110" a="1"/>
  <c r="AV45" i="110" a="1"/>
  <c r="AW45" i="110"/>
  <c r="AP45" i="110" a="1"/>
  <c r="AO45" i="110" a="1"/>
  <c r="AM45" i="110" a="1"/>
  <c r="AL45" i="110" a="1"/>
  <c r="AN45" i="110" s="1"/>
  <c r="AG45" i="110" a="1"/>
  <c r="AF45" i="110"/>
  <c r="AH45" i="110" s="1"/>
  <c r="AD45" i="110" a="1"/>
  <c r="AE45" i="110"/>
  <c r="AA45" i="110" a="1"/>
  <c r="AJ45" i="110" s="1"/>
  <c r="U45" i="110" a="1"/>
  <c r="T45" i="110" a="1"/>
  <c r="V45" i="110" s="1"/>
  <c r="R45" i="110" a="1"/>
  <c r="Q45" i="110" a="1"/>
  <c r="S45" i="110" s="1"/>
  <c r="O45" i="110" a="1"/>
  <c r="X45" i="110" s="1"/>
  <c r="N45" i="110" a="1"/>
  <c r="I45" i="110" a="1"/>
  <c r="H45" i="110" a="1"/>
  <c r="J45" i="110" s="1"/>
  <c r="L45" i="110"/>
  <c r="E45" i="110" a="1"/>
  <c r="L286" i="143"/>
  <c r="L287" i="143"/>
  <c r="L288" i="143"/>
  <c r="L289" i="143"/>
  <c r="L290" i="143"/>
  <c r="L291" i="143"/>
  <c r="L292" i="143"/>
  <c r="M286" i="143"/>
  <c r="M287" i="143"/>
  <c r="M288" i="143"/>
  <c r="M289" i="143"/>
  <c r="M290" i="143"/>
  <c r="M291" i="143"/>
  <c r="M292" i="143"/>
  <c r="N286" i="143" a="1"/>
  <c r="N287" i="143" a="1"/>
  <c r="N288" i="143" a="1"/>
  <c r="N289" i="143" a="1"/>
  <c r="N290" i="143" a="1"/>
  <c r="N291" i="143" a="1"/>
  <c r="N292" i="143" a="1"/>
  <c r="M8" i="153"/>
  <c r="L8" i="153"/>
  <c r="H8" i="153"/>
  <c r="E8" i="153"/>
  <c r="D8" i="153"/>
  <c r="C8" i="153"/>
  <c r="M7" i="153"/>
  <c r="L7" i="153"/>
  <c r="H7" i="153"/>
  <c r="E7" i="153"/>
  <c r="D7" i="153"/>
  <c r="C7" i="153"/>
  <c r="M6" i="153"/>
  <c r="L6" i="153"/>
  <c r="H6" i="153"/>
  <c r="G6" i="153"/>
  <c r="F6" i="153"/>
  <c r="E6" i="153"/>
  <c r="D6" i="153"/>
  <c r="C6" i="153"/>
  <c r="M5" i="153"/>
  <c r="L5" i="153"/>
  <c r="H5" i="153"/>
  <c r="E5" i="153"/>
  <c r="D5" i="153"/>
  <c r="C5" i="153"/>
  <c r="M4" i="153"/>
  <c r="M9" i="153" s="1"/>
  <c r="L4" i="153"/>
  <c r="L9" i="153" s="1"/>
  <c r="H4" i="153"/>
  <c r="H9" i="153" s="1"/>
  <c r="E4" i="153"/>
  <c r="E9" i="153" s="1"/>
  <c r="D4" i="153"/>
  <c r="D9" i="153" s="1"/>
  <c r="C4" i="153"/>
  <c r="B8" i="153"/>
  <c r="B7" i="153"/>
  <c r="B6" i="153"/>
  <c r="B5" i="153"/>
  <c r="B4" i="153"/>
  <c r="B9" i="153" s="1"/>
  <c r="AJ5" i="110"/>
  <c r="F44" i="110" a="1"/>
  <c r="AC44" i="110" a="1"/>
  <c r="E44" i="110" a="1"/>
  <c r="BT44" i="110" a="1"/>
  <c r="BS44" i="110"/>
  <c r="BQ44" i="110" a="1"/>
  <c r="BP44" i="110"/>
  <c r="BL44" i="110"/>
  <c r="BH44" i="110" a="1"/>
  <c r="BG44" i="110"/>
  <c r="BE44" i="110" a="1"/>
  <c r="BD44" i="110"/>
  <c r="AY44" i="110" a="1"/>
  <c r="AX44" i="110" a="1"/>
  <c r="AV44" i="110" a="1"/>
  <c r="AU44" i="110" a="1"/>
  <c r="AP44" i="110" a="1"/>
  <c r="AO44" i="110" a="1"/>
  <c r="AM44" i="110" a="1"/>
  <c r="AL44" i="110" a="1"/>
  <c r="AG44" i="110" a="1"/>
  <c r="AF44" i="110"/>
  <c r="AD44" i="110" a="1"/>
  <c r="AA44" i="110" a="1"/>
  <c r="Z44" i="110" a="1"/>
  <c r="U44" i="110" a="1"/>
  <c r="T44" i="110" a="1"/>
  <c r="R44" i="110" a="1"/>
  <c r="Q44" i="110" a="1"/>
  <c r="O44" i="110" a="1"/>
  <c r="N44" i="110" a="1"/>
  <c r="I44" i="110" a="1"/>
  <c r="H44" i="110" a="1"/>
  <c r="L279" i="143"/>
  <c r="L280" i="143"/>
  <c r="L281" i="143"/>
  <c r="L282" i="143"/>
  <c r="L283" i="143"/>
  <c r="L284" i="143"/>
  <c r="L285" i="143"/>
  <c r="M279" i="143"/>
  <c r="M280" i="143"/>
  <c r="M281" i="143"/>
  <c r="M282" i="143"/>
  <c r="M283" i="143"/>
  <c r="M284" i="143"/>
  <c r="M285" i="143"/>
  <c r="N279" i="143" a="1"/>
  <c r="N280" i="143" a="1"/>
  <c r="N281" i="143" a="1"/>
  <c r="N282" i="143" a="1"/>
  <c r="N283" i="143" a="1"/>
  <c r="N284" i="143" a="1"/>
  <c r="N285" i="143" a="1"/>
  <c r="I43" i="110" a="1"/>
  <c r="I42" i="110" a="1"/>
  <c r="I41" i="110" a="1"/>
  <c r="F43" i="110" a="1"/>
  <c r="F42" i="110" a="1"/>
  <c r="F5" i="110"/>
  <c r="F6" i="110"/>
  <c r="F7" i="110"/>
  <c r="F8" i="110"/>
  <c r="F9" i="110"/>
  <c r="F10" i="110"/>
  <c r="F11" i="110"/>
  <c r="F12" i="110"/>
  <c r="F13" i="110"/>
  <c r="F14" i="110"/>
  <c r="F15" i="110"/>
  <c r="F16" i="110"/>
  <c r="F17" i="110"/>
  <c r="F18" i="110"/>
  <c r="F19" i="110"/>
  <c r="F20" i="110"/>
  <c r="F21" i="110"/>
  <c r="F22" i="110"/>
  <c r="F23" i="110"/>
  <c r="F24" i="110"/>
  <c r="F25" i="110"/>
  <c r="F26" i="110"/>
  <c r="F27" i="110"/>
  <c r="F28" i="110"/>
  <c r="F29" i="110"/>
  <c r="F36" i="110" a="1"/>
  <c r="F37" i="110" a="1"/>
  <c r="F38" i="110" a="1"/>
  <c r="F39" i="110" a="1"/>
  <c r="F40" i="110" a="1"/>
  <c r="F41" i="110" a="1"/>
  <c r="L30" i="110"/>
  <c r="E43" i="110" a="1"/>
  <c r="BP43" i="110"/>
  <c r="BS43" i="110"/>
  <c r="AX43" i="110" a="1"/>
  <c r="Z43" i="110" a="1"/>
  <c r="BT43" i="110" a="1"/>
  <c r="BQ43" i="110" a="1"/>
  <c r="BL43" i="110"/>
  <c r="BG43" i="110"/>
  <c r="BD43" i="110"/>
  <c r="AU43" i="110" a="1"/>
  <c r="AO43" i="110" a="1"/>
  <c r="AL43" i="110" a="1"/>
  <c r="AF43" i="110"/>
  <c r="AC43" i="110" a="1"/>
  <c r="T43" i="110" a="1"/>
  <c r="Q43" i="110" a="1"/>
  <c r="N43" i="110" a="1"/>
  <c r="H43" i="110" a="1"/>
  <c r="L272" i="143"/>
  <c r="L273" i="143"/>
  <c r="L274" i="143"/>
  <c r="L275" i="143"/>
  <c r="L276" i="143"/>
  <c r="L277" i="143"/>
  <c r="L278" i="143"/>
  <c r="M272" i="143"/>
  <c r="M273" i="143"/>
  <c r="M274" i="143"/>
  <c r="M275" i="143"/>
  <c r="M276" i="143"/>
  <c r="M277" i="143"/>
  <c r="M278" i="143"/>
  <c r="N272" i="143" a="1"/>
  <c r="N273" i="143" a="1"/>
  <c r="N274" i="143" a="1"/>
  <c r="N275" i="143" a="1"/>
  <c r="N276" i="143" a="1"/>
  <c r="N277" i="143" a="1"/>
  <c r="N278" i="143" a="1"/>
  <c r="BS42" i="110"/>
  <c r="AF42" i="110"/>
  <c r="AX42" i="110" a="1"/>
  <c r="Z42" i="110" a="1"/>
  <c r="BD42" i="110"/>
  <c r="AU42" i="110" a="1"/>
  <c r="Q42" i="110" a="1"/>
  <c r="BL42" i="110"/>
  <c r="BG42" i="110"/>
  <c r="AO42" i="110" a="1"/>
  <c r="AL42" i="110" a="1"/>
  <c r="AC42" i="110" a="1"/>
  <c r="T42" i="110" a="1"/>
  <c r="N42" i="110" a="1"/>
  <c r="H42" i="110" a="1"/>
  <c r="E42" i="110" a="1"/>
  <c r="L265" i="143"/>
  <c r="L266" i="143"/>
  <c r="L267" i="143"/>
  <c r="L268" i="143"/>
  <c r="L269" i="143"/>
  <c r="L270" i="143"/>
  <c r="L271" i="143"/>
  <c r="Q41" i="110" a="1"/>
  <c r="T41" i="110" a="1"/>
  <c r="AU41" i="110" a="1"/>
  <c r="BD41" i="110"/>
  <c r="AC41" i="110" a="1"/>
  <c r="Z41" i="110" a="1"/>
  <c r="BS41" i="110"/>
  <c r="BP41" i="110"/>
  <c r="BL41" i="110"/>
  <c r="BG41" i="110"/>
  <c r="AX41" i="110" a="1"/>
  <c r="AO41" i="110" a="1"/>
  <c r="AL41" i="110" a="1"/>
  <c r="AF41" i="110"/>
  <c r="N41" i="110" a="1"/>
  <c r="H41" i="110" a="1"/>
  <c r="E41" i="110" a="1"/>
  <c r="L258" i="143"/>
  <c r="L259" i="143"/>
  <c r="L260" i="143"/>
  <c r="L261" i="143"/>
  <c r="L262" i="143"/>
  <c r="L263" i="143"/>
  <c r="L264" i="143"/>
  <c r="Z40" i="110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BW45" i="110" l="1"/>
  <c r="BB45" i="110"/>
  <c r="AS45" i="110"/>
  <c r="BV45" i="110"/>
  <c r="BX45" i="110" s="1"/>
  <c r="BR45" i="110"/>
  <c r="BM45" i="110"/>
  <c r="BO45" i="110" s="1"/>
  <c r="BF45" i="110"/>
  <c r="BA45" i="110"/>
  <c r="BC45" i="110" s="1"/>
  <c r="AZ45" i="110"/>
  <c r="AR45" i="110"/>
  <c r="AT45" i="110" s="1"/>
  <c r="AQ45" i="110"/>
  <c r="AI45" i="110"/>
  <c r="AK45" i="110" s="1"/>
  <c r="AB45" i="110"/>
  <c r="W45" i="110"/>
  <c r="Y45" i="110" s="1"/>
  <c r="P45" i="110"/>
  <c r="K45" i="110"/>
  <c r="M45" i="110" s="1"/>
  <c r="G45" i="110"/>
  <c r="C9" i="153"/>
  <c r="BV44" i="110"/>
  <c r="BM44" i="110"/>
  <c r="BA44" i="110"/>
  <c r="AR44" i="110"/>
  <c r="AI44" i="110"/>
  <c r="W44" i="110"/>
  <c r="K44" i="110"/>
  <c r="AV43" i="110" a="1"/>
  <c r="BV43" i="110"/>
  <c r="BM43" i="110"/>
  <c r="BA43" i="110"/>
  <c r="AR43" i="110"/>
  <c r="AI43" i="110"/>
  <c r="W43" i="110"/>
  <c r="K43" i="110"/>
  <c r="BV42" i="110"/>
  <c r="BM42" i="110"/>
  <c r="BA42" i="110"/>
  <c r="AR42" i="110"/>
  <c r="AI42" i="110"/>
  <c r="W42" i="110"/>
  <c r="K42" i="110"/>
  <c r="M265" i="143"/>
  <c r="N265" i="143" a="1"/>
  <c r="M266" i="143"/>
  <c r="N266" i="143" a="1"/>
  <c r="M267" i="143"/>
  <c r="N267" i="143" a="1"/>
  <c r="M268" i="143"/>
  <c r="N268" i="143" a="1"/>
  <c r="M269" i="143"/>
  <c r="N269" i="143" a="1"/>
  <c r="M270" i="143"/>
  <c r="N270" i="143" a="1"/>
  <c r="M271" i="143"/>
  <c r="N271" i="143" a="1"/>
  <c r="BM38" i="110"/>
  <c r="BV41" i="110"/>
  <c r="BM41" i="110"/>
  <c r="BA41" i="110"/>
  <c r="AR41" i="110"/>
  <c r="AI41" i="110"/>
  <c r="W41" i="110"/>
  <c r="K41" i="110"/>
  <c r="M258" i="143"/>
  <c r="N258" i="143" a="1"/>
  <c r="M259" i="143"/>
  <c r="N259" i="143" a="1"/>
  <c r="M260" i="143"/>
  <c r="N260" i="143" a="1"/>
  <c r="M261" i="143"/>
  <c r="N261" i="143" a="1"/>
  <c r="M262" i="143"/>
  <c r="N262" i="143" a="1"/>
  <c r="M263" i="143"/>
  <c r="N263" i="143" a="1"/>
  <c r="N264" i="143" a="1"/>
  <c r="M264" i="143"/>
  <c r="BV38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L26" i="110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BH17" i="110"/>
  <c r="BE17" i="110" s="1"/>
  <c r="AV17" i="110"/>
  <c r="AY17" i="110" s="1"/>
  <c r="AM17" i="110"/>
  <c r="AP17" i="110" s="1"/>
  <c r="AD17" i="110"/>
  <c r="AA17" i="110" s="1"/>
  <c r="BV56" i="110"/>
  <c r="BV55" i="110"/>
  <c r="BV54" i="110"/>
  <c r="BV53" i="110"/>
  <c r="BV52" i="110"/>
  <c r="BV51" i="110"/>
  <c r="BV50" i="110"/>
  <c r="BV49" i="110"/>
  <c r="BV48" i="110"/>
  <c r="BV47" i="110"/>
  <c r="BV46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6" i="110"/>
  <c r="CH46" i="110"/>
  <c r="CG46" i="110"/>
  <c r="CD46" i="110"/>
  <c r="CA46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46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L13" i="110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46" i="110"/>
  <c r="BX46" i="110" s="1"/>
  <c r="BU46" i="110"/>
  <c r="BR46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U26" i="110"/>
  <c r="BR26" i="110"/>
  <c r="BW25" i="110"/>
  <c r="BX25" i="110" s="1"/>
  <c r="BU25" i="110"/>
  <c r="BR25" i="110"/>
  <c r="BW24" i="110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L12" i="110"/>
  <c r="BX26" i="110" l="1"/>
  <c r="BX24" i="110"/>
  <c r="D16" i="143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46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46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46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46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46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46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46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46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46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46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46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46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46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46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G8" i="110"/>
  <c r="J8" i="110"/>
  <c r="BE8" i="110"/>
  <c r="BF8" i="110" s="1"/>
  <c r="U7" i="110"/>
  <c r="R7" i="110"/>
  <c r="BH7" i="110"/>
  <c r="BI7" i="110" s="1"/>
  <c r="AM7" i="110"/>
  <c r="AD7" i="110"/>
  <c r="AE7" i="110" s="1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H10" i="108" l="1"/>
  <c r="F4" i="104" l="1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N46" i="110"/>
  <c r="BM46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G7" i="153" s="1"/>
  <c r="BM26" i="110"/>
  <c r="BN25" i="110"/>
  <c r="BM25" i="110"/>
  <c r="BN24" i="110"/>
  <c r="F7" i="153" s="1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F33" i="121"/>
  <c r="BO27" i="110"/>
  <c r="F30" i="121"/>
  <c r="BO25" i="110"/>
  <c r="F64" i="121"/>
  <c r="BO52" i="110"/>
  <c r="F50" i="121"/>
  <c r="F46" i="121"/>
  <c r="F55" i="121"/>
  <c r="F32" i="121"/>
  <c r="BO26" i="110"/>
  <c r="F56" i="121"/>
  <c r="BO46" i="110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F66" i="121"/>
  <c r="BO54" i="110"/>
  <c r="F11" i="121"/>
  <c r="BO9" i="110"/>
  <c r="F28" i="121"/>
  <c r="BO23" i="110"/>
  <c r="F35" i="121"/>
  <c r="BO29" i="110"/>
  <c r="F44" i="121"/>
  <c r="F52" i="121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46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B46" i="110"/>
  <c r="BA46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46" i="110"/>
  <c r="BC55" i="110"/>
  <c r="BC7" i="110"/>
  <c r="BC15" i="110"/>
  <c r="BC21" i="110"/>
  <c r="BC56" i="110"/>
  <c r="BC5" i="110"/>
  <c r="BC9" i="110"/>
  <c r="BC10" i="110"/>
  <c r="BC27" i="110"/>
  <c r="BC8" i="110"/>
  <c r="BC16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S46" i="110"/>
  <c r="AR46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G4" i="153" s="1"/>
  <c r="AR26" i="110"/>
  <c r="AS25" i="110"/>
  <c r="F4" i="153" s="1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8" i="110"/>
  <c r="AT19" i="110"/>
  <c r="AT31" i="110"/>
  <c r="AT27" i="110"/>
  <c r="AT26" i="110"/>
  <c r="AT25" i="110"/>
  <c r="AT23" i="110"/>
  <c r="AT29" i="110"/>
  <c r="AT34" i="110"/>
  <c r="AT46" i="110"/>
  <c r="AT52" i="110"/>
  <c r="AT21" i="110"/>
  <c r="AT35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J46" i="110"/>
  <c r="AI46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G8" i="153" s="1"/>
  <c r="AI26" i="110"/>
  <c r="AJ25" i="110"/>
  <c r="AI25" i="110"/>
  <c r="AJ24" i="110"/>
  <c r="F8" i="153" s="1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I5" i="110"/>
  <c r="AK32" i="110" l="1"/>
  <c r="AK50" i="110"/>
  <c r="AK28" i="110"/>
  <c r="AK34" i="110"/>
  <c r="AK46" i="110"/>
  <c r="AK6" i="110"/>
  <c r="AK52" i="110"/>
  <c r="AK29" i="110"/>
  <c r="AK35" i="110"/>
  <c r="AK27" i="110"/>
  <c r="AK33" i="110"/>
  <c r="AK51" i="110"/>
  <c r="AK47" i="110"/>
  <c r="AK53" i="110"/>
  <c r="AK5" i="110"/>
  <c r="AK31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46" i="110"/>
  <c r="X35" i="110"/>
  <c r="X34" i="110"/>
  <c r="X33" i="110"/>
  <c r="X32" i="110"/>
  <c r="X31" i="110"/>
  <c r="X30" i="110"/>
  <c r="X29" i="110"/>
  <c r="X28" i="110"/>
  <c r="X27" i="110"/>
  <c r="X26" i="110"/>
  <c r="X25" i="110"/>
  <c r="X24" i="110"/>
  <c r="F5" i="153" s="1"/>
  <c r="F9" i="153" s="1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46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6" i="110" l="1"/>
  <c r="G5" i="153"/>
  <c r="G9" i="153" s="1"/>
  <c r="Y29" i="110"/>
  <c r="Y28" i="110"/>
  <c r="Y30" i="110"/>
  <c r="Y15" i="110"/>
  <c r="Y17" i="110"/>
  <c r="Y16" i="110"/>
  <c r="Y5" i="110"/>
  <c r="Y31" i="110"/>
  <c r="Y7" i="110"/>
  <c r="Y8" i="110"/>
  <c r="Y6" i="110"/>
  <c r="Y32" i="110"/>
  <c r="Y34" i="110"/>
  <c r="Y22" i="110"/>
  <c r="Y33" i="110"/>
  <c r="Y46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C24" i="134"/>
  <c r="C24" i="133"/>
  <c r="C91" i="134"/>
  <c r="C23" i="122"/>
  <c r="C90" i="122"/>
  <c r="C76" i="134"/>
  <c r="C75" i="122"/>
  <c r="C80" i="134"/>
  <c r="C87" i="122"/>
  <c r="C84" i="122"/>
  <c r="D77" i="122"/>
  <c r="C81" i="134"/>
  <c r="C82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C85" i="122"/>
  <c r="D78" i="122"/>
  <c r="C82" i="134"/>
  <c r="C85" i="134"/>
  <c r="D90" i="122"/>
  <c r="D75" i="122"/>
  <c r="C77" i="134"/>
  <c r="D80" i="134"/>
  <c r="D77" i="134"/>
  <c r="C89" i="122"/>
  <c r="C81" i="122"/>
  <c r="C76" i="122"/>
  <c r="D79" i="122"/>
  <c r="D76" i="122"/>
  <c r="C84" i="134"/>
  <c r="D81" i="134"/>
  <c r="C79" i="134"/>
  <c r="C87" i="134"/>
  <c r="C88" i="134"/>
  <c r="C83" i="122"/>
  <c r="D80" i="122"/>
  <c r="C78" i="122"/>
  <c r="C86" i="122"/>
  <c r="D91" i="134"/>
  <c r="C83" i="134"/>
  <c r="D75" i="134"/>
  <c r="C68" i="122"/>
  <c r="C62" i="134"/>
  <c r="C67" i="134"/>
  <c r="C64" i="122"/>
  <c r="C54" i="134"/>
  <c r="C66" i="134"/>
  <c r="D54" i="134"/>
  <c r="D54" i="122"/>
  <c r="C61" i="122"/>
  <c r="D69" i="134"/>
  <c r="C66" i="122"/>
  <c r="C65" i="122"/>
  <c r="C56" i="134"/>
  <c r="D68" i="122"/>
  <c r="C53" i="134"/>
  <c r="C60" i="134"/>
  <c r="C53" i="122"/>
  <c r="C55" i="134"/>
  <c r="C68" i="134"/>
  <c r="C59" i="122"/>
  <c r="D53" i="122"/>
  <c r="C69" i="122"/>
  <c r="C54" i="122"/>
  <c r="C67" i="122"/>
  <c r="D56" i="134"/>
  <c r="C63" i="134"/>
  <c r="D59" i="134"/>
  <c r="C69" i="134"/>
  <c r="D53" i="134"/>
  <c r="D55" i="122"/>
  <c r="C62" i="122"/>
  <c r="D58" i="134"/>
  <c r="D58" i="122"/>
  <c r="D56" i="122"/>
  <c r="C58" i="134"/>
  <c r="D57" i="122"/>
  <c r="C58" i="122"/>
  <c r="C57" i="122"/>
  <c r="C61" i="134"/>
  <c r="C64" i="134"/>
  <c r="C55" i="122"/>
  <c r="C65" i="134"/>
  <c r="C60" i="122"/>
  <c r="D55" i="134"/>
  <c r="D57" i="134"/>
  <c r="C63" i="122"/>
  <c r="D69" i="122"/>
  <c r="C59" i="134"/>
  <c r="D97" i="122"/>
  <c r="C110" i="122"/>
  <c r="D100" i="122"/>
  <c r="C101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3" i="122"/>
  <c r="C112" i="122"/>
  <c r="C108" i="122"/>
  <c r="C102" i="122"/>
  <c r="C103" i="122"/>
  <c r="C106" i="122"/>
  <c r="D36" i="133"/>
  <c r="D36" i="122"/>
  <c r="C37" i="134"/>
  <c r="C38" i="122"/>
  <c r="C31" i="133"/>
  <c r="C42" i="134"/>
  <c r="C34" i="133"/>
  <c r="D35" i="122"/>
  <c r="C40" i="134"/>
  <c r="C37" i="133"/>
  <c r="C46" i="134"/>
  <c r="C32" i="122"/>
  <c r="D47" i="133"/>
  <c r="D46" i="122"/>
  <c r="D32" i="122"/>
  <c r="C33" i="134"/>
  <c r="C40" i="133"/>
  <c r="C36" i="122"/>
  <c r="C43" i="134"/>
  <c r="C32" i="134"/>
  <c r="C42" i="122"/>
  <c r="C39" i="134"/>
  <c r="C46" i="133"/>
  <c r="C33" i="133"/>
  <c r="C39" i="122"/>
  <c r="C43" i="133"/>
  <c r="C32" i="133"/>
  <c r="C35" i="133"/>
  <c r="C31" i="122"/>
  <c r="C39" i="133"/>
  <c r="C45" i="122"/>
  <c r="C35" i="134"/>
  <c r="C36" i="134"/>
  <c r="C45" i="133"/>
  <c r="C38" i="133"/>
  <c r="C42" i="133"/>
  <c r="D32" i="133"/>
  <c r="C44" i="134"/>
  <c r="D47" i="134"/>
  <c r="D36" i="134"/>
  <c r="D35" i="134"/>
  <c r="C34" i="122"/>
  <c r="C36" i="133"/>
  <c r="C45" i="134"/>
  <c r="C38" i="134"/>
  <c r="C41" i="122"/>
  <c r="D32" i="134"/>
  <c r="C44" i="133"/>
  <c r="C34" i="134"/>
  <c r="D34" i="133"/>
  <c r="D37" i="134"/>
  <c r="D47" i="122"/>
  <c r="D37" i="133"/>
  <c r="C31" i="134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E69" i="134"/>
  <c r="K14" i="141"/>
  <c r="E47" i="133"/>
  <c r="E56" i="134"/>
  <c r="O16" i="108"/>
  <c r="N16" i="108"/>
  <c r="K16" i="108"/>
  <c r="J16" i="108"/>
  <c r="E47" i="134"/>
  <c r="E91" i="134"/>
  <c r="E91" i="122"/>
  <c r="E54" i="122"/>
  <c r="E68" i="122"/>
  <c r="E54" i="134"/>
  <c r="E47" i="122"/>
  <c r="E46" i="122"/>
  <c r="O10" i="108"/>
  <c r="N10" i="108"/>
  <c r="J10" i="108"/>
  <c r="K10" i="108"/>
  <c r="E90" i="122"/>
  <c r="E37" i="133"/>
  <c r="E100" i="122"/>
  <c r="E59" i="134"/>
  <c r="E57" i="122"/>
  <c r="E69" i="122"/>
  <c r="E36" i="122"/>
  <c r="E36" i="133"/>
  <c r="F101" i="122"/>
  <c r="E98" i="122"/>
  <c r="E76" i="122"/>
  <c r="F79" i="122"/>
  <c r="E79" i="122"/>
  <c r="F31" i="134"/>
  <c r="F32" i="134"/>
  <c r="E31" i="134"/>
  <c r="F33" i="134"/>
  <c r="F34" i="134"/>
  <c r="E34" i="122"/>
  <c r="E36" i="134"/>
  <c r="E58" i="122"/>
  <c r="F81" i="134"/>
  <c r="E78" i="134"/>
  <c r="E35" i="134"/>
  <c r="E33" i="133"/>
  <c r="F36" i="133"/>
  <c r="E33" i="134"/>
  <c r="F36" i="134"/>
  <c r="F98" i="122"/>
  <c r="E97" i="122"/>
  <c r="F99" i="122"/>
  <c r="F100" i="122"/>
  <c r="F97" i="122"/>
  <c r="E101" i="122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76" i="134"/>
  <c r="E32" i="133"/>
  <c r="F35" i="133"/>
  <c r="E35" i="122"/>
  <c r="F102" i="122"/>
  <c r="E99" i="122"/>
  <c r="E55" i="122"/>
  <c r="E55" i="134"/>
  <c r="F80" i="122"/>
  <c r="E77" i="122"/>
  <c r="F77" i="122"/>
  <c r="F78" i="122"/>
  <c r="E75" i="122"/>
  <c r="F76" i="122"/>
  <c r="F75" i="122"/>
  <c r="F31" i="122"/>
  <c r="F34" i="122"/>
  <c r="F33" i="122"/>
  <c r="F32" i="122"/>
  <c r="E31" i="122"/>
  <c r="F34" i="133"/>
  <c r="E31" i="133"/>
  <c r="F31" i="133"/>
  <c r="F33" i="133"/>
  <c r="F32" i="133"/>
  <c r="E112" i="122"/>
  <c r="F54" i="122"/>
  <c r="F55" i="122"/>
  <c r="F53" i="122"/>
  <c r="E53" i="122"/>
  <c r="E77" i="134"/>
  <c r="F80" i="134"/>
  <c r="E80" i="134"/>
  <c r="S26" i="119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P22" i="108" l="1"/>
  <c r="L22" i="108"/>
  <c r="J23" i="108"/>
  <c r="N11" i="108"/>
  <c r="P16" i="108"/>
  <c r="G56" i="134"/>
  <c r="G77" i="134"/>
  <c r="G54" i="122"/>
  <c r="G36" i="122"/>
  <c r="G35" i="122"/>
  <c r="G54" i="134"/>
  <c r="G102" i="122"/>
  <c r="P10" i="108"/>
  <c r="L16" i="108"/>
  <c r="J17" i="108"/>
  <c r="G36" i="133"/>
  <c r="G35" i="134"/>
  <c r="G37" i="133"/>
  <c r="G32" i="133"/>
  <c r="G80" i="134"/>
  <c r="G76" i="122"/>
  <c r="G100" i="122"/>
  <c r="G55" i="122"/>
  <c r="G53" i="134"/>
  <c r="G55" i="134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33" i="133"/>
  <c r="G31" i="134"/>
  <c r="G80" i="122"/>
  <c r="G35" i="133"/>
  <c r="G37" i="134"/>
  <c r="G34" i="133"/>
  <c r="G79" i="134"/>
  <c r="G97" i="122"/>
  <c r="G78" i="122"/>
  <c r="G32" i="122"/>
  <c r="G77" i="122"/>
  <c r="G99" i="122"/>
  <c r="G33" i="134"/>
  <c r="G75" i="134"/>
  <c r="G101" i="122"/>
  <c r="K50" i="103"/>
  <c r="G31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L46" i="110"/>
  <c r="K46" i="110"/>
  <c r="F54" i="115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9" i="110"/>
  <c r="M17" i="110"/>
  <c r="M30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46" i="110"/>
  <c r="M28" i="110"/>
  <c r="M34" i="110"/>
  <c r="M10" i="110"/>
  <c r="M49" i="110"/>
  <c r="M25" i="110"/>
  <c r="M31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H62" i="115"/>
  <c r="H18" i="115"/>
  <c r="H41" i="115"/>
  <c r="H52" i="115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31" i="115"/>
  <c r="K31" i="115" s="1"/>
  <c r="K28" i="115"/>
  <c r="F11" i="133"/>
  <c r="F9" i="133"/>
  <c r="F12" i="133"/>
  <c r="F10" i="133"/>
  <c r="E9" i="133"/>
  <c r="H20" i="115"/>
  <c r="E14" i="122"/>
  <c r="F15" i="115"/>
  <c r="K15" i="115" s="1"/>
  <c r="K11" i="115"/>
  <c r="F12" i="122"/>
  <c r="F10" i="122"/>
  <c r="E9" i="122"/>
  <c r="F11" i="122"/>
  <c r="F9" i="122"/>
  <c r="E15" i="134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9" i="133"/>
  <c r="G12" i="134"/>
  <c r="G13" i="122"/>
  <c r="G11" i="133"/>
  <c r="G12" i="133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Q171" i="80" l="1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AY106" i="80" l="1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U43" i="110" l="1" a="1"/>
  <c r="AQ161" i="80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I209" i="80" l="1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J216" i="80" l="1"/>
  <c r="I222" i="80"/>
  <c r="AQ18" i="80"/>
  <c r="BE18" i="80"/>
  <c r="BF18" i="80" s="1"/>
  <c r="AO155" i="80"/>
  <c r="AP155" i="80" s="1"/>
  <c r="AP18" i="80"/>
  <c r="BA155" i="80"/>
  <c r="BB155" i="80" s="1"/>
  <c r="AN155" i="80"/>
  <c r="J222" i="80" l="1"/>
  <c r="J219" i="80"/>
  <c r="AQ155" i="80"/>
  <c r="AR155" i="80" s="1"/>
  <c r="AR18" i="80"/>
  <c r="AK22" i="80" l="1"/>
  <c r="AM22" i="80" l="1"/>
  <c r="AW22" i="80"/>
  <c r="AX22" i="80" s="1"/>
  <c r="AK159" i="80"/>
  <c r="AL22" i="80"/>
  <c r="AW159" i="80" l="1"/>
  <c r="AX159" i="80" s="1"/>
  <c r="AL159" i="80"/>
  <c r="AO22" i="80"/>
  <c r="AM159" i="80"/>
  <c r="BA22" i="80"/>
  <c r="BB22" i="80" s="1"/>
  <c r="AN22" i="80"/>
  <c r="AQ22" i="80" l="1"/>
  <c r="AO159" i="80"/>
  <c r="AP159" i="80" s="1"/>
  <c r="BE22" i="80"/>
  <c r="BF22" i="80" s="1"/>
  <c r="AP22" i="80"/>
  <c r="BA159" i="80"/>
  <c r="BB159" i="80" s="1"/>
  <c r="AN159" i="80"/>
  <c r="AQ159" i="80" l="1"/>
  <c r="AR159" i="80" s="1"/>
  <c r="AR22" i="80"/>
  <c r="AK95" i="80" l="1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Y43" i="110" l="1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R43" i="110" l="1" a="1"/>
  <c r="K222" i="80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L222" i="80" l="1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AR30" i="80" l="1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AQ171" i="80" l="1"/>
  <c r="AR171" i="80" s="1"/>
  <c r="AR167" i="80"/>
  <c r="AQ225" i="80" l="1"/>
  <c r="P40" i="116"/>
  <c r="P42" i="116" s="1"/>
  <c r="AR33" i="110"/>
  <c r="AT33" i="110" l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J13" i="106" l="1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R36" i="110" l="1" a="1"/>
  <c r="R40" i="110" l="1" a="1"/>
  <c r="R41" i="110" l="1" a="1"/>
  <c r="R37" i="110" a="1"/>
  <c r="R38" i="110" l="1" a="1"/>
  <c r="O43" i="110" l="1" a="1"/>
  <c r="R39" i="110" l="1" a="1"/>
  <c r="AM43" i="110" l="1" a="1"/>
  <c r="AP43" i="110" l="1" a="1"/>
  <c r="BE42" i="110" l="1" a="1"/>
  <c r="BH42" i="110" l="1" a="1"/>
  <c r="BE43" i="110" a="1"/>
  <c r="BH43" i="110" l="1" a="1"/>
  <c r="AG36" i="110" a="1"/>
  <c r="AG37" i="110" l="1" a="1"/>
  <c r="AG38" i="110" l="1" a="1"/>
  <c r="AG40" i="110" l="1" a="1"/>
  <c r="AG39" i="110" a="1"/>
  <c r="AG42" i="110" l="1" a="1"/>
  <c r="U41" i="110" a="1"/>
  <c r="U39" i="110" a="1"/>
  <c r="O39" i="110" a="1"/>
  <c r="O42" i="110" a="1"/>
  <c r="AG41" i="110" a="1"/>
  <c r="AD42" i="110" a="1"/>
  <c r="AA42" i="110" a="1"/>
  <c r="U40" i="110" l="1" a="1"/>
  <c r="U36" i="110" a="1"/>
  <c r="R42" i="110" a="1"/>
  <c r="U42" i="110" a="1"/>
  <c r="O38" i="110" a="1"/>
  <c r="O41" i="110" a="1"/>
  <c r="O37" i="110" a="1"/>
  <c r="O40" i="110" a="1"/>
  <c r="O36" i="110" a="1"/>
  <c r="AD43" i="110" a="1"/>
  <c r="AA43" i="110" a="1"/>
  <c r="AG43" i="110" l="1" a="1"/>
  <c r="U37" i="110" l="1" a="1"/>
  <c r="U38" i="110" l="1" a="1"/>
  <c r="BH38" i="110" l="1" a="1"/>
  <c r="BE38" i="110" a="1"/>
  <c r="BH37" i="110" a="1"/>
  <c r="BH41" i="110" a="1"/>
  <c r="BE37" i="110" a="1"/>
  <c r="BE41" i="110" a="1"/>
  <c r="BH36" i="110" a="1"/>
  <c r="BH40" i="110" a="1"/>
  <c r="BH39" i="110" a="1"/>
  <c r="BE40" i="110" a="1"/>
  <c r="BE36" i="110" a="1"/>
  <c r="BE39" i="110" a="1"/>
  <c r="I39" i="110" l="1" a="1"/>
  <c r="I36" i="110" a="1"/>
  <c r="I37" i="110" a="1"/>
  <c r="I40" i="110" a="1"/>
  <c r="I38" i="110" l="1" a="1"/>
  <c r="AY37" i="110" l="1" a="1"/>
  <c r="AY38" i="110" a="1"/>
  <c r="AY40" i="110" a="1"/>
  <c r="AY41" i="110" a="1"/>
  <c r="AY42" i="110" a="1"/>
  <c r="AY36" i="110" a="1"/>
  <c r="AV39" i="110" a="1"/>
  <c r="AY39" i="110" l="1" a="1"/>
  <c r="AV36" i="110" a="1"/>
  <c r="AV40" i="110" a="1"/>
  <c r="AV41" i="110" a="1"/>
  <c r="AV37" i="110" a="1"/>
  <c r="AV38" i="110" a="1"/>
  <c r="AV42" i="110" a="1"/>
  <c r="AP36" i="110" l="1" a="1"/>
  <c r="AP40" i="110" a="1"/>
  <c r="AM39" i="110" a="1"/>
  <c r="AP39" i="110" a="1"/>
  <c r="AM38" i="110" a="1"/>
  <c r="AM42" i="110" a="1"/>
  <c r="AP38" i="110" a="1"/>
  <c r="AM37" i="110" a="1"/>
  <c r="AM41" i="110" a="1"/>
  <c r="AP37" i="110" a="1"/>
  <c r="AM36" i="110" l="1" a="1"/>
  <c r="AP42" i="110" a="1"/>
  <c r="AM40" i="110" a="1"/>
  <c r="AP41" i="110" a="1"/>
  <c r="BT36" i="110" l="1" a="1"/>
  <c r="BQ41" i="110" a="1"/>
  <c r="BT37" i="110" a="1"/>
  <c r="BT38" i="110" a="1"/>
  <c r="BT39" i="110" a="1"/>
  <c r="BT40" i="110" a="1"/>
  <c r="BT42" i="110" a="1"/>
  <c r="BQ36" i="110" a="1"/>
  <c r="BQ38" i="110" a="1"/>
  <c r="BQ39" i="110" a="1"/>
  <c r="BT41" i="110" l="1" a="1"/>
  <c r="BQ37" i="110" a="1"/>
  <c r="BQ42" i="110" a="1"/>
  <c r="BQ40" i="110" a="1"/>
  <c r="AA40" i="110" l="1" a="1"/>
  <c r="AD38" i="110" a="1"/>
  <c r="AA41" i="110" a="1"/>
  <c r="AD39" i="110" a="1"/>
  <c r="AD40" i="110" a="1"/>
  <c r="AA37" i="110" a="1"/>
  <c r="AD41" i="110" a="1"/>
  <c r="AD36" i="110" a="1"/>
  <c r="AA39" i="110" a="1"/>
  <c r="AD37" i="110" a="1"/>
  <c r="AA38" i="110" l="1" a="1"/>
  <c r="AA36" i="110" l="1" a="1"/>
  <c r="BR43" i="110" s="1"/>
  <c r="BI43" i="110" s="1"/>
  <c r="AW43" i="110" s="1"/>
  <c r="AN43" i="110" s="1"/>
  <c r="AH43" i="110" s="1"/>
  <c r="AE43" i="110" s="1"/>
  <c r="V43" i="110" s="1"/>
  <c r="S43" i="110" s="1"/>
  <c r="J43" i="110" s="1"/>
  <c r="BR42" i="110" s="1"/>
  <c r="BI42" i="110" s="1"/>
  <c r="AW42" i="110" s="1"/>
  <c r="AN42" i="110" s="1"/>
  <c r="AH42" i="110" s="1"/>
  <c r="AE42" i="110" s="1"/>
  <c r="V42" i="110" s="1"/>
  <c r="S42" i="110" s="1"/>
  <c r="J42" i="110" s="1"/>
  <c r="BR41" i="110" s="1"/>
  <c r="BI41" i="110" s="1"/>
  <c r="AW41" i="110" s="1"/>
  <c r="AN41" i="110" s="1"/>
  <c r="AH41" i="110" s="1"/>
  <c r="AE41" i="110" s="1"/>
  <c r="V41" i="110" s="1"/>
  <c r="S41" i="110" s="1"/>
  <c r="J41" i="110" s="1"/>
  <c r="BR40" i="110" s="1"/>
  <c r="BI40" i="110" s="1"/>
  <c r="AW40" i="110" s="1"/>
  <c r="AN40" i="110" s="1"/>
  <c r="AH40" i="110" s="1"/>
  <c r="AE40" i="110" s="1"/>
  <c r="V40" i="110" s="1"/>
  <c r="S40" i="110" s="1"/>
  <c r="J40" i="110" s="1"/>
  <c r="BR39" i="110" s="1"/>
  <c r="BI39" i="110" s="1"/>
  <c r="AW39" i="110" s="1"/>
  <c r="AN39" i="110" s="1"/>
  <c r="AH39" i="110" s="1"/>
  <c r="AE39" i="110" s="1"/>
  <c r="V39" i="110" s="1"/>
  <c r="S39" i="110" s="1"/>
  <c r="J39" i="110" s="1"/>
  <c r="BR38" i="110" s="1"/>
  <c r="BI38" i="110" s="1"/>
  <c r="AW38" i="110" s="1"/>
  <c r="AN38" i="110" s="1"/>
  <c r="AH38" i="110" s="1"/>
  <c r="AE38" i="110" s="1"/>
  <c r="V38" i="110" s="1"/>
  <c r="S38" i="110" s="1"/>
  <c r="J38" i="110" s="1"/>
  <c r="BR37" i="110" s="1"/>
  <c r="BI37" i="110" s="1"/>
  <c r="AW37" i="110" s="1"/>
  <c r="AN37" i="110" s="1"/>
  <c r="AH37" i="110" s="1"/>
  <c r="AE37" i="110" s="1"/>
  <c r="V37" i="110" s="1"/>
  <c r="S37" i="110" s="1"/>
  <c r="J37" i="110" s="1"/>
  <c r="AQ44" i="110" l="1"/>
  <c r="AS44" i="110"/>
  <c r="G7" i="106"/>
  <c r="K7" i="106"/>
  <c r="S36" i="110"/>
  <c r="O13" i="105"/>
  <c r="G38" i="110"/>
  <c r="L38" i="110"/>
  <c r="BB39" i="110"/>
  <c r="AZ39" i="110"/>
  <c r="L42" i="110"/>
  <c r="G42" i="110"/>
  <c r="AZ43" i="110"/>
  <c r="BB43" i="110"/>
  <c r="S44" i="110"/>
  <c r="G13" i="105"/>
  <c r="K13" i="105"/>
  <c r="AW36" i="110"/>
  <c r="O13" i="108"/>
  <c r="P37" i="110"/>
  <c r="X37" i="110"/>
  <c r="BU38" i="110"/>
  <c r="BW38" i="110"/>
  <c r="BX38" i="110" s="1"/>
  <c r="AB39" i="110"/>
  <c r="AJ39" i="110"/>
  <c r="BF39" i="110"/>
  <c r="BN39" i="110"/>
  <c r="P41" i="110"/>
  <c r="X41" i="110"/>
  <c r="BU42" i="110"/>
  <c r="BW42" i="110"/>
  <c r="BX42" i="110" s="1"/>
  <c r="AB43" i="110"/>
  <c r="AJ43" i="110"/>
  <c r="BF43" i="110"/>
  <c r="BN43" i="110"/>
  <c r="BO43" i="110" s="1"/>
  <c r="AW44" i="110"/>
  <c r="G13" i="108"/>
  <c r="K13" i="108"/>
  <c r="V36" i="110"/>
  <c r="O19" i="105"/>
  <c r="AQ37" i="110"/>
  <c r="AS37" i="110"/>
  <c r="AQ41" i="110"/>
  <c r="AS41" i="110"/>
  <c r="V44" i="110"/>
  <c r="G19" i="105"/>
  <c r="K19" i="105"/>
  <c r="AQ36" i="110"/>
  <c r="AS36" i="110"/>
  <c r="O7" i="106"/>
  <c r="AZ36" i="110"/>
  <c r="BB36" i="110"/>
  <c r="O7" i="108"/>
  <c r="G39" i="110"/>
  <c r="L39" i="110"/>
  <c r="AZ40" i="110"/>
  <c r="BB40" i="110"/>
  <c r="G43" i="110"/>
  <c r="L43" i="110"/>
  <c r="AZ44" i="110"/>
  <c r="BB44" i="110"/>
  <c r="K6" i="153" s="1"/>
  <c r="G7" i="108"/>
  <c r="K7" i="108"/>
  <c r="O7" i="107"/>
  <c r="AB36" i="110"/>
  <c r="AJ36" i="110"/>
  <c r="BF36" i="110"/>
  <c r="BN36" i="110"/>
  <c r="O7" i="120"/>
  <c r="P38" i="110"/>
  <c r="X38" i="110"/>
  <c r="BW39" i="110"/>
  <c r="BX39" i="110" s="1"/>
  <c r="BU39" i="110"/>
  <c r="AJ40" i="110"/>
  <c r="AB40" i="110"/>
  <c r="BN40" i="110"/>
  <c r="BO40" i="110" s="1"/>
  <c r="BF40" i="110"/>
  <c r="P42" i="110"/>
  <c r="X42" i="110"/>
  <c r="BU43" i="110"/>
  <c r="BW43" i="110"/>
  <c r="BX43" i="110" s="1"/>
  <c r="AJ44" i="110"/>
  <c r="K8" i="153" s="1"/>
  <c r="AB44" i="110"/>
  <c r="G7" i="107"/>
  <c r="K7" i="107"/>
  <c r="BN44" i="110"/>
  <c r="K7" i="153" s="1"/>
  <c r="BF44" i="110"/>
  <c r="G7" i="120"/>
  <c r="K7" i="120"/>
  <c r="O13" i="120"/>
  <c r="BI36" i="110"/>
  <c r="AS38" i="110"/>
  <c r="AQ38" i="110"/>
  <c r="AQ42" i="110"/>
  <c r="AS42" i="110"/>
  <c r="BI44" i="110"/>
  <c r="G13" i="120"/>
  <c r="K13" i="120"/>
  <c r="O7" i="104"/>
  <c r="G36" i="110"/>
  <c r="L36" i="110"/>
  <c r="O13" i="107"/>
  <c r="AE36" i="110"/>
  <c r="BR36" i="110"/>
  <c r="O7" i="141"/>
  <c r="AZ37" i="110"/>
  <c r="BB37" i="110"/>
  <c r="G40" i="110"/>
  <c r="L40" i="110"/>
  <c r="AZ41" i="110"/>
  <c r="BB41" i="110"/>
  <c r="L44" i="110"/>
  <c r="G44" i="110"/>
  <c r="G7" i="104"/>
  <c r="K7" i="104"/>
  <c r="AE44" i="110"/>
  <c r="G13" i="107"/>
  <c r="K13" i="107"/>
  <c r="BR44" i="110"/>
  <c r="G7" i="141"/>
  <c r="K7" i="141"/>
  <c r="AH36" i="110"/>
  <c r="O19" i="107"/>
  <c r="BW36" i="110"/>
  <c r="BU36" i="110"/>
  <c r="O13" i="141"/>
  <c r="AJ37" i="110"/>
  <c r="AB37" i="110"/>
  <c r="BF37" i="110"/>
  <c r="BN37" i="110"/>
  <c r="BO37" i="110" s="1"/>
  <c r="P39" i="110"/>
  <c r="X39" i="110"/>
  <c r="BU40" i="110"/>
  <c r="BW40" i="110"/>
  <c r="BX40" i="110" s="1"/>
  <c r="AB41" i="110"/>
  <c r="AJ41" i="110"/>
  <c r="BF41" i="110"/>
  <c r="BN41" i="110"/>
  <c r="BO41" i="110" s="1"/>
  <c r="P43" i="110"/>
  <c r="X43" i="110"/>
  <c r="AH44" i="110"/>
  <c r="G19" i="107"/>
  <c r="K19" i="107"/>
  <c r="BW44" i="110"/>
  <c r="BU44" i="110"/>
  <c r="G13" i="141"/>
  <c r="K13" i="141"/>
  <c r="J36" i="110"/>
  <c r="O13" i="104"/>
  <c r="AQ39" i="110"/>
  <c r="AS39" i="110"/>
  <c r="AS43" i="110"/>
  <c r="AQ43" i="110"/>
  <c r="J44" i="110"/>
  <c r="G13" i="104"/>
  <c r="K13" i="104"/>
  <c r="O13" i="106"/>
  <c r="AN36" i="110"/>
  <c r="G37" i="110"/>
  <c r="L37" i="110"/>
  <c r="AZ38" i="110"/>
  <c r="BB38" i="110"/>
  <c r="L41" i="110"/>
  <c r="G41" i="110"/>
  <c r="AZ42" i="110"/>
  <c r="BB42" i="110"/>
  <c r="AN44" i="110"/>
  <c r="G13" i="106"/>
  <c r="K13" i="106"/>
  <c r="AQ40" i="110"/>
  <c r="AS40" i="110"/>
  <c r="X36" i="110"/>
  <c r="P36" i="110"/>
  <c r="O7" i="105"/>
  <c r="BU37" i="110"/>
  <c r="BW37" i="110"/>
  <c r="BX37" i="110" s="1"/>
  <c r="AB38" i="110"/>
  <c r="AJ38" i="110"/>
  <c r="BF38" i="110"/>
  <c r="BN38" i="110"/>
  <c r="BO38" i="110" s="1"/>
  <c r="P40" i="110"/>
  <c r="X40" i="110"/>
  <c r="BU41" i="110"/>
  <c r="BW41" i="110"/>
  <c r="BX41" i="110" s="1"/>
  <c r="AB42" i="110"/>
  <c r="AJ42" i="110"/>
  <c r="BF42" i="110"/>
  <c r="BN42" i="110"/>
  <c r="BO42" i="110" s="1"/>
  <c r="X44" i="110"/>
  <c r="P44" i="110"/>
  <c r="G7" i="105"/>
  <c r="K7" i="105"/>
  <c r="I7" i="153" l="1"/>
  <c r="K4" i="153"/>
  <c r="J6" i="153"/>
  <c r="I6" i="153"/>
  <c r="I4" i="153"/>
  <c r="J4" i="153"/>
  <c r="J8" i="153"/>
  <c r="I8" i="153"/>
  <c r="K5" i="153"/>
  <c r="J5" i="153"/>
  <c r="I5" i="153"/>
  <c r="BO39" i="110"/>
  <c r="J7" i="153"/>
  <c r="N4" i="153"/>
  <c r="I9" i="153"/>
  <c r="K9" i="153"/>
  <c r="N6" i="153"/>
  <c r="N5" i="153"/>
  <c r="N8" i="153"/>
  <c r="K17" i="104"/>
  <c r="K15" i="104"/>
  <c r="L13" i="104"/>
  <c r="G11" i="105"/>
  <c r="G9" i="105"/>
  <c r="H7" i="105"/>
  <c r="G25" i="105"/>
  <c r="H13" i="104"/>
  <c r="G27" i="104"/>
  <c r="G15" i="104"/>
  <c r="G17" i="104"/>
  <c r="K23" i="107"/>
  <c r="K21" i="107"/>
  <c r="L19" i="107"/>
  <c r="K25" i="107"/>
  <c r="D82" i="122"/>
  <c r="D83" i="134"/>
  <c r="BC37" i="110"/>
  <c r="AT42" i="110"/>
  <c r="D65" i="122"/>
  <c r="D66" i="134"/>
  <c r="Y38" i="110"/>
  <c r="D40" i="133"/>
  <c r="D40" i="134"/>
  <c r="D39" i="122"/>
  <c r="D22" i="122"/>
  <c r="D23" i="134"/>
  <c r="E23" i="134" s="1"/>
  <c r="D23" i="133"/>
  <c r="E23" i="133" s="1"/>
  <c r="M43" i="110"/>
  <c r="K23" i="105"/>
  <c r="K21" i="105"/>
  <c r="L19" i="105"/>
  <c r="D22" i="133"/>
  <c r="D21" i="122"/>
  <c r="D22" i="134"/>
  <c r="M42" i="110"/>
  <c r="H19" i="107"/>
  <c r="G23" i="107"/>
  <c r="G25" i="107"/>
  <c r="G21" i="107"/>
  <c r="K15" i="107"/>
  <c r="L13" i="107"/>
  <c r="K17" i="107"/>
  <c r="AK44" i="110"/>
  <c r="D111" i="122"/>
  <c r="E111" i="122" s="1"/>
  <c r="G19" i="103"/>
  <c r="G23" i="105"/>
  <c r="H19" i="105"/>
  <c r="G21" i="105"/>
  <c r="H13" i="106"/>
  <c r="G15" i="106"/>
  <c r="G17" i="106"/>
  <c r="BX44" i="110"/>
  <c r="G31" i="103"/>
  <c r="K31" i="103"/>
  <c r="Y39" i="110"/>
  <c r="D41" i="133"/>
  <c r="E41" i="133" s="1"/>
  <c r="D41" i="134"/>
  <c r="D40" i="122"/>
  <c r="E40" i="122" s="1"/>
  <c r="Y44" i="110"/>
  <c r="D45" i="122"/>
  <c r="E45" i="122" s="1"/>
  <c r="D46" i="134"/>
  <c r="E46" i="134" s="1"/>
  <c r="D46" i="133"/>
  <c r="E46" i="133" s="1"/>
  <c r="G13" i="103"/>
  <c r="H13" i="107"/>
  <c r="G15" i="107"/>
  <c r="G17" i="107"/>
  <c r="O11" i="141"/>
  <c r="P7" i="141"/>
  <c r="O19" i="141"/>
  <c r="O9" i="141"/>
  <c r="O11" i="120"/>
  <c r="O9" i="120"/>
  <c r="P7" i="120"/>
  <c r="D85" i="122"/>
  <c r="BC40" i="110"/>
  <c r="D86" i="134"/>
  <c r="D110" i="122"/>
  <c r="AK43" i="110"/>
  <c r="Y37" i="110"/>
  <c r="D39" i="133"/>
  <c r="D38" i="122"/>
  <c r="D39" i="134"/>
  <c r="D85" i="134"/>
  <c r="D84" i="122"/>
  <c r="BC39" i="110"/>
  <c r="AK38" i="110"/>
  <c r="D105" i="122"/>
  <c r="D67" i="134"/>
  <c r="E67" i="134" s="1"/>
  <c r="D66" i="122"/>
  <c r="AT43" i="110"/>
  <c r="D44" i="122"/>
  <c r="D45" i="134"/>
  <c r="E45" i="134" s="1"/>
  <c r="D45" i="133"/>
  <c r="E45" i="133" s="1"/>
  <c r="Y43" i="110"/>
  <c r="D62" i="134"/>
  <c r="AT38" i="110"/>
  <c r="D61" i="122"/>
  <c r="BO36" i="110"/>
  <c r="O43" i="103"/>
  <c r="D65" i="134"/>
  <c r="AT41" i="110"/>
  <c r="D64" i="122"/>
  <c r="M38" i="110"/>
  <c r="D18" i="134"/>
  <c r="D17" i="122"/>
  <c r="D18" i="133"/>
  <c r="H7" i="141"/>
  <c r="G19" i="141"/>
  <c r="G9" i="141"/>
  <c r="G11" i="141"/>
  <c r="D88" i="134"/>
  <c r="D87" i="122"/>
  <c r="BC42" i="110"/>
  <c r="D21" i="133"/>
  <c r="D21" i="134"/>
  <c r="M41" i="110"/>
  <c r="D20" i="122"/>
  <c r="AT39" i="110"/>
  <c r="D62" i="122"/>
  <c r="D63" i="134"/>
  <c r="D104" i="122"/>
  <c r="AK37" i="110"/>
  <c r="K19" i="104"/>
  <c r="K11" i="104"/>
  <c r="K9" i="104"/>
  <c r="L7" i="104"/>
  <c r="Y42" i="110"/>
  <c r="D44" i="133"/>
  <c r="D43" i="122"/>
  <c r="D44" i="134"/>
  <c r="D18" i="122"/>
  <c r="D19" i="133"/>
  <c r="M39" i="110"/>
  <c r="D19" i="134"/>
  <c r="O19" i="108"/>
  <c r="P13" i="108"/>
  <c r="O15" i="108"/>
  <c r="O17" i="108"/>
  <c r="AK42" i="110"/>
  <c r="D109" i="122"/>
  <c r="O11" i="105"/>
  <c r="P7" i="105"/>
  <c r="O9" i="105"/>
  <c r="O25" i="105"/>
  <c r="BC38" i="110"/>
  <c r="D84" i="134"/>
  <c r="D83" i="122"/>
  <c r="O15" i="141"/>
  <c r="O17" i="141"/>
  <c r="P13" i="141"/>
  <c r="H7" i="104"/>
  <c r="G9" i="104"/>
  <c r="G19" i="104"/>
  <c r="G11" i="104"/>
  <c r="P13" i="107"/>
  <c r="O17" i="107"/>
  <c r="O15" i="107"/>
  <c r="P13" i="120"/>
  <c r="O25" i="120"/>
  <c r="O15" i="120"/>
  <c r="O17" i="120"/>
  <c r="O19" i="103"/>
  <c r="D103" i="122"/>
  <c r="AK36" i="110"/>
  <c r="D60" i="122"/>
  <c r="D61" i="134"/>
  <c r="AT37" i="110"/>
  <c r="P13" i="105"/>
  <c r="O17" i="105"/>
  <c r="O15" i="105"/>
  <c r="G11" i="107"/>
  <c r="H7" i="107"/>
  <c r="G9" i="107"/>
  <c r="P13" i="104"/>
  <c r="O17" i="104"/>
  <c r="O15" i="104"/>
  <c r="O7" i="103"/>
  <c r="D16" i="134"/>
  <c r="D16" i="133"/>
  <c r="M36" i="110"/>
  <c r="D15" i="122"/>
  <c r="K11" i="120"/>
  <c r="K9" i="120"/>
  <c r="L7" i="120"/>
  <c r="P7" i="108"/>
  <c r="O11" i="108"/>
  <c r="O9" i="108"/>
  <c r="D42" i="122"/>
  <c r="D43" i="134"/>
  <c r="D43" i="133"/>
  <c r="Y41" i="110"/>
  <c r="L13" i="105"/>
  <c r="K15" i="105"/>
  <c r="K17" i="105"/>
  <c r="Y36" i="110"/>
  <c r="D37" i="122"/>
  <c r="D38" i="133"/>
  <c r="D38" i="134"/>
  <c r="O13" i="103"/>
  <c r="D17" i="133"/>
  <c r="E17" i="133" s="1"/>
  <c r="D17" i="134"/>
  <c r="E17" i="134" s="1"/>
  <c r="M37" i="110"/>
  <c r="D16" i="122"/>
  <c r="E16" i="122" s="1"/>
  <c r="AK41" i="110"/>
  <c r="D108" i="122"/>
  <c r="BX36" i="110"/>
  <c r="O31" i="103"/>
  <c r="M44" i="110"/>
  <c r="D23" i="122"/>
  <c r="E23" i="122" s="1"/>
  <c r="D24" i="133"/>
  <c r="E24" i="133" s="1"/>
  <c r="D24" i="134"/>
  <c r="E24" i="134" s="1"/>
  <c r="G7" i="103"/>
  <c r="K7" i="103"/>
  <c r="G11" i="120"/>
  <c r="G9" i="120"/>
  <c r="H7" i="120"/>
  <c r="P7" i="107"/>
  <c r="O9" i="107"/>
  <c r="O11" i="107"/>
  <c r="D81" i="122"/>
  <c r="D82" i="134"/>
  <c r="BC36" i="110"/>
  <c r="O37" i="103"/>
  <c r="O21" i="105"/>
  <c r="P19" i="105"/>
  <c r="O23" i="105"/>
  <c r="G17" i="105"/>
  <c r="H13" i="105"/>
  <c r="G15" i="105"/>
  <c r="L7" i="106"/>
  <c r="K31" i="106"/>
  <c r="K11" i="106"/>
  <c r="K9" i="106"/>
  <c r="T7" i="105"/>
  <c r="R11" i="105"/>
  <c r="L7" i="105"/>
  <c r="K11" i="105"/>
  <c r="K9" i="105"/>
  <c r="K25" i="105"/>
  <c r="D63" i="122"/>
  <c r="AT40" i="110"/>
  <c r="D64" i="134"/>
  <c r="K17" i="141"/>
  <c r="L13" i="141"/>
  <c r="K15" i="141"/>
  <c r="O21" i="107"/>
  <c r="P19" i="107"/>
  <c r="O23" i="107"/>
  <c r="O25" i="107"/>
  <c r="D86" i="122"/>
  <c r="D87" i="134"/>
  <c r="BC41" i="110"/>
  <c r="O19" i="104"/>
  <c r="O9" i="104"/>
  <c r="O11" i="104"/>
  <c r="P7" i="104"/>
  <c r="K11" i="108"/>
  <c r="K9" i="108"/>
  <c r="L7" i="108"/>
  <c r="H7" i="106"/>
  <c r="G11" i="106"/>
  <c r="G9" i="106"/>
  <c r="G31" i="106"/>
  <c r="K13" i="103"/>
  <c r="D42" i="133"/>
  <c r="D41" i="122"/>
  <c r="Y40" i="110"/>
  <c r="D42" i="134"/>
  <c r="G15" i="141"/>
  <c r="G17" i="141"/>
  <c r="H13" i="141"/>
  <c r="K25" i="120"/>
  <c r="K15" i="120"/>
  <c r="L13" i="120"/>
  <c r="K17" i="120"/>
  <c r="BO44" i="110"/>
  <c r="G43" i="103"/>
  <c r="K43" i="103"/>
  <c r="AK40" i="110"/>
  <c r="D107" i="122"/>
  <c r="G11" i="108"/>
  <c r="G9" i="108"/>
  <c r="H7" i="108"/>
  <c r="O31" i="106"/>
  <c r="O9" i="106"/>
  <c r="O11" i="106"/>
  <c r="P7" i="106"/>
  <c r="K15" i="108"/>
  <c r="K17" i="108"/>
  <c r="K19" i="108"/>
  <c r="L13" i="108"/>
  <c r="D89" i="134"/>
  <c r="E89" i="134" s="1"/>
  <c r="BC43" i="110"/>
  <c r="D88" i="122"/>
  <c r="AT44" i="110"/>
  <c r="D68" i="134"/>
  <c r="E68" i="134" s="1"/>
  <c r="D67" i="122"/>
  <c r="E67" i="122" s="1"/>
  <c r="G25" i="103"/>
  <c r="K25" i="103"/>
  <c r="K15" i="106"/>
  <c r="K17" i="106"/>
  <c r="L13" i="106"/>
  <c r="P13" i="106"/>
  <c r="O15" i="106"/>
  <c r="O17" i="106"/>
  <c r="L7" i="141"/>
  <c r="K11" i="141"/>
  <c r="K9" i="141"/>
  <c r="K19" i="141"/>
  <c r="M40" i="110"/>
  <c r="D20" i="133"/>
  <c r="D19" i="122"/>
  <c r="D20" i="134"/>
  <c r="G25" i="120"/>
  <c r="G17" i="120"/>
  <c r="H13" i="120"/>
  <c r="G15" i="120"/>
  <c r="K11" i="107"/>
  <c r="L7" i="107"/>
  <c r="K9" i="107"/>
  <c r="BC44" i="110"/>
  <c r="D90" i="134"/>
  <c r="E90" i="134" s="1"/>
  <c r="D89" i="122"/>
  <c r="E89" i="122" s="1"/>
  <c r="G37" i="103"/>
  <c r="K37" i="103"/>
  <c r="D59" i="122"/>
  <c r="D60" i="134"/>
  <c r="AT36" i="110"/>
  <c r="O25" i="103"/>
  <c r="H13" i="108"/>
  <c r="G15" i="108"/>
  <c r="G17" i="108"/>
  <c r="G19" i="108"/>
  <c r="K19" i="103"/>
  <c r="D106" i="122"/>
  <c r="AK39" i="110"/>
  <c r="J9" i="153" l="1"/>
  <c r="N9" i="153" s="1"/>
  <c r="N7" i="153"/>
  <c r="T8" i="105"/>
  <c r="E18" i="122"/>
  <c r="F21" i="122"/>
  <c r="L19" i="103"/>
  <c r="K21" i="103"/>
  <c r="K23" i="103"/>
  <c r="G27" i="103"/>
  <c r="H25" i="103"/>
  <c r="G29" i="103"/>
  <c r="L15" i="120"/>
  <c r="L17" i="120"/>
  <c r="E86" i="122"/>
  <c r="F89" i="122"/>
  <c r="G89" i="122" s="1"/>
  <c r="F46" i="133"/>
  <c r="G46" i="133" s="1"/>
  <c r="E43" i="133"/>
  <c r="E16" i="134"/>
  <c r="F17" i="134"/>
  <c r="G17" i="134" s="1"/>
  <c r="F18" i="134"/>
  <c r="F19" i="134"/>
  <c r="F16" i="134"/>
  <c r="E61" i="134"/>
  <c r="F64" i="134"/>
  <c r="P9" i="105"/>
  <c r="P11" i="105"/>
  <c r="F47" i="134"/>
  <c r="G47" i="134" s="1"/>
  <c r="E44" i="134"/>
  <c r="F20" i="133"/>
  <c r="F21" i="133"/>
  <c r="E18" i="133"/>
  <c r="E39" i="134"/>
  <c r="F42" i="134"/>
  <c r="E22" i="134"/>
  <c r="F25" i="134"/>
  <c r="G25" i="134" s="1"/>
  <c r="E40" i="133"/>
  <c r="F43" i="133"/>
  <c r="G43" i="133" s="1"/>
  <c r="P9" i="106"/>
  <c r="P11" i="106"/>
  <c r="E62" i="134"/>
  <c r="F65" i="134"/>
  <c r="H19" i="108"/>
  <c r="G23" i="108"/>
  <c r="G21" i="108"/>
  <c r="O11" i="103"/>
  <c r="O9" i="103"/>
  <c r="P7" i="103"/>
  <c r="O49" i="103"/>
  <c r="F19" i="122"/>
  <c r="F20" i="122"/>
  <c r="E17" i="122"/>
  <c r="E38" i="122"/>
  <c r="F41" i="122"/>
  <c r="P19" i="141"/>
  <c r="O21" i="141"/>
  <c r="O23" i="141"/>
  <c r="E41" i="134"/>
  <c r="F44" i="134"/>
  <c r="G44" i="134" s="1"/>
  <c r="G23" i="103"/>
  <c r="H19" i="103"/>
  <c r="G21" i="103"/>
  <c r="F24" i="122"/>
  <c r="G24" i="122" s="1"/>
  <c r="E21" i="122"/>
  <c r="E106" i="122"/>
  <c r="F109" i="122"/>
  <c r="F17" i="133"/>
  <c r="G17" i="133" s="1"/>
  <c r="F16" i="133"/>
  <c r="F18" i="133"/>
  <c r="G18" i="133" s="1"/>
  <c r="F19" i="133"/>
  <c r="E16" i="133"/>
  <c r="E40" i="134"/>
  <c r="F43" i="134"/>
  <c r="K21" i="141"/>
  <c r="L19" i="141"/>
  <c r="K23" i="141"/>
  <c r="L7" i="103"/>
  <c r="K9" i="103"/>
  <c r="K11" i="103"/>
  <c r="K49" i="103"/>
  <c r="F46" i="134"/>
  <c r="G46" i="134" s="1"/>
  <c r="E43" i="134"/>
  <c r="G21" i="104"/>
  <c r="G23" i="104"/>
  <c r="H19" i="104"/>
  <c r="F46" i="122"/>
  <c r="G46" i="122" s="1"/>
  <c r="E43" i="122"/>
  <c r="P31" i="106"/>
  <c r="O33" i="106"/>
  <c r="O35" i="106"/>
  <c r="L25" i="120"/>
  <c r="K27" i="120"/>
  <c r="K29" i="120"/>
  <c r="H11" i="106"/>
  <c r="H9" i="106"/>
  <c r="Q8" i="105"/>
  <c r="L11" i="105"/>
  <c r="U7" i="105"/>
  <c r="U8" i="105" s="1"/>
  <c r="U9" i="105" s="1"/>
  <c r="L9" i="105"/>
  <c r="S13" i="105" s="1"/>
  <c r="G9" i="103"/>
  <c r="G11" i="103"/>
  <c r="H7" i="103"/>
  <c r="G49" i="103"/>
  <c r="E42" i="122"/>
  <c r="F45" i="122"/>
  <c r="G45" i="122" s="1"/>
  <c r="E109" i="122"/>
  <c r="F112" i="122"/>
  <c r="G112" i="122" s="1"/>
  <c r="F47" i="133"/>
  <c r="G47" i="133" s="1"/>
  <c r="E44" i="133"/>
  <c r="F20" i="134"/>
  <c r="E18" i="134"/>
  <c r="F21" i="134"/>
  <c r="E39" i="133"/>
  <c r="F42" i="133"/>
  <c r="P9" i="141"/>
  <c r="P11" i="141"/>
  <c r="F25" i="133"/>
  <c r="G25" i="133" s="1"/>
  <c r="E22" i="133"/>
  <c r="E66" i="134"/>
  <c r="F69" i="134"/>
  <c r="G69" i="134" s="1"/>
  <c r="E87" i="134"/>
  <c r="F90" i="134"/>
  <c r="G90" i="134" s="1"/>
  <c r="E62" i="122"/>
  <c r="F65" i="122"/>
  <c r="H11" i="141"/>
  <c r="H9" i="141"/>
  <c r="O27" i="107"/>
  <c r="O29" i="107"/>
  <c r="P25" i="107"/>
  <c r="P23" i="105"/>
  <c r="P21" i="105"/>
  <c r="E60" i="122"/>
  <c r="F63" i="122"/>
  <c r="E20" i="122"/>
  <c r="F23" i="122"/>
  <c r="G23" i="122" s="1"/>
  <c r="L9" i="107"/>
  <c r="L11" i="107"/>
  <c r="H11" i="108"/>
  <c r="H9" i="108"/>
  <c r="H17" i="141"/>
  <c r="H15" i="141"/>
  <c r="L9" i="108"/>
  <c r="L11" i="108"/>
  <c r="P21" i="107"/>
  <c r="P23" i="107"/>
  <c r="O39" i="103"/>
  <c r="O41" i="103"/>
  <c r="P37" i="103"/>
  <c r="P13" i="103"/>
  <c r="O17" i="103"/>
  <c r="O15" i="103"/>
  <c r="F106" i="122"/>
  <c r="G106" i="122" s="1"/>
  <c r="F105" i="122"/>
  <c r="F103" i="122"/>
  <c r="E103" i="122"/>
  <c r="F104" i="122"/>
  <c r="H11" i="104"/>
  <c r="H9" i="104"/>
  <c r="E21" i="134"/>
  <c r="F24" i="134"/>
  <c r="G24" i="134" s="1"/>
  <c r="F47" i="122"/>
  <c r="G47" i="122" s="1"/>
  <c r="E44" i="122"/>
  <c r="L21" i="105"/>
  <c r="L23" i="105"/>
  <c r="F68" i="122"/>
  <c r="G68" i="122" s="1"/>
  <c r="E65" i="122"/>
  <c r="H15" i="104"/>
  <c r="H17" i="104"/>
  <c r="G35" i="106"/>
  <c r="H31" i="106"/>
  <c r="G33" i="106"/>
  <c r="P15" i="107"/>
  <c r="P17" i="107"/>
  <c r="H15" i="108"/>
  <c r="H17" i="108"/>
  <c r="L11" i="141"/>
  <c r="L9" i="141"/>
  <c r="E88" i="122"/>
  <c r="F91" i="122"/>
  <c r="G91" i="122" s="1"/>
  <c r="E38" i="134"/>
  <c r="F38" i="134"/>
  <c r="G38" i="134" s="1"/>
  <c r="F39" i="134"/>
  <c r="G39" i="134" s="1"/>
  <c r="F41" i="134"/>
  <c r="G41" i="134" s="1"/>
  <c r="F40" i="134"/>
  <c r="G40" i="134" s="1"/>
  <c r="P17" i="104"/>
  <c r="P15" i="104"/>
  <c r="P19" i="103"/>
  <c r="O23" i="103"/>
  <c r="O21" i="103"/>
  <c r="P15" i="141"/>
  <c r="P17" i="141"/>
  <c r="L11" i="104"/>
  <c r="L9" i="104"/>
  <c r="F24" i="133"/>
  <c r="G24" i="133" s="1"/>
  <c r="E21" i="133"/>
  <c r="F67" i="122"/>
  <c r="G67" i="122" s="1"/>
  <c r="E64" i="122"/>
  <c r="K33" i="103"/>
  <c r="L31" i="103"/>
  <c r="K35" i="103"/>
  <c r="H25" i="105"/>
  <c r="G29" i="105"/>
  <c r="G27" i="105"/>
  <c r="K29" i="103"/>
  <c r="L25" i="103"/>
  <c r="K27" i="103"/>
  <c r="L25" i="105"/>
  <c r="K27" i="105"/>
  <c r="K29" i="105"/>
  <c r="H23" i="105"/>
  <c r="H21" i="105"/>
  <c r="O27" i="103"/>
  <c r="P25" i="103"/>
  <c r="O29" i="103"/>
  <c r="F82" i="134"/>
  <c r="E82" i="134"/>
  <c r="F85" i="134"/>
  <c r="F84" i="134"/>
  <c r="F83" i="134"/>
  <c r="E38" i="133"/>
  <c r="F38" i="133"/>
  <c r="G38" i="133" s="1"/>
  <c r="F39" i="133"/>
  <c r="G39" i="133" s="1"/>
  <c r="F40" i="133"/>
  <c r="F41" i="133"/>
  <c r="G41" i="133" s="1"/>
  <c r="P9" i="108"/>
  <c r="P11" i="108"/>
  <c r="E66" i="122"/>
  <c r="F69" i="122"/>
  <c r="G69" i="122" s="1"/>
  <c r="F113" i="122"/>
  <c r="G113" i="122" s="1"/>
  <c r="E110" i="122"/>
  <c r="G33" i="103"/>
  <c r="G35" i="103"/>
  <c r="H31" i="103"/>
  <c r="L17" i="107"/>
  <c r="L15" i="107"/>
  <c r="H9" i="105"/>
  <c r="H11" i="105"/>
  <c r="E20" i="133"/>
  <c r="F23" i="133"/>
  <c r="G23" i="133" s="1"/>
  <c r="E85" i="134"/>
  <c r="F88" i="134"/>
  <c r="H17" i="120"/>
  <c r="H15" i="120"/>
  <c r="E107" i="122"/>
  <c r="F110" i="122"/>
  <c r="F45" i="134"/>
  <c r="G45" i="134" s="1"/>
  <c r="E42" i="134"/>
  <c r="P11" i="104"/>
  <c r="P9" i="104"/>
  <c r="L15" i="141"/>
  <c r="L17" i="141"/>
  <c r="E81" i="122"/>
  <c r="F81" i="122"/>
  <c r="G81" i="122" s="1"/>
  <c r="F84" i="122"/>
  <c r="F82" i="122"/>
  <c r="F83" i="122"/>
  <c r="E37" i="122"/>
  <c r="F37" i="122"/>
  <c r="F38" i="122"/>
  <c r="G38" i="122" s="1"/>
  <c r="F39" i="122"/>
  <c r="F40" i="122"/>
  <c r="G40" i="122" s="1"/>
  <c r="L11" i="120"/>
  <c r="L9" i="120"/>
  <c r="H9" i="107"/>
  <c r="H11" i="107"/>
  <c r="P15" i="108"/>
  <c r="P17" i="108"/>
  <c r="E87" i="122"/>
  <c r="F90" i="122"/>
  <c r="G90" i="122" s="1"/>
  <c r="E65" i="134"/>
  <c r="F68" i="134"/>
  <c r="G68" i="134" s="1"/>
  <c r="F89" i="134"/>
  <c r="G89" i="134" s="1"/>
  <c r="E86" i="134"/>
  <c r="H17" i="107"/>
  <c r="H15" i="107"/>
  <c r="F86" i="134"/>
  <c r="E83" i="134"/>
  <c r="F61" i="134"/>
  <c r="G61" i="134" s="1"/>
  <c r="F62" i="134"/>
  <c r="G62" i="134" s="1"/>
  <c r="F63" i="134"/>
  <c r="E60" i="134"/>
  <c r="F60" i="134"/>
  <c r="P15" i="106"/>
  <c r="P17" i="106"/>
  <c r="L15" i="108"/>
  <c r="L17" i="108"/>
  <c r="L31" i="106"/>
  <c r="K33" i="106"/>
  <c r="K35" i="106"/>
  <c r="O35" i="103"/>
  <c r="P31" i="103"/>
  <c r="O33" i="103"/>
  <c r="O27" i="120"/>
  <c r="P25" i="120"/>
  <c r="O29" i="120"/>
  <c r="E83" i="122"/>
  <c r="F86" i="122"/>
  <c r="G86" i="122" s="1"/>
  <c r="O21" i="108"/>
  <c r="O23" i="108"/>
  <c r="P19" i="108"/>
  <c r="K21" i="104"/>
  <c r="L19" i="104"/>
  <c r="K23" i="104"/>
  <c r="E88" i="134"/>
  <c r="F91" i="134"/>
  <c r="G91" i="134" s="1"/>
  <c r="P43" i="103"/>
  <c r="O45" i="103"/>
  <c r="O47" i="103"/>
  <c r="E105" i="122"/>
  <c r="F108" i="122"/>
  <c r="G15" i="103"/>
  <c r="H13" i="103"/>
  <c r="G17" i="103"/>
  <c r="G56" i="103"/>
  <c r="G59" i="103" s="1"/>
  <c r="G62" i="103" s="1"/>
  <c r="G66" i="103" s="1"/>
  <c r="E82" i="122"/>
  <c r="F85" i="122"/>
  <c r="E59" i="122"/>
  <c r="F60" i="122"/>
  <c r="G60" i="122" s="1"/>
  <c r="F61" i="122"/>
  <c r="F59" i="122"/>
  <c r="F62" i="122"/>
  <c r="G62" i="122" s="1"/>
  <c r="H25" i="120"/>
  <c r="G29" i="120"/>
  <c r="G27" i="120"/>
  <c r="L17" i="106"/>
  <c r="L15" i="106"/>
  <c r="L19" i="108"/>
  <c r="K21" i="108"/>
  <c r="K23" i="108"/>
  <c r="K45" i="103"/>
  <c r="L43" i="103"/>
  <c r="K47" i="103"/>
  <c r="F43" i="122"/>
  <c r="G43" i="122" s="1"/>
  <c r="F44" i="122"/>
  <c r="G44" i="122" s="1"/>
  <c r="E41" i="122"/>
  <c r="F67" i="134"/>
  <c r="G67" i="134" s="1"/>
  <c r="E64" i="134"/>
  <c r="L9" i="106"/>
  <c r="L11" i="106"/>
  <c r="P17" i="120"/>
  <c r="P15" i="120"/>
  <c r="E84" i="134"/>
  <c r="F87" i="134"/>
  <c r="G87" i="134" s="1"/>
  <c r="E19" i="134"/>
  <c r="F22" i="134"/>
  <c r="G22" i="134" s="1"/>
  <c r="F88" i="122"/>
  <c r="G88" i="122" s="1"/>
  <c r="E85" i="122"/>
  <c r="G27" i="107"/>
  <c r="H25" i="107"/>
  <c r="G29" i="107"/>
  <c r="K27" i="107"/>
  <c r="L25" i="107"/>
  <c r="K29" i="107"/>
  <c r="L17" i="104"/>
  <c r="L15" i="104"/>
  <c r="K39" i="103"/>
  <c r="K41" i="103"/>
  <c r="L37" i="103"/>
  <c r="E20" i="134"/>
  <c r="F23" i="134"/>
  <c r="G23" i="134" s="1"/>
  <c r="G45" i="103"/>
  <c r="G47" i="103"/>
  <c r="H43" i="103"/>
  <c r="F44" i="133"/>
  <c r="G44" i="133" s="1"/>
  <c r="E42" i="133"/>
  <c r="F45" i="133"/>
  <c r="G45" i="133" s="1"/>
  <c r="O21" i="104"/>
  <c r="P19" i="104"/>
  <c r="O23" i="104"/>
  <c r="P11" i="107"/>
  <c r="P9" i="107"/>
  <c r="F111" i="122"/>
  <c r="G111" i="122" s="1"/>
  <c r="E108" i="122"/>
  <c r="F18" i="122"/>
  <c r="G18" i="122" s="1"/>
  <c r="F16" i="122"/>
  <c r="G16" i="122" s="1"/>
  <c r="E15" i="122"/>
  <c r="F15" i="122"/>
  <c r="G15" i="122" s="1"/>
  <c r="F17" i="122"/>
  <c r="G17" i="122" s="1"/>
  <c r="E104" i="122"/>
  <c r="F107" i="122"/>
  <c r="E61" i="122"/>
  <c r="F64" i="122"/>
  <c r="G64" i="122" s="1"/>
  <c r="P11" i="120"/>
  <c r="P9" i="120"/>
  <c r="H17" i="106"/>
  <c r="H15" i="106"/>
  <c r="E22" i="122"/>
  <c r="F25" i="122"/>
  <c r="G25" i="122" s="1"/>
  <c r="L23" i="107"/>
  <c r="L21" i="107"/>
  <c r="G39" i="103"/>
  <c r="G41" i="103"/>
  <c r="H37" i="103"/>
  <c r="E19" i="122"/>
  <c r="F22" i="122"/>
  <c r="L13" i="103"/>
  <c r="K17" i="103"/>
  <c r="K15" i="103"/>
  <c r="E63" i="122"/>
  <c r="F66" i="122"/>
  <c r="G66" i="122" s="1"/>
  <c r="H17" i="105"/>
  <c r="H15" i="105"/>
  <c r="H11" i="120"/>
  <c r="H9" i="120"/>
  <c r="L17" i="105"/>
  <c r="L15" i="105"/>
  <c r="P15" i="105"/>
  <c r="P17" i="105"/>
  <c r="O27" i="105"/>
  <c r="O29" i="105"/>
  <c r="P25" i="105"/>
  <c r="E19" i="133"/>
  <c r="F22" i="133"/>
  <c r="G22" i="133" s="1"/>
  <c r="E63" i="134"/>
  <c r="F66" i="134"/>
  <c r="G66" i="134" s="1"/>
  <c r="H19" i="141"/>
  <c r="G23" i="141"/>
  <c r="G21" i="141"/>
  <c r="F87" i="122"/>
  <c r="E84" i="122"/>
  <c r="H21" i="107"/>
  <c r="H23" i="107"/>
  <c r="F42" i="122"/>
  <c r="G42" i="122" s="1"/>
  <c r="E39" i="122"/>
  <c r="G20" i="134" l="1"/>
  <c r="G21" i="134"/>
  <c r="G65" i="122"/>
  <c r="G82" i="134"/>
  <c r="G85" i="134"/>
  <c r="G83" i="134"/>
  <c r="G83" i="122"/>
  <c r="G85" i="122"/>
  <c r="G108" i="122"/>
  <c r="G107" i="122"/>
  <c r="G109" i="122"/>
  <c r="G110" i="122"/>
  <c r="L39" i="103"/>
  <c r="L41" i="103"/>
  <c r="H21" i="141"/>
  <c r="H23" i="141"/>
  <c r="L21" i="104"/>
  <c r="L23" i="104"/>
  <c r="G84" i="122"/>
  <c r="G84" i="134"/>
  <c r="L23" i="141"/>
  <c r="L21" i="141"/>
  <c r="G20" i="122"/>
  <c r="P35" i="106"/>
  <c r="P33" i="106"/>
  <c r="G19" i="122"/>
  <c r="P29" i="105"/>
  <c r="P27" i="105"/>
  <c r="H45" i="103"/>
  <c r="H47" i="103"/>
  <c r="L21" i="108"/>
  <c r="L23" i="108"/>
  <c r="P33" i="103"/>
  <c r="P35" i="103"/>
  <c r="G82" i="122"/>
  <c r="L29" i="105"/>
  <c r="L27" i="105"/>
  <c r="P41" i="103"/>
  <c r="P39" i="103"/>
  <c r="G88" i="134"/>
  <c r="L29" i="103"/>
  <c r="L27" i="103"/>
  <c r="H33" i="106"/>
  <c r="H35" i="106"/>
  <c r="L17" i="103"/>
  <c r="L15" i="103"/>
  <c r="H15" i="103"/>
  <c r="H17" i="103"/>
  <c r="P23" i="108"/>
  <c r="P21" i="108"/>
  <c r="G86" i="134"/>
  <c r="G63" i="122"/>
  <c r="H23" i="104"/>
  <c r="H21" i="104"/>
  <c r="G43" i="134"/>
  <c r="H23" i="103"/>
  <c r="H21" i="103"/>
  <c r="O56" i="103"/>
  <c r="O59" i="103" s="1"/>
  <c r="O62" i="103" s="1"/>
  <c r="O66" i="103" s="1"/>
  <c r="P49" i="103"/>
  <c r="O51" i="103"/>
  <c r="O53" i="103"/>
  <c r="G40" i="133"/>
  <c r="G64" i="134"/>
  <c r="L27" i="107"/>
  <c r="L29" i="107"/>
  <c r="H27" i="107"/>
  <c r="H29" i="107"/>
  <c r="G87" i="122"/>
  <c r="G22" i="122"/>
  <c r="L35" i="106"/>
  <c r="L33" i="106"/>
  <c r="G104" i="122"/>
  <c r="P9" i="103"/>
  <c r="P11" i="103"/>
  <c r="G16" i="134"/>
  <c r="H27" i="103"/>
  <c r="H29" i="103"/>
  <c r="P27" i="103"/>
  <c r="P29" i="103"/>
  <c r="H27" i="105"/>
  <c r="H29" i="105"/>
  <c r="G103" i="122"/>
  <c r="G19" i="133"/>
  <c r="G42" i="134"/>
  <c r="G19" i="134"/>
  <c r="P23" i="104"/>
  <c r="P21" i="104"/>
  <c r="G59" i="122"/>
  <c r="G39" i="122"/>
  <c r="G105" i="122"/>
  <c r="P29" i="107"/>
  <c r="P27" i="107"/>
  <c r="G18" i="134"/>
  <c r="L45" i="103"/>
  <c r="L47" i="103"/>
  <c r="G61" i="122"/>
  <c r="L33" i="103"/>
  <c r="L35" i="103"/>
  <c r="P21" i="103"/>
  <c r="P23" i="103"/>
  <c r="K56" i="103"/>
  <c r="K59" i="103" s="1"/>
  <c r="K62" i="103" s="1"/>
  <c r="K66" i="103" s="1"/>
  <c r="K51" i="103"/>
  <c r="L49" i="103"/>
  <c r="K53" i="103"/>
  <c r="G16" i="133"/>
  <c r="H39" i="103"/>
  <c r="H41" i="103"/>
  <c r="P47" i="103"/>
  <c r="P45" i="103"/>
  <c r="P27" i="120"/>
  <c r="P29" i="120"/>
  <c r="G60" i="134"/>
  <c r="G37" i="122"/>
  <c r="H49" i="103"/>
  <c r="G51" i="103"/>
  <c r="G53" i="103"/>
  <c r="L27" i="120"/>
  <c r="L29" i="120"/>
  <c r="P23" i="141"/>
  <c r="P21" i="141"/>
  <c r="H23" i="108"/>
  <c r="H21" i="108"/>
  <c r="G21" i="133"/>
  <c r="L21" i="103"/>
  <c r="L23" i="103"/>
  <c r="H27" i="120"/>
  <c r="H29" i="120"/>
  <c r="H35" i="103"/>
  <c r="H33" i="103"/>
  <c r="G42" i="133"/>
  <c r="H9" i="103"/>
  <c r="H11" i="103"/>
  <c r="G41" i="122"/>
  <c r="G65" i="134"/>
  <c r="G20" i="133"/>
  <c r="G21" i="122"/>
  <c r="G63" i="134"/>
  <c r="P17" i="103"/>
  <c r="P15" i="103"/>
  <c r="L11" i="103"/>
  <c r="L9" i="103"/>
  <c r="P56" i="103" l="1"/>
  <c r="P59" i="103" s="1"/>
  <c r="P62" i="103" s="1"/>
  <c r="P66" i="103" s="1"/>
  <c r="P53" i="103"/>
  <c r="P51" i="103"/>
  <c r="L56" i="103"/>
  <c r="L59" i="103" s="1"/>
  <c r="L62" i="103" s="1"/>
  <c r="L66" i="103" s="1"/>
  <c r="L51" i="103"/>
  <c r="L53" i="103"/>
  <c r="H56" i="103"/>
  <c r="H59" i="103" s="1"/>
  <c r="H53" i="103"/>
  <c r="H51" i="103"/>
  <c r="H62" i="103"/>
  <c r="H66" i="103" s="1"/>
  <c r="BT45" i="110"/>
  <c r="BQ45" i="110"/>
  <c r="BH45" i="110"/>
  <c r="BE45" i="110"/>
  <c r="AY45" i="110"/>
  <c r="AX45" i="110"/>
  <c r="AV45" i="110"/>
  <c r="AU45" i="110"/>
  <c r="AP45" i="110"/>
  <c r="AO45" i="110"/>
  <c r="AM45" i="110"/>
  <c r="AL45" i="110"/>
  <c r="AG45" i="110"/>
  <c r="AD45" i="110"/>
  <c r="AC45" i="110"/>
  <c r="AA45" i="110"/>
  <c r="Z45" i="110"/>
  <c r="U45" i="110"/>
  <c r="T45" i="110"/>
  <c r="R45" i="110"/>
  <c r="Q45" i="110"/>
  <c r="O45" i="110"/>
  <c r="N45" i="110"/>
  <c r="I45" i="110"/>
  <c r="H45" i="110"/>
  <c r="F45" i="110"/>
  <c r="E45" i="110"/>
  <c r="BT44" i="110"/>
  <c r="BQ44" i="110"/>
  <c r="BH44" i="110"/>
  <c r="BE44" i="110"/>
  <c r="AY44" i="110"/>
  <c r="AX44" i="110"/>
  <c r="AV44" i="110"/>
  <c r="AU44" i="110"/>
  <c r="AP44" i="110"/>
  <c r="AO44" i="110"/>
  <c r="AM44" i="110"/>
  <c r="AL44" i="110"/>
  <c r="AG44" i="110"/>
  <c r="AD44" i="110"/>
  <c r="AC44" i="110"/>
  <c r="AA44" i="110"/>
  <c r="Z44" i="110"/>
  <c r="U44" i="110"/>
  <c r="T44" i="110"/>
  <c r="R44" i="110"/>
  <c r="Q44" i="110"/>
  <c r="O44" i="110"/>
  <c r="N44" i="110"/>
  <c r="I44" i="110"/>
  <c r="H44" i="110"/>
  <c r="F44" i="110"/>
  <c r="E44" i="110"/>
  <c r="BT43" i="110"/>
  <c r="BQ43" i="110"/>
  <c r="BH43" i="110"/>
  <c r="BE43" i="110"/>
  <c r="AY43" i="110"/>
  <c r="AX43" i="110"/>
  <c r="AV43" i="110"/>
  <c r="AU43" i="110"/>
  <c r="AP43" i="110"/>
  <c r="AO43" i="110"/>
  <c r="AM43" i="110"/>
  <c r="AL43" i="110"/>
  <c r="AG43" i="110"/>
  <c r="AD43" i="110"/>
  <c r="AC43" i="110"/>
  <c r="AA43" i="110"/>
  <c r="Z43" i="110"/>
  <c r="U43" i="110"/>
  <c r="T43" i="110"/>
  <c r="R43" i="110"/>
  <c r="Q43" i="110"/>
  <c r="O43" i="110"/>
  <c r="N43" i="110"/>
  <c r="I43" i="110"/>
  <c r="H43" i="110"/>
  <c r="F43" i="110"/>
  <c r="E43" i="110"/>
  <c r="BT42" i="110"/>
  <c r="BQ42" i="110"/>
  <c r="BH42" i="110"/>
  <c r="BE42" i="110"/>
  <c r="AY42" i="110"/>
  <c r="AX42" i="110"/>
  <c r="AV42" i="110"/>
  <c r="AU42" i="110"/>
  <c r="AP42" i="110"/>
  <c r="AO42" i="110"/>
  <c r="AM42" i="110"/>
  <c r="AL42" i="110"/>
  <c r="AG42" i="110"/>
  <c r="AD42" i="110"/>
  <c r="AC42" i="110"/>
  <c r="AA42" i="110"/>
  <c r="Z42" i="110"/>
  <c r="U42" i="110"/>
  <c r="T42" i="110"/>
  <c r="R42" i="110"/>
  <c r="Q42" i="110"/>
  <c r="O42" i="110"/>
  <c r="N42" i="110"/>
  <c r="I42" i="110"/>
  <c r="H42" i="110"/>
  <c r="F42" i="110"/>
  <c r="E42" i="110"/>
  <c r="BT41" i="110"/>
  <c r="BQ41" i="110"/>
  <c r="BH41" i="110"/>
  <c r="BE41" i="110"/>
  <c r="AY41" i="110"/>
  <c r="AX41" i="110"/>
  <c r="AV41" i="110"/>
  <c r="AU41" i="110"/>
  <c r="AP41" i="110"/>
  <c r="AO41" i="110"/>
  <c r="AM41" i="110"/>
  <c r="AL41" i="110"/>
  <c r="AG41" i="110"/>
  <c r="AD41" i="110"/>
  <c r="AC41" i="110"/>
  <c r="AA41" i="110"/>
  <c r="Z41" i="110"/>
  <c r="U41" i="110"/>
  <c r="T41" i="110"/>
  <c r="R41" i="110"/>
  <c r="Q41" i="110"/>
  <c r="O41" i="110"/>
  <c r="N41" i="110"/>
  <c r="I41" i="110"/>
  <c r="H41" i="110"/>
  <c r="F41" i="110"/>
  <c r="E41" i="110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92" i="143"/>
  <c r="N291" i="143"/>
  <c r="N290" i="143"/>
  <c r="N289" i="143"/>
  <c r="N288" i="143"/>
  <c r="N287" i="143"/>
  <c r="N286" i="143"/>
  <c r="N285" i="143"/>
  <c r="N284" i="143"/>
  <c r="N283" i="143"/>
  <c r="N282" i="143"/>
  <c r="N281" i="143"/>
  <c r="N280" i="143"/>
  <c r="N279" i="143"/>
  <c r="N278" i="143"/>
  <c r="N277" i="143"/>
  <c r="N276" i="143"/>
  <c r="N275" i="143"/>
  <c r="N274" i="143"/>
  <c r="N273" i="143"/>
  <c r="N272" i="143"/>
  <c r="N271" i="143"/>
  <c r="N270" i="143"/>
  <c r="N269" i="143"/>
  <c r="N268" i="143"/>
  <c r="N267" i="143"/>
  <c r="N266" i="143"/>
  <c r="N265" i="143"/>
  <c r="N264" i="143"/>
  <c r="N263" i="143"/>
  <c r="N262" i="143"/>
  <c r="N261" i="143"/>
  <c r="N260" i="143"/>
  <c r="N259" i="143"/>
  <c r="N258" i="143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<sst xmlns="http://schemas.openxmlformats.org/spreadsheetml/2006/main" count="15941" uniqueCount="356">
  <si>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</si>
  <si>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</si>
  <si>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</si>
  <si>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</si>
  <si>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</si>
  <si>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</si>
  <si>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</si>
  <si>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</si>
  <si>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</si>
  <si>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</si>
  <si>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</si>
  <si>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</si>
  <si>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</si>
  <si>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</si>
  <si>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</si>
  <si>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</si>
  <si>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</si>
  <si>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</si>
  <si>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</si>
  <si>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</si>
  <si>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</si>
  <si>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</si>
  <si>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</si>
  <si>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</si>
  <si>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</si>
  <si>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</si>
  <si>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</si>
  <si>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</si>
  <si>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</si>
  <si>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</si>
  <si>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</si>
  <si>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</si>
  <si>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</si>
  <si>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</si>
  <si>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</si>
  <si>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</si>
  <si>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</si>
  <si>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</si>
  <si>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</si>
  <si>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</si>
  <si>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</si>
  <si>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</si>
  <si>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</si>
  <si>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</si>
  <si>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</si>
  <si>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</si>
  <si>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</si>
  <si>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</si>
  <si>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</si>
  <si>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</si>
  <si>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</si>
  <si>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</si>
  <si>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</si>
  <si>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</si>
  <si>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</si>
  <si>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</si>
  <si>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</si>
  <si>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</si>
  <si>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</si>
  <si>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</si>
  <si>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</si>
  <si>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</si>
  <si>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</si>
  <si>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</si>
  <si>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</si>
  <si>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</si>
  <si>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</si>
  <si>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</si>
  <si>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</si>
  <si>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</si>
  <si>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</si>
  <si>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</si>
  <si>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</si>
  <si>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</si>
  <si>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</si>
  <si>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</si>
  <si>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</si>
  <si>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</si>
  <si>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</si>
  <si>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</si>
  <si>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</si>
  <si>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</si>
  <si>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</si>
  <si>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</si>
  <si>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</si>
  <si>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</si>
  <si>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</si>
  <si>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</si>
  <si>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</si>
  <si>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</si>
  <si>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</si>
  <si>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</si>
  <si>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</si>
  <si>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</si>
  <si>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</si>
  <si>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</si>
  <si>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</si>
  <si>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</si>
  <si>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</si>
  <si>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</si>
  <si>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</si>
  <si>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41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</si>
  <si>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</si>
  <si>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</si>
  <si>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</si>
  <si>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</si>
  <si>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</si>
  <si>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</si>
  <si>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</si>
  <si>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</si>
  <si>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</si>
  <si>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</si>
  <si>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</si>
  <si>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</si>
  <si>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</si>
  <si>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</si>
  <si>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</si>
  <si>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</si>
  <si>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</si>
  <si>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</si>
  <si>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</si>
  <si>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</si>
  <si>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</si>
  <si>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</si>
  <si>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</si>
  <si>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</si>
  <si>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</si>
  <si>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</si>
  <si>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</si>
  <si>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</si>
  <si>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</si>
  <si>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</si>
  <si>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</si>
  <si>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</si>
  <si>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</si>
  <si>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</si>
  <si>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</si>
  <si>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</si>
  <si>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</si>
  <si>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</si>
  <si>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</si>
  <si>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</si>
  <si>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</si>
  <si>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</si>
  <si>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</si>
  <si>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</si>
  <si>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</si>
  <si>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</si>
  <si>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</si>
  <si>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</si>
  <si>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</si>
  <si>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</si>
  <si>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</si>
  <si>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</si>
  <si>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</si>
  <si>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</si>
  <si>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</si>
  <si>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</si>
  <si>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</si>
  <si>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</si>
  <si>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</si>
  <si>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</si>
  <si>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</si>
  <si>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</si>
  <si>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</si>
  <si>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</si>
  <si>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</si>
  <si>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</si>
  <si>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</si>
  <si>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</si>
  <si>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</si>
  <si>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</si>
  <si>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</si>
  <si>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36</t>
  </si>
  <si>
    <t>Week 37</t>
  </si>
  <si>
    <t>Week 38</t>
  </si>
  <si>
    <t>Week 39</t>
  </si>
  <si>
    <t>Period 10</t>
  </si>
  <si>
    <t>Week 40</t>
  </si>
  <si>
    <t>Week 42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</si>
  <si>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</si>
  <si>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</si>
  <si>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</si>
  <si>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</si>
  <si>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</si>
  <si>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</si>
  <si>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</si>
  <si>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</si>
  <si>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</si>
  <si>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</si>
  <si>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</si>
  <si>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</si>
  <si>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</si>
  <si>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</si>
  <si>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</si>
  <si>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</si>
  <si>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</si>
  <si>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</si>
  <si>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</si>
  <si>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</si>
  <si>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</si>
  <si>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</si>
  <si>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</si>
  <si>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</si>
  <si>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</si>
  <si>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</si>
  <si>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</si>
  <si>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</si>
  <si>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</si>
  <si>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</si>
  <si>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Covers Summary - Actual 2026</t>
  </si>
  <si>
    <t>Location</t>
  </si>
  <si>
    <t>Casa Neos (incl. Lounge)</t>
  </si>
  <si>
    <t>Mila (3F &amp; 2F)</t>
  </si>
  <si>
    <t>Claudie</t>
  </si>
  <si>
    <t>AVA CG</t>
  </si>
  <si>
    <t>AVA WP</t>
  </si>
  <si>
    <t>Total (All Entities)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</si>
  <si>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</si>
  <si>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</si>
  <si>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</si>
  <si>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</si>
  <si>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</si>
  <si>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</si>
  <si>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</si>
  <si>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</si>
  <si>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</si>
  <si>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</si>
  <si>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</si>
  <si>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</si>
  <si>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</si>
  <si>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</si>
  <si>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</si>
  <si>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</si>
  <si>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</si>
  <si>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</si>
  <si>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</si>
  <si>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</si>
  <si>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</si>
  <si>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</si>
  <si>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</si>
  <si>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</si>
  <si>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</si>
  <si>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</si>
  <si>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</si>
  <si>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</si>
  <si>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</si>
  <si>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</si>
  <si>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</si>
  <si>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</si>
  <si>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</si>
  <si>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</si>
  <si>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</si>
  <si>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</si>
  <si>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</si>
  <si>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</si>
  <si>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</si>
  <si>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</si>
  <si>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</si>
  <si>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</si>
  <si>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</si>
  <si>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</si>
  <si>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</si>
  <si>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</si>
  <si>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</si>
  <si>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</si>
  <si>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</si>
  <si>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</si>
  <si>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</si>
  <si>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</si>
  <si>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</si>
  <si>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</si>
  <si>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</si>
  <si>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</si>
  <si>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</si>
  <si>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</si>
  <si>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</si>
  <si>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</si>
  <si>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</si>
  <si>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</si>
  <si>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</si>
  <si>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</si>
  <si>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</si>
  <si>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</si>
  <si>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</si>
  <si>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</si>
  <si>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</si>
  <si>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</si>
  <si>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</si>
  <si>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</si>
  <si>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</si>
  <si>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</si>
  <si>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</si>
  <si>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</si>
  <si>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</si>
  <si>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</si>
  <si>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</si>
  <si>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</si>
  <si>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</si>
  <si>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</si>
  <si>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</si>
  <si>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</si>
  <si>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</si>
  <si>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</si>
  <si>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</si>
  <si>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</si>
  <si>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</si>
  <si>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</si>
  <si>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</si>
  <si>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</si>
  <si>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</si>
  <si>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</si>
  <si>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</si>
  <si>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</si>
  <si>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</si>
  <si>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</si>
  <si>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</si>
  <si>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</si>
  <si>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</si>
  <si>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</si>
  <si>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</si>
  <si>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</si>
  <si>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</si>
  <si>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</si>
  <si>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</si>
  <si>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</si>
  <si>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</si>
  <si>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</si>
  <si>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</si>
  <si>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</si>
  <si>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</si>
  <si>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</si>
  <si>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</si>
  <si>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</si>
  <si>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</si>
  <si>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</si>
  <si>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</si>
  <si>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</si>
  <si>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</si>
  <si>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</si>
  <si>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</si>
  <si>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</si>
  <si>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</si>
  <si>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</si>
  <si>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</si>
  <si>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</si>
  <si>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</si>
  <si>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</si>
  <si>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</si>
  <si>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Cancellation Sales</t>
  </si>
  <si>
    <t>Retail</t>
  </si>
  <si>
    <t>Docking Fees</t>
  </si>
  <si>
    <t>Wine by the Glass</t>
  </si>
  <si>
    <t>Other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</si>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</sst>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  <fill>
      <patternFill patternType="solid">
        <fgColor rgb="FFD9E1F2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42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0" fontId="88" fillId="0" borderId="0" xfId="0" applyFont="1" applyAlignment="1">
      <alignment horizontal="center"/>
    </xf>
    <xf numFmtId="43" fontId="84" fillId="0" borderId="0" xfId="6" applyFont="1" applyAlignment="1">
      <alignment wrapText="1"/>
    </xf>
    <xf numFmtId="0" fontId="89" fillId="0" borderId="0" xfId="0" applyFont="1"/>
    <xf numFmtId="0" fontId="2" fillId="49" borderId="4" xfId="0" applyFont="1" applyFill="1" applyBorder="1" applyAlignment="1">
      <alignment horizontal="center"/>
    </xf>
    <xf numFmtId="167" fontId="2" fillId="0" borderId="3" xfId="0" applyNumberFormat="1" applyFont="1" applyBorder="1"/>
    <xf numFmtId="0" fontId="2" fillId="0" borderId="3" xfId="0" applyFont="1" applyBorder="1"/>
    <xf numFmtId="0" fontId="37" fillId="2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11" fillId="2" borderId="0" xfId="3" applyFill="1" applyAlignment="1">
      <alignment horizontal="center"/>
    </xf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0" fontId="49" fillId="0" borderId="0" xfId="8" applyFont="1" applyFill="1" applyAlignment="1">
      <alignment horizontal="center"/>
    </xf>
    <xf numFmtId="167" fontId="53" fillId="0" borderId="0" xfId="6" applyNumberFormat="1" applyFont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84" fillId="0" borderId="0" xfId="0" applyFont="1" applyAlignment="1">
      <alignment horizontal="left" vertical="top" wrapText="1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4.xml"/><Relationship Id="rId47" Type="http://schemas.openxmlformats.org/officeDocument/2006/relationships/externalLink" Target="externalLinks/externalLink9.xml"/><Relationship Id="rId50" Type="http://schemas.openxmlformats.org/officeDocument/2006/relationships/theme" Target="theme/theme1.xml"/><Relationship Id="rId55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45" Type="http://schemas.openxmlformats.org/officeDocument/2006/relationships/externalLink" Target="externalLinks/externalLink7.xml"/><Relationship Id="rId53" Type="http://schemas.openxmlformats.org/officeDocument/2006/relationships/sharedStrings" Target="sharedStrings.xml"/><Relationship Id="rId58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5.xml"/><Relationship Id="rId48" Type="http://schemas.openxmlformats.org/officeDocument/2006/relationships/externalLink" Target="externalLinks/externalLink1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8.xml"/><Relationship Id="rId59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3.xml"/><Relationship Id="rId54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1.xml"/><Relationship Id="rId57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6.xml"/><Relationship Id="rId52" Type="http://schemas.openxmlformats.org/officeDocument/2006/relationships/styles" Target="styles.xml"/><Relationship Id="rId60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258</v>
          </cell>
          <cell r="AR51">
            <v>3146</v>
          </cell>
        </row>
        <row r="52">
          <cell r="I52" t="str">
            <v>Week 38</v>
          </cell>
          <cell r="AA52">
            <v>344</v>
          </cell>
          <cell r="AR52">
            <v>3514</v>
          </cell>
        </row>
        <row r="53">
          <cell r="I53" t="str">
            <v>Week 39</v>
          </cell>
          <cell r="AA53">
            <v>266</v>
          </cell>
          <cell r="AR53">
            <v>3617</v>
          </cell>
        </row>
        <row r="54">
          <cell r="I54" t="str">
            <v>P9</v>
          </cell>
          <cell r="AA54">
            <v>1499</v>
          </cell>
          <cell r="AR54">
            <v>16925</v>
          </cell>
        </row>
        <row r="55">
          <cell r="I55" t="str">
            <v>Week 40</v>
          </cell>
          <cell r="AA55">
            <v>343</v>
          </cell>
          <cell r="AR55">
            <v>3556</v>
          </cell>
        </row>
        <row r="56">
          <cell r="I56" t="str">
            <v>Week 41</v>
          </cell>
          <cell r="AA56">
            <v>303</v>
          </cell>
          <cell r="AR56">
            <v>3541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646</v>
          </cell>
          <cell r="AR59">
            <v>7097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COGS DASH"/>
      <sheetName val="DAILY LBW AC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  <sheetName val="2026 MILA II 52 Weeks"/>
    </sheetNames>
    <sheetDataSet>
      <sheetData sheetId="0"/>
      <sheetData sheetId="1"/>
      <sheetData sheetId="2"/>
      <sheetData sheetId="3"/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1179</v>
          </cell>
          <cell r="BI33">
            <v>769</v>
          </cell>
        </row>
        <row r="34">
          <cell r="I34" t="str">
            <v>Week 23</v>
          </cell>
          <cell r="AA34">
            <v>72</v>
          </cell>
          <cell r="AR34">
            <v>931</v>
          </cell>
          <cell r="BI34">
            <v>607</v>
          </cell>
        </row>
        <row r="35">
          <cell r="I35" t="str">
            <v>Week 24</v>
          </cell>
          <cell r="AA35">
            <v>47</v>
          </cell>
          <cell r="AR35">
            <v>760</v>
          </cell>
          <cell r="BI35">
            <v>580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591</v>
          </cell>
        </row>
        <row r="37">
          <cell r="I37" t="str">
            <v>Week 26</v>
          </cell>
          <cell r="AA37">
            <v>61</v>
          </cell>
          <cell r="AR37">
            <v>1044</v>
          </cell>
          <cell r="BI37">
            <v>820</v>
          </cell>
        </row>
        <row r="38">
          <cell r="I38" t="str">
            <v>P6</v>
          </cell>
          <cell r="AA38">
            <v>293</v>
          </cell>
          <cell r="AR38">
            <v>4139</v>
          </cell>
          <cell r="BI38">
            <v>3367</v>
          </cell>
        </row>
        <row r="39">
          <cell r="I39" t="str">
            <v>Week 27</v>
          </cell>
          <cell r="AA39">
            <v>74</v>
          </cell>
          <cell r="AR39">
            <v>848</v>
          </cell>
          <cell r="BI39">
            <v>671</v>
          </cell>
        </row>
        <row r="40">
          <cell r="I40" t="str">
            <v>Week 28</v>
          </cell>
          <cell r="AA40">
            <v>82</v>
          </cell>
          <cell r="AR40">
            <v>1003</v>
          </cell>
          <cell r="BI40">
            <v>713</v>
          </cell>
        </row>
        <row r="41">
          <cell r="I41" t="str">
            <v>Week 29</v>
          </cell>
          <cell r="AA41">
            <v>82</v>
          </cell>
          <cell r="AR41">
            <v>920</v>
          </cell>
          <cell r="BI41">
            <v>701</v>
          </cell>
        </row>
        <row r="42">
          <cell r="I42" t="str">
            <v>Week 30</v>
          </cell>
          <cell r="AA42">
            <v>76</v>
          </cell>
          <cell r="AR42">
            <v>930</v>
          </cell>
          <cell r="BI42">
            <v>631</v>
          </cell>
        </row>
        <row r="43">
          <cell r="I43" t="str">
            <v>P7</v>
          </cell>
          <cell r="AA43">
            <v>314</v>
          </cell>
          <cell r="AR43">
            <v>3701</v>
          </cell>
          <cell r="BI43">
            <v>2716</v>
          </cell>
        </row>
        <row r="44">
          <cell r="I44" t="str">
            <v>Week 31</v>
          </cell>
          <cell r="AA44">
            <v>70</v>
          </cell>
          <cell r="AR44">
            <v>701</v>
          </cell>
          <cell r="BI44">
            <v>487</v>
          </cell>
        </row>
        <row r="45">
          <cell r="I45" t="str">
            <v>Week 32</v>
          </cell>
          <cell r="AA45">
            <v>76</v>
          </cell>
          <cell r="AR45">
            <v>780</v>
          </cell>
          <cell r="BI45">
            <v>536</v>
          </cell>
        </row>
        <row r="46">
          <cell r="I46" t="str">
            <v>Week 33</v>
          </cell>
          <cell r="AA46">
            <v>63</v>
          </cell>
          <cell r="AR46">
            <v>753</v>
          </cell>
          <cell r="BI46">
            <v>482</v>
          </cell>
        </row>
        <row r="47">
          <cell r="I47" t="str">
            <v>Week 34</v>
          </cell>
          <cell r="AA47">
            <v>54</v>
          </cell>
          <cell r="AR47">
            <v>866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3100</v>
          </cell>
          <cell r="BI48">
            <v>2113</v>
          </cell>
        </row>
        <row r="49">
          <cell r="I49" t="str">
            <v>Week 35</v>
          </cell>
          <cell r="AA49">
            <v>83</v>
          </cell>
          <cell r="AR49">
            <v>859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938</v>
          </cell>
          <cell r="BI50">
            <v>758</v>
          </cell>
        </row>
        <row r="51">
          <cell r="I51" t="str">
            <v>Week 37</v>
          </cell>
          <cell r="AA51">
            <v>52</v>
          </cell>
          <cell r="AR51">
            <v>745</v>
          </cell>
          <cell r="BI51">
            <v>470</v>
          </cell>
        </row>
        <row r="52">
          <cell r="I52" t="str">
            <v>Week 38</v>
          </cell>
          <cell r="AA52">
            <v>69</v>
          </cell>
          <cell r="AR52">
            <v>396</v>
          </cell>
          <cell r="BI52">
            <v>718</v>
          </cell>
        </row>
        <row r="53">
          <cell r="I53" t="str">
            <v>Week 39</v>
          </cell>
          <cell r="AA53">
            <v>61</v>
          </cell>
          <cell r="AR53">
            <v>299</v>
          </cell>
          <cell r="BI53">
            <v>656</v>
          </cell>
        </row>
        <row r="54">
          <cell r="I54" t="str">
            <v>P9</v>
          </cell>
          <cell r="AA54">
            <v>328</v>
          </cell>
          <cell r="AR54">
            <v>3237</v>
          </cell>
          <cell r="BI54">
            <v>3234</v>
          </cell>
        </row>
        <row r="55">
          <cell r="I55" t="str">
            <v>Week 40</v>
          </cell>
          <cell r="AA55">
            <v>82</v>
          </cell>
          <cell r="AR55">
            <v>564</v>
          </cell>
          <cell r="BI55">
            <v>722</v>
          </cell>
        </row>
        <row r="56">
          <cell r="I56" t="str">
            <v>Week 41</v>
          </cell>
          <cell r="AA56">
            <v>49</v>
          </cell>
          <cell r="AR56">
            <v>397</v>
          </cell>
          <cell r="BI56">
            <v>756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131</v>
          </cell>
          <cell r="AR59">
            <v>961</v>
          </cell>
          <cell r="BI59">
            <v>1478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260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225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153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828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206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207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173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182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768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158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183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162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869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126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212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216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209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763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193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223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196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273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885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223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321</v>
          </cell>
        </row>
        <row r="51">
          <cell r="I51" t="str">
            <v>Week 37</v>
          </cell>
          <cell r="AA51">
            <v>328</v>
          </cell>
          <cell r="AR51">
            <v>1895</v>
          </cell>
          <cell r="BI51">
            <v>212</v>
          </cell>
        </row>
        <row r="52">
          <cell r="I52" t="str">
            <v>Week 38</v>
          </cell>
          <cell r="AA52">
            <v>293</v>
          </cell>
          <cell r="AR52">
            <v>1865</v>
          </cell>
          <cell r="BI52">
            <v>208</v>
          </cell>
        </row>
        <row r="53">
          <cell r="I53" t="str">
            <v>Week 39</v>
          </cell>
          <cell r="AA53">
            <v>347</v>
          </cell>
          <cell r="AR53">
            <v>2036</v>
          </cell>
          <cell r="BI53">
            <v>233</v>
          </cell>
        </row>
        <row r="54">
          <cell r="I54" t="str">
            <v>P9</v>
          </cell>
          <cell r="AA54">
            <v>1628</v>
          </cell>
          <cell r="AR54">
            <v>9650</v>
          </cell>
          <cell r="BI54">
            <v>1197</v>
          </cell>
        </row>
        <row r="55">
          <cell r="I55" t="str">
            <v>Week 40</v>
          </cell>
          <cell r="AA55">
            <v>303</v>
          </cell>
          <cell r="AR55">
            <v>1751</v>
          </cell>
          <cell r="BI55">
            <v>217</v>
          </cell>
        </row>
        <row r="56">
          <cell r="I56" t="str">
            <v>Week 41</v>
          </cell>
          <cell r="AA56">
            <v>264</v>
          </cell>
          <cell r="AR56">
            <v>1183</v>
          </cell>
          <cell r="BI56">
            <v>166</v>
          </cell>
        </row>
        <row r="57">
          <cell r="I57" t="str">
            <v>Week 42</v>
          </cell>
          <cell r="AA57">
            <v>0</v>
          </cell>
          <cell r="AR57">
            <v>0</v>
          </cell>
          <cell r="BI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567</v>
          </cell>
          <cell r="AR59">
            <v>2934</v>
          </cell>
          <cell r="BI59">
            <v>383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2146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1285</v>
          </cell>
          <cell r="AR37">
            <v>2585</v>
          </cell>
        </row>
        <row r="38">
          <cell r="I38" t="str">
            <v>P6</v>
          </cell>
          <cell r="AA38">
            <v>5488</v>
          </cell>
          <cell r="AR38">
            <v>12834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1204</v>
          </cell>
          <cell r="AR40">
            <v>2490</v>
          </cell>
        </row>
        <row r="41">
          <cell r="I41" t="str">
            <v>Week 29</v>
          </cell>
          <cell r="AA41">
            <v>730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3564</v>
          </cell>
          <cell r="AR43">
            <v>9606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552</v>
          </cell>
          <cell r="AR45">
            <v>2174</v>
          </cell>
        </row>
        <row r="46">
          <cell r="I46" t="str">
            <v>Week 33</v>
          </cell>
          <cell r="AA46">
            <v>663</v>
          </cell>
          <cell r="AR46">
            <v>1929</v>
          </cell>
        </row>
        <row r="47">
          <cell r="I47" t="str">
            <v>Week 34</v>
          </cell>
          <cell r="AA47">
            <v>627</v>
          </cell>
          <cell r="AR47">
            <v>2046</v>
          </cell>
        </row>
        <row r="48">
          <cell r="I48" t="str">
            <v>P8</v>
          </cell>
          <cell r="AA48">
            <v>2678</v>
          </cell>
          <cell r="AR48">
            <v>8216</v>
          </cell>
        </row>
        <row r="49">
          <cell r="I49" t="str">
            <v>Week 35</v>
          </cell>
          <cell r="AA49">
            <v>714</v>
          </cell>
          <cell r="AR49">
            <v>1893</v>
          </cell>
        </row>
        <row r="50">
          <cell r="I50" t="str">
            <v>Week 36</v>
          </cell>
          <cell r="AA50">
            <v>748</v>
          </cell>
          <cell r="AR50">
            <v>1811</v>
          </cell>
        </row>
        <row r="51">
          <cell r="I51" t="str">
            <v>Week 37</v>
          </cell>
          <cell r="AA51">
            <v>634</v>
          </cell>
          <cell r="AR51">
            <v>1685</v>
          </cell>
        </row>
        <row r="52">
          <cell r="I52" t="str">
            <v>Week 38</v>
          </cell>
          <cell r="AA52">
            <v>749</v>
          </cell>
          <cell r="AR52">
            <v>1773</v>
          </cell>
        </row>
        <row r="53">
          <cell r="I53" t="str">
            <v>Week 39</v>
          </cell>
          <cell r="AA53">
            <v>650</v>
          </cell>
          <cell r="AR53">
            <v>2172</v>
          </cell>
        </row>
        <row r="54">
          <cell r="I54" t="str">
            <v>P9</v>
          </cell>
          <cell r="AA54">
            <v>3495</v>
          </cell>
          <cell r="AR54">
            <v>9334</v>
          </cell>
        </row>
        <row r="55">
          <cell r="I55" t="str">
            <v>Week 40</v>
          </cell>
          <cell r="AA55">
            <v>828</v>
          </cell>
          <cell r="AR55">
            <v>1806</v>
          </cell>
        </row>
        <row r="56">
          <cell r="I56" t="str">
            <v>Week 41</v>
          </cell>
          <cell r="AA56">
            <v>826</v>
          </cell>
          <cell r="AR56">
            <v>2101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1654</v>
          </cell>
          <cell r="AR59">
            <v>3907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1P22"/>
      <sheetName val="DASHBOARD"/>
      <sheetName val="DAILY SALES"/>
      <sheetName val="COVERS"/>
      <sheetName val="REC"/>
      <sheetName val="REC 2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314</v>
          </cell>
          <cell r="AR51">
            <v>1525</v>
          </cell>
        </row>
        <row r="52">
          <cell r="I52" t="str">
            <v>Week 38</v>
          </cell>
          <cell r="AA52">
            <v>383</v>
          </cell>
          <cell r="AR52">
            <v>1889</v>
          </cell>
        </row>
        <row r="53">
          <cell r="I53" t="str">
            <v>Week 39</v>
          </cell>
          <cell r="AA53">
            <v>317</v>
          </cell>
          <cell r="AR53">
            <v>2017</v>
          </cell>
        </row>
        <row r="54">
          <cell r="I54" t="str">
            <v>P9</v>
          </cell>
          <cell r="AA54">
            <v>1647</v>
          </cell>
          <cell r="AR54">
            <v>8822</v>
          </cell>
        </row>
        <row r="55">
          <cell r="I55" t="str">
            <v>Week 40</v>
          </cell>
          <cell r="AA55">
            <v>392</v>
          </cell>
          <cell r="AR55">
            <v>1626</v>
          </cell>
        </row>
        <row r="56">
          <cell r="I56" t="str">
            <v>Week 41</v>
          </cell>
          <cell r="AA56">
            <v>243</v>
          </cell>
          <cell r="AR56">
            <v>1769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635</v>
          </cell>
          <cell r="AR59">
            <v>3395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  <sheetName val="REC 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309</v>
          </cell>
          <cell r="AR51">
            <v>1202</v>
          </cell>
        </row>
        <row r="52">
          <cell r="I52" t="str">
            <v>Week 38</v>
          </cell>
          <cell r="AA52">
            <v>423</v>
          </cell>
          <cell r="AR52">
            <v>1469</v>
          </cell>
        </row>
        <row r="53">
          <cell r="I53" t="str">
            <v>Week 39</v>
          </cell>
          <cell r="AA53">
            <v>380</v>
          </cell>
          <cell r="AR53">
            <v>1675</v>
          </cell>
        </row>
        <row r="54">
          <cell r="I54" t="str">
            <v>P9</v>
          </cell>
          <cell r="AA54">
            <v>1814</v>
          </cell>
          <cell r="AR54">
            <v>7277</v>
          </cell>
        </row>
        <row r="55">
          <cell r="I55" t="str">
            <v>Week 40</v>
          </cell>
          <cell r="AA55">
            <v>370</v>
          </cell>
          <cell r="AR55">
            <v>1185</v>
          </cell>
        </row>
        <row r="56">
          <cell r="I56" t="str">
            <v>Week 41</v>
          </cell>
          <cell r="AA56">
            <v>316</v>
          </cell>
          <cell r="AR56">
            <v>1430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686</v>
          </cell>
          <cell r="AR59">
            <v>2615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306</v>
          </cell>
          <cell r="AR50">
            <v>408</v>
          </cell>
        </row>
        <row r="51">
          <cell r="I51" t="str">
            <v>Week 37</v>
          </cell>
          <cell r="AA51">
            <v>153</v>
          </cell>
          <cell r="AR51">
            <v>361</v>
          </cell>
        </row>
        <row r="52">
          <cell r="I52" t="str">
            <v>Week 38</v>
          </cell>
          <cell r="AA52">
            <v>250</v>
          </cell>
          <cell r="AR52">
            <v>0</v>
          </cell>
        </row>
        <row r="53">
          <cell r="I53" t="str">
            <v>Week 39</v>
          </cell>
          <cell r="AA53">
            <v>500</v>
          </cell>
          <cell r="AR53">
            <v>281</v>
          </cell>
        </row>
        <row r="54">
          <cell r="I54" t="str">
            <v>P9</v>
          </cell>
          <cell r="AA54">
            <v>1446</v>
          </cell>
          <cell r="AR54">
            <v>1357</v>
          </cell>
        </row>
        <row r="55">
          <cell r="I55" t="str">
            <v>Week 40</v>
          </cell>
          <cell r="AA55">
            <v>188</v>
          </cell>
          <cell r="AR55">
            <v>436</v>
          </cell>
        </row>
        <row r="56">
          <cell r="I56" t="str">
            <v>Week 41</v>
          </cell>
          <cell r="AA56">
            <v>40</v>
          </cell>
          <cell r="AR56">
            <v>494</v>
          </cell>
        </row>
        <row r="57">
          <cell r="I57" t="str">
            <v>Week 42</v>
          </cell>
          <cell r="AA57">
            <v>0</v>
          </cell>
          <cell r="AR57">
            <v>0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228</v>
          </cell>
          <cell r="AR59">
            <v>930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92" totalsRowShown="0" headerRowDxfId="276" headerRowBorderDxfId="274" tableBorderDxfId="275">
  <autoFilter ref="H5:N292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52" tableType="queryTable" totalsRowShown="0" headerRowDxfId="234" dataDxfId="233">
  <autoFilter ref="A1:G652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99" tableType="queryTable" totalsRowShown="0" headerRowDxfId="225" dataDxfId="224">
  <autoFilter ref="I1:O99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53" tableType="queryTable" totalsRowShown="0" headerRowDxfId="216" dataDxfId="215">
  <autoFilter ref="Q1:AA353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206" tableType="queryTable" totalsRowShown="0" headerRowDxfId="203" dataDxfId="202">
  <autoFilter ref="A1:G206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201" tableType="queryTable" totalsRowShown="0" headerRowDxfId="194" dataDxfId="193">
  <autoFilter ref="I1:O201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220" tableType="queryTable" totalsRowShown="0" headerRowDxfId="185" dataDxfId="184">
  <autoFilter ref="Q1:W220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7" tableType="queryTable" totalsRowShown="0" headerRowDxfId="176" dataDxfId="175">
  <autoFilter ref="Y1:AI317" xr:uid="{71BED49A-A848-4094-9ABE-C740ACFF0004}"/>
  <sortState xmlns:xlrd2="http://schemas.microsoft.com/office/spreadsheetml/2017/richdata2" ref="Y2:AI317">
    <sortCondition ref="AA1:AA317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88" tableType="queryTable" totalsRowShown="0" headerRowDxfId="163" dataDxfId="162">
  <autoFilter ref="A1:G288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83" tableType="queryTable" totalsRowShown="0" headerRowDxfId="154" dataDxfId="153">
  <autoFilter ref="I1:O83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194" tableType="queryTable" totalsRowShown="0" headerRowDxfId="145" dataDxfId="144">
  <autoFilter ref="Q1:W194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322" tableType="queryTable" totalsRowShown="0" headerRowDxfId="136" dataDxfId="135">
  <autoFilter ref="Y1:AI322" xr:uid="{5A1A5769-3623-4606-A27D-6167CFA520CC}"/>
  <sortState xmlns:xlrd2="http://schemas.microsoft.com/office/spreadsheetml/2017/richdata2" ref="Y2:AI322">
    <sortCondition ref="AA1:AA322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76" tableType="queryTable" totalsRowShown="0" headerRowDxfId="123" dataDxfId="122">
  <autoFilter ref="A1:G276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52" tableType="queryTable" totalsRowShown="0" headerRowDxfId="114" dataDxfId="113">
  <autoFilter ref="I1:O152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94" tableType="queryTable" totalsRowShown="0" headerRowDxfId="105" dataDxfId="104">
  <autoFilter ref="Q1:AA294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226" tableType="queryTable" totalsRowShown="0" headerRowDxfId="92" dataDxfId="91">
  <autoFilter ref="A1:G226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606" tableType="queryTable" totalsRowShown="0" headerRowDxfId="83" dataDxfId="82">
  <autoFilter ref="I1:O606" xr:uid="{3FFCF514-AEAC-443C-BA54-881DBC7A869F}"/>
  <sortState xmlns:xlrd2="http://schemas.microsoft.com/office/spreadsheetml/2017/richdata2" ref="I2:O606">
    <sortCondition ref="M1:M606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64" tableType="queryTable" totalsRowShown="0" headerRowDxfId="74" dataDxfId="73">
  <autoFilter ref="Q1:AA264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80" tableType="queryTable" totalsRowShown="0" headerRowDxfId="61" dataDxfId="60">
  <autoFilter ref="A1:G280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81" tableType="queryTable" totalsRowShown="0" headerRowDxfId="52" dataDxfId="51">
  <autoFilter ref="I1:O81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70" tableType="queryTable" totalsRowShown="0" headerRowDxfId="43" dataDxfId="42">
  <autoFilter ref="Q1:AA270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65" tableType="queryTable" totalsRowShown="0" headerRowDxfId="30" dataDxfId="29">
  <autoFilter ref="A1:G165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112" tableType="queryTable" totalsRowShown="0" headerRowDxfId="21" dataDxfId="20">
  <autoFilter ref="I1:O112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84" tableType="queryTable" totalsRowShown="0" headerRowDxfId="12" dataDxfId="11">
  <autoFilter ref="Q1:AA284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08BD192-F1F7-4F30-A5E3-9D16F9296C14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400" t="str">
        <f>CONCATENATE("Riviera Dining Group - Profit &amp; Loss",)</f>
        <v>Riviera Dining Group - Profit &amp; Loss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  <c r="V2" s="401"/>
      <c r="W2" s="401"/>
      <c r="X2" s="401"/>
      <c r="Y2" s="401"/>
      <c r="Z2" s="401"/>
      <c r="AA2" s="401"/>
      <c r="AB2" s="401"/>
      <c r="AC2" s="401"/>
      <c r="AD2" s="401"/>
      <c r="AE2" s="401"/>
      <c r="AF2" s="401"/>
      <c r="AG2" s="401"/>
      <c r="AH2" s="401"/>
      <c r="AI2" s="401"/>
      <c r="AK2" s="409" t="s">
        <v>0</v>
      </c>
      <c r="AL2" s="410"/>
      <c r="AM2" s="410"/>
      <c r="AN2" s="410"/>
      <c r="AO2" s="410"/>
      <c r="AP2" s="410"/>
      <c r="AQ2" s="410"/>
      <c r="AR2" s="410"/>
      <c r="AU2" s="409" t="s">
        <v>1</v>
      </c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411" t="s">
        <v>6</v>
      </c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1"/>
      <c r="U9" s="411"/>
      <c r="V9" s="411"/>
      <c r="W9" s="94"/>
      <c r="X9" s="415" t="s">
        <v>7</v>
      </c>
      <c r="Y9" s="415"/>
      <c r="Z9" s="415"/>
      <c r="AA9" s="415"/>
      <c r="AB9" s="415"/>
      <c r="AC9" s="415"/>
      <c r="AD9" s="415"/>
      <c r="AE9" s="415"/>
      <c r="AF9" s="415"/>
      <c r="AG9" s="415"/>
      <c r="AH9" s="415"/>
      <c r="AI9" s="71"/>
      <c r="AK9" s="404" t="e">
        <f>+D3</f>
        <v>#REF!</v>
      </c>
      <c r="AL9" s="404"/>
      <c r="AM9" s="404" t="e">
        <f>+D4</f>
        <v>#REF!</v>
      </c>
      <c r="AN9" s="404"/>
      <c r="AO9" s="404" t="e">
        <f>+D5</f>
        <v>#REF!</v>
      </c>
      <c r="AP9" s="404"/>
      <c r="AQ9" s="404" t="e">
        <f>+D6</f>
        <v>#REF!</v>
      </c>
      <c r="AR9" s="404"/>
      <c r="AU9" s="404" t="e">
        <f>+D3</f>
        <v>#REF!</v>
      </c>
      <c r="AV9" s="404"/>
      <c r="AW9" s="404"/>
      <c r="AX9" s="404"/>
      <c r="AY9" s="404" t="e">
        <f>+D4</f>
        <v>#REF!</v>
      </c>
      <c r="AZ9" s="404"/>
      <c r="BA9" s="404"/>
      <c r="BB9" s="404"/>
      <c r="BC9" s="404" t="e">
        <f>+D5</f>
        <v>#REF!</v>
      </c>
      <c r="BD9" s="404"/>
      <c r="BE9" s="404"/>
      <c r="BF9" s="404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7" t="s">
        <v>8</v>
      </c>
      <c r="G11" s="397"/>
      <c r="H11" s="67"/>
      <c r="I11" s="397" t="s">
        <v>9</v>
      </c>
      <c r="J11" s="397"/>
      <c r="K11" s="397"/>
      <c r="L11" s="67"/>
      <c r="M11" s="397" t="s">
        <v>10</v>
      </c>
      <c r="N11" s="397"/>
      <c r="O11" s="397"/>
      <c r="P11" s="67"/>
      <c r="Q11" s="397" t="s">
        <v>11</v>
      </c>
      <c r="R11" s="397"/>
      <c r="S11" s="397"/>
      <c r="T11" s="10"/>
      <c r="U11" s="9"/>
      <c r="X11" s="397" t="s">
        <v>12</v>
      </c>
      <c r="Y11" s="397"/>
      <c r="Z11" s="397"/>
      <c r="AA11" s="67"/>
      <c r="AB11" s="397" t="s">
        <v>13</v>
      </c>
      <c r="AC11" s="397"/>
      <c r="AD11" s="397"/>
      <c r="AE11" s="397" t="s">
        <v>10</v>
      </c>
      <c r="AF11" s="397"/>
      <c r="AG11" s="397" t="s">
        <v>14</v>
      </c>
      <c r="AH11" s="397"/>
      <c r="AI11" s="10"/>
      <c r="AK11" s="398" t="s">
        <v>15</v>
      </c>
      <c r="AL11" s="398"/>
      <c r="AM11" s="398" t="s">
        <v>15</v>
      </c>
      <c r="AN11" s="398"/>
      <c r="AO11" s="398" t="s">
        <v>15</v>
      </c>
      <c r="AP11" s="398"/>
      <c r="AQ11" s="398" t="s">
        <v>15</v>
      </c>
      <c r="AR11" s="398"/>
      <c r="AU11" s="397">
        <v>2023</v>
      </c>
      <c r="AV11" s="397"/>
      <c r="AW11" s="398" t="s">
        <v>15</v>
      </c>
      <c r="AX11" s="398"/>
      <c r="AY11" s="397">
        <v>2023</v>
      </c>
      <c r="AZ11" s="397"/>
      <c r="BA11" s="398" t="s">
        <v>15</v>
      </c>
      <c r="BB11" s="398"/>
      <c r="BC11" s="397">
        <v>2023</v>
      </c>
      <c r="BD11" s="397"/>
      <c r="BE11" s="398" t="s">
        <v>15</v>
      </c>
      <c r="BF11" s="398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405" t="s">
        <v>55</v>
      </c>
      <c r="G46" s="405"/>
      <c r="H46" s="405"/>
      <c r="I46" s="405"/>
      <c r="J46" s="405"/>
      <c r="K46" s="405"/>
      <c r="L46" s="405"/>
      <c r="M46" s="405"/>
      <c r="N46" s="405"/>
      <c r="O46" s="405"/>
      <c r="P46" s="405"/>
      <c r="Q46" s="405"/>
      <c r="R46" s="405"/>
      <c r="S46" s="405"/>
      <c r="T46" s="405"/>
      <c r="U46" s="405"/>
      <c r="V46" s="405"/>
      <c r="W46" s="405"/>
      <c r="X46" s="405"/>
      <c r="Y46" s="405"/>
      <c r="Z46" s="405"/>
      <c r="AA46" s="405"/>
      <c r="AB46" s="405"/>
      <c r="AC46" s="405"/>
      <c r="AD46" s="405"/>
      <c r="AE46" s="405"/>
      <c r="AF46" s="405"/>
      <c r="AG46" s="81"/>
    </row>
    <row r="47" spans="2:58">
      <c r="D47" s="82" t="s">
        <v>56</v>
      </c>
      <c r="E47" s="75"/>
      <c r="F47" s="405" t="s">
        <v>57</v>
      </c>
      <c r="G47" s="405"/>
      <c r="H47" s="405"/>
      <c r="I47" s="405"/>
      <c r="J47" s="405"/>
      <c r="K47" s="405"/>
      <c r="L47" s="405"/>
      <c r="M47" s="405"/>
      <c r="N47" s="405"/>
      <c r="O47" s="405"/>
      <c r="P47" s="405"/>
      <c r="Q47" s="405"/>
      <c r="R47" s="405"/>
      <c r="S47" s="405"/>
      <c r="T47" s="405"/>
      <c r="U47" s="405"/>
      <c r="V47" s="405"/>
      <c r="W47" s="405"/>
      <c r="X47" s="405"/>
      <c r="Y47" s="405"/>
      <c r="Z47" s="405"/>
      <c r="AA47" s="405"/>
      <c r="AB47" s="405"/>
      <c r="AC47" s="405"/>
      <c r="AD47" s="405"/>
      <c r="AE47" s="405"/>
      <c r="AF47" s="405"/>
      <c r="AG47" s="81"/>
    </row>
    <row r="48" spans="2:58">
      <c r="D48" s="82" t="s">
        <v>31</v>
      </c>
      <c r="E48" s="75"/>
      <c r="F48" s="405" t="s">
        <v>58</v>
      </c>
      <c r="G48" s="405"/>
      <c r="H48" s="405"/>
      <c r="I48" s="405"/>
      <c r="J48" s="405"/>
      <c r="K48" s="405"/>
      <c r="L48" s="405"/>
      <c r="M48" s="405"/>
      <c r="N48" s="405"/>
      <c r="O48" s="405"/>
      <c r="P48" s="405"/>
      <c r="Q48" s="405"/>
      <c r="R48" s="405"/>
      <c r="S48" s="405"/>
      <c r="T48" s="405"/>
      <c r="U48" s="405"/>
      <c r="V48" s="405"/>
      <c r="W48" s="405"/>
      <c r="X48" s="405"/>
      <c r="Y48" s="405"/>
      <c r="Z48" s="405"/>
      <c r="AA48" s="405"/>
      <c r="AB48" s="405"/>
      <c r="AC48" s="405"/>
      <c r="AD48" s="405"/>
      <c r="AE48" s="405"/>
      <c r="AF48" s="405"/>
      <c r="AG48" s="81"/>
    </row>
    <row r="49" spans="2:35">
      <c r="D49" s="82" t="s">
        <v>34</v>
      </c>
      <c r="E49" s="75"/>
      <c r="F49" s="405" t="s">
        <v>59</v>
      </c>
      <c r="G49" s="405"/>
      <c r="H49" s="405"/>
      <c r="I49" s="405"/>
      <c r="J49" s="405"/>
      <c r="K49" s="405"/>
      <c r="L49" s="405"/>
      <c r="M49" s="405"/>
      <c r="N49" s="405"/>
      <c r="O49" s="405"/>
      <c r="P49" s="405"/>
      <c r="Q49" s="405"/>
      <c r="R49" s="405"/>
      <c r="S49" s="405"/>
      <c r="T49" s="405"/>
      <c r="U49" s="405"/>
      <c r="V49" s="405"/>
      <c r="W49" s="405"/>
      <c r="X49" s="405"/>
      <c r="Y49" s="405"/>
      <c r="Z49" s="405"/>
      <c r="AA49" s="405"/>
      <c r="AB49" s="405"/>
      <c r="AC49" s="405"/>
      <c r="AD49" s="405"/>
      <c r="AE49" s="405"/>
      <c r="AF49" s="405"/>
      <c r="AG49" s="81"/>
    </row>
    <row r="50" spans="2:35">
      <c r="D50" s="82" t="s">
        <v>36</v>
      </c>
      <c r="E50" s="75"/>
      <c r="F50" s="405" t="s">
        <v>60</v>
      </c>
      <c r="G50" s="405"/>
      <c r="H50" s="405"/>
      <c r="I50" s="405"/>
      <c r="J50" s="405"/>
      <c r="K50" s="405"/>
      <c r="L50" s="405"/>
      <c r="M50" s="405"/>
      <c r="N50" s="405"/>
      <c r="O50" s="405"/>
      <c r="P50" s="405"/>
      <c r="Q50" s="405"/>
      <c r="R50" s="405"/>
      <c r="S50" s="405"/>
      <c r="T50" s="405"/>
      <c r="U50" s="405"/>
      <c r="V50" s="405"/>
      <c r="W50" s="405"/>
      <c r="X50" s="405"/>
      <c r="Y50" s="405"/>
      <c r="Z50" s="405"/>
      <c r="AA50" s="405"/>
      <c r="AB50" s="405"/>
      <c r="AC50" s="405"/>
      <c r="AD50" s="405"/>
      <c r="AE50" s="405"/>
      <c r="AF50" s="405"/>
      <c r="AG50" s="81"/>
    </row>
    <row r="51" spans="2:35">
      <c r="D51" s="83" t="s">
        <v>38</v>
      </c>
      <c r="E51" s="75"/>
      <c r="F51" s="405"/>
      <c r="G51" s="405"/>
      <c r="H51" s="405"/>
      <c r="I51" s="405"/>
      <c r="J51" s="405"/>
      <c r="K51" s="405"/>
      <c r="L51" s="405"/>
      <c r="M51" s="405"/>
      <c r="N51" s="405"/>
      <c r="O51" s="405"/>
      <c r="P51" s="405"/>
      <c r="Q51" s="405"/>
      <c r="R51" s="405"/>
      <c r="S51" s="405"/>
      <c r="T51" s="405"/>
      <c r="U51" s="405"/>
      <c r="V51" s="405"/>
      <c r="W51" s="405"/>
      <c r="X51" s="405"/>
      <c r="Y51" s="405"/>
      <c r="Z51" s="405"/>
      <c r="AA51" s="405"/>
      <c r="AB51" s="405"/>
      <c r="AC51" s="405"/>
      <c r="AD51" s="405"/>
      <c r="AE51" s="405"/>
      <c r="AF51" s="405"/>
      <c r="AG51" s="81"/>
    </row>
    <row r="52" spans="2:35" ht="15.75" thickBot="1">
      <c r="D52" s="84"/>
      <c r="E52" s="85"/>
      <c r="F52" s="406"/>
      <c r="G52" s="406"/>
      <c r="H52" s="406"/>
      <c r="I52" s="406"/>
      <c r="J52" s="406"/>
      <c r="K52" s="406"/>
      <c r="L52" s="406"/>
      <c r="M52" s="406"/>
      <c r="N52" s="406"/>
      <c r="O52" s="406"/>
      <c r="P52" s="406"/>
      <c r="Q52" s="406"/>
      <c r="R52" s="406"/>
      <c r="S52" s="406"/>
      <c r="T52" s="406"/>
      <c r="U52" s="406"/>
      <c r="V52" s="406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412"/>
      <c r="G53" s="412"/>
      <c r="H53" s="412"/>
      <c r="I53" s="412"/>
      <c r="J53" s="412"/>
      <c r="K53" s="412"/>
      <c r="L53" s="412"/>
      <c r="M53" s="412"/>
      <c r="N53" s="412"/>
      <c r="O53" s="412"/>
      <c r="P53" s="412"/>
      <c r="Q53" s="412"/>
      <c r="R53" s="412"/>
      <c r="S53" s="412"/>
      <c r="T53" s="412"/>
      <c r="U53" s="412"/>
      <c r="V53" s="412"/>
      <c r="W53" s="69"/>
    </row>
    <row r="54" spans="2:35">
      <c r="F54" s="412"/>
      <c r="G54" s="412"/>
      <c r="H54" s="412"/>
      <c r="I54" s="412"/>
      <c r="J54" s="412"/>
      <c r="K54" s="412"/>
      <c r="L54" s="412"/>
      <c r="M54" s="412"/>
      <c r="N54" s="412"/>
      <c r="O54" s="412"/>
      <c r="P54" s="412"/>
      <c r="Q54" s="412"/>
      <c r="R54" s="412"/>
      <c r="S54" s="412"/>
      <c r="T54" s="412"/>
      <c r="U54" s="412"/>
      <c r="V54" s="412"/>
      <c r="W54" s="69"/>
    </row>
    <row r="55" spans="2:35">
      <c r="F55" s="412"/>
      <c r="G55" s="412"/>
      <c r="H55" s="412"/>
      <c r="I55" s="412"/>
      <c r="J55" s="412"/>
      <c r="K55" s="412"/>
      <c r="L55" s="412"/>
      <c r="M55" s="412"/>
      <c r="N55" s="412"/>
      <c r="O55" s="412"/>
      <c r="P55" s="412"/>
      <c r="Q55" s="412"/>
      <c r="R55" s="412"/>
      <c r="S55" s="412"/>
      <c r="T55" s="412"/>
      <c r="U55" s="412"/>
      <c r="V55" s="412"/>
      <c r="W55" s="69"/>
    </row>
    <row r="56" spans="2:35" ht="17.649999999999999" hidden="1" customHeight="1">
      <c r="B56" s="46"/>
      <c r="D56" s="13" t="s">
        <v>61</v>
      </c>
      <c r="F56" s="413">
        <v>0.88166666666666671</v>
      </c>
      <c r="G56" s="413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13">
        <v>0.88166666666666671</v>
      </c>
      <c r="Y56" s="413"/>
      <c r="Z56" s="413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14" t="e">
        <f>F34*F56</f>
        <v>#REF!</v>
      </c>
      <c r="G57" s="414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14" t="e">
        <f>X34*X56</f>
        <v>#REF!</v>
      </c>
      <c r="Y57" s="414"/>
      <c r="Z57" s="414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7" t="str">
        <f>CONCATENATE("MILA Lounge - Profit &amp; Loss",)</f>
        <v>MILA Lounge - Profit &amp; Loss</v>
      </c>
      <c r="E76" s="408"/>
      <c r="F76" s="408"/>
      <c r="G76" s="408"/>
      <c r="H76" s="408"/>
      <c r="I76" s="408"/>
      <c r="J76" s="408"/>
      <c r="K76" s="408"/>
      <c r="L76" s="408"/>
      <c r="M76" s="408"/>
      <c r="N76" s="408"/>
      <c r="O76" s="408"/>
      <c r="P76" s="408"/>
      <c r="Q76" s="408"/>
      <c r="R76" s="408"/>
      <c r="S76" s="408"/>
      <c r="T76" s="408"/>
      <c r="U76" s="408"/>
      <c r="V76" s="408"/>
      <c r="W76" s="408"/>
      <c r="X76" s="408"/>
      <c r="Y76" s="408"/>
      <c r="Z76" s="408"/>
      <c r="AA76" s="408"/>
      <c r="AB76" s="408"/>
      <c r="AC76" s="408"/>
      <c r="AD76" s="408"/>
      <c r="AE76" s="408"/>
      <c r="AF76" s="408"/>
      <c r="AG76" s="408"/>
      <c r="AI76" s="74"/>
      <c r="AK76" s="409" t="s">
        <v>0</v>
      </c>
      <c r="AL76" s="410"/>
      <c r="AM76" s="410"/>
      <c r="AN76" s="410"/>
      <c r="AO76" s="410"/>
      <c r="AP76" s="410"/>
      <c r="AQ76" s="410"/>
      <c r="AR76" s="410"/>
      <c r="AU76" s="409" t="s">
        <v>1</v>
      </c>
      <c r="AV76" s="410"/>
      <c r="AW76" s="410"/>
      <c r="AX76" s="410"/>
      <c r="AY76" s="410"/>
      <c r="AZ76" s="410"/>
      <c r="BA76" s="410"/>
      <c r="BB76" s="410"/>
      <c r="BC76" s="410"/>
      <c r="BD76" s="410"/>
      <c r="BE76" s="410"/>
      <c r="BF76" s="410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411" t="str">
        <f>+F9</f>
        <v>MTD</v>
      </c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404" t="e">
        <f>+AK9</f>
        <v>#REF!</v>
      </c>
      <c r="AL81" s="404"/>
      <c r="AM81" s="404" t="e">
        <f>+AM9</f>
        <v>#REF!</v>
      </c>
      <c r="AN81" s="404"/>
      <c r="AO81" s="404" t="e">
        <f>+AO9</f>
        <v>#REF!</v>
      </c>
      <c r="AP81" s="404"/>
      <c r="AQ81" s="404" t="e">
        <f>+AQ9</f>
        <v>#REF!</v>
      </c>
      <c r="AR81" s="404"/>
      <c r="AU81" s="404" t="e">
        <f>+AU9</f>
        <v>#REF!</v>
      </c>
      <c r="AV81" s="404"/>
      <c r="AW81" s="404"/>
      <c r="AX81" s="404"/>
      <c r="AY81" s="404" t="e">
        <f>+AY9</f>
        <v>#REF!</v>
      </c>
      <c r="AZ81" s="404"/>
      <c r="BA81" s="404"/>
      <c r="BB81" s="404"/>
      <c r="BC81" s="404" t="e">
        <f>+BC9</f>
        <v>#REF!</v>
      </c>
      <c r="BD81" s="404"/>
      <c r="BE81" s="404"/>
      <c r="BF81" s="404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7" t="str">
        <f>+F11</f>
        <v>MILA 3F</v>
      </c>
      <c r="G83" s="397"/>
      <c r="H83" s="67"/>
      <c r="I83" s="397" t="str">
        <f>+I11</f>
        <v>MILA 2F</v>
      </c>
      <c r="J83" s="397"/>
      <c r="K83" s="397"/>
      <c r="L83" s="67"/>
      <c r="M83" s="397" t="str">
        <f>+M11</f>
        <v>AVA</v>
      </c>
      <c r="N83" s="397"/>
      <c r="O83" s="397"/>
      <c r="P83" s="67"/>
      <c r="Q83" s="397" t="str">
        <f>+Q11</f>
        <v>CASA NEOS</v>
      </c>
      <c r="R83" s="397"/>
      <c r="S83" s="397"/>
      <c r="T83" s="10"/>
      <c r="U83" s="9"/>
      <c r="X83" s="397" t="str">
        <f>+X11</f>
        <v>MILA</v>
      </c>
      <c r="Y83" s="397"/>
      <c r="Z83" s="397"/>
      <c r="AA83" s="67"/>
      <c r="AB83" s="397" t="str">
        <f>+AB11</f>
        <v>MILA MM</v>
      </c>
      <c r="AC83" s="397"/>
      <c r="AD83" s="397"/>
      <c r="AE83" s="397" t="str">
        <f>+AE11</f>
        <v>AVA</v>
      </c>
      <c r="AF83" s="397"/>
      <c r="AG83" s="397" t="str">
        <f>+AG11</f>
        <v>BAOLI</v>
      </c>
      <c r="AH83" s="397"/>
      <c r="AI83" s="10"/>
      <c r="AK83" s="398" t="s">
        <v>15</v>
      </c>
      <c r="AL83" s="398"/>
      <c r="AM83" s="398" t="s">
        <v>15</v>
      </c>
      <c r="AN83" s="398"/>
      <c r="AO83" s="398" t="s">
        <v>15</v>
      </c>
      <c r="AP83" s="398"/>
      <c r="AQ83" s="398" t="s">
        <v>15</v>
      </c>
      <c r="AR83" s="398"/>
      <c r="AU83" s="397">
        <v>2023</v>
      </c>
      <c r="AV83" s="397"/>
      <c r="AW83" s="398" t="s">
        <v>15</v>
      </c>
      <c r="AX83" s="398"/>
      <c r="AY83" s="397">
        <v>2023</v>
      </c>
      <c r="AZ83" s="397"/>
      <c r="BA83" s="398" t="s">
        <v>15</v>
      </c>
      <c r="BB83" s="398"/>
      <c r="BC83" s="397">
        <v>2023</v>
      </c>
      <c r="BD83" s="397"/>
      <c r="BE83" s="398" t="s">
        <v>15</v>
      </c>
      <c r="BF83" s="398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405"/>
      <c r="G116" s="405"/>
      <c r="H116" s="405"/>
      <c r="I116" s="405"/>
      <c r="J116" s="405"/>
      <c r="K116" s="405"/>
      <c r="L116" s="405"/>
      <c r="M116" s="405"/>
      <c r="N116" s="405"/>
      <c r="O116" s="405"/>
      <c r="P116" s="405"/>
      <c r="Q116" s="405"/>
      <c r="R116" s="405"/>
      <c r="S116" s="405"/>
      <c r="T116" s="405"/>
      <c r="U116" s="405"/>
      <c r="V116" s="405"/>
      <c r="W116" s="405"/>
      <c r="X116" s="405"/>
      <c r="Y116" s="405"/>
      <c r="Z116" s="405"/>
      <c r="AA116" s="405"/>
      <c r="AB116" s="405"/>
      <c r="AC116" s="405"/>
      <c r="AD116" s="405"/>
      <c r="AE116" s="405"/>
      <c r="AF116" s="405"/>
      <c r="AG116" s="81"/>
    </row>
    <row r="117" spans="4:35" ht="14.65" hidden="1" customHeight="1" outlineLevel="1">
      <c r="D117" s="82" t="s">
        <v>56</v>
      </c>
      <c r="E117" s="75"/>
      <c r="F117" s="405" t="s">
        <v>66</v>
      </c>
      <c r="G117" s="405"/>
      <c r="H117" s="405"/>
      <c r="I117" s="405"/>
      <c r="J117" s="405"/>
      <c r="K117" s="405"/>
      <c r="L117" s="405"/>
      <c r="M117" s="405"/>
      <c r="N117" s="405"/>
      <c r="O117" s="405"/>
      <c r="P117" s="405"/>
      <c r="Q117" s="405"/>
      <c r="R117" s="405"/>
      <c r="S117" s="405"/>
      <c r="T117" s="405"/>
      <c r="U117" s="405"/>
      <c r="V117" s="405"/>
      <c r="W117" s="405"/>
      <c r="X117" s="405"/>
      <c r="Y117" s="405"/>
      <c r="Z117" s="405"/>
      <c r="AA117" s="405"/>
      <c r="AB117" s="405"/>
      <c r="AC117" s="405"/>
      <c r="AD117" s="405"/>
      <c r="AE117" s="405"/>
      <c r="AF117" s="405"/>
      <c r="AG117" s="81"/>
    </row>
    <row r="118" spans="4:35" ht="14.65" hidden="1" customHeight="1" outlineLevel="1">
      <c r="D118" s="82" t="s">
        <v>31</v>
      </c>
      <c r="E118" s="75"/>
      <c r="F118" s="405" t="s">
        <v>58</v>
      </c>
      <c r="G118" s="405"/>
      <c r="H118" s="405"/>
      <c r="I118" s="405"/>
      <c r="J118" s="405"/>
      <c r="K118" s="405"/>
      <c r="L118" s="405"/>
      <c r="M118" s="405"/>
      <c r="N118" s="405"/>
      <c r="O118" s="405"/>
      <c r="P118" s="405"/>
      <c r="Q118" s="405"/>
      <c r="R118" s="405"/>
      <c r="S118" s="405"/>
      <c r="T118" s="405"/>
      <c r="U118" s="405"/>
      <c r="V118" s="405"/>
      <c r="W118" s="405"/>
      <c r="X118" s="405"/>
      <c r="Y118" s="405"/>
      <c r="Z118" s="405"/>
      <c r="AA118" s="405"/>
      <c r="AB118" s="405"/>
      <c r="AC118" s="405"/>
      <c r="AD118" s="405"/>
      <c r="AE118" s="405"/>
      <c r="AF118" s="405"/>
      <c r="AG118" s="81"/>
    </row>
    <row r="119" spans="4:35" ht="14.65" hidden="1" customHeight="1" outlineLevel="1">
      <c r="D119" s="82" t="s">
        <v>34</v>
      </c>
      <c r="E119" s="75"/>
      <c r="F119" s="405" t="s">
        <v>67</v>
      </c>
      <c r="G119" s="405"/>
      <c r="H119" s="405"/>
      <c r="I119" s="405"/>
      <c r="J119" s="405"/>
      <c r="K119" s="405"/>
      <c r="L119" s="405"/>
      <c r="M119" s="405"/>
      <c r="N119" s="405"/>
      <c r="O119" s="405"/>
      <c r="P119" s="405"/>
      <c r="Q119" s="405"/>
      <c r="R119" s="405"/>
      <c r="S119" s="405"/>
      <c r="T119" s="405"/>
      <c r="U119" s="405"/>
      <c r="V119" s="405"/>
      <c r="W119" s="405"/>
      <c r="X119" s="405"/>
      <c r="Y119" s="405"/>
      <c r="Z119" s="405"/>
      <c r="AA119" s="405"/>
      <c r="AB119" s="405"/>
      <c r="AC119" s="405"/>
      <c r="AD119" s="405"/>
      <c r="AE119" s="405"/>
      <c r="AF119" s="405"/>
      <c r="AG119" s="81"/>
    </row>
    <row r="120" spans="4:35" ht="14.65" hidden="1" customHeight="1" outlineLevel="1">
      <c r="D120" s="82" t="s">
        <v>36</v>
      </c>
      <c r="E120" s="75"/>
      <c r="F120" s="405" t="s">
        <v>68</v>
      </c>
      <c r="G120" s="405"/>
      <c r="H120" s="405"/>
      <c r="I120" s="405"/>
      <c r="J120" s="405"/>
      <c r="K120" s="405"/>
      <c r="L120" s="405"/>
      <c r="M120" s="405"/>
      <c r="N120" s="405"/>
      <c r="O120" s="405"/>
      <c r="P120" s="405"/>
      <c r="Q120" s="405"/>
      <c r="R120" s="405"/>
      <c r="S120" s="405"/>
      <c r="T120" s="405"/>
      <c r="U120" s="405"/>
      <c r="V120" s="405"/>
      <c r="W120" s="405"/>
      <c r="X120" s="405"/>
      <c r="Y120" s="405"/>
      <c r="Z120" s="405"/>
      <c r="AA120" s="405"/>
      <c r="AB120" s="405"/>
      <c r="AC120" s="405"/>
      <c r="AD120" s="405"/>
      <c r="AE120" s="405"/>
      <c r="AF120" s="405"/>
      <c r="AG120" s="81"/>
    </row>
    <row r="121" spans="4:35" ht="14.65" hidden="1" customHeight="1" outlineLevel="1">
      <c r="D121" s="83" t="s">
        <v>38</v>
      </c>
      <c r="E121" s="75"/>
      <c r="F121" s="405"/>
      <c r="G121" s="405"/>
      <c r="H121" s="405"/>
      <c r="I121" s="405"/>
      <c r="J121" s="405"/>
      <c r="K121" s="405"/>
      <c r="L121" s="405"/>
      <c r="M121" s="405"/>
      <c r="N121" s="405"/>
      <c r="O121" s="405"/>
      <c r="P121" s="405"/>
      <c r="Q121" s="405"/>
      <c r="R121" s="405"/>
      <c r="S121" s="405"/>
      <c r="T121" s="405"/>
      <c r="U121" s="405"/>
      <c r="V121" s="405"/>
      <c r="W121" s="405"/>
      <c r="X121" s="405"/>
      <c r="Y121" s="405"/>
      <c r="Z121" s="405"/>
      <c r="AA121" s="405"/>
      <c r="AB121" s="405"/>
      <c r="AC121" s="405"/>
      <c r="AD121" s="405"/>
      <c r="AE121" s="405"/>
      <c r="AF121" s="405"/>
      <c r="AG121" s="81"/>
    </row>
    <row r="122" spans="4:35" ht="15" hidden="1" customHeight="1" outlineLevel="1" thickBot="1">
      <c r="D122" s="84"/>
      <c r="E122" s="85"/>
      <c r="F122" s="406"/>
      <c r="G122" s="406"/>
      <c r="H122" s="406"/>
      <c r="I122" s="406"/>
      <c r="J122" s="406"/>
      <c r="K122" s="406"/>
      <c r="L122" s="406"/>
      <c r="M122" s="406"/>
      <c r="N122" s="406"/>
      <c r="O122" s="406"/>
      <c r="P122" s="406"/>
      <c r="Q122" s="406"/>
      <c r="R122" s="406"/>
      <c r="S122" s="406"/>
      <c r="T122" s="406"/>
      <c r="U122" s="406"/>
      <c r="V122" s="406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7" t="s">
        <v>69</v>
      </c>
      <c r="E141" s="408"/>
      <c r="F141" s="408"/>
      <c r="G141" s="408"/>
      <c r="H141" s="408"/>
      <c r="I141" s="408"/>
      <c r="J141" s="408"/>
      <c r="K141" s="408"/>
      <c r="L141" s="408"/>
      <c r="M141" s="408"/>
      <c r="N141" s="408"/>
      <c r="O141" s="408"/>
      <c r="P141" s="408"/>
      <c r="Q141" s="408"/>
      <c r="R141" s="408"/>
      <c r="S141" s="408"/>
      <c r="T141" s="408"/>
      <c r="U141" s="408"/>
      <c r="V141" s="408"/>
      <c r="W141" s="408"/>
      <c r="X141" s="408"/>
      <c r="Y141" s="408"/>
      <c r="Z141" s="408"/>
      <c r="AA141" s="408"/>
      <c r="AB141" s="408"/>
      <c r="AC141" s="408"/>
      <c r="AD141" s="408"/>
      <c r="AE141" s="408"/>
      <c r="AF141" s="408"/>
      <c r="AG141" s="408"/>
      <c r="AH141" s="74"/>
      <c r="AK141" s="409" t="s">
        <v>0</v>
      </c>
      <c r="AL141" s="410"/>
      <c r="AM141" s="410"/>
      <c r="AN141" s="410"/>
      <c r="AO141" s="410"/>
      <c r="AP141" s="410"/>
      <c r="AQ141" s="410"/>
      <c r="AR141" s="410"/>
      <c r="AU141" s="409" t="s">
        <v>1</v>
      </c>
      <c r="AV141" s="410"/>
      <c r="AW141" s="410"/>
      <c r="AX141" s="410"/>
      <c r="AY141" s="410"/>
      <c r="AZ141" s="410"/>
      <c r="BA141" s="410"/>
      <c r="BB141" s="410"/>
      <c r="BC141" s="410"/>
      <c r="BD141" s="410"/>
      <c r="BE141" s="410"/>
      <c r="BF141" s="410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411" t="str">
        <f>+F81</f>
        <v>MTD</v>
      </c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404" t="e">
        <f>+AK81</f>
        <v>#REF!</v>
      </c>
      <c r="AL146" s="404"/>
      <c r="AM146" s="404" t="e">
        <f>+AM81</f>
        <v>#REF!</v>
      </c>
      <c r="AN146" s="404"/>
      <c r="AO146" s="404" t="e">
        <f>+AO81</f>
        <v>#REF!</v>
      </c>
      <c r="AP146" s="404"/>
      <c r="AQ146" s="404" t="e">
        <f>+AQ81</f>
        <v>#REF!</v>
      </c>
      <c r="AR146" s="404"/>
      <c r="AU146" s="404" t="e">
        <f>+AU81</f>
        <v>#REF!</v>
      </c>
      <c r="AV146" s="404"/>
      <c r="AW146" s="404"/>
      <c r="AX146" s="404"/>
      <c r="AY146" s="404" t="e">
        <f>+AY81</f>
        <v>#REF!</v>
      </c>
      <c r="AZ146" s="404"/>
      <c r="BA146" s="404"/>
      <c r="BB146" s="404"/>
      <c r="BC146" s="404" t="e">
        <f>+BC81</f>
        <v>#REF!</v>
      </c>
      <c r="BD146" s="404"/>
      <c r="BE146" s="404"/>
      <c r="BF146" s="404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7" t="str">
        <f>+F83</f>
        <v>MILA 3F</v>
      </c>
      <c r="G148" s="397"/>
      <c r="H148" s="67"/>
      <c r="I148" s="397" t="str">
        <f>+I83</f>
        <v>MILA 2F</v>
      </c>
      <c r="J148" s="397"/>
      <c r="K148" s="397"/>
      <c r="L148" s="67"/>
      <c r="M148" s="397" t="str">
        <f>+M83</f>
        <v>AVA</v>
      </c>
      <c r="N148" s="397"/>
      <c r="O148" s="397"/>
      <c r="P148" s="67"/>
      <c r="Q148" s="397" t="str">
        <f>+Q83</f>
        <v>CASA NEOS</v>
      </c>
      <c r="R148" s="397"/>
      <c r="S148" s="397"/>
      <c r="T148" s="10"/>
      <c r="U148" s="9"/>
      <c r="X148" s="397" t="str">
        <f>+X83</f>
        <v>MILA</v>
      </c>
      <c r="Y148" s="397"/>
      <c r="Z148" s="397"/>
      <c r="AA148" s="67"/>
      <c r="AB148" s="397" t="str">
        <f>+AB83</f>
        <v>MILA MM</v>
      </c>
      <c r="AC148" s="397"/>
      <c r="AD148" s="397"/>
      <c r="AE148" s="397" t="str">
        <f>+AE83</f>
        <v>AVA</v>
      </c>
      <c r="AF148" s="397"/>
      <c r="AG148" s="397" t="str">
        <f>+AG83</f>
        <v>BAOLI</v>
      </c>
      <c r="AH148" s="397"/>
      <c r="AI148" s="10"/>
      <c r="AK148" s="398" t="s">
        <v>15</v>
      </c>
      <c r="AL148" s="398"/>
      <c r="AM148" s="398" t="s">
        <v>15</v>
      </c>
      <c r="AN148" s="398"/>
      <c r="AO148" s="398" t="s">
        <v>15</v>
      </c>
      <c r="AP148" s="398"/>
      <c r="AQ148" s="398" t="s">
        <v>15</v>
      </c>
      <c r="AR148" s="398"/>
      <c r="AU148" s="397">
        <v>2023</v>
      </c>
      <c r="AV148" s="397"/>
      <c r="AW148" s="398" t="s">
        <v>15</v>
      </c>
      <c r="AX148" s="398"/>
      <c r="AY148" s="397">
        <v>2023</v>
      </c>
      <c r="AZ148" s="397"/>
      <c r="BA148" s="398" t="s">
        <v>15</v>
      </c>
      <c r="BB148" s="398"/>
      <c r="BC148" s="397">
        <v>2023</v>
      </c>
      <c r="BD148" s="397"/>
      <c r="BE148" s="398" t="s">
        <v>15</v>
      </c>
      <c r="BF148" s="398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400" t="str">
        <f>CONCATENATE("Riviera Dining Group - Profit &amp; Loss",)</f>
        <v>Riviera Dining Group - Profit &amp; Loss</v>
      </c>
      <c r="E191" s="401"/>
      <c r="F191" s="401"/>
      <c r="G191" s="401"/>
      <c r="H191" s="401"/>
      <c r="I191" s="401"/>
      <c r="J191" s="401"/>
      <c r="K191" s="401"/>
      <c r="L191" s="401"/>
      <c r="M191" s="401"/>
      <c r="N191" s="401"/>
      <c r="O191" s="401"/>
      <c r="P191" s="401"/>
      <c r="Q191" s="401"/>
      <c r="R191" s="401"/>
      <c r="S191" s="401"/>
      <c r="T191" s="401"/>
      <c r="U191" s="401"/>
      <c r="V191" s="401"/>
      <c r="W191" s="401"/>
      <c r="X191" s="401"/>
      <c r="Y191" s="401"/>
      <c r="Z191" s="401"/>
      <c r="AA191" s="401"/>
      <c r="AB191" s="401"/>
      <c r="AC191" s="401"/>
      <c r="AD191" s="401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399" t="s">
        <v>6</v>
      </c>
      <c r="G193" s="399"/>
      <c r="H193" s="399"/>
      <c r="I193" s="399"/>
      <c r="J193" s="399"/>
      <c r="K193" s="399"/>
      <c r="L193" s="399"/>
      <c r="M193" s="399"/>
      <c r="N193" s="399"/>
      <c r="O193" s="399"/>
      <c r="P193" s="110"/>
      <c r="Q193" s="71"/>
      <c r="R193" s="71"/>
      <c r="S193" s="399" t="s">
        <v>7</v>
      </c>
      <c r="T193" s="399"/>
      <c r="U193" s="399"/>
      <c r="V193" s="399"/>
      <c r="W193" s="399"/>
      <c r="X193" s="399"/>
      <c r="Y193" s="399"/>
      <c r="Z193" s="399"/>
      <c r="AA193" s="399"/>
      <c r="AB193" s="399"/>
      <c r="AC193" s="110"/>
    </row>
    <row r="195" spans="3:52" ht="27" customHeight="1">
      <c r="F195" s="142" t="s">
        <v>77</v>
      </c>
      <c r="G195" s="402" t="s">
        <v>72</v>
      </c>
      <c r="H195" s="403"/>
      <c r="I195" s="402" t="s">
        <v>73</v>
      </c>
      <c r="J195" s="403"/>
      <c r="K195" s="402" t="s">
        <v>74</v>
      </c>
      <c r="L195" s="403"/>
      <c r="M195" s="402" t="s">
        <v>44</v>
      </c>
      <c r="N195" s="403"/>
      <c r="O195" s="402" t="s">
        <v>47</v>
      </c>
      <c r="P195" s="403"/>
      <c r="Q195" s="141"/>
      <c r="R195" s="141"/>
      <c r="S195" s="142" t="s">
        <v>77</v>
      </c>
      <c r="T195" s="402" t="s">
        <v>72</v>
      </c>
      <c r="U195" s="403"/>
      <c r="V195" s="402" t="s">
        <v>73</v>
      </c>
      <c r="W195" s="403"/>
      <c r="X195" s="402" t="s">
        <v>74</v>
      </c>
      <c r="Y195" s="403"/>
      <c r="Z195" s="402" t="s">
        <v>44</v>
      </c>
      <c r="AA195" s="403"/>
      <c r="AB195" s="402" t="s">
        <v>47</v>
      </c>
      <c r="AC195" s="403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396" t="s">
        <v>6</v>
      </c>
      <c r="AM200" s="396"/>
      <c r="AN200" s="396"/>
      <c r="AO200" s="396"/>
      <c r="AP200" s="396"/>
      <c r="AQ200" s="396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396"/>
      <c r="AM201" s="396"/>
      <c r="AN201" s="396"/>
      <c r="AO201" s="396"/>
      <c r="AP201" s="396"/>
      <c r="AQ201" s="396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tabSelected="1" workbookViewId="0">
      <selection activeCell="I22" sqref="I22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P10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41</v>
      </c>
      <c r="C7" s="370">
        <v>2380207.19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2364382.23</v>
      </c>
      <c r="E7" s="371">
        <f>C7-D7</f>
        <v>15824.959999999963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15824.96</v>
      </c>
    </row>
    <row r="9" spans="2:9">
      <c r="B9" s="374" t="s">
        <v>107</v>
      </c>
      <c r="C9" s="375"/>
      <c r="D9" s="376"/>
      <c r="E9" s="366">
        <f>E7-E8</f>
        <v>-3.637978807091713E-11</v>
      </c>
    </row>
    <row r="10" spans="2:9">
      <c r="C10" s="362"/>
      <c r="E10" s="362"/>
    </row>
    <row r="11" spans="2:9">
      <c r="C11" s="362"/>
      <c r="E11" s="388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41</v>
      </c>
      <c r="C14" s="370" t="str">
        <v>Monday</v>
      </c>
      <c r="D14" s="375">
        <v>114787.79</v>
      </c>
      <c r="I14" s="362"/>
    </row>
    <row r="15" spans="2:9">
      <c r="B15" s="369" t="str">
        <v>Week 41</v>
      </c>
      <c r="C15" s="370" t="str">
        <v>Tuesday</v>
      </c>
      <c r="D15" s="375">
        <v>142100.54999999999</v>
      </c>
      <c r="I15" s="362"/>
    </row>
    <row r="16" spans="2:9">
      <c r="B16" s="369" t="str">
        <v>Week 41</v>
      </c>
      <c r="C16" s="370" t="str">
        <v>Wednesday</v>
      </c>
      <c r="D16" s="375">
        <v>183020.53</v>
      </c>
      <c r="I16" s="362"/>
    </row>
    <row r="17" spans="2:9">
      <c r="B17" s="369" t="str">
        <v>Week 41</v>
      </c>
      <c r="C17" s="370" t="str">
        <v>Thursday</v>
      </c>
      <c r="D17" s="375">
        <v>313449.96999999997</v>
      </c>
      <c r="I17" s="362"/>
    </row>
    <row r="18" spans="2:9">
      <c r="B18" s="369" t="str">
        <v>Week 41</v>
      </c>
      <c r="C18" s="370" t="str">
        <v>Friday</v>
      </c>
      <c r="D18" s="375">
        <v>413136.7</v>
      </c>
      <c r="I18" s="362"/>
    </row>
    <row r="19" spans="2:9">
      <c r="B19" s="369" t="str">
        <v>Week 41</v>
      </c>
      <c r="C19" s="370" t="str">
        <v>Saturday</v>
      </c>
      <c r="D19" s="375">
        <v>758177.01</v>
      </c>
      <c r="I19" s="362"/>
    </row>
    <row r="20" spans="2:9">
      <c r="B20" s="372" t="str">
        <v>Week 41</v>
      </c>
      <c r="C20" s="373" t="str">
        <v>Sunday</v>
      </c>
      <c r="D20" s="375">
        <v>455534.64</v>
      </c>
      <c r="I20" s="362"/>
    </row>
    <row r="21" spans="2:9">
      <c r="B21" s="381" t="s">
        <v>107</v>
      </c>
      <c r="C21" s="379"/>
      <c r="D21" s="380">
        <f>SUM(D14:D20)</f>
        <v>2380207.19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92"/>
  <sheetViews>
    <sheetView showGridLines="0" topLeftCell="A5" workbookViewId="0">
      <selection activeCell="F5" sqref="F5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173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173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174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174</v>
      </c>
      <c r="R42" s="348">
        <v>46272</v>
      </c>
      <c r="S42" s="349">
        <v>46278</v>
      </c>
      <c r="T42" s="362">
        <v>5412.19</v>
      </c>
    </row>
    <row r="43" spans="2:20" ht="12">
      <c r="B43" s="351" t="s">
        <v>171</v>
      </c>
      <c r="C43" s="352" t="s">
        <v>175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175</v>
      </c>
      <c r="R43" s="353">
        <v>46279</v>
      </c>
      <c r="S43" s="354">
        <v>46285</v>
      </c>
      <c r="T43" s="362">
        <v>8040.94</v>
      </c>
    </row>
    <row r="44" spans="2:20" ht="12">
      <c r="B44" s="346" t="s">
        <v>171</v>
      </c>
      <c r="C44" s="347" t="s">
        <v>176</v>
      </c>
      <c r="D44" s="348">
        <f t="shared" si="2"/>
        <v>46286</v>
      </c>
      <c r="E44" s="349">
        <f>Table3[[#This Row],[Start Date]]+6</f>
        <v>46292</v>
      </c>
      <c r="F44" s="350" t="s">
        <v>177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176</v>
      </c>
      <c r="R44" s="348">
        <v>46286</v>
      </c>
      <c r="S44" s="349">
        <v>46292</v>
      </c>
      <c r="T44" s="362">
        <v>10086.290000000001</v>
      </c>
    </row>
    <row r="45" spans="2:20" ht="12">
      <c r="B45" s="351" t="s">
        <v>76</v>
      </c>
      <c r="C45" s="352" t="s">
        <v>178</v>
      </c>
      <c r="D45" s="353">
        <f t="shared" si="2"/>
        <v>46293</v>
      </c>
      <c r="E45" s="354">
        <f>Table3[[#This Row],[Start Date]]+6</f>
        <v>46299</v>
      </c>
      <c r="F45" s="350" t="s">
        <v>177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178</v>
      </c>
      <c r="R45" s="353">
        <v>46293</v>
      </c>
      <c r="S45" s="354">
        <v>46299</v>
      </c>
      <c r="T45" s="362">
        <v>25494.81</v>
      </c>
    </row>
    <row r="46" spans="2:20" ht="12">
      <c r="B46" s="346" t="s">
        <v>76</v>
      </c>
      <c r="C46" s="347" t="s">
        <v>101</v>
      </c>
      <c r="D46" s="348">
        <f t="shared" si="2"/>
        <v>46300</v>
      </c>
      <c r="E46" s="349">
        <f>Table3[[#This Row],[Start Date]]+6</f>
        <v>46306</v>
      </c>
      <c r="F46" s="350" t="s">
        <v>177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101</v>
      </c>
      <c r="R46" s="348">
        <v>46300</v>
      </c>
      <c r="S46" s="349">
        <v>46306</v>
      </c>
      <c r="T46" s="362">
        <v>15824.96</v>
      </c>
    </row>
    <row r="47" spans="2:20" ht="12">
      <c r="B47" s="351" t="s">
        <v>76</v>
      </c>
      <c r="C47" s="352" t="s">
        <v>179</v>
      </c>
      <c r="D47" s="353">
        <f t="shared" si="2"/>
        <v>46307</v>
      </c>
      <c r="E47" s="354">
        <f>Table3[[#This Row],[Start Date]]+6</f>
        <v>46313</v>
      </c>
      <c r="F47" s="350" t="s">
        <v>177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179</v>
      </c>
      <c r="R47" s="353">
        <v>46307</v>
      </c>
      <c r="S47" s="354">
        <v>46313</v>
      </c>
      <c r="T47" s="362"/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  <row r="258" spans="8:14">
      <c r="H258" s="343">
        <v>20260907</v>
      </c>
      <c r="I258" s="362">
        <v>181011.72</v>
      </c>
      <c r="J258" s="343">
        <v>705</v>
      </c>
      <c r="K258" s="343">
        <v>1667</v>
      </c>
      <c r="L258" s="363">
        <f t="shared" ref="L258:L264" si="44">DATE(LEFT(H258,4),MID(H258,5,2),RIGHT(H258,2))</f>
        <v>46272</v>
      </c>
      <c r="M258" s="350" t="str">
        <f t="shared" ref="M258:M264" si="45">TEXT(L258,"DDDD")</f>
        <v>Monday</v>
      </c>
      <c r="N258" s="350" t="str" cm="1">
        <f t="array" ref="N258">_xlfn._xlws.FILTER(Table3[Week '#],(Table3[Start Date]&lt;=Table6[[#This Row],[Date]])*(Table3[End Date]&gt;=Table6[[#This Row],[Date]]),"")</f>
        <v>Week 37</v>
      </c>
    </row>
    <row r="259" spans="8:14">
      <c r="H259" s="343">
        <v>20260908</v>
      </c>
      <c r="I259" s="362">
        <v>110341.24</v>
      </c>
      <c r="J259" s="343">
        <v>411</v>
      </c>
      <c r="K259" s="343">
        <v>962</v>
      </c>
      <c r="L259" s="363">
        <f t="shared" si="44"/>
        <v>46273</v>
      </c>
      <c r="M259" s="350" t="str">
        <f t="shared" si="45"/>
        <v>Tuesday</v>
      </c>
      <c r="N259" s="350" t="str" cm="1">
        <f t="array" ref="N259">_xlfn._xlws.FILTER(Table3[Week '#],(Table3[Start Date]&lt;=Table6[[#This Row],[Date]])*(Table3[End Date]&gt;=Table6[[#This Row],[Date]]),"")</f>
        <v>Week 37</v>
      </c>
    </row>
    <row r="260" spans="8:14">
      <c r="H260" s="343">
        <v>20260909</v>
      </c>
      <c r="I260" s="362">
        <v>157020.26999999999</v>
      </c>
      <c r="J260" s="343">
        <v>617</v>
      </c>
      <c r="K260" s="343">
        <v>1423</v>
      </c>
      <c r="L260" s="363">
        <f t="shared" si="44"/>
        <v>46274</v>
      </c>
      <c r="M260" s="350" t="str">
        <f t="shared" si="45"/>
        <v>Wednesday</v>
      </c>
      <c r="N260" s="350" t="str" cm="1">
        <f t="array" ref="N260">_xlfn._xlws.FILTER(Table3[Week '#],(Table3[Start Date]&lt;=Table6[[#This Row],[Date]])*(Table3[End Date]&gt;=Table6[[#This Row],[Date]]),"")</f>
        <v>Week 37</v>
      </c>
    </row>
    <row r="261" spans="8:14">
      <c r="H261" s="343">
        <v>20260910</v>
      </c>
      <c r="I261" s="362">
        <v>233743.42</v>
      </c>
      <c r="J261" s="343">
        <v>901</v>
      </c>
      <c r="K261" s="343">
        <v>1900</v>
      </c>
      <c r="L261" s="363">
        <f t="shared" si="44"/>
        <v>46275</v>
      </c>
      <c r="M261" s="350" t="str">
        <f t="shared" si="45"/>
        <v>Thursday</v>
      </c>
      <c r="N261" s="350" t="str" cm="1">
        <f t="array" ref="N261">_xlfn._xlws.FILTER(Table3[Week '#],(Table3[Start Date]&lt;=Table6[[#This Row],[Date]])*(Table3[End Date]&gt;=Table6[[#This Row],[Date]]),"")</f>
        <v>Week 37</v>
      </c>
    </row>
    <row r="262" spans="8:14">
      <c r="H262" s="343">
        <v>20260911</v>
      </c>
      <c r="I262" s="362">
        <v>362731.84</v>
      </c>
      <c r="J262" s="343">
        <v>1466</v>
      </c>
      <c r="K262" s="343">
        <v>3065</v>
      </c>
      <c r="L262" s="363">
        <f t="shared" si="44"/>
        <v>46276</v>
      </c>
      <c r="M262" s="350" t="str">
        <f t="shared" si="45"/>
        <v>Friday</v>
      </c>
      <c r="N262" s="350" t="str" cm="1">
        <f t="array" ref="N262">_xlfn._xlws.FILTER(Table3[Week '#],(Table3[Start Date]&lt;=Table6[[#This Row],[Date]])*(Table3[End Date]&gt;=Table6[[#This Row],[Date]]),"")</f>
        <v>Week 37</v>
      </c>
    </row>
    <row r="263" spans="8:14">
      <c r="H263" s="343">
        <v>20260912</v>
      </c>
      <c r="I263" s="362">
        <v>481674.37</v>
      </c>
      <c r="J263" s="343">
        <v>1952</v>
      </c>
      <c r="K263" s="343">
        <v>4390</v>
      </c>
      <c r="L263" s="363">
        <f t="shared" si="44"/>
        <v>46277</v>
      </c>
      <c r="M263" s="350" t="str">
        <f t="shared" si="45"/>
        <v>Saturday</v>
      </c>
      <c r="N263" s="350" t="str" cm="1">
        <f t="array" ref="N263">_xlfn._xlws.FILTER(Table3[Week '#],(Table3[Start Date]&lt;=Table6[[#This Row],[Date]])*(Table3[End Date]&gt;=Table6[[#This Row],[Date]]),"")</f>
        <v>Week 37</v>
      </c>
    </row>
    <row r="264" spans="8:14">
      <c r="H264" s="343">
        <v>20260913</v>
      </c>
      <c r="I264" s="362">
        <v>297744.71999999997</v>
      </c>
      <c r="J264" s="343">
        <v>1071</v>
      </c>
      <c r="K264" s="343">
        <v>2451</v>
      </c>
      <c r="L264" s="363">
        <f t="shared" si="44"/>
        <v>46278</v>
      </c>
      <c r="M264" s="350" t="str">
        <f t="shared" si="45"/>
        <v>Sunday</v>
      </c>
      <c r="N264" s="350" t="str" cm="1">
        <f t="array" ref="N264">_xlfn._xlws.FILTER(Table3[Week '#],(Table3[Start Date]&lt;=Table6[[#This Row],[Date]])*(Table3[End Date]&gt;=Table6[[#This Row],[Date]]),"")</f>
        <v>Week 37</v>
      </c>
    </row>
    <row r="265" spans="8:14">
      <c r="H265" s="343">
        <v>20260914</v>
      </c>
      <c r="I265" s="362">
        <v>130170.02</v>
      </c>
      <c r="J265" s="343">
        <v>408</v>
      </c>
      <c r="K265" s="343">
        <v>1060</v>
      </c>
      <c r="L265" s="363">
        <f t="shared" ref="L265:L271" si="46">DATE(LEFT(H265,4),MID(H265,5,2),RIGHT(H265,2))</f>
        <v>46279</v>
      </c>
      <c r="M265" s="350" t="str">
        <f t="shared" ref="M265:M271" si="47">TEXT(L265,"DDDD")</f>
        <v>Monday</v>
      </c>
      <c r="N265" s="350" t="str" cm="1">
        <f t="array" ref="N265">_xlfn._xlws.FILTER(Table3[Week '#],(Table3[Start Date]&lt;=Table6[[#This Row],[Date]])*(Table3[End Date]&gt;=Table6[[#This Row],[Date]]),"")</f>
        <v>Week 38</v>
      </c>
    </row>
    <row r="266" spans="8:14">
      <c r="H266" s="343">
        <v>20260915</v>
      </c>
      <c r="I266" s="362">
        <v>163378.01999999999</v>
      </c>
      <c r="J266" s="343">
        <v>543</v>
      </c>
      <c r="K266" s="343">
        <v>1322</v>
      </c>
      <c r="L266" s="363">
        <f t="shared" si="46"/>
        <v>46280</v>
      </c>
      <c r="M266" s="350" t="str">
        <f t="shared" si="47"/>
        <v>Tuesday</v>
      </c>
      <c r="N266" s="350" t="str" cm="1">
        <f t="array" ref="N266">_xlfn._xlws.FILTER(Table3[Week '#],(Table3[Start Date]&lt;=Table6[[#This Row],[Date]])*(Table3[End Date]&gt;=Table6[[#This Row],[Date]]),"")</f>
        <v>Week 38</v>
      </c>
    </row>
    <row r="267" spans="8:14">
      <c r="H267" s="343">
        <v>20260916</v>
      </c>
      <c r="I267" s="362">
        <v>189600.5</v>
      </c>
      <c r="J267" s="343">
        <v>696</v>
      </c>
      <c r="K267" s="343">
        <v>2449</v>
      </c>
      <c r="L267" s="363">
        <f t="shared" si="46"/>
        <v>46281</v>
      </c>
      <c r="M267" s="350" t="str">
        <f t="shared" si="47"/>
        <v>Wednesday</v>
      </c>
      <c r="N267" s="350" t="str" cm="1">
        <f t="array" ref="N267">_xlfn._xlws.FILTER(Table3[Week '#],(Table3[Start Date]&lt;=Table6[[#This Row],[Date]])*(Table3[End Date]&gt;=Table6[[#This Row],[Date]]),"")</f>
        <v>Week 38</v>
      </c>
    </row>
    <row r="268" spans="8:14">
      <c r="H268" s="343">
        <v>20260917</v>
      </c>
      <c r="I268" s="362">
        <v>293715.15999999997</v>
      </c>
      <c r="J268" s="343">
        <v>1129</v>
      </c>
      <c r="K268" s="343">
        <v>2603</v>
      </c>
      <c r="L268" s="363">
        <f t="shared" si="46"/>
        <v>46282</v>
      </c>
      <c r="M268" s="350" t="str">
        <f t="shared" si="47"/>
        <v>Thursday</v>
      </c>
      <c r="N268" s="350" t="str" cm="1">
        <f t="array" ref="N268">_xlfn._xlws.FILTER(Table3[Week '#],(Table3[Start Date]&lt;=Table6[[#This Row],[Date]])*(Table3[End Date]&gt;=Table6[[#This Row],[Date]]),"")</f>
        <v>Week 38</v>
      </c>
    </row>
    <row r="269" spans="8:14">
      <c r="H269" s="343">
        <v>20260918</v>
      </c>
      <c r="I269" s="362">
        <v>423359.8</v>
      </c>
      <c r="J269" s="343">
        <v>1616</v>
      </c>
      <c r="K269" s="343">
        <v>4061</v>
      </c>
      <c r="L269" s="363">
        <f t="shared" si="46"/>
        <v>46283</v>
      </c>
      <c r="M269" s="350" t="str">
        <f t="shared" si="47"/>
        <v>Friday</v>
      </c>
      <c r="N269" s="350" t="str" cm="1">
        <f t="array" ref="N269">_xlfn._xlws.FILTER(Table3[Week '#],(Table3[Start Date]&lt;=Table6[[#This Row],[Date]])*(Table3[End Date]&gt;=Table6[[#This Row],[Date]]),"")</f>
        <v>Week 38</v>
      </c>
    </row>
    <row r="270" spans="8:14">
      <c r="H270" s="343">
        <v>20260919</v>
      </c>
      <c r="I270" s="362">
        <v>555131.27</v>
      </c>
      <c r="J270" s="343">
        <v>2102</v>
      </c>
      <c r="K270" s="343">
        <v>5192</v>
      </c>
      <c r="L270" s="363">
        <f t="shared" si="46"/>
        <v>46284</v>
      </c>
      <c r="M270" s="350" t="str">
        <f t="shared" si="47"/>
        <v>Saturday</v>
      </c>
      <c r="N270" s="350" t="str" cm="1">
        <f t="array" ref="N270">_xlfn._xlws.FILTER(Table3[Week '#],(Table3[Start Date]&lt;=Table6[[#This Row],[Date]])*(Table3[End Date]&gt;=Table6[[#This Row],[Date]]),"")</f>
        <v>Week 38</v>
      </c>
    </row>
    <row r="271" spans="8:14">
      <c r="H271" s="343">
        <v>20260920</v>
      </c>
      <c r="I271" s="362">
        <v>302155.99</v>
      </c>
      <c r="J271" s="343">
        <v>1100</v>
      </c>
      <c r="K271" s="343">
        <v>2652</v>
      </c>
      <c r="L271" s="363">
        <f t="shared" si="46"/>
        <v>46285</v>
      </c>
      <c r="M271" s="350" t="str">
        <f t="shared" si="47"/>
        <v>Sunday</v>
      </c>
      <c r="N271" s="350" t="str" cm="1">
        <f t="array" ref="N271">_xlfn._xlws.FILTER(Table3[Week '#],(Table3[Start Date]&lt;=Table6[[#This Row],[Date]])*(Table3[End Date]&gt;=Table6[[#This Row],[Date]]),"")</f>
        <v>Week 38</v>
      </c>
    </row>
    <row r="272" spans="8:14">
      <c r="H272" s="343">
        <v>20260921</v>
      </c>
      <c r="I272" s="362">
        <v>113400.33</v>
      </c>
      <c r="J272" s="343">
        <v>449</v>
      </c>
      <c r="K272" s="343">
        <v>1037</v>
      </c>
      <c r="L272" s="363">
        <f t="shared" ref="L272:L278" si="48">DATE(LEFT(H272,4),MID(H272,5,2),RIGHT(H272,2))</f>
        <v>46286</v>
      </c>
      <c r="M272" s="350" t="str">
        <f t="shared" ref="M272:M278" si="49">TEXT(L272,"DDDD")</f>
        <v>Monday</v>
      </c>
      <c r="N272" s="350" t="str" cm="1">
        <f t="array" ref="N272">_xlfn._xlws.FILTER(Table3[Week '#],(Table3[Start Date]&lt;=Table6[[#This Row],[Date]])*(Table3[End Date]&gt;=Table6[[#This Row],[Date]]),"")</f>
        <v>Week 39</v>
      </c>
    </row>
    <row r="273" spans="8:14">
      <c r="H273" s="343">
        <v>20260922</v>
      </c>
      <c r="I273" s="362">
        <v>190808.01</v>
      </c>
      <c r="J273" s="343">
        <v>502</v>
      </c>
      <c r="K273" s="343">
        <v>1380</v>
      </c>
      <c r="L273" s="363">
        <f t="shared" si="48"/>
        <v>46287</v>
      </c>
      <c r="M273" s="350" t="str">
        <f t="shared" si="49"/>
        <v>Tuesday</v>
      </c>
      <c r="N273" s="350" t="str" cm="1">
        <f t="array" ref="N273">_xlfn._xlws.FILTER(Table3[Week '#],(Table3[Start Date]&lt;=Table6[[#This Row],[Date]])*(Table3[End Date]&gt;=Table6[[#This Row],[Date]]),"")</f>
        <v>Week 39</v>
      </c>
    </row>
    <row r="274" spans="8:14">
      <c r="H274" s="343">
        <v>20260923</v>
      </c>
      <c r="I274" s="362">
        <v>201222.17</v>
      </c>
      <c r="J274" s="343">
        <v>735</v>
      </c>
      <c r="K274" s="343">
        <v>1846</v>
      </c>
      <c r="L274" s="363">
        <f t="shared" si="48"/>
        <v>46288</v>
      </c>
      <c r="M274" s="350" t="str">
        <f t="shared" si="49"/>
        <v>Wednesday</v>
      </c>
      <c r="N274" s="350" t="str" cm="1">
        <f t="array" ref="N274">_xlfn._xlws.FILTER(Table3[Week '#],(Table3[Start Date]&lt;=Table6[[#This Row],[Date]])*(Table3[End Date]&gt;=Table6[[#This Row],[Date]]),"")</f>
        <v>Week 39</v>
      </c>
    </row>
    <row r="275" spans="8:14">
      <c r="H275" s="343">
        <v>20260924</v>
      </c>
      <c r="I275" s="362">
        <v>343749.75</v>
      </c>
      <c r="J275" s="343">
        <v>1242</v>
      </c>
      <c r="K275" s="343">
        <v>2610</v>
      </c>
      <c r="L275" s="363">
        <f t="shared" si="48"/>
        <v>46289</v>
      </c>
      <c r="M275" s="350" t="str">
        <f t="shared" si="49"/>
        <v>Thursday</v>
      </c>
      <c r="N275" s="350" t="str" cm="1">
        <f t="array" ref="N275">_xlfn._xlws.FILTER(Table3[Week '#],(Table3[Start Date]&lt;=Table6[[#This Row],[Date]])*(Table3[End Date]&gt;=Table6[[#This Row],[Date]]),"")</f>
        <v>Week 39</v>
      </c>
    </row>
    <row r="276" spans="8:14">
      <c r="H276" s="343">
        <v>20260925</v>
      </c>
      <c r="I276" s="362">
        <v>491781.92</v>
      </c>
      <c r="J276" s="343">
        <v>1833</v>
      </c>
      <c r="K276" s="343">
        <v>4384</v>
      </c>
      <c r="L276" s="363">
        <f t="shared" si="48"/>
        <v>46290</v>
      </c>
      <c r="M276" s="350" t="str">
        <f t="shared" si="49"/>
        <v>Friday</v>
      </c>
      <c r="N276" s="350" t="str" cm="1">
        <f t="array" ref="N276">_xlfn._xlws.FILTER(Table3[Week '#],(Table3[Start Date]&lt;=Table6[[#This Row],[Date]])*(Table3[End Date]&gt;=Table6[[#This Row],[Date]]),"")</f>
        <v>Week 39</v>
      </c>
    </row>
    <row r="277" spans="8:14">
      <c r="H277" s="343">
        <v>20260926</v>
      </c>
      <c r="I277" s="362">
        <v>611158.22</v>
      </c>
      <c r="J277" s="343">
        <v>2206</v>
      </c>
      <c r="K277" s="343">
        <v>5649</v>
      </c>
      <c r="L277" s="363">
        <f t="shared" si="48"/>
        <v>46291</v>
      </c>
      <c r="M277" s="350" t="str">
        <f t="shared" si="49"/>
        <v>Saturday</v>
      </c>
      <c r="N277" s="350" t="str" cm="1">
        <f t="array" ref="N277">_xlfn._xlws.FILTER(Table3[Week '#],(Table3[Start Date]&lt;=Table6[[#This Row],[Date]])*(Table3[End Date]&gt;=Table6[[#This Row],[Date]]),"")</f>
        <v>Week 39</v>
      </c>
    </row>
    <row r="278" spans="8:14">
      <c r="H278" s="343">
        <v>20260927</v>
      </c>
      <c r="I278" s="362">
        <v>327419.51</v>
      </c>
      <c r="J278" s="343">
        <v>1233</v>
      </c>
      <c r="K278" s="343">
        <v>2802</v>
      </c>
      <c r="L278" s="363">
        <f t="shared" si="48"/>
        <v>46292</v>
      </c>
      <c r="M278" s="350" t="str">
        <f t="shared" si="49"/>
        <v>Sunday</v>
      </c>
      <c r="N278" s="350" t="str" cm="1">
        <f t="array" ref="N278">_xlfn._xlws.FILTER(Table3[Week '#],(Table3[Start Date]&lt;=Table6[[#This Row],[Date]])*(Table3[End Date]&gt;=Table6[[#This Row],[Date]]),"")</f>
        <v>Week 39</v>
      </c>
    </row>
    <row r="279" spans="8:14">
      <c r="H279" s="343">
        <v>20260928</v>
      </c>
      <c r="I279" s="362">
        <v>260228.85</v>
      </c>
      <c r="J279" s="343">
        <v>392</v>
      </c>
      <c r="K279" s="343">
        <v>1303</v>
      </c>
      <c r="L279" s="363">
        <f t="shared" ref="L279:L285" si="50">DATE(LEFT(H279,4),MID(H279,5,2),RIGHT(H279,2))</f>
        <v>46293</v>
      </c>
      <c r="M279" s="350" t="str">
        <f t="shared" ref="M279:M285" si="51">TEXT(L279,"DDDD")</f>
        <v>Monday</v>
      </c>
      <c r="N279" s="350" t="str" cm="1">
        <f t="array" ref="N279">_xlfn._xlws.FILTER(Table3[Week '#],(Table3[Start Date]&lt;=Table6[[#This Row],[Date]])*(Table3[End Date]&gt;=Table6[[#This Row],[Date]]),"")</f>
        <v>Week 40</v>
      </c>
    </row>
    <row r="280" spans="8:14">
      <c r="H280" s="343">
        <v>20260929</v>
      </c>
      <c r="I280" s="362">
        <v>242311.38</v>
      </c>
      <c r="J280" s="343">
        <v>299</v>
      </c>
      <c r="K280" s="343">
        <v>1099</v>
      </c>
      <c r="L280" s="363">
        <f t="shared" si="50"/>
        <v>46294</v>
      </c>
      <c r="M280" s="350" t="str">
        <f t="shared" si="51"/>
        <v>Tuesday</v>
      </c>
      <c r="N280" s="350" t="str" cm="1">
        <f t="array" ref="N280">_xlfn._xlws.FILTER(Table3[Week '#],(Table3[Start Date]&lt;=Table6[[#This Row],[Date]])*(Table3[End Date]&gt;=Table6[[#This Row],[Date]]),"")</f>
        <v>Week 40</v>
      </c>
    </row>
    <row r="281" spans="8:14">
      <c r="H281" s="343">
        <v>20260930</v>
      </c>
      <c r="I281" s="362">
        <v>219944.12</v>
      </c>
      <c r="J281" s="343">
        <v>786</v>
      </c>
      <c r="K281" s="343">
        <v>1769</v>
      </c>
      <c r="L281" s="363">
        <f t="shared" si="50"/>
        <v>46295</v>
      </c>
      <c r="M281" s="350" t="str">
        <f t="shared" si="51"/>
        <v>Wednesday</v>
      </c>
      <c r="N281" s="350" t="str" cm="1">
        <f t="array" ref="N281">_xlfn._xlws.FILTER(Table3[Week '#],(Table3[Start Date]&lt;=Table6[[#This Row],[Date]])*(Table3[End Date]&gt;=Table6[[#This Row],[Date]]),"")</f>
        <v>Week 40</v>
      </c>
    </row>
    <row r="282" spans="8:14">
      <c r="H282" s="343">
        <v>20261001</v>
      </c>
      <c r="I282" s="362">
        <v>298270.12</v>
      </c>
      <c r="J282" s="343">
        <v>953</v>
      </c>
      <c r="K282" s="343">
        <v>2196</v>
      </c>
      <c r="L282" s="363">
        <f t="shared" si="50"/>
        <v>46296</v>
      </c>
      <c r="M282" s="350" t="str">
        <f t="shared" si="51"/>
        <v>Thursday</v>
      </c>
      <c r="N282" s="350" t="str" cm="1">
        <f t="array" ref="N282">_xlfn._xlws.FILTER(Table3[Week '#],(Table3[Start Date]&lt;=Table6[[#This Row],[Date]])*(Table3[End Date]&gt;=Table6[[#This Row],[Date]]),"")</f>
        <v>Week 40</v>
      </c>
    </row>
    <row r="283" spans="8:14">
      <c r="H283" s="343">
        <v>20261002</v>
      </c>
      <c r="I283" s="362">
        <v>456065.43</v>
      </c>
      <c r="J283" s="343">
        <v>1631</v>
      </c>
      <c r="K283" s="343">
        <v>3542</v>
      </c>
      <c r="L283" s="363">
        <f t="shared" si="50"/>
        <v>46297</v>
      </c>
      <c r="M283" s="350" t="str">
        <f t="shared" si="51"/>
        <v>Friday</v>
      </c>
      <c r="N283" s="350" t="str" cm="1">
        <f t="array" ref="N283">_xlfn._xlws.FILTER(Table3[Week '#],(Table3[Start Date]&lt;=Table6[[#This Row],[Date]])*(Table3[End Date]&gt;=Table6[[#This Row],[Date]]),"")</f>
        <v>Week 40</v>
      </c>
    </row>
    <row r="284" spans="8:14">
      <c r="H284" s="343">
        <v>20261003</v>
      </c>
      <c r="I284" s="362">
        <v>607742.06999999995</v>
      </c>
      <c r="J284" s="343">
        <v>2106</v>
      </c>
      <c r="K284" s="343">
        <v>4517</v>
      </c>
      <c r="L284" s="363">
        <f t="shared" si="50"/>
        <v>46298</v>
      </c>
      <c r="M284" s="350" t="str">
        <f t="shared" si="51"/>
        <v>Saturday</v>
      </c>
      <c r="N284" s="350" t="str" cm="1">
        <f t="array" ref="N284">_xlfn._xlws.FILTER(Table3[Week '#],(Table3[Start Date]&lt;=Table6[[#This Row],[Date]])*(Table3[End Date]&gt;=Table6[[#This Row],[Date]]),"")</f>
        <v>Week 40</v>
      </c>
    </row>
    <row r="285" spans="8:14">
      <c r="H285" s="343">
        <v>20261004</v>
      </c>
      <c r="I285" s="362">
        <v>342811.08</v>
      </c>
      <c r="J285" s="343">
        <v>1159</v>
      </c>
      <c r="K285" s="343">
        <v>2580</v>
      </c>
      <c r="L285" s="363">
        <f t="shared" si="50"/>
        <v>46299</v>
      </c>
      <c r="M285" s="350" t="str">
        <f t="shared" si="51"/>
        <v>Sunday</v>
      </c>
      <c r="N285" s="350" t="str" cm="1">
        <f t="array" ref="N285">_xlfn._xlws.FILTER(Table3[Week '#],(Table3[Start Date]&lt;=Table6[[#This Row],[Date]])*(Table3[End Date]&gt;=Table6[[#This Row],[Date]]),"")</f>
        <v>Week 40</v>
      </c>
    </row>
    <row r="286" spans="8:14">
      <c r="H286" s="343">
        <v>20261005</v>
      </c>
      <c r="I286" s="362">
        <v>114787.79</v>
      </c>
      <c r="J286" s="343">
        <v>323</v>
      </c>
      <c r="K286" s="343">
        <v>826</v>
      </c>
      <c r="L286" s="363">
        <f t="shared" ref="L286:L292" si="52">DATE(LEFT(H286,4),MID(H286,5,2),RIGHT(H286,2))</f>
        <v>46300</v>
      </c>
      <c r="M286" s="350" t="str">
        <f t="shared" ref="M286:M292" si="53">TEXT(L286,"DDDD")</f>
        <v>Monday</v>
      </c>
      <c r="N286" s="350" t="str" cm="1">
        <f t="array" ref="N286">_xlfn._xlws.FILTER(Table3[Week '#],(Table3[Start Date]&lt;=Table6[[#This Row],[Date]])*(Table3[End Date]&gt;=Table6[[#This Row],[Date]]),"")</f>
        <v>Week 41</v>
      </c>
    </row>
    <row r="287" spans="8:14">
      <c r="H287" s="343">
        <v>20261006</v>
      </c>
      <c r="I287" s="362">
        <v>142100.54999999999</v>
      </c>
      <c r="J287" s="343">
        <v>466</v>
      </c>
      <c r="K287" s="343">
        <v>1763</v>
      </c>
      <c r="L287" s="363">
        <f t="shared" si="52"/>
        <v>46301</v>
      </c>
      <c r="M287" s="350" t="str">
        <f t="shared" si="53"/>
        <v>Tuesday</v>
      </c>
      <c r="N287" s="350" t="str" cm="1">
        <f t="array" ref="N287">_xlfn._xlws.FILTER(Table3[Week '#],(Table3[Start Date]&lt;=Table6[[#This Row],[Date]])*(Table3[End Date]&gt;=Table6[[#This Row],[Date]]),"")</f>
        <v>Week 41</v>
      </c>
    </row>
    <row r="288" spans="8:14">
      <c r="H288" s="343">
        <v>20261007</v>
      </c>
      <c r="I288" s="362">
        <v>183020.53</v>
      </c>
      <c r="J288" s="343">
        <v>587</v>
      </c>
      <c r="K288" s="343">
        <v>1358</v>
      </c>
      <c r="L288" s="363">
        <f t="shared" si="52"/>
        <v>46302</v>
      </c>
      <c r="M288" s="350" t="str">
        <f t="shared" si="53"/>
        <v>Wednesday</v>
      </c>
      <c r="N288" s="350" t="str" cm="1">
        <f t="array" ref="N288">_xlfn._xlws.FILTER(Table3[Week '#],(Table3[Start Date]&lt;=Table6[[#This Row],[Date]])*(Table3[End Date]&gt;=Table6[[#This Row],[Date]]),"")</f>
        <v>Week 41</v>
      </c>
    </row>
    <row r="289" spans="8:14">
      <c r="H289" s="343">
        <v>20261008</v>
      </c>
      <c r="I289" s="362">
        <v>313449.96999999997</v>
      </c>
      <c r="J289" s="343">
        <v>1260</v>
      </c>
      <c r="K289" s="343">
        <v>2977</v>
      </c>
      <c r="L289" s="363">
        <f t="shared" si="52"/>
        <v>46303</v>
      </c>
      <c r="M289" s="350" t="str">
        <f t="shared" si="53"/>
        <v>Thursday</v>
      </c>
      <c r="N289" s="350" t="str" cm="1">
        <f t="array" ref="N289">_xlfn._xlws.FILTER(Table3[Week '#],(Table3[Start Date]&lt;=Table6[[#This Row],[Date]])*(Table3[End Date]&gt;=Table6[[#This Row],[Date]]),"")</f>
        <v>Week 41</v>
      </c>
    </row>
    <row r="290" spans="8:14">
      <c r="H290" s="343">
        <v>20261009</v>
      </c>
      <c r="I290" s="362">
        <v>413136.7</v>
      </c>
      <c r="J290" s="343">
        <v>1621</v>
      </c>
      <c r="K290" s="343">
        <v>3373</v>
      </c>
      <c r="L290" s="363">
        <f t="shared" si="52"/>
        <v>46304</v>
      </c>
      <c r="M290" s="350" t="str">
        <f t="shared" si="53"/>
        <v>Friday</v>
      </c>
      <c r="N290" s="350" t="str" cm="1">
        <f t="array" ref="N290">_xlfn._xlws.FILTER(Table3[Week '#],(Table3[Start Date]&lt;=Table6[[#This Row],[Date]])*(Table3[End Date]&gt;=Table6[[#This Row],[Date]]),"")</f>
        <v>Week 41</v>
      </c>
    </row>
    <row r="291" spans="8:14">
      <c r="H291" s="343">
        <v>20261010</v>
      </c>
      <c r="I291" s="362">
        <v>758177.01</v>
      </c>
      <c r="J291" s="343">
        <v>2063</v>
      </c>
      <c r="K291" s="343">
        <v>4615</v>
      </c>
      <c r="L291" s="363">
        <f t="shared" si="52"/>
        <v>46305</v>
      </c>
      <c r="M291" s="350" t="str">
        <f t="shared" si="53"/>
        <v>Saturday</v>
      </c>
      <c r="N291" s="350" t="str" cm="1">
        <f t="array" ref="N291">_xlfn._xlws.FILTER(Table3[Week '#],(Table3[Start Date]&lt;=Table6[[#This Row],[Date]])*(Table3[End Date]&gt;=Table6[[#This Row],[Date]]),"")</f>
        <v>Week 41</v>
      </c>
    </row>
    <row r="292" spans="8:14">
      <c r="H292" s="343">
        <v>20261011</v>
      </c>
      <c r="I292" s="362">
        <v>455534.64</v>
      </c>
      <c r="J292" s="343">
        <v>1526</v>
      </c>
      <c r="K292" s="343">
        <v>4141</v>
      </c>
      <c r="L292" s="363">
        <f t="shared" si="52"/>
        <v>46306</v>
      </c>
      <c r="M292" s="350" t="str">
        <f t="shared" si="53"/>
        <v>Sunday</v>
      </c>
      <c r="N292" s="350" t="str" cm="1">
        <f t="array" ref="N292">_xlfn._xlws.FILTER(Table3[Week '#],(Table3[Start Date]&lt;=Table6[[#This Row],[Date]])*(Table3[End Date]&gt;=Table6[[#This Row],[Date]]),"")</f>
        <v>Week 41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AL29" activePane="bottomRight" state="frozen"/>
      <selection pane="bottomRight" activeCell="AU53" sqref="AU53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24" t="s">
        <v>194</v>
      </c>
      <c r="B2" s="424"/>
      <c r="C2" s="424"/>
      <c r="D2" s="424"/>
      <c r="E2" s="416" t="s">
        <v>195</v>
      </c>
      <c r="F2" s="416"/>
      <c r="G2" s="417"/>
      <c r="H2" s="416" t="s">
        <v>195</v>
      </c>
      <c r="I2" s="416"/>
      <c r="J2" s="417"/>
      <c r="K2" s="418" t="s">
        <v>195</v>
      </c>
      <c r="L2" s="416"/>
      <c r="M2" s="419"/>
      <c r="N2" s="416" t="s">
        <v>196</v>
      </c>
      <c r="O2" s="416"/>
      <c r="P2" s="417"/>
      <c r="Q2" s="416" t="s">
        <v>196</v>
      </c>
      <c r="R2" s="416"/>
      <c r="S2" s="417"/>
      <c r="T2" s="416" t="s">
        <v>196</v>
      </c>
      <c r="U2" s="416"/>
      <c r="V2" s="417"/>
      <c r="W2" s="418" t="s">
        <v>196</v>
      </c>
      <c r="X2" s="416"/>
      <c r="Y2" s="419"/>
      <c r="Z2" s="416" t="s">
        <v>197</v>
      </c>
      <c r="AA2" s="416"/>
      <c r="AB2" s="417"/>
      <c r="AC2" s="416" t="s">
        <v>197</v>
      </c>
      <c r="AD2" s="416"/>
      <c r="AE2" s="417"/>
      <c r="AF2" s="416" t="s">
        <v>197</v>
      </c>
      <c r="AG2" s="416"/>
      <c r="AH2" s="417"/>
      <c r="AI2" s="418" t="s">
        <v>198</v>
      </c>
      <c r="AJ2" s="416"/>
      <c r="AK2" s="419"/>
      <c r="AL2" s="416" t="s">
        <v>199</v>
      </c>
      <c r="AM2" s="416"/>
      <c r="AN2" s="417"/>
      <c r="AO2" s="416" t="s">
        <v>199</v>
      </c>
      <c r="AP2" s="416"/>
      <c r="AQ2" s="417"/>
      <c r="AR2" s="418" t="s">
        <v>199</v>
      </c>
      <c r="AS2" s="416"/>
      <c r="AT2" s="419"/>
      <c r="AU2" s="416" t="s">
        <v>200</v>
      </c>
      <c r="AV2" s="416"/>
      <c r="AW2" s="417"/>
      <c r="AX2" s="416" t="s">
        <v>200</v>
      </c>
      <c r="AY2" s="416"/>
      <c r="AZ2" s="417"/>
      <c r="BA2" s="418" t="s">
        <v>200</v>
      </c>
      <c r="BB2" s="416"/>
      <c r="BC2" s="419"/>
      <c r="BD2" s="416" t="s">
        <v>201</v>
      </c>
      <c r="BE2" s="416"/>
      <c r="BF2" s="417"/>
      <c r="BG2" s="416" t="s">
        <v>201</v>
      </c>
      <c r="BH2" s="416"/>
      <c r="BI2" s="417"/>
      <c r="BJ2" s="416" t="s">
        <v>201</v>
      </c>
      <c r="BK2" s="416"/>
      <c r="BL2" s="417"/>
      <c r="BM2" s="416" t="s">
        <v>201</v>
      </c>
      <c r="BN2" s="416"/>
      <c r="BO2" s="417"/>
      <c r="BP2" s="416" t="s">
        <v>202</v>
      </c>
      <c r="BQ2" s="416"/>
      <c r="BR2" s="417"/>
      <c r="BS2" s="416" t="s">
        <v>202</v>
      </c>
      <c r="BT2" s="416"/>
      <c r="BU2" s="417"/>
      <c r="BV2" s="416" t="s">
        <v>202</v>
      </c>
      <c r="BW2" s="416"/>
      <c r="BX2" s="417"/>
      <c r="BY2" s="416" t="s">
        <v>203</v>
      </c>
      <c r="BZ2" s="416"/>
      <c r="CA2" s="417"/>
      <c r="CB2" s="416" t="s">
        <v>203</v>
      </c>
      <c r="CC2" s="416"/>
      <c r="CD2" s="417"/>
      <c r="CE2" s="416" t="s">
        <v>203</v>
      </c>
      <c r="CF2" s="416"/>
      <c r="CG2" s="417"/>
      <c r="CH2" s="418" t="s">
        <v>203</v>
      </c>
      <c r="CI2" s="416"/>
      <c r="CJ2" s="419"/>
    </row>
    <row r="3" spans="1:88" s="4" customFormat="1">
      <c r="A3" s="424"/>
      <c r="B3" s="424"/>
      <c r="C3" s="424"/>
      <c r="D3" s="424"/>
      <c r="E3" s="420" t="s">
        <v>204</v>
      </c>
      <c r="F3" s="420"/>
      <c r="G3" s="421"/>
      <c r="H3" s="420" t="s">
        <v>205</v>
      </c>
      <c r="I3" s="420"/>
      <c r="J3" s="421"/>
      <c r="K3" s="422" t="s">
        <v>107</v>
      </c>
      <c r="L3" s="420"/>
      <c r="M3" s="423"/>
      <c r="N3" s="420" t="s">
        <v>206</v>
      </c>
      <c r="O3" s="420"/>
      <c r="P3" s="421"/>
      <c r="Q3" s="420" t="s">
        <v>207</v>
      </c>
      <c r="R3" s="420"/>
      <c r="S3" s="421"/>
      <c r="T3" s="420" t="s">
        <v>208</v>
      </c>
      <c r="U3" s="420"/>
      <c r="V3" s="421"/>
      <c r="W3" s="422" t="s">
        <v>107</v>
      </c>
      <c r="X3" s="420"/>
      <c r="Y3" s="423"/>
      <c r="Z3" s="420" t="s">
        <v>204</v>
      </c>
      <c r="AA3" s="420"/>
      <c r="AB3" s="421"/>
      <c r="AC3" s="420" t="s">
        <v>205</v>
      </c>
      <c r="AD3" s="420"/>
      <c r="AE3" s="421"/>
      <c r="AF3" s="420" t="s">
        <v>207</v>
      </c>
      <c r="AG3" s="420"/>
      <c r="AH3" s="421"/>
      <c r="AI3" s="422" t="s">
        <v>107</v>
      </c>
      <c r="AJ3" s="420"/>
      <c r="AK3" s="423"/>
      <c r="AL3" s="420" t="s">
        <v>205</v>
      </c>
      <c r="AM3" s="420"/>
      <c r="AN3" s="421"/>
      <c r="AO3" s="420" t="s">
        <v>204</v>
      </c>
      <c r="AP3" s="420"/>
      <c r="AQ3" s="421"/>
      <c r="AR3" s="422" t="s">
        <v>107</v>
      </c>
      <c r="AS3" s="420"/>
      <c r="AT3" s="423"/>
      <c r="AU3" s="420" t="s">
        <v>205</v>
      </c>
      <c r="AV3" s="420"/>
      <c r="AW3" s="421"/>
      <c r="AX3" s="420" t="s">
        <v>204</v>
      </c>
      <c r="AY3" s="420"/>
      <c r="AZ3" s="421"/>
      <c r="BA3" s="422" t="s">
        <v>107</v>
      </c>
      <c r="BB3" s="420"/>
      <c r="BC3" s="423"/>
      <c r="BD3" s="420" t="s">
        <v>204</v>
      </c>
      <c r="BE3" s="420"/>
      <c r="BF3" s="421"/>
      <c r="BG3" s="420" t="s">
        <v>205</v>
      </c>
      <c r="BH3" s="420"/>
      <c r="BI3" s="421"/>
      <c r="BJ3" s="420" t="s">
        <v>207</v>
      </c>
      <c r="BK3" s="420"/>
      <c r="BL3" s="421"/>
      <c r="BM3" s="422" t="s">
        <v>107</v>
      </c>
      <c r="BN3" s="420"/>
      <c r="BO3" s="423"/>
      <c r="BP3" s="420" t="s">
        <v>208</v>
      </c>
      <c r="BQ3" s="420"/>
      <c r="BR3" s="421"/>
      <c r="BS3" s="420" t="s">
        <v>207</v>
      </c>
      <c r="BT3" s="420"/>
      <c r="BU3" s="421"/>
      <c r="BV3" s="422" t="s">
        <v>107</v>
      </c>
      <c r="BW3" s="420"/>
      <c r="BX3" s="423"/>
      <c r="BY3" s="420" t="s">
        <v>204</v>
      </c>
      <c r="BZ3" s="420"/>
      <c r="CA3" s="421"/>
      <c r="CB3" s="420" t="s">
        <v>205</v>
      </c>
      <c r="CC3" s="420"/>
      <c r="CD3" s="421"/>
      <c r="CE3" s="420" t="s">
        <v>207</v>
      </c>
      <c r="CF3" s="420"/>
      <c r="CG3" s="421"/>
      <c r="CH3" s="422" t="s">
        <v>107</v>
      </c>
      <c r="CI3" s="420"/>
      <c r="CJ3" s="423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780</v>
      </c>
      <c r="S36" s="170">
        <f t="shared" si="5"/>
        <v>42.20384615384615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536</v>
      </c>
      <c r="V36" s="170">
        <f t="shared" si="6"/>
        <v>225.42257462686567</v>
      </c>
      <c r="W36" s="167">
        <f t="shared" si="29"/>
        <v>176817.5</v>
      </c>
      <c r="X36" s="168">
        <f t="shared" si="30"/>
        <v>1392</v>
      </c>
      <c r="Y36" s="172">
        <f t="shared" si="7"/>
        <v>127.02406609195403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223</v>
      </c>
      <c r="AH36" s="170">
        <f t="shared" si="10"/>
        <v>134.97300448430494</v>
      </c>
      <c r="AI36" s="3">
        <f t="shared" si="31"/>
        <v>219819.07000000004</v>
      </c>
      <c r="AJ36" s="97">
        <f t="shared" si="32"/>
        <v>2165</v>
      </c>
      <c r="AK36" s="172">
        <f t="shared" si="11"/>
        <v>101.53305773672056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552</v>
      </c>
      <c r="AN36" s="170">
        <f t="shared" si="12"/>
        <v>182.63668478260868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2174</v>
      </c>
      <c r="AQ36" s="170">
        <f t="shared" si="13"/>
        <v>155.89275068997239</v>
      </c>
      <c r="AR36" s="3">
        <f t="shared" si="33"/>
        <v>439726.29</v>
      </c>
      <c r="AS36" s="97">
        <f t="shared" si="34"/>
        <v>2726</v>
      </c>
      <c r="AT36" s="172">
        <f t="shared" si="14"/>
        <v>161.30825018341892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753</v>
      </c>
      <c r="S37" s="170">
        <f t="shared" si="5"/>
        <v>70.17436918990704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482</v>
      </c>
      <c r="V37" s="170">
        <f t="shared" si="6"/>
        <v>134.71514522821576</v>
      </c>
      <c r="W37" s="167">
        <f t="shared" si="29"/>
        <v>133033</v>
      </c>
      <c r="X37" s="168">
        <f t="shared" si="30"/>
        <v>1298</v>
      </c>
      <c r="Y37" s="172">
        <f t="shared" si="7"/>
        <v>102.49075500770417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196</v>
      </c>
      <c r="AH37" s="170">
        <f t="shared" si="10"/>
        <v>165.82551020408164</v>
      </c>
      <c r="AI37" s="3">
        <f t="shared" si="31"/>
        <v>207885.03999999998</v>
      </c>
      <c r="AJ37" s="97">
        <f t="shared" si="32"/>
        <v>2146</v>
      </c>
      <c r="AK37" s="172">
        <f t="shared" si="11"/>
        <v>96.870941286113691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663</v>
      </c>
      <c r="AN37" s="170">
        <f t="shared" si="12"/>
        <v>88.121960784313728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1929</v>
      </c>
      <c r="AQ37" s="170">
        <f t="shared" si="13"/>
        <v>163.05453602903057</v>
      </c>
      <c r="AR37" s="3">
        <f t="shared" si="33"/>
        <v>372957.05999999994</v>
      </c>
      <c r="AS37" s="97">
        <f t="shared" si="34"/>
        <v>2592</v>
      </c>
      <c r="AT37" s="172">
        <f t="shared" si="14"/>
        <v>143.8877546296296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866</v>
      </c>
      <c r="S38" s="170">
        <f t="shared" ref="S38" si="90">IFERROR(Q38/R38,"")</f>
        <v>49.869515011547342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 t="shared" ref="W38:W43" si="92">SUM(N38,Q38,T38)</f>
        <v>191603</v>
      </c>
      <c r="X38" s="168">
        <f t="shared" ref="X38" si="93">SUM(O38,R38,U38)</f>
        <v>1528</v>
      </c>
      <c r="Y38" s="172">
        <f t="shared" ref="Y38" si="94">IFERROR(W38/X38,"")</f>
        <v>125.3946335078534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5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6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273</v>
      </c>
      <c r="AH38" s="170">
        <f t="shared" ref="AH38" si="97">IFERROR(AF38/AG38,"")</f>
        <v>143.8133333333333</v>
      </c>
      <c r="AI38" s="3">
        <f t="shared" ref="AI38:AI43" si="98">Z38+AF38+AC38</f>
        <v>263385.28999999998</v>
      </c>
      <c r="AJ38" s="97">
        <f t="shared" ref="AJ38" si="99">AA38+AG38+AD38</f>
        <v>2577</v>
      </c>
      <c r="AK38" s="172">
        <f t="shared" ref="AK38" si="100">IFERROR(AI38/AJ38,"")</f>
        <v>102.20616608459449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627</v>
      </c>
      <c r="AN38" s="170">
        <f t="shared" ref="AN38" si="101">IFERROR(AL38/AM38,"")</f>
        <v>101.36411483253589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2">IFERROR(AO38/AP38,"")</f>
        <v>157.87417399804497</v>
      </c>
      <c r="AR38" s="3">
        <f t="shared" si="33"/>
        <v>386565.86</v>
      </c>
      <c r="AS38" s="97">
        <f t="shared" ref="AS38" si="103">AP38+AM38</f>
        <v>2673</v>
      </c>
      <c r="AT38" s="172">
        <f t="shared" ref="AT38" si="104">IFERROR(AR38/AS38,"")</f>
        <v>144.61872802095024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5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6">IFERROR(AX38/AY38,"")</f>
        <v>127.1360815047022</v>
      </c>
      <c r="BA38" s="3">
        <f t="shared" si="36"/>
        <v>282014.92000000004</v>
      </c>
      <c r="BB38" s="97">
        <f t="shared" ref="BB38" si="107">AY38+AV38</f>
        <v>2336</v>
      </c>
      <c r="BC38" s="172">
        <f t="shared" ref="BC38" si="108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9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10">IFERROR(BG38/BH38,"")</f>
        <v>82.689005235602096</v>
      </c>
      <c r="BJ38" s="167"/>
      <c r="BK38" s="168"/>
      <c r="BL38" s="170" t="str">
        <f t="shared" ref="BL38" si="111">IFERROR(BJ38/BK38,"")</f>
        <v/>
      </c>
      <c r="BM38" s="3">
        <f t="shared" si="38"/>
        <v>216419.62</v>
      </c>
      <c r="BN38" s="97">
        <f t="shared" ref="BN38" si="112">BE38+BK38+BH38</f>
        <v>1926</v>
      </c>
      <c r="BO38" s="172">
        <f t="shared" ref="BO38" si="113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4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5">IFERROR(BS38/BT38,"")</f>
        <v>114.93730158730159</v>
      </c>
      <c r="BV38" s="3">
        <f t="shared" si="40"/>
        <v>117509.75</v>
      </c>
      <c r="BW38" s="97">
        <f t="shared" ref="BW38" si="116">BT38+BQ38</f>
        <v>710</v>
      </c>
      <c r="BX38" s="172">
        <f t="shared" ref="BX38" si="117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8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9">IFERROR(H39/I39,"")</f>
        <v>132.61929012345681</v>
      </c>
      <c r="K39" s="3">
        <f t="shared" ref="K39" si="120">E39+H39</f>
        <v>506455.26</v>
      </c>
      <c r="L39" s="97">
        <f t="shared" ref="L39" si="121">F39+I39</f>
        <v>3666</v>
      </c>
      <c r="M39" s="172">
        <f t="shared" ref="M39" si="122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3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859</v>
      </c>
      <c r="S39" s="170">
        <f t="shared" ref="S39" si="124">IFERROR(Q39/R39,"")</f>
        <v>47.505238649592549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5">IFERROR(T39/U39,"")</f>
        <v>267.48971518987344</v>
      </c>
      <c r="W39" s="167">
        <f t="shared" si="92"/>
        <v>233886.51</v>
      </c>
      <c r="X39" s="168">
        <f t="shared" ref="X39" si="126">SUM(O39,R39,U39)</f>
        <v>1574</v>
      </c>
      <c r="Y39" s="172">
        <f t="shared" ref="Y39" si="127">IFERROR(W39/X39,"")</f>
        <v>148.5937166454892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8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9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223</v>
      </c>
      <c r="AH39" s="170">
        <f t="shared" ref="AH39" si="130">IFERROR(AF39/AG39,"")</f>
        <v>134.1728251121076</v>
      </c>
      <c r="AI39" s="3">
        <f t="shared" si="98"/>
        <v>244630.62</v>
      </c>
      <c r="AJ39" s="97">
        <f t="shared" ref="AJ39" si="131">AA39+AG39+AD39</f>
        <v>2427</v>
      </c>
      <c r="AK39" s="172">
        <f t="shared" ref="AK39" si="132">IFERROR(AI39/AJ39,"")</f>
        <v>100.79547589616811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714</v>
      </c>
      <c r="AN39" s="170">
        <f t="shared" ref="AN39" si="133">IFERROR(AL39/AM39,"")</f>
        <v>91.472086834733886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1893</v>
      </c>
      <c r="AQ39" s="170">
        <f t="shared" ref="AQ39" si="134">IFERROR(AO39/AP39,"")</f>
        <v>181.90680929741154</v>
      </c>
      <c r="AR39" s="3">
        <f t="shared" ref="AR39" si="135">AO39+AL39</f>
        <v>409660.66000000003</v>
      </c>
      <c r="AS39" s="97">
        <f t="shared" ref="AS39" si="136">AP39+AM39</f>
        <v>2607</v>
      </c>
      <c r="AT39" s="172">
        <f t="shared" ref="AT39" si="137">IFERROR(AR39/AS39,"")</f>
        <v>157.13872650556195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8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9">IFERROR(AX39/AY39,"")</f>
        <v>137.77847141190199</v>
      </c>
      <c r="BA39" s="3">
        <f t="shared" ref="BA39" si="140">AX39+AU39</f>
        <v>269952.15000000002</v>
      </c>
      <c r="BB39" s="97">
        <f t="shared" ref="BB39" si="141">AY39+AV39</f>
        <v>2031</v>
      </c>
      <c r="BC39" s="172">
        <f t="shared" ref="BC39" si="142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3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4">IFERROR(BG39/BH39,"")</f>
        <v>82.132515723270444</v>
      </c>
      <c r="BJ39" s="167"/>
      <c r="BK39" s="168"/>
      <c r="BL39" s="170" t="str">
        <f t="shared" ref="BL39" si="145">IFERROR(BJ39/BK39,"")</f>
        <v/>
      </c>
      <c r="BM39" s="3">
        <f t="shared" ref="BM39" si="146">BD39+BJ39+BG39</f>
        <v>195005.99</v>
      </c>
      <c r="BN39" s="97">
        <f t="shared" ref="BN39" si="147">BE39+BK39+BH39</f>
        <v>1863</v>
      </c>
      <c r="BO39" s="172">
        <f t="shared" ref="BO39" si="148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9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50">IFERROR(BS39/BT39,"")</f>
        <v>102.08016877637131</v>
      </c>
      <c r="BV39" s="3">
        <f t="shared" ref="BV39" si="151">+BP39+BS39</f>
        <v>93696.1</v>
      </c>
      <c r="BW39" s="97">
        <f t="shared" ref="BW39" si="152">BT39+BQ39</f>
        <v>544</v>
      </c>
      <c r="BX39" s="172">
        <f t="shared" ref="BX39" si="153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173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4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5">IFERROR(H40/I40,"")</f>
        <v>122.64169381107492</v>
      </c>
      <c r="K40" s="3">
        <f t="shared" ref="K40" si="156">E40+H40</f>
        <v>523299.35</v>
      </c>
      <c r="L40" s="97">
        <f t="shared" ref="L40" si="157">F40+I40</f>
        <v>3613</v>
      </c>
      <c r="M40" s="172">
        <f t="shared" ref="M40" si="158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9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938</v>
      </c>
      <c r="S40" s="170">
        <f t="shared" ref="S40" si="160">IFERROR(Q40/R40,"")</f>
        <v>60.4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758</v>
      </c>
      <c r="V40" s="170">
        <f t="shared" ref="V40" si="161">IFERROR(T40/U40,"")</f>
        <v>277.60626649076522</v>
      </c>
      <c r="W40" s="167">
        <f t="shared" si="92"/>
        <v>289553.25</v>
      </c>
      <c r="X40" s="168">
        <f t="shared" ref="X40" si="162">SUM(O40,R40,U40)</f>
        <v>1759</v>
      </c>
      <c r="Y40" s="172">
        <f t="shared" ref="Y40" si="163">IFERROR(W40/X40,"")</f>
        <v>164.61242183058556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4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5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321</v>
      </c>
      <c r="AH40" s="170">
        <f t="shared" ref="AH40" si="166">IFERROR(AF40/AG40,"")</f>
        <v>95.382523364485991</v>
      </c>
      <c r="AI40" s="3">
        <f t="shared" si="98"/>
        <v>244866.30000000005</v>
      </c>
      <c r="AJ40" s="97">
        <f t="shared" ref="AJ40" si="167">AA40+AG40+AD40</f>
        <v>2631</v>
      </c>
      <c r="AK40" s="172">
        <f t="shared" ref="AK40" si="168">IFERROR(AI40/AJ40,"")</f>
        <v>93.069669327252015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9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1811</v>
      </c>
      <c r="AQ40" s="170">
        <f t="shared" ref="AQ40" si="170">IFERROR(AO40/AP40,"")</f>
        <v>166.57023191606848</v>
      </c>
      <c r="AR40" s="3">
        <f t="shared" ref="AR40" si="171">AO40+AL40</f>
        <v>379674.08999999997</v>
      </c>
      <c r="AS40" s="97">
        <f t="shared" ref="AS40" si="172">AP40+AM40</f>
        <v>2559</v>
      </c>
      <c r="AT40" s="172">
        <f t="shared" ref="AT40" si="173">IFERROR(AR40/AS40,"")</f>
        <v>148.36814771395075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4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5">IFERROR(AX40/AY40,"")</f>
        <v>137.24564698867025</v>
      </c>
      <c r="BA40" s="3">
        <f t="shared" ref="BA40" si="176">AX40+AU40</f>
        <v>259768.75</v>
      </c>
      <c r="BB40" s="97">
        <f t="shared" ref="BB40" si="177">AY40+AV40</f>
        <v>1993</v>
      </c>
      <c r="BC40" s="172">
        <f t="shared" ref="BC40" si="178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9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80">IFERROR(BG40/BH40,"")</f>
        <v>82.222109375000002</v>
      </c>
      <c r="BJ40" s="167"/>
      <c r="BK40" s="168"/>
      <c r="BL40" s="170" t="str">
        <f t="shared" ref="BL40" si="181">IFERROR(BJ40/BK40,"")</f>
        <v/>
      </c>
      <c r="BM40" s="3">
        <f t="shared" ref="BM40" si="182">BD40+BJ40+BG40</f>
        <v>190497.35</v>
      </c>
      <c r="BN40" s="97">
        <f t="shared" ref="BN40" si="183">BE40+BK40+BH40</f>
        <v>1770</v>
      </c>
      <c r="BO40" s="172">
        <f t="shared" ref="BO40" si="184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408</v>
      </c>
      <c r="BR40" s="170">
        <f t="shared" ref="BR40" si="185">IFERROR(BP40/BQ40,"")</f>
        <v>274.30857843137255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306</v>
      </c>
      <c r="BU40" s="170">
        <f t="shared" ref="BU40" si="186">IFERROR(BS40/BT40,"")</f>
        <v>135.5032679738562</v>
      </c>
      <c r="BV40" s="3">
        <f t="shared" ref="BV40" si="187">+BP40+BS40</f>
        <v>153381.9</v>
      </c>
      <c r="BW40" s="97">
        <f t="shared" ref="BW40" si="188">BT40+BQ40</f>
        <v>714</v>
      </c>
      <c r="BX40" s="172">
        <f t="shared" ref="BX40" si="189">IFERROR(BV40/BW40,"")</f>
        <v>214.82058823529411</v>
      </c>
      <c r="BY40" s="167">
        <v>0</v>
      </c>
      <c r="BZ40" s="167">
        <v>0</v>
      </c>
      <c r="CA40" s="170" t="str">
        <f t="shared" ref="CA40" si="190">IFERROR(BY40/BZ40,"")</f>
        <v/>
      </c>
      <c r="CB40" s="167">
        <v>0</v>
      </c>
      <c r="CC40" s="167">
        <v>0</v>
      </c>
      <c r="CD40" s="170" t="str">
        <f t="shared" ref="CD40" si="191">IFERROR(CB40/CC40,"")</f>
        <v/>
      </c>
      <c r="CE40" s="167"/>
      <c r="CF40" s="168"/>
      <c r="CG40" s="170" t="str">
        <f t="shared" ref="CG40" si="192">IFERROR(CE40/CF40,"")</f>
        <v/>
      </c>
      <c r="CH40" s="3">
        <f t="shared" ref="CH40" si="193">BY40+CE40+CB40</f>
        <v>0</v>
      </c>
      <c r="CI40" s="97">
        <f t="shared" ref="CI40" si="194">BZ40+CF40+CC40</f>
        <v>0</v>
      </c>
      <c r="CJ40" s="172" t="str">
        <f t="shared" ref="CJ40" si="195">IFERROR(CH40/CI40,"")</f>
        <v/>
      </c>
    </row>
    <row r="41" spans="1:88">
      <c r="A41" t="s">
        <v>174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1</v>
      </c>
      <c r="E41" s="167" cm="1">
        <f t="array" ref="E41">SUMPRODUCT((Dinner[Week '#]=$A41)*(INT(Dinner[yyyyMMdd]/10000)=VALUE(RIGHT($AX$2,4)))*Dinner[Net sales])-SUMPRODUCT((Non_Grat_Serv_Chrg[Week '#]=$A41)*(YEAR(Non_Grat_Serv_Chrg[Start Date])=VALUE(RIGHT($AX$2,4)))*(Non_Grat_Serv_Chrg[Sales category]="Non-Grat Svc Charges")*Non_Grat_Serv_Chrg[Net sales])</f>
        <v>447348.67</v>
      </c>
      <c r="F41" s="168" cm="1">
        <f t="array" ref="F41">_xlfn._xlws.FILTER([5]COVERS!$AR$7:$AR$71,[5]COVERS!$I$7:$I$71=$A41,"")</f>
        <v>3146</v>
      </c>
      <c r="G41" s="170">
        <f t="shared" ref="G41" si="196">IFERROR(E41/F41,"")</f>
        <v>142.19601716465351</v>
      </c>
      <c r="H41" s="167" cm="1">
        <f t="array" ref="H41">SUMPRODUCT((Lunch[Week '#]=$A41)*(INT(Lunch[yyyyMMdd]/10000)=VALUE(RIGHT($H$2,4)))*Lunch[Net sales])</f>
        <v>30043</v>
      </c>
      <c r="I41" s="168" cm="1">
        <f t="array" ref="I41">_xlfn._xlws.FILTER([5]COVERS!$AA$7:$AA$71,[5]COVERS!$I$7:$I$71=$A41,"")</f>
        <v>258</v>
      </c>
      <c r="J41" s="170">
        <f t="shared" ref="J41" si="197">IFERROR(H41/I41,"")</f>
        <v>116.44573643410853</v>
      </c>
      <c r="K41" s="3">
        <f t="shared" ref="K41" si="198">E41+H41</f>
        <v>477391.67</v>
      </c>
      <c r="L41" s="97">
        <f t="shared" ref="L41" si="199">F41+I41</f>
        <v>3404</v>
      </c>
      <c r="M41" s="172">
        <f t="shared" ref="M41" si="200">IFERROR(K41/L41,"")</f>
        <v>140.24432138660399</v>
      </c>
      <c r="N41" s="167" cm="1">
        <f t="array" ref="N41">SUMPRODUCT((Omakase[Week '#]=$A41)*(INT(Omakase[yyyyMMdd]/10000)=VALUE(RIGHT($N$2,4)))*Omakase[Net sales])</f>
        <v>15386</v>
      </c>
      <c r="O41" s="168" cm="1">
        <f t="array" ref="O41">_xlfn._xlws.FILTER([6]COVERS!$AA$11:$AA$70,[6]COVERS!$I$11:$I$70=A41,"")</f>
        <v>52</v>
      </c>
      <c r="P41" s="170">
        <f t="shared" ref="P41" si="201">IFERROR(N41/O41,"")</f>
        <v>295.88461538461536</v>
      </c>
      <c r="Q41" s="167" cm="1">
        <f t="array" ref="Q41">SUMPRODUCT((MM[Week '#]=$A41)*(INT(MM[yyyyMMdd]/10000)=VALUE(RIGHT($Q$2,4)))*MM[Net sales])-115</f>
        <v>32410.23</v>
      </c>
      <c r="R41" s="168" cm="1">
        <f t="array" ref="R41">_xlfn._xlws.FILTER([6]COVERS!$AR$11:$AR$70,[6]COVERS!$I$11:$I$70=A41,"")</f>
        <v>745</v>
      </c>
      <c r="S41" s="170">
        <f t="shared" ref="S41" si="202">IFERROR(Q41/R41,"")</f>
        <v>43.503664429530204</v>
      </c>
      <c r="T41" s="167" cm="1">
        <f t="array" ref="T41">SUMPRODUCT((Lounge[Week '#]=$A41)*(INT(Lounge[yyyyMMdd]/10000)=VALUE(RIGHT($Q$2,4)))*Lounge[Net sales])-SUMIFS(Sales_Categories[Net sales],Sales_Categories[Week '#],$A41,Sales_Categories[Sales category],"Non-Grat Svc Charges")</f>
        <v>113398.80000000002</v>
      </c>
      <c r="U41" s="168" cm="1">
        <f t="array" ref="U41">_xlfn._xlws.FILTER([6]COVERS!$BI$11:$BI$70,[6]COVERS!$I$11:$I$70=A41,"")</f>
        <v>470</v>
      </c>
      <c r="V41" s="170">
        <f t="shared" ref="V41" si="203">IFERROR(T41/U41,"")</f>
        <v>241.27404255319152</v>
      </c>
      <c r="W41" s="167">
        <f t="shared" si="92"/>
        <v>161195.03000000003</v>
      </c>
      <c r="X41" s="168">
        <f t="shared" ref="X41" si="204">SUM(O41,R41,U41)</f>
        <v>1267</v>
      </c>
      <c r="Y41" s="172">
        <f t="shared" ref="Y41" si="205">IFERROR(W41/X41,"")</f>
        <v>127.22575374901344</v>
      </c>
      <c r="Z41" s="167" cm="1">
        <f t="array" ref="Z41">SUMPRODUCT((_26DinnerSalesACT[Week '#]=$A41)*(INT(_26DinnerSalesACT[yyyyMMdd]/10000)=VALUE(RIGHT($AX$2,4)))*_26DinnerSalesACT[Net sales])-
SUMIFS(_2026AVATotalSalesCat[Net sales],_2026AVATotalSalesCat[Week '#],$A41,_2026AVATotalSalesCat[Sales category],"Non-Grat Svc Charges")</f>
        <v>192019.48</v>
      </c>
      <c r="AA41" s="168" cm="1">
        <f t="array" ref="AA41">_xlfn._xlws.FILTER([7]COVERS!$AR$11:$AR$70,[7]COVERS!$I$11:$I$70=$A41,"")</f>
        <v>1895</v>
      </c>
      <c r="AB41" s="170">
        <f t="shared" ref="AB41" si="206">IFERROR(Z41/AA41,"")</f>
        <v>101.32954089709763</v>
      </c>
      <c r="AC41" s="167" cm="1">
        <f t="array" ref="AC41">SUMPRODUCT((_26LunchSalesACT[Week '#]=$A41)*(INT(_26LunchSalesACT[yyyyMMdd]/10000)=VALUE(RIGHT($AX$2,4)))*_26LunchSalesACT[Net sales])</f>
        <v>21776.799999999999</v>
      </c>
      <c r="AD41" s="168" cm="1">
        <f t="array" ref="AD41">_xlfn._xlws.FILTER([7]COVERS!$AA$11:$AA$70,[7]COVERS!$I$11:$I$70=$A41,"")</f>
        <v>328</v>
      </c>
      <c r="AE41" s="170">
        <f t="shared" ref="AE41" si="207">IFERROR(AC41/AD41,"")</f>
        <v>66.392682926829266</v>
      </c>
      <c r="AF41" s="167">
        <f>SUMIF(_26MMSalesACT[Week '#],$A41,_26MMSalesACT[Net sales])</f>
        <v>31943.090000000004</v>
      </c>
      <c r="AG41" s="168" cm="1">
        <f t="array" ref="AG41">_xlfn._xlws.FILTER([7]COVERS!$BI$11:$BI$70,[7]COVERS!$I$11:$I$70=$A41,"")</f>
        <v>212</v>
      </c>
      <c r="AH41" s="170">
        <f t="shared" ref="AH41" si="208">IFERROR(AF41/AG41,"")</f>
        <v>150.67495283018869</v>
      </c>
      <c r="AI41" s="3">
        <f t="shared" si="98"/>
        <v>245739.37</v>
      </c>
      <c r="AJ41" s="97">
        <f t="shared" ref="AJ41" si="209">AA41+AG41+AD41</f>
        <v>2435</v>
      </c>
      <c r="AK41" s="172">
        <f t="shared" ref="AK41" si="210">IFERROR(AI41/AJ41,"")</f>
        <v>100.919659137577</v>
      </c>
      <c r="AL41" s="167" cm="1">
        <f t="array" ref="AL41">SUMPRODUCT((Brunch[Week '#]=$A41)*(INT(Brunch[yyyyMMdd]/10000)=VALUE(RIGHT($AL$2,4)))*Brunch[Net sales])</f>
        <v>62074.35</v>
      </c>
      <c r="AM41" s="168" cm="1">
        <f t="array" ref="AM41">_xlfn._xlws.FILTER([8]COVERS!$AA$11:$AA$71,[8]COVERS!$I$11:$I$71=A41,"")</f>
        <v>634</v>
      </c>
      <c r="AN41" s="170">
        <f t="shared" ref="AN41" si="211">IFERROR(AL41/AM41,"")</f>
        <v>97.909069400630912</v>
      </c>
      <c r="AO41" s="167" cm="1">
        <f t="array" ref="AO41">SUMPRODUCT((Dinner__2[Week '#]=$A41)*(INT(Dinner__2[yyyyMMdd]/10000)=VALUE(RIGHT($AL$2,4)))*Dinner__2[Net sales])-
SUMIFS(Sales_Categories__2[Net sales],Sales_Categories__2[Week '#],$A41,Sales_Categories__2[Sales category],"Non-Grat Svc Charges")</f>
        <v>355895.66000000003</v>
      </c>
      <c r="AP41" s="168" cm="1">
        <f t="array" ref="AP41">_xlfn._xlws.FILTER([8]COVERS!$AR$11:$AR$71,[8]COVERS!$I$11:$I$71=A41,"")</f>
        <v>1685</v>
      </c>
      <c r="AQ41" s="170">
        <f t="shared" ref="AQ41" si="212">IFERROR(AO41/AP41,"")</f>
        <v>211.21404154302672</v>
      </c>
      <c r="AR41" s="3">
        <f t="shared" ref="AR41" si="213">AO41+AL41</f>
        <v>417970.01</v>
      </c>
      <c r="AS41" s="97">
        <f t="shared" ref="AS41" si="214">AP41+AM41</f>
        <v>2319</v>
      </c>
      <c r="AT41" s="172">
        <f t="shared" ref="AT41" si="215">IFERROR(AR41/AS41,"")</f>
        <v>180.23717550668391</v>
      </c>
      <c r="AU41" s="167" cm="1">
        <f t="array" ref="AU41">SUMPRODUCT((Brunch__2[Week '#]=$A41)*(INT(Brunch__2[yyyyMMdd]/10000)=VALUE(RIGHT($AU$2,4)))*Brunch__2[Net sales])-210.82</f>
        <v>37079.130000000005</v>
      </c>
      <c r="AV41" s="168" cm="1">
        <f t="array" ref="AV41">_xlfn._xlws.FILTER([9]COVERS!$AA$11:$AA$71,[9]COVERS!$I$11:$I$71=A41,"")</f>
        <v>314</v>
      </c>
      <c r="AW41" s="170">
        <f t="shared" ref="AW41" si="216">IFERROR(AU41/AV41,0)</f>
        <v>118.08640127388537</v>
      </c>
      <c r="AX41" s="167" cm="1">
        <f t="array" ref="AX41">SUMPRODUCT((Dinner__3[Week '#]=$A41)*(INT(Dinner__3[yyyyMMdd]/10000)=VALUE(RIGHT($AX$2,4)))*Dinner__3[Net sales])-SUMPRODUCT((Sales_Categories__3[Week '#]=$A41)*(YEAR(Sales_Categories__3[Start Date])=VALUE(RIGHT($AX$2,4)))*(Sales_Categories__3[Sales category]="Non-Grat Svc Charges")*Sales_Categories__3[Net sales])</f>
        <v>206720.69999999998</v>
      </c>
      <c r="AY41" s="168" cm="1">
        <f t="array" ref="AY41">_xlfn._xlws.FILTER([9]COVERS!$AR$11:$AR$71,[9]COVERS!$I$11:$I$71=A41,"")</f>
        <v>1525</v>
      </c>
      <c r="AZ41" s="170">
        <f t="shared" ref="AZ41" si="217">IFERROR(AX41/AY41,"")</f>
        <v>135.55455737704918</v>
      </c>
      <c r="BA41" s="3">
        <f t="shared" ref="BA41" si="218">AX41+AU41</f>
        <v>243799.83</v>
      </c>
      <c r="BB41" s="97">
        <f t="shared" ref="BB41" si="219">AY41+AV41</f>
        <v>1839</v>
      </c>
      <c r="BC41" s="172">
        <f t="shared" ref="BC41" si="220">IFERROR(BA41/BB41,"")</f>
        <v>132.57195758564436</v>
      </c>
      <c r="BD41" s="167">
        <f>SUMIF(_2026DinnerSales[Week '#],$A41,_2026DinnerSales[Net sales])-
SUMIFS(_2026TotalSalesCat[Net sales],_2026TotalSalesCat[Week '#],$A41,_2026TotalSalesCat[Sales category],"Non-Grat Svc Charges")-1648.09</f>
        <v>138458.35999999999</v>
      </c>
      <c r="BE41" s="168" cm="1">
        <f t="array" ref="BE41">_xlfn._xlws.FILTER([10]COVERS!$AR$11:$AR$70,[10]COVERS!$I$11:$I$70=$A41,"")</f>
        <v>1202</v>
      </c>
      <c r="BF41" s="170">
        <f t="shared" ref="BF41" si="221">IFERROR(BD41/BE41,"")</f>
        <v>115.18998336106488</v>
      </c>
      <c r="BG41" s="167">
        <f>SUMIF(_2026BrunchSales[Week '#],$A41,_2026BrunchSales[Net sales])</f>
        <v>25497.119999999999</v>
      </c>
      <c r="BH41" s="168" cm="1">
        <f t="array" ref="BH41">_xlfn._xlws.FILTER([10]COVERS!$AA$11:$AA$70,[10]COVERS!$I$11:$I$70=$A41,"")</f>
        <v>309</v>
      </c>
      <c r="BI41" s="170">
        <f t="shared" ref="BI41" si="222">IFERROR(BG41/BH41,"")</f>
        <v>82.514951456310683</v>
      </c>
      <c r="BJ41" s="167"/>
      <c r="BK41" s="168"/>
      <c r="BL41" s="170" t="str">
        <f t="shared" ref="BL41" si="223">IFERROR(BJ41/BK41,"")</f>
        <v/>
      </c>
      <c r="BM41" s="3">
        <f t="shared" ref="BM41" si="224">BD41+BJ41+BG41</f>
        <v>163955.47999999998</v>
      </c>
      <c r="BN41" s="97">
        <f t="shared" ref="BN41" si="225">BE41+BK41+BH41</f>
        <v>1511</v>
      </c>
      <c r="BO41" s="172">
        <f t="shared" ref="BO41" si="226">IFERROR(BM41/BN41,"")</f>
        <v>108.50792852415617</v>
      </c>
      <c r="BP41" s="167">
        <f>SUMIF(Lounge__2[Week '#],$A41,Lounge__2[Net sales])-
SUMIFS(Sales_Categories__4[Net sales],Sales_Categories__4[Week '#],$A41,Sales_Categories__4[Sales category],"Non-Grat Svc Charges")</f>
        <v>88610</v>
      </c>
      <c r="BQ41" s="168" cm="1">
        <f t="array" ref="BQ41">_xlfn._xlws.FILTER([11]COVERS!$AR$11:$AR$71,[11]COVERS!$I$11:$I$71=A41,"")</f>
        <v>361</v>
      </c>
      <c r="BR41" s="170">
        <f t="shared" ref="BR41" si="227">IFERROR(BP41/BQ41,"")</f>
        <v>245.45706371191136</v>
      </c>
      <c r="BS41" s="167">
        <f>SUMIF(MM__2[Week '#],$A41,MM__2[Net sales])</f>
        <v>20194</v>
      </c>
      <c r="BT41" s="168" cm="1">
        <f t="array" ref="BT41">_xlfn._xlws.FILTER([11]COVERS!$AA$11:$AA$71,[11]COVERS!$I$11:$I$71=A41,"")</f>
        <v>153</v>
      </c>
      <c r="BU41" s="170">
        <f t="shared" ref="BU41" si="228">IFERROR(BS41/BT41,"")</f>
        <v>131.98692810457516</v>
      </c>
      <c r="BV41" s="3">
        <f t="shared" ref="BV41" si="229">+BP41+BS41</f>
        <v>108804</v>
      </c>
      <c r="BW41" s="97">
        <f t="shared" ref="BW41" si="230">BT41+BQ41</f>
        <v>514</v>
      </c>
      <c r="BX41" s="172">
        <f t="shared" ref="BX41" si="231">IFERROR(BV41/BW41,"")</f>
        <v>211.68093385214007</v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175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1</v>
      </c>
      <c r="E42" s="167" cm="1">
        <f t="array" ref="E42">SUMPRODUCT((Dinner[Week '#]=$A42)*(INT(Dinner[yyyyMMdd]/10000)=VALUE(RIGHT($AX$2,4)))*Dinner[Net sales])-SUMPRODUCT((Non_Grat_Serv_Chrg[Week '#]=$A42)*(YEAR(Non_Grat_Serv_Chrg[Start Date])=VALUE(RIGHT($AX$2,4)))*(Non_Grat_Serv_Chrg[Sales category]="Non-Grat Svc Charges")*Non_Grat_Serv_Chrg[Net sales])</f>
        <v>553562.75</v>
      </c>
      <c r="F42" s="168" cm="1">
        <f t="array" ref="F42">_xlfn._xlws.FILTER([5]COVERS!$AR$7:$AR$71,[5]COVERS!$I$7:$I$71=$A42,"")</f>
        <v>3514</v>
      </c>
      <c r="G42" s="170">
        <f t="shared" ref="G42" si="232">IFERROR(E42/F42,"")</f>
        <v>157.53066306203758</v>
      </c>
      <c r="H42" s="167" cm="1">
        <f t="array" ref="H42">SUMPRODUCT((Lunch[Week '#]=$A42)*(INT(Lunch[yyyyMMdd]/10000)=VALUE(RIGHT($H$2,4)))*Lunch[Net sales])</f>
        <v>41055.1</v>
      </c>
      <c r="I42" s="168" cm="1">
        <f t="array" ref="I42">_xlfn._xlws.FILTER([5]COVERS!$AA$7:$AA$71,[5]COVERS!$I$7:$I$71=$A42,"")</f>
        <v>344</v>
      </c>
      <c r="J42" s="170">
        <f t="shared" ref="J42" si="233">IFERROR(H42/I42,"")</f>
        <v>119.34622093023255</v>
      </c>
      <c r="K42" s="3">
        <f t="shared" ref="K42" si="234">E42+H42</f>
        <v>594617.85</v>
      </c>
      <c r="L42" s="97">
        <f t="shared" ref="L42" si="235">F42+I42</f>
        <v>3858</v>
      </c>
      <c r="M42" s="172">
        <f t="shared" ref="M42" si="236">IFERROR(K42/L42,"")</f>
        <v>154.12593312597201</v>
      </c>
      <c r="N42" s="167" cm="1">
        <f t="array" ref="N42">SUMPRODUCT((Omakase[Week '#]=$A42)*(INT(Omakase[yyyyMMdd]/10000)=VALUE(RIGHT($N$2,4)))*Omakase[Net sales])</f>
        <v>21627</v>
      </c>
      <c r="O42" s="168" cm="1">
        <f t="array" ref="O42">_xlfn._xlws.FILTER([6]COVERS!$AA$11:$AA$70,[6]COVERS!$I$11:$I$70=A42,"")</f>
        <v>69</v>
      </c>
      <c r="P42" s="170">
        <f t="shared" ref="P42" si="237">IFERROR(N42/O42,"")</f>
        <v>313.43478260869563</v>
      </c>
      <c r="Q42" s="167" cm="1">
        <f t="array" ref="Q42">SUMPRODUCT((MM[Week '#]=$A42)*(INT(MM[yyyyMMdd]/10000)=VALUE(RIGHT($Q$2,4)))*MM[Net sales])</f>
        <v>52870.9</v>
      </c>
      <c r="R42" s="168" cm="1">
        <f t="array" ref="R42">_xlfn._xlws.FILTER([6]COVERS!$AR$11:$AR$70,[6]COVERS!$I$11:$I$70=A42,"")</f>
        <v>396</v>
      </c>
      <c r="S42" s="170">
        <f t="shared" ref="S42" si="238">IFERROR(Q42/R42,"")</f>
        <v>133.51237373737374</v>
      </c>
      <c r="T42" s="167" cm="1">
        <f t="array" ref="T42">SUMPRODUCT((Lounge[Week '#]=$A42)*(INT(Lounge[yyyyMMdd]/10000)=VALUE(RIGHT($Q$2,4)))*Lounge[Net sales])-SUMIFS(Sales_Categories[Net sales],Sales_Categories[Week '#],$A42,Sales_Categories[Sales category],"Non-Grat Svc Charges")</f>
        <v>204188.1</v>
      </c>
      <c r="U42" s="168" cm="1">
        <f t="array" ref="U42">_xlfn._xlws.FILTER([6]COVERS!$BI$11:$BI$70,[6]COVERS!$I$11:$I$70=A42,"")</f>
        <v>718</v>
      </c>
      <c r="V42" s="170">
        <f t="shared" ref="V42" si="239">IFERROR(T42/U42,"")</f>
        <v>284.38454038997213</v>
      </c>
      <c r="W42" s="167">
        <f t="shared" si="92"/>
        <v>278686</v>
      </c>
      <c r="X42" s="168">
        <f t="shared" ref="X42" si="240">SUM(O42,R42,U42)</f>
        <v>1183</v>
      </c>
      <c r="Y42" s="172">
        <f t="shared" ref="Y42" si="241">IFERROR(W42/X42,"")</f>
        <v>235.57565511411664</v>
      </c>
      <c r="Z42" s="167" cm="1">
        <f t="array" ref="Z42">SUMPRODUCT((_26DinnerSalesACT[Week '#]=$A42)*(INT(_26DinnerSalesACT[yyyyMMdd]/10000)=VALUE(RIGHT($AX$2,4)))*_26DinnerSalesACT[Net sales])-
SUMIFS(_2026AVATotalSalesCat[Net sales],_2026AVATotalSalesCat[Week '#],$A42,_2026AVATotalSalesCat[Sales category],"Non-Grat Svc Charges")-1685.26</f>
        <v>191238.57</v>
      </c>
      <c r="AA42" s="168" cm="1">
        <f t="array" ref="AA42">_xlfn._xlws.FILTER([7]COVERS!$AR$11:$AR$70,[7]COVERS!$I$11:$I$70=$A42,"")</f>
        <v>1865</v>
      </c>
      <c r="AB42" s="170">
        <f t="shared" ref="AB42" si="242">IFERROR(Z42/AA42,"")</f>
        <v>102.54078820375335</v>
      </c>
      <c r="AC42" s="167" cm="1">
        <f t="array" ref="AC42">SUMPRODUCT((_26LunchSalesACT[Week '#]=$A42)*(INT(_26LunchSalesACT[yyyyMMdd]/10000)=VALUE(RIGHT($AX$2,4)))*_26LunchSalesACT[Net sales])</f>
        <v>20209</v>
      </c>
      <c r="AD42" s="168" cm="1">
        <f t="array" ref="AD42">_xlfn._xlws.FILTER([7]COVERS!$AA$11:$AA$70,[7]COVERS!$I$11:$I$70=$A42,"")</f>
        <v>293</v>
      </c>
      <c r="AE42" s="170">
        <f t="shared" ref="AE42" si="243">IFERROR(AC42/AD42,"")</f>
        <v>68.972696245733786</v>
      </c>
      <c r="AF42" s="167">
        <f>SUMIF(_26MMSalesACT[Week '#],$A42,_26MMSalesACT[Net sales])</f>
        <v>22199.65</v>
      </c>
      <c r="AG42" s="168" cm="1">
        <f t="array" ref="AG42">_xlfn._xlws.FILTER([7]COVERS!$BI$11:$BI$70,[7]COVERS!$I$11:$I$70=$A42,"")</f>
        <v>208</v>
      </c>
      <c r="AH42" s="170">
        <f t="shared" ref="AH42" si="244">IFERROR(AF42/AG42,"")</f>
        <v>106.72908653846154</v>
      </c>
      <c r="AI42" s="3">
        <f t="shared" si="98"/>
        <v>233647.22</v>
      </c>
      <c r="AJ42" s="97">
        <f t="shared" ref="AJ42" si="245">AA42+AG42+AD42</f>
        <v>2366</v>
      </c>
      <c r="AK42" s="172">
        <f t="shared" ref="AK42" si="246">IFERROR(AI42/AJ42,"")</f>
        <v>98.751994928148775</v>
      </c>
      <c r="AL42" s="167" cm="1">
        <f t="array" ref="AL42">SUMPRODUCT((Brunch[Week '#]=$A42)*(INT(Brunch[yyyyMMdd]/10000)=VALUE(RIGHT($AL$2,4)))*Brunch[Net sales])</f>
        <v>87581.2</v>
      </c>
      <c r="AM42" s="168" cm="1">
        <f t="array" ref="AM42">_xlfn._xlws.FILTER([8]COVERS!$AA$11:$AA$71,[8]COVERS!$I$11:$I$71=A42,"")</f>
        <v>749</v>
      </c>
      <c r="AN42" s="170">
        <f t="shared" ref="AN42" si="247">IFERROR(AL42/AM42,"")</f>
        <v>116.93084112149532</v>
      </c>
      <c r="AO42" s="167" cm="1">
        <f t="array" ref="AO42">SUMPRODUCT((Dinner__2[Week '#]=$A42)*(INT(Dinner__2[yyyyMMdd]/10000)=VALUE(RIGHT($AL$2,4)))*Dinner__2[Net sales])-
SUMIFS(Sales_Categories__2[Net sales],Sales_Categories__2[Week '#],$A42,Sales_Categories__2[Sales category],"Non-Grat Svc Charges")</f>
        <v>319112.76</v>
      </c>
      <c r="AP42" s="168" cm="1">
        <f t="array" ref="AP42">_xlfn._xlws.FILTER([8]COVERS!$AR$11:$AR$71,[8]COVERS!$I$11:$I$71=A42,"")</f>
        <v>1773</v>
      </c>
      <c r="AQ42" s="170">
        <f t="shared" ref="AQ42" si="248">IFERROR(AO42/AP42,"")</f>
        <v>179.98463620981389</v>
      </c>
      <c r="AR42" s="3">
        <f t="shared" ref="AR42" si="249">AO42+AL42</f>
        <v>406693.96</v>
      </c>
      <c r="AS42" s="97">
        <f t="shared" ref="AS42" si="250">AP42+AM42</f>
        <v>2522</v>
      </c>
      <c r="AT42" s="172">
        <f t="shared" ref="AT42" si="251">IFERROR(AR42/AS42,"")</f>
        <v>161.25850911974624</v>
      </c>
      <c r="AU42" s="167" cm="1">
        <f t="array" ref="AU42">SUMPRODUCT((Brunch__2[Week '#]=$A42)*(INT(Brunch__2[yyyyMMdd]/10000)=VALUE(RIGHT($AU$2,4)))*Brunch__2[Net sales])</f>
        <v>62954.36</v>
      </c>
      <c r="AV42" s="168" cm="1">
        <f t="array" ref="AV42">_xlfn._xlws.FILTER([9]COVERS!$AA$11:$AA$71,[9]COVERS!$I$11:$I$71=A42,"")</f>
        <v>383</v>
      </c>
      <c r="AW42" s="170">
        <f t="shared" ref="AW42" si="252">IFERROR(AU42/AV42,0)</f>
        <v>164.37169712793735</v>
      </c>
      <c r="AX42" s="167" cm="1">
        <f t="array" ref="AX42">SUMPRODUCT((Dinner__3[Week '#]=$A42)*(INT(Dinner__3[yyyyMMdd]/10000)=VALUE(RIGHT($AX$2,4)))*Dinner__3[Net sales])-SUMPRODUCT((Sales_Categories__3[Week '#]=$A42)*(YEAR(Sales_Categories__3[Start Date])=VALUE(RIGHT($AX$2,4)))*(Sales_Categories__3[Sales category]="Non-Grat Svc Charges")*Sales_Categories__3[Net sales])-298.52</f>
        <v>235767.62000000002</v>
      </c>
      <c r="AY42" s="168" cm="1">
        <f t="array" ref="AY42">_xlfn._xlws.FILTER([9]COVERS!$AR$11:$AR$71,[9]COVERS!$I$11:$I$71=A42,"")</f>
        <v>1889</v>
      </c>
      <c r="AZ42" s="170">
        <f t="shared" ref="AZ42" si="253">IFERROR(AX42/AY42,"")</f>
        <v>124.81080995235575</v>
      </c>
      <c r="BA42" s="3">
        <f t="shared" ref="BA42" si="254">AX42+AU42</f>
        <v>298721.98000000004</v>
      </c>
      <c r="BB42" s="97">
        <f t="shared" ref="BB42" si="255">AY42+AV42</f>
        <v>2272</v>
      </c>
      <c r="BC42" s="172">
        <f t="shared" ref="BC42" si="256">IFERROR(BA42/BB42,"")</f>
        <v>131.47974471830989</v>
      </c>
      <c r="BD42" s="167">
        <f>SUMIF(_2026DinnerSales[Week '#],$A42,_2026DinnerSales[Net sales])-
SUMIFS(_2026TotalSalesCat[Net sales],_2026TotalSalesCat[Week '#],$A42,_2026TotalSalesCat[Sales category],"Non-Grat Svc Charges")</f>
        <v>162311.37</v>
      </c>
      <c r="BE42" s="168" cm="1">
        <f t="array" ref="BE42">_xlfn._xlws.FILTER([10]COVERS!$AR$11:$AR$70,[10]COVERS!$I$11:$I$70=$A42,"")</f>
        <v>1469</v>
      </c>
      <c r="BF42" s="170">
        <f t="shared" ref="BF42" si="257">IFERROR(BD42/BE42,"")</f>
        <v>110.49106194690265</v>
      </c>
      <c r="BG42" s="167">
        <f>SUMIF(_2026BrunchSales[Week '#],$A42,_2026BrunchSales[Net sales])</f>
        <v>39015.440000000002</v>
      </c>
      <c r="BH42" s="168" cm="1">
        <f t="array" ref="BH42">_xlfn._xlws.FILTER([10]COVERS!$AA$11:$AA$70,[10]COVERS!$I$11:$I$70=$A42,"")</f>
        <v>423</v>
      </c>
      <c r="BI42" s="170">
        <f t="shared" ref="BI42" si="258">IFERROR(BG42/BH42,"")</f>
        <v>92.235082742316791</v>
      </c>
      <c r="BJ42" s="167"/>
      <c r="BK42" s="168"/>
      <c r="BL42" s="170" t="str">
        <f t="shared" ref="BL42" si="259">IFERROR(BJ42/BK42,"")</f>
        <v/>
      </c>
      <c r="BM42" s="3">
        <f t="shared" ref="BM42" si="260">BD42+BJ42+BG42</f>
        <v>201326.81</v>
      </c>
      <c r="BN42" s="97">
        <f t="shared" ref="BN42" si="261">BE42+BK42+BH42</f>
        <v>1892</v>
      </c>
      <c r="BO42" s="172">
        <f t="shared" ref="BO42" si="262">IFERROR(BM42/BN42,"")</f>
        <v>106.40951902748414</v>
      </c>
      <c r="BP42" s="167">
        <v>0</v>
      </c>
      <c r="BQ42" s="168" cm="1">
        <f t="array" ref="BQ42">_xlfn._xlws.FILTER([11]COVERS!$AR$11:$AR$71,[11]COVERS!$I$11:$I$71=A42,"")</f>
        <v>0</v>
      </c>
      <c r="BR42" s="170" t="str">
        <f t="shared" ref="BR42" si="263">IFERROR(BP42/BQ42,"")</f>
        <v/>
      </c>
      <c r="BS42" s="167">
        <f>SUMIF(MM__2[Week '#],$A42,MM__2[Net sales])-288.6</f>
        <v>35776</v>
      </c>
      <c r="BT42" s="168" cm="1">
        <f t="array" ref="BT42">_xlfn._xlws.FILTER([11]COVERS!$AA$11:$AA$71,[11]COVERS!$I$11:$I$71=A42,"")</f>
        <v>250</v>
      </c>
      <c r="BU42" s="170">
        <f t="shared" ref="BU42" si="264">IFERROR(BS42/BT42,"")</f>
        <v>143.10400000000001</v>
      </c>
      <c r="BV42" s="3">
        <f t="shared" ref="BV42" si="265">+BP42+BS42</f>
        <v>35776</v>
      </c>
      <c r="BW42" s="97">
        <f t="shared" ref="BW42" si="266">BT42+BQ42</f>
        <v>250</v>
      </c>
      <c r="BX42" s="172">
        <f t="shared" ref="BX42" si="267">IFERROR(BV42/BW42,"")</f>
        <v>143.10400000000001</v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176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1</v>
      </c>
      <c r="E43" s="167" cm="1">
        <f t="array" ref="E43">SUMPRODUCT((Dinner[Week '#]=$A43)*(INT(Dinner[yyyyMMdd]/10000)=VALUE(RIGHT($AX$2,4)))*Dinner[Net sales])-SUMPRODUCT((Non_Grat_Serv_Chrg[Week '#]=$A43)*(YEAR(Non_Grat_Serv_Chrg[Start Date])=VALUE(RIGHT($AX$2,4)))*(Non_Grat_Serv_Chrg[Sales category]="Non-Grat Svc Charges")*Non_Grat_Serv_Chrg[Net sales])+346.36</f>
        <v>544236.92000000004</v>
      </c>
      <c r="F43" s="168" cm="1">
        <f t="array" ref="F43">_xlfn._xlws.FILTER([5]COVERS!$AR$7:$AR$71,[5]COVERS!$I$7:$I$71=$A43,"")</f>
        <v>3617</v>
      </c>
      <c r="G43" s="170">
        <f t="shared" ref="G43" si="268">IFERROR(E43/F43,"")</f>
        <v>150.46638650815595</v>
      </c>
      <c r="H43" s="167" cm="1">
        <f t="array" ref="H43">SUMPRODUCT((Lunch[Week '#]=$A43)*(INT(Lunch[yyyyMMdd]/10000)=VALUE(RIGHT($H$2,4)))*Lunch[Net sales])</f>
        <v>45025.15</v>
      </c>
      <c r="I43" s="168" cm="1">
        <f t="array" ref="I43">_xlfn._xlws.FILTER([5]COVERS!$AA$7:$AA$71,[5]COVERS!$I$7:$I$71=$A43,"")</f>
        <v>266</v>
      </c>
      <c r="J43" s="170">
        <f>IFERROR(H43/I43,"")</f>
        <v>169.26748120300752</v>
      </c>
      <c r="K43" s="3">
        <f t="shared" ref="K43" si="269">E43+H43</f>
        <v>589262.07000000007</v>
      </c>
      <c r="L43" s="97">
        <f t="shared" ref="L43" si="270">F43+I43</f>
        <v>3883</v>
      </c>
      <c r="M43" s="172">
        <f t="shared" ref="M43" si="271">IFERROR(K43/L43,"")</f>
        <v>151.75433170229206</v>
      </c>
      <c r="N43" s="167" cm="1">
        <f t="array" ref="N43">SUMPRODUCT((Omakase[Week '#]=$A43)*(INT(Omakase[yyyyMMdd]/10000)=VALUE(RIGHT($N$2,4)))*Omakase[Net sales])</f>
        <v>18661</v>
      </c>
      <c r="O43" s="168" cm="1">
        <f t="array" ref="O43">_xlfn._xlws.FILTER([6]COVERS!$AA$11:$AA$70,[6]COVERS!$I$11:$I$70=A43,"")</f>
        <v>61</v>
      </c>
      <c r="P43" s="170">
        <f t="shared" ref="P43" si="272">IFERROR(N43/O43,"")</f>
        <v>305.91803278688525</v>
      </c>
      <c r="Q43" s="167" cm="1">
        <f t="array" ref="Q43">SUMPRODUCT((MM[Week '#]=$A43)*(INT(MM[yyyyMMdd]/10000)=VALUE(RIGHT($Q$2,4)))*MM[Net sales])</f>
        <v>51275</v>
      </c>
      <c r="R43" s="168" cm="1">
        <f t="array" ref="R43">_xlfn._xlws.FILTER([6]COVERS!$AR$11:$AR$70,[6]COVERS!$I$11:$I$70=A43,"")</f>
        <v>299</v>
      </c>
      <c r="S43" s="170">
        <f t="shared" ref="S43" si="273">IFERROR(Q43/R43,"")</f>
        <v>171.48829431438128</v>
      </c>
      <c r="T43" s="167" cm="1">
        <f t="array" ref="T43">SUMPRODUCT((Lounge[Week '#]=$A43)*(INT(Lounge[yyyyMMdd]/10000)=VALUE(RIGHT($Q$2,4)))*Lounge[Net sales])-SUMIFS(Sales_Categories[Net sales],Sales_Categories[Week '#],$A43,Sales_Categories[Sales category],"Non-Grat Svc Charges")</f>
        <v>197645.6</v>
      </c>
      <c r="U43" s="168" cm="1">
        <f t="array" ref="U43">_xlfn._xlws.FILTER([6]COVERS!$BI$11:$BI$70,[6]COVERS!$I$11:$I$70=A43,"")</f>
        <v>656</v>
      </c>
      <c r="V43" s="170">
        <f t="shared" ref="V43" si="274">IFERROR(T43/U43,"")</f>
        <v>301.28902439024392</v>
      </c>
      <c r="W43" s="167">
        <f t="shared" si="92"/>
        <v>267581.59999999998</v>
      </c>
      <c r="X43" s="168">
        <f t="shared" ref="X43" si="275">SUM(O43,R43,U43)</f>
        <v>1016</v>
      </c>
      <c r="Y43" s="172">
        <f t="shared" ref="Y43" si="276">IFERROR(W43/X43,"")</f>
        <v>263.36771653543303</v>
      </c>
      <c r="Z43" s="167" cm="1">
        <f t="array" ref="Z43">SUMPRODUCT((_26DinnerSalesACT[Week '#]=$A43)*(INT(_26DinnerSalesACT[yyyyMMdd]/10000)=VALUE(RIGHT($AX$2,4)))*_26DinnerSalesACT[Net sales])-
SUMIFS(_2026AVATotalSalesCat[Net sales],_2026AVATotalSalesCat[Week '#],$A43,_2026AVATotalSalesCat[Sales category],"Non-Grat Svc Charges")</f>
        <v>200071.7</v>
      </c>
      <c r="AA43" s="168" cm="1">
        <f t="array" ref="AA43">_xlfn._xlws.FILTER([7]COVERS!$AR$11:$AR$70,[7]COVERS!$I$11:$I$70=$A43,"")</f>
        <v>2036</v>
      </c>
      <c r="AB43" s="170">
        <f t="shared" ref="AB43" si="277">IFERROR(Z43/AA43,"")</f>
        <v>98.267043222003934</v>
      </c>
      <c r="AC43" s="167" cm="1">
        <f t="array" ref="AC43">SUMPRODUCT((_26LunchSalesACT[Week '#]=$A43)*(INT(_26LunchSalesACT[yyyyMMdd]/10000)=VALUE(RIGHT($AX$2,4)))*_26LunchSalesACT[Net sales])</f>
        <v>26178.25</v>
      </c>
      <c r="AD43" s="168" cm="1">
        <f t="array" ref="AD43">_xlfn._xlws.FILTER([7]COVERS!$AA$11:$AA$70,[7]COVERS!$I$11:$I$70=$A43,"")</f>
        <v>347</v>
      </c>
      <c r="AE43" s="170">
        <f t="shared" ref="AE43" si="278">IFERROR(AC43/AD43,"")</f>
        <v>75.441642651296831</v>
      </c>
      <c r="AF43" s="167">
        <f>SUMIF(_26MMSalesACT[Week '#],$A43,_26MMSalesACT[Net sales])</f>
        <v>47715.25</v>
      </c>
      <c r="AG43" s="168" cm="1">
        <f t="array" ref="AG43">_xlfn._xlws.FILTER([7]COVERS!$BI$11:$BI$70,[7]COVERS!$I$11:$I$70=$A43,"")</f>
        <v>233</v>
      </c>
      <c r="AH43" s="170">
        <f t="shared" ref="AH43" si="279">IFERROR(AF43/AG43,"")</f>
        <v>204.78648068669528</v>
      </c>
      <c r="AI43" s="3">
        <f t="shared" si="98"/>
        <v>273965.2</v>
      </c>
      <c r="AJ43" s="97">
        <f t="shared" ref="AJ43" si="280">AA43+AG43+AD43</f>
        <v>2616</v>
      </c>
      <c r="AK43" s="172">
        <f t="shared" ref="AK43" si="281">IFERROR(AI43/AJ43,"")</f>
        <v>104.72675840978594</v>
      </c>
      <c r="AL43" s="167" cm="1">
        <f t="array" ref="AL43">SUMPRODUCT((Brunch[Week '#]=$A43)*(INT(Brunch[yyyyMMdd]/10000)=VALUE(RIGHT($AL$2,4)))*Brunch[Net sales])</f>
        <v>81878.540000000008</v>
      </c>
      <c r="AM43" s="168" cm="1">
        <f t="array" ref="AM43">_xlfn._xlws.FILTER([8]COVERS!$AA$11:$AA$71,[8]COVERS!$I$11:$I$71=A43,"")</f>
        <v>650</v>
      </c>
      <c r="AN43" s="170">
        <f t="shared" ref="AN43" si="282">IFERROR(AL43/AM43,"")</f>
        <v>125.96698461538463</v>
      </c>
      <c r="AO43" s="167" cm="1">
        <f t="array" ref="AO43">SUMPRODUCT((Dinner__2[Week '#]=$A43)*(INT(Dinner__2[yyyyMMdd]/10000)=VALUE(RIGHT($AL$2,4)))*Dinner__2[Net sales])-
SUMIFS(Sales_Categories__2[Net sales],Sales_Categories__2[Week '#],$A43,Sales_Categories__2[Sales category],"Non-Grat Svc Charges")</f>
        <v>379110.64999999997</v>
      </c>
      <c r="AP43" s="168" cm="1">
        <f t="array" ref="AP43">_xlfn._xlws.FILTER([8]COVERS!$AR$11:$AR$71,[8]COVERS!$I$11:$I$71=A43,"")</f>
        <v>2172</v>
      </c>
      <c r="AQ43" s="170">
        <f t="shared" ref="AQ43" si="283">IFERROR(AO43/AP43,"")</f>
        <v>174.54449815837935</v>
      </c>
      <c r="AR43" s="3">
        <f t="shared" ref="AR43" si="284">AO43+AL43</f>
        <v>460989.18999999994</v>
      </c>
      <c r="AS43" s="97">
        <f t="shared" ref="AS43" si="285">AP43+AM43</f>
        <v>2822</v>
      </c>
      <c r="AT43" s="172">
        <f t="shared" ref="AT43" si="286">IFERROR(AR43/AS43,"")</f>
        <v>163.35548901488303</v>
      </c>
      <c r="AU43" s="167" cm="1">
        <f t="array" ref="AU43">SUMPRODUCT((Brunch__2[Week '#]=$A43)*(INT(Brunch__2[yyyyMMdd]/10000)=VALUE(RIGHT($AU$2,4)))*Brunch__2[Net sales])</f>
        <v>50122.76</v>
      </c>
      <c r="AV43" s="168" cm="1">
        <f t="array" ref="AV43">_xlfn._xlws.FILTER([9]COVERS!$AA$11:$AA$71,[9]COVERS!$I$11:$I$71=A43,"")</f>
        <v>317</v>
      </c>
      <c r="AW43" s="170">
        <f t="shared" ref="AW43" si="287">IFERROR(AU43/AV43,0)</f>
        <v>158.11596214511042</v>
      </c>
      <c r="AX43" s="167" cm="1">
        <f t="array" ref="AX43">SUMPRODUCT((Dinner__3[Week '#]=$A43)*(INT(Dinner__3[yyyyMMdd]/10000)=VALUE(RIGHT($AX$2,4)))*Dinner__3[Net sales])-SUMPRODUCT((Sales_Categories__3[Week '#]=$A43)*(YEAR(Sales_Categories__3[Start Date])=VALUE(RIGHT($AX$2,4)))*(Sales_Categories__3[Sales category]="Non-Grat Svc Charges")*Sales_Categories__3[Net sales])</f>
        <v>267882.24000000005</v>
      </c>
      <c r="AY43" s="168" cm="1">
        <f t="array" ref="AY43">_xlfn._xlws.FILTER([9]COVERS!$AR$11:$AR$71,[9]COVERS!$I$11:$I$71=A43,"")</f>
        <v>2017</v>
      </c>
      <c r="AZ43" s="170">
        <f t="shared" ref="AZ43" si="288">IFERROR(AX43/AY43,"")</f>
        <v>132.81221616261777</v>
      </c>
      <c r="BA43" s="3">
        <f t="shared" ref="BA43" si="289">AX43+AU43</f>
        <v>318005.00000000006</v>
      </c>
      <c r="BB43" s="97">
        <f t="shared" ref="BB43" si="290">AY43+AV43</f>
        <v>2334</v>
      </c>
      <c r="BC43" s="172">
        <f t="shared" ref="BC43" si="291">IFERROR(BA43/BB43,"")</f>
        <v>136.24892887746361</v>
      </c>
      <c r="BD43" s="167">
        <f>SUMIF(_2026DinnerSales[Week '#],$A43,_2026DinnerSales[Net sales])-
SUMIFS(_2026TotalSalesCat[Net sales],_2026TotalSalesCat[Week '#],$A43,_2026TotalSalesCat[Sales category],"Non-Grat Svc Charges")</f>
        <v>186010.43</v>
      </c>
      <c r="BE43" s="168" cm="1">
        <f t="array" ref="BE43">_xlfn._xlws.FILTER([10]COVERS!$AR$11:$AR$70,[10]COVERS!$I$11:$I$70=$A43,"")</f>
        <v>1675</v>
      </c>
      <c r="BF43" s="170">
        <f t="shared" ref="BF43" si="292">IFERROR(BD43/BE43,"")</f>
        <v>111.05100298507462</v>
      </c>
      <c r="BG43" s="167">
        <f>SUMIF(_2026BrunchSales[Week '#],$A43,_2026BrunchSales[Net sales])</f>
        <v>42469.9</v>
      </c>
      <c r="BH43" s="168" cm="1">
        <f t="array" ref="BH43">_xlfn._xlws.FILTER([10]COVERS!$AA$11:$AA$70,[10]COVERS!$I$11:$I$70=$A43,"")</f>
        <v>380</v>
      </c>
      <c r="BI43" s="170">
        <f t="shared" ref="BI43" si="293">IFERROR(BG43/BH43,"")</f>
        <v>111.76289473684211</v>
      </c>
      <c r="BJ43" s="167"/>
      <c r="BK43" s="168"/>
      <c r="BL43" s="170" t="str">
        <f t="shared" ref="BL43" si="294">IFERROR(BJ43/BK43,"")</f>
        <v/>
      </c>
      <c r="BM43" s="3">
        <f t="shared" ref="BM43" si="295">BD43+BJ43+BG43</f>
        <v>228480.33</v>
      </c>
      <c r="BN43" s="97">
        <f t="shared" ref="BN43" si="296">BE43+BK43+BH43</f>
        <v>2055</v>
      </c>
      <c r="BO43" s="172">
        <f t="shared" ref="BO43" si="297">IFERROR(BM43/BN43,"")</f>
        <v>111.18264233576642</v>
      </c>
      <c r="BP43" s="167">
        <f>SUMIF(Lounge__2[Week '#],$A43,Lounge__2[Net sales])-
SUMIFS(Sales_Categories__4[Net sales],Sales_Categories__4[Week '#],$A43,Sales_Categories__4[Sales category],"Non-Grat Svc Charges")</f>
        <v>80399</v>
      </c>
      <c r="BQ43" s="168" cm="1">
        <f t="array" ref="BQ43">_xlfn._xlws.FILTER([11]COVERS!$AR$11:$AR$71,[11]COVERS!$I$11:$I$71=A43,"")</f>
        <v>281</v>
      </c>
      <c r="BR43" s="170">
        <f t="shared" ref="BR43" si="298">IFERROR(BP43/BQ43,"")</f>
        <v>286.11743772241994</v>
      </c>
      <c r="BS43" s="167">
        <f>SUMIF(MM__2[Week '#],$A43,MM__2[Net sales])</f>
        <v>50771.229999999996</v>
      </c>
      <c r="BT43" s="168" cm="1">
        <f t="array" ref="BT43">_xlfn._xlws.FILTER([11]COVERS!$AA$11:$AA$71,[11]COVERS!$I$11:$I$71=A43,"")</f>
        <v>500</v>
      </c>
      <c r="BU43" s="170">
        <f t="shared" ref="BU43" si="299">IFERROR(BS43/BT43,"")</f>
        <v>101.54245999999999</v>
      </c>
      <c r="BV43" s="3">
        <f t="shared" ref="BV43" si="300">+BP43+BS43</f>
        <v>131170.22999999998</v>
      </c>
      <c r="BW43" s="97">
        <f t="shared" ref="BW43" si="301">BT43+BQ43</f>
        <v>781</v>
      </c>
      <c r="BX43" s="172">
        <f t="shared" ref="BX43" si="302">IFERROR(BV43/BW43,"")</f>
        <v>167.95163892445581</v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178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1</v>
      </c>
      <c r="E44" s="167" cm="1">
        <f t="array" ref="E44">SUMPRODUCT((Dinner[Week '#]=$A44)*(INT(Dinner[yyyyMMdd]/10000)=VALUE(RIGHT($AX$2,4)))*Dinner[Net sales])-SUMPRODUCT((Non_Grat_Serv_Chrg[Week '#]=$A44)*(YEAR(Non_Grat_Serv_Chrg[Start Date])=VALUE(RIGHT($AX$2,4)))*(Non_Grat_Serv_Chrg[Sales category]="Non-Grat Svc Charges")*Non_Grat_Serv_Chrg[Net sales])</f>
        <v>679490.5</v>
      </c>
      <c r="F44" s="168" cm="1">
        <f t="array" ref="F44">_xlfn._xlws.FILTER([5]COVERS!$AR$7:$AR$71,[5]COVERS!$I$7:$I$71=$A44,"")</f>
        <v>3556</v>
      </c>
      <c r="G44" s="170">
        <f t="shared" ref="G44" si="303">IFERROR(E44/F44,"")</f>
        <v>191.08281777277841</v>
      </c>
      <c r="H44" s="167" cm="1">
        <f t="array" ref="H44">SUMPRODUCT((Lunch[Week '#]=$A44)*(INT(Lunch[yyyyMMdd]/10000)=VALUE(RIGHT($H$2,4)))*Lunch[Net sales])</f>
        <v>38861</v>
      </c>
      <c r="I44" s="168" cm="1">
        <f t="array" ref="I44">_xlfn._xlws.FILTER([5]COVERS!$AA$7:$AA$71,[5]COVERS!$I$7:$I$71=$A44,"")</f>
        <v>343</v>
      </c>
      <c r="J44" s="170">
        <f>IFERROR(H44/I44,"")</f>
        <v>113.29737609329446</v>
      </c>
      <c r="K44" s="3">
        <f t="shared" ref="K44" si="304">E44+H44</f>
        <v>718351.5</v>
      </c>
      <c r="L44" s="97">
        <f t="shared" ref="L44" si="305">F44+I44</f>
        <v>3899</v>
      </c>
      <c r="M44" s="172">
        <f t="shared" ref="M44" si="306">IFERROR(K44/L44,"")</f>
        <v>184.23993331623493</v>
      </c>
      <c r="N44" s="167" cm="1">
        <f t="array" ref="N44">SUMPRODUCT((Omakase[Week '#]=$A44)*(INT(Omakase[yyyyMMdd]/10000)=VALUE(RIGHT($N$2,4)))*Omakase[Net sales])</f>
        <v>26509.85</v>
      </c>
      <c r="O44" s="168" cm="1">
        <f t="array" ref="O44">_xlfn._xlws.FILTER([6]COVERS!$AA$11:$AA$70,[6]COVERS!$I$11:$I$70=A44,"")</f>
        <v>82</v>
      </c>
      <c r="P44" s="170">
        <f t="shared" ref="P44" si="307">IFERROR(N44/O44,"")</f>
        <v>323.29085365853655</v>
      </c>
      <c r="Q44" s="167" cm="1">
        <f t="array" ref="Q44">SUMPRODUCT((MM[Week '#]=$A44)*(INT(MM[yyyyMMdd]/10000)=VALUE(RIGHT($Q$2,4)))*MM[Net sales])</f>
        <v>80766.700000000012</v>
      </c>
      <c r="R44" s="168" cm="1">
        <f t="array" ref="R44">_xlfn._xlws.FILTER([6]COVERS!$AR$11:$AR$70,[6]COVERS!$I$11:$I$70=A44,"")</f>
        <v>564</v>
      </c>
      <c r="S44" s="170">
        <f t="shared" ref="S44" si="308">IFERROR(Q44/R44,"")</f>
        <v>143.20336879432625</v>
      </c>
      <c r="T44" s="167" cm="1">
        <f t="array" ref="T44">SUMPRODUCT((Lounge[Week '#]=$A44)*(INT(Lounge[yyyyMMdd]/10000)=VALUE(RIGHT($Q$2,4)))*Lounge[Net sales])-SUMIFS(Sales_Categories[Net sales],Sales_Categories[Week '#],$A44,Sales_Categories[Sales category],"Non-Grat Svc Charges")</f>
        <v>230305.72999999998</v>
      </c>
      <c r="U44" s="168" cm="1">
        <f t="array" ref="U44">_xlfn._xlws.FILTER([6]COVERS!$BI$11:$BI$70,[6]COVERS!$I$11:$I$70=A44,"")</f>
        <v>722</v>
      </c>
      <c r="V44" s="170">
        <f t="shared" ref="V44" si="309">IFERROR(T44/U44,"")</f>
        <v>318.98300554016618</v>
      </c>
      <c r="W44" s="167">
        <f t="shared" ref="W44" si="310">SUM(N44,Q44,T44)</f>
        <v>337582.28</v>
      </c>
      <c r="X44" s="168">
        <f t="shared" ref="X44" si="311">SUM(O44,R44,U44)</f>
        <v>1368</v>
      </c>
      <c r="Y44" s="172">
        <f t="shared" ref="Y44" si="312">IFERROR(W44/X44,"")</f>
        <v>246.77067251461992</v>
      </c>
      <c r="Z44" s="167" cm="1">
        <f t="array" ref="Z44">SUMPRODUCT((_26DinnerSalesACT[Week '#]=$A44)*(INT(_26DinnerSalesACT[yyyyMMdd]/10000)=VALUE(RIGHT($AX$2,4)))*_26DinnerSalesACT[Net sales])-
SUMIFS(_2026AVATotalSalesCat[Net sales],_2026AVATotalSalesCat[Week '#],$A44,_2026AVATotalSalesCat[Sales category],"Non-Grat Svc Charges")</f>
        <v>173839.05</v>
      </c>
      <c r="AA44" s="168" cm="1">
        <f t="array" ref="AA44">_xlfn._xlws.FILTER([7]COVERS!$AR$11:$AR$70,[7]COVERS!$I$11:$I$70=$A44,"")</f>
        <v>1751</v>
      </c>
      <c r="AB44" s="170">
        <f t="shared" ref="AB44" si="313">IFERROR(Z44/AA44,"")</f>
        <v>99.279868646487714</v>
      </c>
      <c r="AC44" s="167" cm="1">
        <f t="array" ref="AC44">SUMPRODUCT((_26LunchSalesACT[Week '#]=$A44)*(INT(_26LunchSalesACT[yyyyMMdd]/10000)=VALUE(RIGHT($AX$2,4)))*_26LunchSalesACT[Net sales])-126.16</f>
        <v>19756.34</v>
      </c>
      <c r="AD44" s="168" cm="1">
        <f t="array" ref="AD44">_xlfn._xlws.FILTER([7]COVERS!$AA$11:$AA$70,[7]COVERS!$I$11:$I$70=$A44,"")</f>
        <v>303</v>
      </c>
      <c r="AE44" s="170">
        <f t="shared" ref="AE44" si="314">IFERROR(AC44/AD44,"")</f>
        <v>65.202442244224429</v>
      </c>
      <c r="AF44" s="167">
        <f>SUMIF(_26MMSalesACT[Week '#],$A44,_26MMSalesACT[Net sales])</f>
        <v>49065.67</v>
      </c>
      <c r="AG44" s="168" cm="1">
        <f t="array" ref="AG44">_xlfn._xlws.FILTER([7]COVERS!$BI$11:$BI$70,[7]COVERS!$I$11:$I$70=$A44,"")</f>
        <v>217</v>
      </c>
      <c r="AH44" s="170">
        <f t="shared" ref="AH44" si="315">IFERROR(AF44/AG44,"")</f>
        <v>226.10907834101383</v>
      </c>
      <c r="AI44" s="3">
        <f t="shared" ref="AI44" si="316">Z44+AF44+AC44</f>
        <v>242661.05999999997</v>
      </c>
      <c r="AJ44" s="97">
        <f t="shared" ref="AJ44" si="317">AA44+AG44+AD44</f>
        <v>2271</v>
      </c>
      <c r="AK44" s="172">
        <f t="shared" ref="AK44" si="318">IFERROR(AI44/AJ44,"")</f>
        <v>106.85207397622192</v>
      </c>
      <c r="AL44" s="167" cm="1">
        <f t="array" ref="AL44">SUMPRODUCT((Brunch[Week '#]=$A44)*(INT(Brunch[yyyyMMdd]/10000)=VALUE(RIGHT($AL$2,4)))*Brunch[Net sales])</f>
        <v>81366.05</v>
      </c>
      <c r="AM44" s="168" cm="1">
        <f t="array" ref="AM44">_xlfn._xlws.FILTER([8]COVERS!$AA$11:$AA$71,[8]COVERS!$I$11:$I$71=A44,"")</f>
        <v>828</v>
      </c>
      <c r="AN44" s="170">
        <f t="shared" ref="AN44" si="319">IFERROR(AL44/AM44,"")</f>
        <v>98.26817632850242</v>
      </c>
      <c r="AO44" s="167" cm="1">
        <f t="array" ref="AO44">SUMPRODUCT((Dinner__2[Week '#]=$A44)*(INT(Dinner__2[yyyyMMdd]/10000)=VALUE(RIGHT($AL$2,4)))*Dinner__2[Net sales])-
SUMIFS(Sales_Categories__2[Net sales],Sales_Categories__2[Week '#],$A44,Sales_Categories__2[Sales category],"Non-Grat Svc Charges")</f>
        <v>375080.03</v>
      </c>
      <c r="AP44" s="168" cm="1">
        <f t="array" ref="AP44">_xlfn._xlws.FILTER([8]COVERS!$AR$11:$AR$71,[8]COVERS!$I$11:$I$71=A44,"")</f>
        <v>1806</v>
      </c>
      <c r="AQ44" s="170">
        <f t="shared" ref="AQ44" si="320">IFERROR(AO44/AP44,"")</f>
        <v>207.68550941306756</v>
      </c>
      <c r="AR44" s="3">
        <f t="shared" ref="AR44" si="321">AO44+AL44</f>
        <v>456446.08</v>
      </c>
      <c r="AS44" s="97">
        <f t="shared" ref="AS44" si="322">AP44+AM44</f>
        <v>2634</v>
      </c>
      <c r="AT44" s="172">
        <f t="shared" ref="AT44" si="323">IFERROR(AR44/AS44,"")</f>
        <v>173.2900835231587</v>
      </c>
      <c r="AU44" s="167" cm="1">
        <f t="array" ref="AU44">SUMPRODUCT((Brunch__2[Week '#]=$A44)*(INT(Brunch__2[yyyyMMdd]/10000)=VALUE(RIGHT($AU$2,4)))*Brunch__2[Net sales])</f>
        <v>49659.399999999994</v>
      </c>
      <c r="AV44" s="168" cm="1">
        <f t="array" ref="AV44">_xlfn._xlws.FILTER([9]COVERS!$AA$11:$AA$71,[9]COVERS!$I$11:$I$71=A44,"")</f>
        <v>392</v>
      </c>
      <c r="AW44" s="170">
        <f t="shared" ref="AW44" si="324">IFERROR(AU44/AV44,0)</f>
        <v>126.68214285714284</v>
      </c>
      <c r="AX44" s="167" cm="1">
        <f t="array" ref="AX44">SUMPRODUCT((Dinner__3[Week '#]=$A44)*(INT(Dinner__3[yyyyMMdd]/10000)=VALUE(RIGHT($AX$2,4)))*Dinner__3[Net sales])-SUMPRODUCT((Sales_Categories__3[Week '#]=$A44)*(YEAR(Sales_Categories__3[Start Date])=VALUE(RIGHT($AX$2,4)))*(Sales_Categories__3[Sales category]="Non-Grat Svc Charges")*Sales_Categories__3[Net sales])</f>
        <v>291986.45999999996</v>
      </c>
      <c r="AY44" s="168" cm="1">
        <f t="array" ref="AY44">_xlfn._xlws.FILTER([9]COVERS!$AR$11:$AR$71,[9]COVERS!$I$11:$I$71=A44,"")</f>
        <v>1626</v>
      </c>
      <c r="AZ44" s="170">
        <f t="shared" ref="AZ44" si="325">IFERROR(AX44/AY44,"")</f>
        <v>179.57346863468632</v>
      </c>
      <c r="BA44" s="3">
        <f t="shared" ref="BA44" si="326">AX44+AU44</f>
        <v>341645.86</v>
      </c>
      <c r="BB44" s="97">
        <f t="shared" ref="BB44" si="327">AY44+AV44</f>
        <v>2018</v>
      </c>
      <c r="BC44" s="172">
        <f t="shared" ref="BC44" si="328">IFERROR(BA44/BB44,"")</f>
        <v>169.29923686818631</v>
      </c>
      <c r="BD44" s="167">
        <f>SUMIF(_2026DinnerSales[Week '#],$A44,_2026DinnerSales[Net sales])-
SUMIFS(_2026TotalSalesCat[Net sales],_2026TotalSalesCat[Week '#],$A44,_2026TotalSalesCat[Sales category],"Non-Grat Svc Charges")</f>
        <v>136286.99000000002</v>
      </c>
      <c r="BE44" s="168" cm="1">
        <f t="array" ref="BE44">_xlfn._xlws.FILTER([10]COVERS!$AR$11:$AR$70,[10]COVERS!$I$11:$I$70=$A44,"")</f>
        <v>1185</v>
      </c>
      <c r="BF44" s="170">
        <f t="shared" ref="BF44" si="329">IFERROR(BD44/BE44,"")</f>
        <v>115.01011814345993</v>
      </c>
      <c r="BG44" s="167">
        <f>SUMIF(_2026BrunchSales[Week '#],$A44,_2026BrunchSales[Net sales])</f>
        <v>36720.720000000001</v>
      </c>
      <c r="BH44" s="168" cm="1">
        <f t="array" ref="BH44">_xlfn._xlws.FILTER([10]COVERS!$AA$11:$AA$70,[10]COVERS!$I$11:$I$70=$A44,"")</f>
        <v>370</v>
      </c>
      <c r="BI44" s="170">
        <f t="shared" ref="BI44" si="330">IFERROR(BG44/BH44,"")</f>
        <v>99.24518918918919</v>
      </c>
      <c r="BJ44" s="167"/>
      <c r="BK44" s="168"/>
      <c r="BL44" s="170" t="str">
        <f t="shared" ref="BL44" si="331">IFERROR(BJ44/BK44,"")</f>
        <v/>
      </c>
      <c r="BM44" s="3">
        <f t="shared" ref="BM44" si="332">BD44+BJ44+BG44</f>
        <v>173007.71000000002</v>
      </c>
      <c r="BN44" s="97">
        <f t="shared" ref="BN44" si="333">BE44+BK44+BH44</f>
        <v>1555</v>
      </c>
      <c r="BO44" s="172">
        <f t="shared" ref="BO44" si="334">IFERROR(BM44/BN44,"")</f>
        <v>111.25897749196143</v>
      </c>
      <c r="BP44" s="167">
        <f>SUMIF(Lounge__2[Week '#],$A44,Lounge__2[Net sales])-
SUMIFS(Sales_Categories__4[Net sales],Sales_Categories__4[Week '#],$A44,Sales_Categories__4[Sales category],"Non-Grat Svc Charges")</f>
        <v>110120.65</v>
      </c>
      <c r="BQ44" s="168" cm="1">
        <f t="array" ref="BQ44">_xlfn._xlws.FILTER([11]COVERS!$AR$11:$AR$71,[11]COVERS!$I$11:$I$71=A44,"")</f>
        <v>436</v>
      </c>
      <c r="BR44" s="170">
        <f t="shared" ref="BR44" si="335">IFERROR(BP44/BQ44,"")</f>
        <v>252.57029816513761</v>
      </c>
      <c r="BS44" s="167">
        <f>SUMIF(MM__2[Week '#],$A44,MM__2[Net sales])</f>
        <v>22063.1</v>
      </c>
      <c r="BT44" s="168" cm="1">
        <f t="array" ref="BT44">_xlfn._xlws.FILTER([11]COVERS!$AA$11:$AA$71,[11]COVERS!$I$11:$I$71=A44,"")</f>
        <v>188</v>
      </c>
      <c r="BU44" s="170">
        <f t="shared" ref="BU44" si="336">IFERROR(BS44/BT44,"")</f>
        <v>117.35691489361702</v>
      </c>
      <c r="BV44" s="3">
        <f t="shared" ref="BV44" si="337">+BP44+BS44</f>
        <v>132183.75</v>
      </c>
      <c r="BW44" s="97">
        <f t="shared" ref="BW44" si="338">BT44+BQ44</f>
        <v>624</v>
      </c>
      <c r="BX44" s="172">
        <f t="shared" ref="BX44" si="339">IFERROR(BV44/BW44,"")</f>
        <v>211.83293269230768</v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101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1</v>
      </c>
      <c r="E45" s="167" cm="1">
        <f t="array" ref="E45">SUMPRODUCT((Dinner[Week '#]=$A45)*(INT(Dinner[yyyyMMdd]/10000)=VALUE(RIGHT($AX$2,4)))*Dinner[Net sales])-SUMPRODUCT((Non_Grat_Serv_Chrg[Week '#]=$A45)*(YEAR(Non_Grat_Serv_Chrg[Start Date])=VALUE(RIGHT($AX$2,4)))*(Non_Grat_Serv_Chrg[Sales category]="Non-Grat Svc Charges")*Non_Grat_Serv_Chrg[Net sales])</f>
        <v>539510.75</v>
      </c>
      <c r="F45" s="168" cm="1">
        <f t="array" ref="F45">_xlfn._xlws.FILTER([5]COVERS!$AR$7:$AR$71,[5]COVERS!$I$7:$I$71=$A45,"")</f>
        <v>3541</v>
      </c>
      <c r="G45" s="170">
        <f t="shared" ref="G45" si="340">IFERROR(E45/F45,"")</f>
        <v>152.36112680033889</v>
      </c>
      <c r="H45" s="167" cm="1">
        <f t="array" ref="H45">SUMPRODUCT((Lunch[Week '#]=$A45)*(INT(Lunch[yyyyMMdd]/10000)=VALUE(RIGHT($H$2,4)))*Lunch[Net sales])</f>
        <v>36845</v>
      </c>
      <c r="I45" s="168" cm="1">
        <f t="array" ref="I45">_xlfn._xlws.FILTER([5]COVERS!$AA$7:$AA$71,[5]COVERS!$I$7:$I$71=$A45,"")</f>
        <v>303</v>
      </c>
      <c r="J45" s="170">
        <f>IFERROR(H45/I45,"")</f>
        <v>121.6006600660066</v>
      </c>
      <c r="K45" s="3">
        <f t="shared" ref="K45" si="341">E45+H45</f>
        <v>576355.75</v>
      </c>
      <c r="L45" s="97">
        <f t="shared" ref="L45" si="342">F45+I45</f>
        <v>3844</v>
      </c>
      <c r="M45" s="172">
        <f t="shared" ref="M45" si="343">IFERROR(K45/L45,"")</f>
        <v>149.93645941727368</v>
      </c>
      <c r="N45" s="167" cm="1">
        <f t="array" ref="N45">SUMPRODUCT((Omakase[Week '#]=$A45)*(INT(Omakase[yyyyMMdd]/10000)=VALUE(RIGHT($N$2,4)))*Omakase[Net sales])</f>
        <v>14504</v>
      </c>
      <c r="O45" s="168" cm="1">
        <f t="array" ref="O45">_xlfn._xlws.FILTER([6]COVERS!$AA$11:$AA$70,[6]COVERS!$I$11:$I$70=A45,"")</f>
        <v>49</v>
      </c>
      <c r="P45" s="170">
        <f t="shared" ref="P45" si="344">IFERROR(N45/O45,"")</f>
        <v>296</v>
      </c>
      <c r="Q45" s="167" cm="1">
        <f t="array" ref="Q45">SUMPRODUCT((MM[Week '#]=$A45)*(INT(MM[yyyyMMdd]/10000)=VALUE(RIGHT($Q$2,4)))*MM[Net sales])</f>
        <v>61275.199999999997</v>
      </c>
      <c r="R45" s="168" cm="1">
        <f t="array" ref="R45">_xlfn._xlws.FILTER([6]COVERS!$AR$11:$AR$70,[6]COVERS!$I$11:$I$70=A45,"")</f>
        <v>397</v>
      </c>
      <c r="S45" s="170">
        <f t="shared" ref="S45" si="345">IFERROR(Q45/R45,"")</f>
        <v>154.34559193954658</v>
      </c>
      <c r="T45" s="167" cm="1">
        <f t="array" ref="T45">SUMPRODUCT((Lounge[Week '#]=$A45)*(INT(Lounge[yyyyMMdd]/10000)=VALUE(RIGHT($Q$2,4)))*Lounge[Net sales])-SUMIFS(Sales_Categories[Net sales],Sales_Categories[Week '#],$A45,Sales_Categories[Sales category],"Non-Grat Svc Charges")</f>
        <v>254511.39999999997</v>
      </c>
      <c r="U45" s="168" cm="1">
        <f t="array" ref="U45">_xlfn._xlws.FILTER([6]COVERS!$BI$11:$BI$70,[6]COVERS!$I$11:$I$70=A45,"")</f>
        <v>756</v>
      </c>
      <c r="V45" s="170">
        <f t="shared" ref="V45" si="346">IFERROR(T45/U45,"")</f>
        <v>336.65529100529096</v>
      </c>
      <c r="W45" s="167">
        <f t="shared" ref="W45" si="347">SUM(N45,Q45,T45)</f>
        <v>330290.59999999998</v>
      </c>
      <c r="X45" s="168">
        <f t="shared" ref="X45" si="348">SUM(O45,R45,U45)</f>
        <v>1202</v>
      </c>
      <c r="Y45" s="172">
        <f t="shared" ref="Y45" si="349">IFERROR(W45/X45,"")</f>
        <v>274.78419301164723</v>
      </c>
      <c r="Z45" s="167" cm="1">
        <f t="array" ref="Z45">SUMPRODUCT((_26DinnerSalesACT[Week '#]=$A45)*(INT(_26DinnerSalesACT[yyyyMMdd]/10000)=VALUE(RIGHT($AX$2,4)))*_26DinnerSalesACT[Net sales])-
SUMIFS(_2026AVATotalSalesCat[Net sales],_2026AVATotalSalesCat[Week '#],$A45,_2026AVATotalSalesCat[Sales category],"Non-Grat Svc Charges")</f>
        <v>125308.05</v>
      </c>
      <c r="AA45" s="168" cm="1">
        <f t="array" ref="AA45">_xlfn._xlws.FILTER([7]COVERS!$AR$11:$AR$70,[7]COVERS!$I$11:$I$70=$A45,"")</f>
        <v>1183</v>
      </c>
      <c r="AB45" s="170">
        <f t="shared" ref="AB45" si="350">IFERROR(Z45/AA45,"")</f>
        <v>105.92396449704142</v>
      </c>
      <c r="AC45" s="167" cm="1">
        <f t="array" ref="AC45">SUMPRODUCT((_26LunchSalesACT[Week '#]=$A45)*(INT(_26LunchSalesACT[yyyyMMdd]/10000)=VALUE(RIGHT($AX$2,4)))*_26LunchSalesACT[Net sales])</f>
        <v>69540.5</v>
      </c>
      <c r="AD45" s="168" cm="1">
        <f t="array" ref="AD45">_xlfn._xlws.FILTER([7]COVERS!$AA$11:$AA$70,[7]COVERS!$I$11:$I$70=$A45,"")</f>
        <v>264</v>
      </c>
      <c r="AE45" s="170">
        <f t="shared" ref="AE45" si="351">IFERROR(AC45/AD45,"")</f>
        <v>263.41098484848487</v>
      </c>
      <c r="AF45" s="167">
        <f>SUMIF(_26MMSalesACT[Week '#],$A45,_26MMSalesACT[Net sales])</f>
        <v>21335.9</v>
      </c>
      <c r="AG45" s="168" cm="1">
        <f t="array" ref="AG45">_xlfn._xlws.FILTER([7]COVERS!$BI$11:$BI$70,[7]COVERS!$I$11:$I$70=$A45,"")</f>
        <v>166</v>
      </c>
      <c r="AH45" s="170">
        <f t="shared" ref="AH45" si="352">IFERROR(AF45/AG45,"")</f>
        <v>128.52951807228916</v>
      </c>
      <c r="AI45" s="3">
        <f t="shared" ref="AI45" si="353">Z45+AF45+AC45</f>
        <v>216184.45</v>
      </c>
      <c r="AJ45" s="97">
        <f t="shared" ref="AJ45" si="354">AA45+AG45+AD45</f>
        <v>1613</v>
      </c>
      <c r="AK45" s="172">
        <f t="shared" ref="AK45" si="355">IFERROR(AI45/AJ45,"")</f>
        <v>134.02631742095474</v>
      </c>
      <c r="AL45" s="167" cm="1">
        <f t="array" ref="AL45">SUMPRODUCT((Brunch[Week '#]=$A45)*(INT(Brunch[yyyyMMdd]/10000)=VALUE(RIGHT($AL$2,4)))*Brunch[Net sales])</f>
        <v>123959.95</v>
      </c>
      <c r="AM45" s="168" cm="1">
        <f t="array" ref="AM45">_xlfn._xlws.FILTER([8]COVERS!$AA$11:$AA$71,[8]COVERS!$I$11:$I$71=A45,"")</f>
        <v>826</v>
      </c>
      <c r="AN45" s="170">
        <f t="shared" ref="AN45" si="356">IFERROR(AL45/AM45,"")</f>
        <v>150.07257869249395</v>
      </c>
      <c r="AO45" s="167" cm="1">
        <f t="array" ref="AO45">SUMPRODUCT((Dinner__2[Week '#]=$A45)*(INT(Dinner__2[yyyyMMdd]/10000)=VALUE(RIGHT($AL$2,4)))*Dinner__2[Net sales])-
SUMIFS(Sales_Categories__2[Net sales],Sales_Categories__2[Week '#],$A45,Sales_Categories__2[Sales category],"Non-Grat Svc Charges")</f>
        <v>482677.74999999994</v>
      </c>
      <c r="AP45" s="168" cm="1">
        <f t="array" ref="AP45">_xlfn._xlws.FILTER([8]COVERS!$AR$11:$AR$71,[8]COVERS!$I$11:$I$71=A45,"")</f>
        <v>2101</v>
      </c>
      <c r="AQ45" s="170">
        <f t="shared" ref="AQ45" si="357">IFERROR(AO45/AP45,"")</f>
        <v>229.73714897667776</v>
      </c>
      <c r="AR45" s="3">
        <f t="shared" ref="AR45" si="358">AO45+AL45</f>
        <v>606637.69999999995</v>
      </c>
      <c r="AS45" s="97">
        <f t="shared" ref="AS45" si="359">AP45+AM45</f>
        <v>2927</v>
      </c>
      <c r="AT45" s="172">
        <f t="shared" ref="AT45" si="360">IFERROR(AR45/AS45,"")</f>
        <v>207.25579091219677</v>
      </c>
      <c r="AU45" s="167" cm="1">
        <f t="array" ref="AU45">SUMPRODUCT((Brunch__2[Week '#]=$A45)*(INT(Brunch__2[yyyyMMdd]/10000)=VALUE(RIGHT($AU$2,4)))*Brunch__2[Net sales])-273.52</f>
        <v>43578.16</v>
      </c>
      <c r="AV45" s="168" cm="1">
        <f t="array" ref="AV45">_xlfn._xlws.FILTER([9]COVERS!$AA$11:$AA$71,[9]COVERS!$I$11:$I$71=A45,"")</f>
        <v>243</v>
      </c>
      <c r="AW45" s="170">
        <f t="shared" ref="AW45" si="361">IFERROR(AU45/AV45,0)</f>
        <v>179.33399176954734</v>
      </c>
      <c r="AX45" s="167" cm="1">
        <f t="array" ref="AX45">SUMPRODUCT((Dinner__3[Week '#]=$A45)*(INT(Dinner__3[yyyyMMdd]/10000)=VALUE(RIGHT($AX$2,4)))*Dinner__3[Net sales])-SUMPRODUCT((Sales_Categories__3[Week '#]=$A45)*(YEAR(Sales_Categories__3[Start Date])=VALUE(RIGHT($AX$2,4)))*(Sales_Categories__3[Sales category]="Non-Grat Svc Charges")*Sales_Categories__3[Net sales])</f>
        <v>241362.07</v>
      </c>
      <c r="AY45" s="168" cm="1">
        <f t="array" ref="AY45">_xlfn._xlws.FILTER([9]COVERS!$AR$11:$AR$71,[9]COVERS!$I$11:$I$71=A45,"")</f>
        <v>1769</v>
      </c>
      <c r="AZ45" s="170">
        <f t="shared" ref="AZ45" si="362">IFERROR(AX45/AY45,"")</f>
        <v>136.43983606557379</v>
      </c>
      <c r="BA45" s="3">
        <f t="shared" ref="BA45" si="363">AX45+AU45</f>
        <v>284940.23</v>
      </c>
      <c r="BB45" s="97">
        <f t="shared" ref="BB45" si="364">AY45+AV45</f>
        <v>2012</v>
      </c>
      <c r="BC45" s="172">
        <f t="shared" ref="BC45" si="365">IFERROR(BA45/BB45,"")</f>
        <v>141.62039264413517</v>
      </c>
      <c r="BD45" s="167">
        <f>SUMIF(_2026DinnerSales[Week '#],$A45,_2026DinnerSales[Net sales])-
SUMIFS(_2026TotalSalesCat[Net sales],_2026TotalSalesCat[Week '#],$A45,_2026TotalSalesCat[Sales category],"Non-Grat Svc Charges")-1596.68</f>
        <v>189233.26999999996</v>
      </c>
      <c r="BE45" s="168" cm="1">
        <f t="array" ref="BE45">_xlfn._xlws.FILTER([10]COVERS!$AR$11:$AR$70,[10]COVERS!$I$11:$I$70=$A45,"")</f>
        <v>1430</v>
      </c>
      <c r="BF45" s="170">
        <f t="shared" ref="BF45" si="366">IFERROR(BD45/BE45,"")</f>
        <v>132.33095804195801</v>
      </c>
      <c r="BG45" s="167">
        <f>SUMIF(_2026BrunchSales[Week '#],$A45,_2026BrunchSales[Net sales])-373.75</f>
        <v>25476.23</v>
      </c>
      <c r="BH45" s="168" cm="1">
        <f t="array" ref="BH45">_xlfn._xlws.FILTER([10]COVERS!$AA$11:$AA$70,[10]COVERS!$I$11:$I$70=$A45,"")</f>
        <v>316</v>
      </c>
      <c r="BI45" s="170">
        <f t="shared" ref="BI45" si="367">IFERROR(BG45/BH45,"")</f>
        <v>80.62098101265822</v>
      </c>
      <c r="BJ45" s="167"/>
      <c r="BK45" s="168"/>
      <c r="BL45" s="170" t="str">
        <f t="shared" ref="BL45" si="368">IFERROR(BJ45/BK45,"")</f>
        <v/>
      </c>
      <c r="BM45" s="3">
        <f t="shared" ref="BM45" si="369">BD45+BJ45+BG45</f>
        <v>214709.49999999997</v>
      </c>
      <c r="BN45" s="97">
        <f t="shared" ref="BN45" si="370">BE45+BK45+BH45</f>
        <v>1746</v>
      </c>
      <c r="BO45" s="172">
        <f t="shared" ref="BO45" si="371">IFERROR(BM45/BN45,"")</f>
        <v>122.9722222222222</v>
      </c>
      <c r="BP45" s="167">
        <f>SUMIF(Lounge__2[Week '#],$A45,Lounge__2[Net sales])-
SUMIFS(Sales_Categories__4[Net sales],Sales_Categories__4[Week '#],$A45,Sales_Categories__4[Sales category],"Non-Grat Svc Charges")</f>
        <v>128927</v>
      </c>
      <c r="BQ45" s="168" cm="1">
        <f t="array" ref="BQ45">_xlfn._xlws.FILTER([11]COVERS!$AR$11:$AR$71,[11]COVERS!$I$11:$I$71=A45,"")</f>
        <v>494</v>
      </c>
      <c r="BR45" s="170">
        <f t="shared" ref="BR45" si="372">IFERROR(BP45/BQ45,"")</f>
        <v>260.98582995951415</v>
      </c>
      <c r="BS45" s="167">
        <f>SUMIF(MM__2[Week '#],$A45,MM__2[Net sales])</f>
        <v>6337</v>
      </c>
      <c r="BT45" s="168" cm="1">
        <f t="array" ref="BT45">_xlfn._xlws.FILTER([11]COVERS!$AA$11:$AA$71,[11]COVERS!$I$11:$I$71=A45,"")</f>
        <v>40</v>
      </c>
      <c r="BU45" s="170">
        <f t="shared" ref="BU45" si="373">IFERROR(BS45/BT45,"")</f>
        <v>158.42500000000001</v>
      </c>
      <c r="BV45" s="3">
        <f t="shared" ref="BV45" si="374">+BP45+BS45</f>
        <v>135264</v>
      </c>
      <c r="BW45" s="97">
        <f t="shared" ref="BW45" si="375">BT45+BQ45</f>
        <v>534</v>
      </c>
      <c r="BX45" s="172">
        <f t="shared" ref="BX45" si="376">IFERROR(BV45/BW45,"")</f>
        <v>253.30337078651687</v>
      </c>
      <c r="BY45" s="167">
        <v>0</v>
      </c>
      <c r="BZ45" s="167">
        <v>0</v>
      </c>
      <c r="CA45" s="170" t="str">
        <f t="shared" ref="CA45" si="377">IFERROR(BY45/BZ45,"")</f>
        <v/>
      </c>
      <c r="CB45" s="167">
        <v>0</v>
      </c>
      <c r="CC45" s="167">
        <v>0</v>
      </c>
      <c r="CD45" s="170" t="str">
        <f t="shared" ref="CD45" si="378">IFERROR(CB45/CC45,"")</f>
        <v/>
      </c>
      <c r="CE45" s="167"/>
      <c r="CF45" s="168"/>
      <c r="CG45" s="170" t="str">
        <f t="shared" ref="CG45" si="379">IFERROR(CE45/CF45,"")</f>
        <v/>
      </c>
      <c r="CH45" s="3">
        <f t="shared" ref="CH45" si="380">BY45+CE45+CB45</f>
        <v>0</v>
      </c>
      <c r="CI45" s="97">
        <f t="shared" ref="CI45" si="381">BZ45+CF45+CC45</f>
        <v>0</v>
      </c>
      <c r="CJ45" s="172" t="str">
        <f t="shared" ref="CJ45" si="382">IFERROR(CH45/CI45,"")</f>
        <v/>
      </c>
    </row>
    <row r="46" spans="1:88">
      <c r="A46" t="s">
        <v>179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0</v>
      </c>
      <c r="E46" s="167"/>
      <c r="F46" s="168"/>
      <c r="G46" s="170" t="str">
        <f t="shared" si="28"/>
        <v/>
      </c>
      <c r="H46" s="167"/>
      <c r="I46" s="168"/>
      <c r="J46" s="170" t="str">
        <f t="shared" si="0"/>
        <v/>
      </c>
      <c r="K46" s="3">
        <f t="shared" si="82"/>
        <v>0</v>
      </c>
      <c r="L46" s="97">
        <f t="shared" si="83"/>
        <v>0</v>
      </c>
      <c r="M46" s="172" t="str">
        <f t="shared" si="3"/>
        <v/>
      </c>
      <c r="N46" s="167"/>
      <c r="O46" s="168"/>
      <c r="P46" s="170" t="str">
        <f t="shared" si="4"/>
        <v/>
      </c>
      <c r="Q46" s="167"/>
      <c r="R46" s="168"/>
      <c r="S46" s="170" t="str">
        <f t="shared" si="5"/>
        <v/>
      </c>
      <c r="T46" s="167"/>
      <c r="U46" s="168"/>
      <c r="V46" s="170" t="str">
        <f t="shared" si="6"/>
        <v/>
      </c>
      <c r="W46" s="167">
        <f t="shared" si="29"/>
        <v>0</v>
      </c>
      <c r="X46" s="168">
        <f t="shared" si="30"/>
        <v>0</v>
      </c>
      <c r="Y46" s="172" t="str">
        <f t="shared" si="7"/>
        <v/>
      </c>
      <c r="Z46" s="167"/>
      <c r="AA46" s="168"/>
      <c r="AB46" s="170" t="str">
        <f t="shared" si="8"/>
        <v/>
      </c>
      <c r="AC46" s="167"/>
      <c r="AD46" s="168"/>
      <c r="AE46" s="170" t="str">
        <f t="shared" si="9"/>
        <v/>
      </c>
      <c r="AF46" s="167"/>
      <c r="AG46" s="168"/>
      <c r="AH46" s="170" t="str">
        <f t="shared" si="10"/>
        <v/>
      </c>
      <c r="AI46" s="3">
        <f t="shared" si="31"/>
        <v>0</v>
      </c>
      <c r="AJ46" s="97">
        <f t="shared" si="32"/>
        <v>0</v>
      </c>
      <c r="AK46" s="172" t="str">
        <f t="shared" si="11"/>
        <v/>
      </c>
      <c r="AL46" s="167"/>
      <c r="AM46" s="168"/>
      <c r="AN46" s="170" t="str">
        <f t="shared" si="12"/>
        <v/>
      </c>
      <c r="AO46" s="167"/>
      <c r="AP46" s="168"/>
      <c r="AQ46" s="170" t="str">
        <f t="shared" si="13"/>
        <v/>
      </c>
      <c r="AR46" s="3">
        <f t="shared" si="33"/>
        <v>0</v>
      </c>
      <c r="AS46" s="97">
        <f t="shared" si="34"/>
        <v>0</v>
      </c>
      <c r="AT46" s="172" t="str">
        <f t="shared" si="14"/>
        <v/>
      </c>
      <c r="AU46" s="167"/>
      <c r="AV46" s="168"/>
      <c r="AW46" s="170">
        <f t="shared" si="81"/>
        <v>0</v>
      </c>
      <c r="AX46" s="167"/>
      <c r="AY46" s="168"/>
      <c r="AZ46" s="170" t="str">
        <f t="shared" si="15"/>
        <v/>
      </c>
      <c r="BA46" s="3">
        <f t="shared" si="36"/>
        <v>0</v>
      </c>
      <c r="BB46" s="97">
        <f t="shared" si="37"/>
        <v>0</v>
      </c>
      <c r="BC46" s="172" t="str">
        <f t="shared" si="16"/>
        <v/>
      </c>
      <c r="BD46" s="167"/>
      <c r="BE46" s="168"/>
      <c r="BF46" s="170" t="str">
        <f t="shared" si="17"/>
        <v/>
      </c>
      <c r="BG46" s="167"/>
      <c r="BH46" s="168"/>
      <c r="BI46" s="170" t="str">
        <f t="shared" si="18"/>
        <v/>
      </c>
      <c r="BJ46" s="167"/>
      <c r="BK46" s="168"/>
      <c r="BL46" s="170" t="str">
        <f t="shared" si="19"/>
        <v/>
      </c>
      <c r="BM46" s="3">
        <f t="shared" si="38"/>
        <v>0</v>
      </c>
      <c r="BN46" s="97">
        <f t="shared" si="39"/>
        <v>0</v>
      </c>
      <c r="BO46" s="172" t="str">
        <f t="shared" si="20"/>
        <v/>
      </c>
      <c r="BP46" s="167"/>
      <c r="BQ46" s="168"/>
      <c r="BR46" s="170" t="str">
        <f t="shared" si="70"/>
        <v/>
      </c>
      <c r="BS46" s="167"/>
      <c r="BT46" s="168"/>
      <c r="BU46" s="170" t="str">
        <f t="shared" si="71"/>
        <v/>
      </c>
      <c r="BV46" s="3">
        <f t="shared" si="40"/>
        <v>0</v>
      </c>
      <c r="BW46" s="97">
        <f t="shared" si="72"/>
        <v>0</v>
      </c>
      <c r="BX46" s="172" t="str">
        <f t="shared" si="73"/>
        <v/>
      </c>
      <c r="BY46" s="167">
        <v>0</v>
      </c>
      <c r="BZ46" s="167">
        <v>0</v>
      </c>
      <c r="CA46" s="170" t="str">
        <f t="shared" si="74"/>
        <v/>
      </c>
      <c r="CB46" s="167">
        <v>0</v>
      </c>
      <c r="CC46" s="167">
        <v>0</v>
      </c>
      <c r="CD46" s="170" t="str">
        <f t="shared" si="75"/>
        <v/>
      </c>
      <c r="CE46" s="167"/>
      <c r="CF46" s="168"/>
      <c r="CG46" s="170" t="str">
        <f t="shared" si="76"/>
        <v/>
      </c>
      <c r="CH46" s="3">
        <f t="shared" si="77"/>
        <v>0</v>
      </c>
      <c r="CI46" s="97">
        <f t="shared" si="78"/>
        <v>0</v>
      </c>
      <c r="CJ46" s="172" t="str">
        <f t="shared" si="79"/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AU2:AW2"/>
    <mergeCell ref="AX2:AZ2"/>
    <mergeCell ref="BA2:BC2"/>
    <mergeCell ref="AU3:AW3"/>
    <mergeCell ref="AX3:AZ3"/>
    <mergeCell ref="BA3:BC3"/>
    <mergeCell ref="AL2:AN2"/>
    <mergeCell ref="AO2:AQ2"/>
    <mergeCell ref="AR2:AT2"/>
    <mergeCell ref="AL3:AN3"/>
    <mergeCell ref="AO3:AQ3"/>
    <mergeCell ref="AR3:AT3"/>
    <mergeCell ref="K2:M2"/>
    <mergeCell ref="N2:P2"/>
    <mergeCell ref="E3:G3"/>
    <mergeCell ref="H3:J3"/>
    <mergeCell ref="Q2:S2"/>
    <mergeCell ref="N3:P3"/>
    <mergeCell ref="Q3:S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BM2:BO2"/>
    <mergeCell ref="BM3:BO3"/>
    <mergeCell ref="BD2:BF2"/>
    <mergeCell ref="BG2:BI2"/>
    <mergeCell ref="BJ2:BL2"/>
    <mergeCell ref="BD3:BF3"/>
    <mergeCell ref="BG3:BI3"/>
    <mergeCell ref="BJ3:BL3"/>
    <mergeCell ref="BP2:BR2"/>
    <mergeCell ref="BS2:BU2"/>
    <mergeCell ref="BV2:BX2"/>
    <mergeCell ref="BP3:BR3"/>
    <mergeCell ref="BS3:BU3"/>
    <mergeCell ref="BV3:BX3"/>
    <mergeCell ref="BY2:CA2"/>
    <mergeCell ref="CB2:CD2"/>
    <mergeCell ref="CE2:CG2"/>
    <mergeCell ref="CH2:CJ2"/>
    <mergeCell ref="BY3:CA3"/>
    <mergeCell ref="CB3:CD3"/>
    <mergeCell ref="CE3:CG3"/>
    <mergeCell ref="CH3:CJ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FCD51-88B1-4338-8900-AAA736888032}">
  <sheetPr>
    <tabColor rgb="FF00B0F0"/>
  </sheetPr>
  <dimension ref="A1:N9"/>
  <sheetViews>
    <sheetView workbookViewId="0">
      <selection sqref="A1:XFD9"/>
    </sheetView>
  </sheetViews>
  <sheetFormatPr defaultRowHeight="15"/>
  <cols>
    <col min="1" max="1" width="36.5703125" bestFit="1" customWidth="1"/>
    <col min="2" max="11" width="8" bestFit="1" customWidth="1"/>
    <col min="12" max="13" width="5.140625" bestFit="1" customWidth="1"/>
    <col min="14" max="14" width="9" bestFit="1" customWidth="1"/>
  </cols>
  <sheetData>
    <row r="1" spans="1:14" ht="18.75">
      <c r="A1" s="392" t="s">
        <v>210</v>
      </c>
    </row>
    <row r="3" spans="1:14">
      <c r="A3" s="393" t="s">
        <v>211</v>
      </c>
      <c r="B3" s="393" t="s">
        <v>121</v>
      </c>
      <c r="C3" s="393" t="s">
        <v>127</v>
      </c>
      <c r="D3" s="393" t="s">
        <v>133</v>
      </c>
      <c r="E3" s="393" t="s">
        <v>140</v>
      </c>
      <c r="F3" s="393" t="s">
        <v>146</v>
      </c>
      <c r="G3" s="393" t="s">
        <v>152</v>
      </c>
      <c r="H3" s="393" t="s">
        <v>159</v>
      </c>
      <c r="I3" s="393" t="s">
        <v>165</v>
      </c>
      <c r="J3" s="393" t="s">
        <v>171</v>
      </c>
      <c r="K3" s="393" t="s">
        <v>76</v>
      </c>
      <c r="L3" s="393" t="s">
        <v>182</v>
      </c>
      <c r="M3" s="393" t="s">
        <v>188</v>
      </c>
      <c r="N3" s="393" t="s">
        <v>107</v>
      </c>
    </row>
    <row r="4" spans="1:14">
      <c r="A4" t="s">
        <v>212</v>
      </c>
      <c r="B4" s="97">
        <f>SUMIF('Actual - 2026'!$B$5:$B$56,B$3,'Actual - 2026'!$AS$5:$AS$56)+SUMIF('Actual - 2026'!$B$5:$B$56,B$3,'Actual - 2026'!$BW$5:$BW$56)</f>
        <v>17409</v>
      </c>
      <c r="C4" s="97">
        <f>SUMIF('Actual - 2026'!$B$5:$B$56,C$3,'Actual - 2026'!$AS$5:$AS$56)+SUMIF('Actual - 2026'!$B$5:$B$56,C$3,'Actual - 2026'!$BW$5:$BW$56)</f>
        <v>15757</v>
      </c>
      <c r="D4" s="97">
        <f>SUMIF('Actual - 2026'!$B$5:$B$56,D$3,'Actual - 2026'!$AS$5:$AS$56)+SUMIF('Actual - 2026'!$B$5:$B$56,D$3,'Actual - 2026'!$BW$5:$BW$56)</f>
        <v>26019</v>
      </c>
      <c r="E4" s="97">
        <f>SUMIF('Actual - 2026'!$B$5:$B$56,E$3,'Actual - 2026'!$AS$5:$AS$56)+SUMIF('Actual - 2026'!$B$5:$B$56,E$3,'Actual - 2026'!$BW$5:$BW$56)</f>
        <v>20525</v>
      </c>
      <c r="F4" s="97">
        <f>SUMIF('Actual - 2026'!$B$5:$B$56,F$3,'Actual - 2026'!$AS$5:$AS$56)+SUMIF('Actual - 2026'!$B$5:$B$56,F$3,'Actual - 2026'!$BW$5:$BW$56)</f>
        <v>22319</v>
      </c>
      <c r="G4" s="97">
        <f>SUMIF('Actual - 2026'!$B$5:$B$56,G$3,'Actual - 2026'!$AS$5:$AS$56)+SUMIF('Actual - 2026'!$B$5:$B$56,G$3,'Actual - 2026'!$BW$5:$BW$56)</f>
        <v>22616</v>
      </c>
      <c r="H4" s="97">
        <f>SUMIF('Actual - 2026'!$B$5:$B$56,H$3,'Actual - 2026'!$AS$5:$AS$56)+SUMIF('Actual - 2026'!$B$5:$B$56,H$3,'Actual - 2026'!$BW$5:$BW$56)</f>
        <v>15811</v>
      </c>
      <c r="I4" s="97">
        <f>SUMIF('Actual - 2026'!$B$5:$B$56,I$3,'Actual - 2026'!$AS$5:$AS$56)+SUMIF('Actual - 2026'!$B$5:$B$56,I$3,'Actual - 2026'!$BW$5:$BW$56)</f>
        <v>13531</v>
      </c>
      <c r="J4" s="97">
        <f>SUMIF('Actual - 2026'!$B$5:$B$56,J$3,'Actual - 2026'!$AS$5:$AS$56)+SUMIF('Actual - 2026'!$B$5:$B$56,J$3,'Actual - 2026'!$BW$5:$BW$56)</f>
        <v>15632</v>
      </c>
      <c r="K4" s="97">
        <f>SUMIF('Actual - 2026'!$B$5:$B$56,K$3,'Actual - 2026'!$AS$5:$AS$56)+SUMIF('Actual - 2026'!$B$5:$B$56,K$3,'Actual - 2026'!$BW$5:$BW$56)</f>
        <v>6719</v>
      </c>
      <c r="L4" s="97">
        <f>SUMIF('Actual - 2026'!$B$5:$B$56,L$3,'Actual - 2026'!$AS$5:$AS$56)+SUMIF('Actual - 2026'!$B$5:$B$56,L$3,'Actual - 2026'!$BW$5:$BW$56)</f>
        <v>0</v>
      </c>
      <c r="M4" s="97">
        <f>SUMIF('Actual - 2026'!$B$5:$B$56,M$3,'Actual - 2026'!$AS$5:$AS$56)+SUMIF('Actual - 2026'!$B$5:$B$56,M$3,'Actual - 2026'!$BW$5:$BW$56)</f>
        <v>0</v>
      </c>
      <c r="N4" s="97">
        <f t="shared" ref="N4:N9" si="0">SUM(B4:M4)</f>
        <v>176338</v>
      </c>
    </row>
    <row r="5" spans="1:14">
      <c r="A5" t="s">
        <v>213</v>
      </c>
      <c r="B5" s="97">
        <f>SUMIF('Actual - 2026'!$B$5:$B$56,B$3,'Actual - 2026'!$L$5:$L$56)+SUMIF('Actual - 2026'!$B$5:$B$56,B$3,'Actual - 2026'!$X$5:$X$56)</f>
        <v>26244</v>
      </c>
      <c r="C5" s="97">
        <f>SUMIF('Actual - 2026'!$B$5:$B$56,C$3,'Actual - 2026'!$L$5:$L$56)+SUMIF('Actual - 2026'!$B$5:$B$56,C$3,'Actual - 2026'!$X$5:$X$56)</f>
        <v>25112</v>
      </c>
      <c r="D5" s="97">
        <f>SUMIF('Actual - 2026'!$B$5:$B$56,D$3,'Actual - 2026'!$L$5:$L$56)+SUMIF('Actual - 2026'!$B$5:$B$56,D$3,'Actual - 2026'!$X$5:$X$56)</f>
        <v>32301</v>
      </c>
      <c r="E5" s="97">
        <f>SUMIF('Actual - 2026'!$B$5:$B$56,E$3,'Actual - 2026'!$L$5:$L$56)+SUMIF('Actual - 2026'!$B$5:$B$56,E$3,'Actual - 2026'!$X$5:$X$56)</f>
        <v>24490</v>
      </c>
      <c r="F5" s="97">
        <f>SUMIF('Actual - 2026'!$B$5:$B$56,F$3,'Actual - 2026'!$L$5:$L$56)+SUMIF('Actual - 2026'!$B$5:$B$56,F$3,'Actual - 2026'!$X$5:$X$56)</f>
        <v>25942</v>
      </c>
      <c r="G5" s="97">
        <f>SUMIF('Actual - 2026'!$B$5:$B$56,G$3,'Actual - 2026'!$L$5:$L$56)+SUMIF('Actual - 2026'!$B$5:$B$56,G$3,'Actual - 2026'!$X$5:$X$56)</f>
        <v>25913</v>
      </c>
      <c r="H5" s="97">
        <f>SUMIF('Actual - 2026'!$B$5:$B$56,H$3,'Actual - 2026'!$L$5:$L$56)+SUMIF('Actual - 2026'!$B$5:$B$56,H$3,'Actual - 2026'!$X$5:$X$56)</f>
        <v>19251</v>
      </c>
      <c r="I5" s="97">
        <f>SUMIF('Actual - 2026'!$B$5:$B$56,I$3,'Actual - 2026'!$L$5:$L$56)+SUMIF('Actual - 2026'!$B$5:$B$56,I$3,'Actual - 2026'!$X$5:$X$56)</f>
        <v>20458</v>
      </c>
      <c r="J5" s="97">
        <f>SUMIF('Actual - 2026'!$B$5:$B$56,J$3,'Actual - 2026'!$L$5:$L$56)+SUMIF('Actual - 2026'!$B$5:$B$56,J$3,'Actual - 2026'!$X$5:$X$56)</f>
        <v>25223</v>
      </c>
      <c r="K5" s="97">
        <f>SUMIF('Actual - 2026'!$B$5:$B$56,K$3,'Actual - 2026'!$L$5:$L$56)+SUMIF('Actual - 2026'!$B$5:$B$56,K$3,'Actual - 2026'!$X$5:$X$56)</f>
        <v>10313</v>
      </c>
      <c r="L5" s="97">
        <f>SUMIF('Actual - 2026'!$B$5:$B$56,L$3,'Actual - 2026'!$L$5:$L$56)+SUMIF('Actual - 2026'!$B$5:$B$56,L$3,'Actual - 2026'!$X$5:$X$56)</f>
        <v>0</v>
      </c>
      <c r="M5" s="97">
        <f>SUMIF('Actual - 2026'!$B$5:$B$56,M$3,'Actual - 2026'!$L$5:$L$56)+SUMIF('Actual - 2026'!$B$5:$B$56,M$3,'Actual - 2026'!$X$5:$X$56)</f>
        <v>0</v>
      </c>
      <c r="N5" s="97">
        <f t="shared" si="0"/>
        <v>235247</v>
      </c>
    </row>
    <row r="6" spans="1:14">
      <c r="A6" t="s">
        <v>214</v>
      </c>
      <c r="B6" s="97">
        <f>SUMIF('Actual - 2026'!$B$5:$B$56,B$3,'Actual - 2026'!$BB$5:$BB$56)</f>
        <v>8655</v>
      </c>
      <c r="C6" s="97">
        <f>SUMIF('Actual - 2026'!$B$5:$B$56,C$3,'Actual - 2026'!$BB$5:$BB$56)</f>
        <v>8709</v>
      </c>
      <c r="D6" s="97">
        <f>SUMIF('Actual - 2026'!$B$5:$B$56,D$3,'Actual - 2026'!$BB$5:$BB$56)</f>
        <v>11433</v>
      </c>
      <c r="E6" s="97">
        <f>SUMIF('Actual - 2026'!$B$5:$B$56,E$3,'Actual - 2026'!$BB$5:$BB$56)</f>
        <v>9144</v>
      </c>
      <c r="F6" s="97">
        <f>SUMIF('Actual - 2026'!$B$5:$B$56,F$3,'Actual - 2026'!$BB$5:$BB$56)</f>
        <v>9581</v>
      </c>
      <c r="G6" s="97">
        <f>SUMIF('Actual - 2026'!$B$5:$B$56,G$3,'Actual - 2026'!$BB$5:$BB$56)</f>
        <v>8636</v>
      </c>
      <c r="H6" s="97">
        <f>SUMIF('Actual - 2026'!$B$5:$B$56,H$3,'Actual - 2026'!$BB$5:$BB$56)</f>
        <v>7029</v>
      </c>
      <c r="I6" s="97">
        <f>SUMIF('Actual - 2026'!$B$5:$B$56,I$3,'Actual - 2026'!$BB$5:$BB$56)</f>
        <v>8547</v>
      </c>
      <c r="J6" s="97">
        <f>SUMIF('Actual - 2026'!$B$5:$B$56,J$3,'Actual - 2026'!$BB$5:$BB$56)</f>
        <v>10469</v>
      </c>
      <c r="K6" s="97">
        <f>SUMIF('Actual - 2026'!$B$5:$B$56,K$3,'Actual - 2026'!$BB$5:$BB$56)</f>
        <v>4030</v>
      </c>
      <c r="L6" s="97">
        <f>SUMIF('Actual - 2026'!$B$5:$B$56,L$3,'Actual - 2026'!$BB$5:$BB$56)</f>
        <v>0</v>
      </c>
      <c r="M6" s="97">
        <f>SUMIF('Actual - 2026'!$B$5:$B$56,M$3,'Actual - 2026'!$BB$5:$BB$56)</f>
        <v>0</v>
      </c>
      <c r="N6" s="97">
        <f t="shared" si="0"/>
        <v>86233</v>
      </c>
    </row>
    <row r="7" spans="1:14">
      <c r="A7" t="s">
        <v>215</v>
      </c>
      <c r="B7" s="97">
        <f>SUMIF('Actual - 2026'!$B$5:$B$56,B$3,'Actual - 2026'!$BN$5:$BN$56)</f>
        <v>7113</v>
      </c>
      <c r="C7" s="97">
        <f>SUMIF('Actual - 2026'!$B$5:$B$56,C$3,'Actual - 2026'!$BN$5:$BN$56)</f>
        <v>9249</v>
      </c>
      <c r="D7" s="97">
        <f>SUMIF('Actual - 2026'!$B$5:$B$56,D$3,'Actual - 2026'!$BN$5:$BN$56)</f>
        <v>11213</v>
      </c>
      <c r="E7" s="97">
        <f>SUMIF('Actual - 2026'!$B$5:$B$56,E$3,'Actual - 2026'!$BN$5:$BN$56)</f>
        <v>8626</v>
      </c>
      <c r="F7" s="97">
        <f>SUMIF('Actual - 2026'!$B$5:$B$56,F$3,'Actual - 2026'!$BN$5:$BN$56)</f>
        <v>9428</v>
      </c>
      <c r="G7" s="97">
        <f>SUMIF('Actual - 2026'!$B$5:$B$56,G$3,'Actual - 2026'!$BN$5:$BN$56)</f>
        <v>8208</v>
      </c>
      <c r="H7" s="97">
        <f>SUMIF('Actual - 2026'!$B$5:$B$56,H$3,'Actual - 2026'!$BN$5:$BN$56)</f>
        <v>5171</v>
      </c>
      <c r="I7" s="97">
        <f>SUMIF('Actual - 2026'!$B$5:$B$56,I$3,'Actual - 2026'!$BN$5:$BN$56)</f>
        <v>7050</v>
      </c>
      <c r="J7" s="97">
        <f>SUMIF('Actual - 2026'!$B$5:$B$56,J$3,'Actual - 2026'!$BN$5:$BN$56)</f>
        <v>9091</v>
      </c>
      <c r="K7" s="97">
        <f>SUMIF('Actual - 2026'!$B$5:$B$56,K$3,'Actual - 2026'!$BN$5:$BN$56)</f>
        <v>3301</v>
      </c>
      <c r="L7" s="97">
        <f>SUMIF('Actual - 2026'!$B$5:$B$56,L$3,'Actual - 2026'!$BN$5:$BN$56)</f>
        <v>0</v>
      </c>
      <c r="M7" s="97">
        <f>SUMIF('Actual - 2026'!$B$5:$B$56,M$3,'Actual - 2026'!$BN$5:$BN$56)</f>
        <v>0</v>
      </c>
      <c r="N7" s="97">
        <f t="shared" si="0"/>
        <v>78450</v>
      </c>
    </row>
    <row r="8" spans="1:14">
      <c r="A8" t="s">
        <v>216</v>
      </c>
      <c r="B8" s="97">
        <f>SUMIF('Actual - 2026'!$B$5:$B$56,B$3,'Actual - 2026'!$AJ$5:$AJ$56)</f>
        <v>8885</v>
      </c>
      <c r="C8" s="97">
        <f>SUMIF('Actual - 2026'!$B$5:$B$56,C$3,'Actual - 2026'!$AJ$5:$AJ$56)</f>
        <v>9413</v>
      </c>
      <c r="D8" s="97">
        <f>SUMIF('Actual - 2026'!$B$5:$B$56,D$3,'Actual - 2026'!$AJ$5:$AJ$56)</f>
        <v>10664</v>
      </c>
      <c r="E8" s="97">
        <f>SUMIF('Actual - 2026'!$B$5:$B$56,E$3,'Actual - 2026'!$AJ$5:$AJ$56)</f>
        <v>8930</v>
      </c>
      <c r="F8" s="97">
        <f>SUMIF('Actual - 2026'!$B$5:$B$56,F$3,'Actual - 2026'!$AJ$5:$AJ$56)</f>
        <v>9348</v>
      </c>
      <c r="G8" s="97">
        <f>SUMIF('Actual - 2026'!$B$5:$B$56,G$3,'Actual - 2026'!$AJ$5:$AJ$56)</f>
        <v>9790</v>
      </c>
      <c r="H8" s="97">
        <f>SUMIF('Actual - 2026'!$B$5:$B$56,H$3,'Actual - 2026'!$AJ$5:$AJ$56)</f>
        <v>7282</v>
      </c>
      <c r="I8" s="97">
        <f>SUMIF('Actual - 2026'!$B$5:$B$56,I$3,'Actual - 2026'!$AJ$5:$AJ$56)</f>
        <v>8990</v>
      </c>
      <c r="J8" s="97">
        <f>SUMIF('Actual - 2026'!$B$5:$B$56,J$3,'Actual - 2026'!$AJ$5:$AJ$56)</f>
        <v>12475</v>
      </c>
      <c r="K8" s="97">
        <f>SUMIF('Actual - 2026'!$B$5:$B$56,K$3,'Actual - 2026'!$AJ$5:$AJ$56)</f>
        <v>3884</v>
      </c>
      <c r="L8" s="97">
        <f>SUMIF('Actual - 2026'!$B$5:$B$56,L$3,'Actual - 2026'!$AJ$5:$AJ$56)</f>
        <v>0</v>
      </c>
      <c r="M8" s="97">
        <f>SUMIF('Actual - 2026'!$B$5:$B$56,M$3,'Actual - 2026'!$AJ$5:$AJ$56)</f>
        <v>0</v>
      </c>
      <c r="N8" s="97">
        <f t="shared" si="0"/>
        <v>89661</v>
      </c>
    </row>
    <row r="9" spans="1:14">
      <c r="A9" s="395" t="s">
        <v>217</v>
      </c>
      <c r="B9" s="394">
        <f>SUM(B4:B8)</f>
        <v>68306</v>
      </c>
      <c r="C9" s="394">
        <f t="shared" ref="C9:M9" si="1">SUM(C4:C8)</f>
        <v>68240</v>
      </c>
      <c r="D9" s="394">
        <f t="shared" si="1"/>
        <v>91630</v>
      </c>
      <c r="E9" s="394">
        <f t="shared" si="1"/>
        <v>71715</v>
      </c>
      <c r="F9" s="394">
        <f t="shared" si="1"/>
        <v>76618</v>
      </c>
      <c r="G9" s="394">
        <f t="shared" si="1"/>
        <v>75163</v>
      </c>
      <c r="H9" s="394">
        <f t="shared" si="1"/>
        <v>54544</v>
      </c>
      <c r="I9" s="394">
        <f t="shared" si="1"/>
        <v>58576</v>
      </c>
      <c r="J9" s="394">
        <f t="shared" si="1"/>
        <v>72890</v>
      </c>
      <c r="K9" s="394">
        <f t="shared" si="1"/>
        <v>28247</v>
      </c>
      <c r="L9" s="394">
        <f t="shared" si="1"/>
        <v>0</v>
      </c>
      <c r="M9" s="394">
        <f t="shared" si="1"/>
        <v>0</v>
      </c>
      <c r="N9" s="394">
        <f t="shared" si="0"/>
        <v>665929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K18" sqref="CK1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6" t="s">
        <v>195</v>
      </c>
      <c r="G2" s="416"/>
      <c r="H2" s="416"/>
      <c r="I2" s="416" t="s">
        <v>218</v>
      </c>
      <c r="J2" s="416"/>
      <c r="K2" s="416"/>
      <c r="L2" s="416" t="s">
        <v>195</v>
      </c>
      <c r="M2" s="416"/>
      <c r="N2" s="416"/>
      <c r="O2" s="416" t="s">
        <v>218</v>
      </c>
      <c r="P2" s="425"/>
      <c r="Q2" s="416"/>
      <c r="R2" s="416" t="s">
        <v>195</v>
      </c>
      <c r="S2" s="416"/>
      <c r="T2" s="416"/>
      <c r="U2" s="416" t="s">
        <v>218</v>
      </c>
      <c r="V2" s="416"/>
      <c r="W2" s="416"/>
      <c r="X2" s="416" t="s">
        <v>196</v>
      </c>
      <c r="Y2" s="416"/>
      <c r="Z2" s="417"/>
      <c r="AA2" s="416" t="s">
        <v>219</v>
      </c>
      <c r="AB2" s="416"/>
      <c r="AC2" s="417"/>
      <c r="AD2" s="416" t="s">
        <v>196</v>
      </c>
      <c r="AE2" s="416"/>
      <c r="AF2" s="417"/>
      <c r="AG2" s="416" t="s">
        <v>219</v>
      </c>
      <c r="AH2" s="416"/>
      <c r="AI2" s="417"/>
      <c r="AJ2" s="416" t="s">
        <v>196</v>
      </c>
      <c r="AK2" s="416"/>
      <c r="AL2" s="417"/>
      <c r="AM2" s="416" t="s">
        <v>219</v>
      </c>
      <c r="AN2" s="416"/>
      <c r="AO2" s="417"/>
      <c r="AP2" s="418" t="s">
        <v>195</v>
      </c>
      <c r="AQ2" s="416"/>
      <c r="AR2" s="419"/>
      <c r="AS2" s="418" t="s">
        <v>219</v>
      </c>
      <c r="AT2" s="416"/>
      <c r="AU2" s="419"/>
      <c r="AV2" s="416" t="s">
        <v>197</v>
      </c>
      <c r="AW2" s="416"/>
      <c r="AX2" s="417"/>
      <c r="AY2" s="416" t="s">
        <v>197</v>
      </c>
      <c r="AZ2" s="416"/>
      <c r="BA2" s="417"/>
      <c r="BB2" s="416" t="s">
        <v>197</v>
      </c>
      <c r="BC2" s="416"/>
      <c r="BD2" s="417"/>
      <c r="BE2" s="416" t="s">
        <v>197</v>
      </c>
      <c r="BF2" s="416"/>
      <c r="BG2" s="417"/>
      <c r="BH2" s="416" t="s">
        <v>198</v>
      </c>
      <c r="BI2" s="416"/>
      <c r="BJ2" s="417"/>
      <c r="BK2" s="416" t="s">
        <v>198</v>
      </c>
      <c r="BL2" s="416"/>
      <c r="BM2" s="417"/>
      <c r="BN2" s="416" t="s">
        <v>198</v>
      </c>
      <c r="BO2" s="416"/>
      <c r="BP2" s="417"/>
      <c r="BQ2" s="416" t="s">
        <v>198</v>
      </c>
      <c r="BR2" s="416"/>
      <c r="BS2" s="417"/>
      <c r="BT2" s="416" t="s">
        <v>199</v>
      </c>
      <c r="BU2" s="416"/>
      <c r="BV2" s="417"/>
      <c r="BW2" s="416" t="s">
        <v>199</v>
      </c>
      <c r="BX2" s="416"/>
      <c r="BY2" s="417"/>
      <c r="BZ2" s="416" t="s">
        <v>199</v>
      </c>
      <c r="CA2" s="416"/>
      <c r="CB2" s="417"/>
      <c r="CC2" s="416" t="s">
        <v>220</v>
      </c>
      <c r="CD2" s="416"/>
      <c r="CE2" s="417"/>
      <c r="CF2" s="416" t="s">
        <v>220</v>
      </c>
      <c r="CG2" s="416"/>
      <c r="CH2" s="417"/>
      <c r="CI2" s="416" t="s">
        <v>220</v>
      </c>
      <c r="CJ2" s="416"/>
      <c r="CK2" s="417"/>
      <c r="CL2" s="416" t="s">
        <v>221</v>
      </c>
      <c r="CM2" s="416"/>
      <c r="CN2" s="417"/>
      <c r="CO2" s="416" t="s">
        <v>221</v>
      </c>
      <c r="CP2" s="416"/>
      <c r="CQ2" s="417"/>
      <c r="CR2" s="418" t="s">
        <v>221</v>
      </c>
      <c r="CS2" s="416"/>
      <c r="CT2" s="419"/>
      <c r="CU2" s="416" t="s">
        <v>200</v>
      </c>
      <c r="CV2" s="416"/>
      <c r="CW2" s="417"/>
      <c r="CX2" s="416" t="s">
        <v>200</v>
      </c>
      <c r="CY2" s="416"/>
      <c r="CZ2" s="417"/>
      <c r="DA2" s="416" t="s">
        <v>200</v>
      </c>
      <c r="DB2" s="416"/>
      <c r="DC2" s="417"/>
      <c r="DD2" s="416" t="s">
        <v>201</v>
      </c>
      <c r="DE2" s="416"/>
      <c r="DF2" s="417"/>
      <c r="DG2" s="416" t="s">
        <v>201</v>
      </c>
      <c r="DH2" s="416"/>
      <c r="DI2" s="417"/>
      <c r="DJ2" s="416" t="s">
        <v>201</v>
      </c>
      <c r="DK2" s="416"/>
      <c r="DL2" s="417"/>
      <c r="DM2" s="416" t="s">
        <v>201</v>
      </c>
      <c r="DN2" s="416"/>
      <c r="DO2" s="417"/>
      <c r="DP2" s="416" t="s">
        <v>202</v>
      </c>
      <c r="DQ2" s="416"/>
      <c r="DR2" s="417"/>
      <c r="DS2" s="416" t="s">
        <v>202</v>
      </c>
      <c r="DT2" s="416"/>
      <c r="DU2" s="417"/>
      <c r="DV2" s="416" t="s">
        <v>202</v>
      </c>
      <c r="DW2" s="416"/>
      <c r="DX2" s="417"/>
      <c r="DY2" s="416" t="s">
        <v>203</v>
      </c>
      <c r="DZ2" s="416"/>
      <c r="EA2" s="417"/>
      <c r="EB2" s="416" t="s">
        <v>203</v>
      </c>
      <c r="EC2" s="416"/>
      <c r="ED2" s="417"/>
      <c r="EE2" s="416" t="s">
        <v>203</v>
      </c>
      <c r="EF2" s="416"/>
      <c r="EG2" s="417"/>
      <c r="EH2" s="416" t="s">
        <v>203</v>
      </c>
      <c r="EI2" s="416"/>
      <c r="EJ2" s="417"/>
    </row>
    <row r="3" spans="2:140" s="4" customFormat="1">
      <c r="E3" s="173"/>
      <c r="F3" s="420" t="s">
        <v>204</v>
      </c>
      <c r="G3" s="420"/>
      <c r="H3" s="421"/>
      <c r="I3" s="420" t="s">
        <v>204</v>
      </c>
      <c r="J3" s="420"/>
      <c r="K3" s="421"/>
      <c r="L3" s="420" t="s">
        <v>205</v>
      </c>
      <c r="M3" s="420"/>
      <c r="N3" s="421"/>
      <c r="O3" s="420" t="s">
        <v>205</v>
      </c>
      <c r="P3" s="420"/>
      <c r="Q3" s="421"/>
      <c r="R3" s="4" t="s">
        <v>107</v>
      </c>
      <c r="T3" s="176"/>
      <c r="W3" s="177"/>
      <c r="X3" s="420" t="s">
        <v>206</v>
      </c>
      <c r="Y3" s="420"/>
      <c r="Z3" s="421"/>
      <c r="AA3" s="420" t="s">
        <v>206</v>
      </c>
      <c r="AB3" s="420"/>
      <c r="AC3" s="421"/>
      <c r="AD3" s="420" t="s">
        <v>207</v>
      </c>
      <c r="AE3" s="420"/>
      <c r="AF3" s="421"/>
      <c r="AG3" s="420" t="s">
        <v>207</v>
      </c>
      <c r="AH3" s="420"/>
      <c r="AI3" s="421"/>
      <c r="AJ3" s="420" t="s">
        <v>208</v>
      </c>
      <c r="AK3" s="420"/>
      <c r="AL3" s="421"/>
      <c r="AM3" s="420" t="s">
        <v>208</v>
      </c>
      <c r="AN3" s="420"/>
      <c r="AO3" s="421"/>
      <c r="AP3" s="422" t="s">
        <v>107</v>
      </c>
      <c r="AQ3" s="420"/>
      <c r="AR3" s="423"/>
      <c r="AS3" s="422" t="s">
        <v>107</v>
      </c>
      <c r="AT3" s="420"/>
      <c r="AU3" s="423"/>
      <c r="AV3" s="420" t="s">
        <v>204</v>
      </c>
      <c r="AW3" s="420"/>
      <c r="AX3" s="421"/>
      <c r="AY3" s="420" t="s">
        <v>205</v>
      </c>
      <c r="AZ3" s="420"/>
      <c r="BA3" s="421"/>
      <c r="BB3" s="420" t="s">
        <v>207</v>
      </c>
      <c r="BC3" s="420"/>
      <c r="BD3" s="421"/>
      <c r="BE3" s="422" t="s">
        <v>107</v>
      </c>
      <c r="BF3" s="420"/>
      <c r="BG3" s="423"/>
      <c r="BH3" s="420" t="s">
        <v>204</v>
      </c>
      <c r="BI3" s="420"/>
      <c r="BJ3" s="421"/>
      <c r="BK3" s="420" t="s">
        <v>205</v>
      </c>
      <c r="BL3" s="420"/>
      <c r="BM3" s="421"/>
      <c r="BN3" s="420" t="s">
        <v>207</v>
      </c>
      <c r="BO3" s="420"/>
      <c r="BP3" s="421"/>
      <c r="BQ3" s="422" t="s">
        <v>107</v>
      </c>
      <c r="BR3" s="420"/>
      <c r="BS3" s="423"/>
      <c r="BT3" s="420" t="s">
        <v>205</v>
      </c>
      <c r="BU3" s="420"/>
      <c r="BV3" s="421"/>
      <c r="BW3" s="420" t="s">
        <v>204</v>
      </c>
      <c r="BX3" s="420"/>
      <c r="BY3" s="421"/>
      <c r="BZ3" s="422" t="s">
        <v>107</v>
      </c>
      <c r="CA3" s="420"/>
      <c r="CB3" s="423"/>
      <c r="CC3" s="420" t="s">
        <v>205</v>
      </c>
      <c r="CD3" s="420"/>
      <c r="CE3" s="421"/>
      <c r="CF3" s="420" t="s">
        <v>204</v>
      </c>
      <c r="CG3" s="420"/>
      <c r="CH3" s="421"/>
      <c r="CI3" s="422" t="s">
        <v>107</v>
      </c>
      <c r="CJ3" s="420"/>
      <c r="CK3" s="423"/>
      <c r="CL3" s="420" t="s">
        <v>205</v>
      </c>
      <c r="CM3" s="420"/>
      <c r="CN3" s="421"/>
      <c r="CO3" s="420" t="s">
        <v>204</v>
      </c>
      <c r="CP3" s="420"/>
      <c r="CQ3" s="421"/>
      <c r="CR3" s="422" t="s">
        <v>107</v>
      </c>
      <c r="CS3" s="420"/>
      <c r="CT3" s="423"/>
      <c r="CU3" s="420" t="s">
        <v>205</v>
      </c>
      <c r="CV3" s="420"/>
      <c r="CW3" s="421"/>
      <c r="CX3" s="420" t="s">
        <v>204</v>
      </c>
      <c r="CY3" s="420"/>
      <c r="CZ3" s="421"/>
      <c r="DA3" s="422" t="s">
        <v>107</v>
      </c>
      <c r="DB3" s="420"/>
      <c r="DC3" s="423"/>
      <c r="DD3" s="420" t="s">
        <v>204</v>
      </c>
      <c r="DE3" s="420"/>
      <c r="DF3" s="421"/>
      <c r="DG3" s="420" t="s">
        <v>205</v>
      </c>
      <c r="DH3" s="420"/>
      <c r="DI3" s="421"/>
      <c r="DJ3" s="420" t="s">
        <v>207</v>
      </c>
      <c r="DK3" s="420"/>
      <c r="DL3" s="421"/>
      <c r="DM3" s="422" t="s">
        <v>107</v>
      </c>
      <c r="DN3" s="420"/>
      <c r="DO3" s="423"/>
      <c r="DP3" s="420" t="s">
        <v>208</v>
      </c>
      <c r="DQ3" s="420"/>
      <c r="DR3" s="421"/>
      <c r="DS3" s="420" t="s">
        <v>207</v>
      </c>
      <c r="DT3" s="420"/>
      <c r="DU3" s="421"/>
      <c r="DV3" s="422" t="s">
        <v>107</v>
      </c>
      <c r="DW3" s="420"/>
      <c r="DX3" s="423"/>
      <c r="DY3" s="420" t="s">
        <v>204</v>
      </c>
      <c r="DZ3" s="420"/>
      <c r="EA3" s="421"/>
      <c r="EB3" s="420" t="s">
        <v>205</v>
      </c>
      <c r="EC3" s="420"/>
      <c r="ED3" s="421"/>
      <c r="EE3" s="420" t="s">
        <v>207</v>
      </c>
      <c r="EF3" s="420"/>
      <c r="EG3" s="421"/>
      <c r="EH3" s="422" t="s">
        <v>107</v>
      </c>
      <c r="EI3" s="420"/>
      <c r="EJ3" s="423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173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174</v>
      </c>
      <c r="C41" t="s">
        <v>171</v>
      </c>
      <c r="D41">
        <f>VLOOKUP(B41,Dates!$B$2:$E$53,4,FALSE)</f>
        <v>37</v>
      </c>
      <c r="E41" s="168" t="b">
        <f>IF(D41&lt;='RDG Weekly Sales'!$F$1,TRUE,FALSE)</f>
        <v>1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175</v>
      </c>
      <c r="C42" t="s">
        <v>171</v>
      </c>
      <c r="D42">
        <f>VLOOKUP(B42,Dates!$B$2:$E$53,4,FALSE)</f>
        <v>38</v>
      </c>
      <c r="E42" s="168" t="b">
        <f>IF(D42&lt;='RDG Weekly Sales'!$F$1,TRUE,FALSE)</f>
        <v>1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176</v>
      </c>
      <c r="C43" t="s">
        <v>171</v>
      </c>
      <c r="D43">
        <f>VLOOKUP(B43,Dates!$B$2:$E$53,4,FALSE)</f>
        <v>39</v>
      </c>
      <c r="E43" s="168" t="b">
        <f>IF(D43&lt;='RDG Weekly Sales'!$F$1,TRUE,FALSE)</f>
        <v>1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178</v>
      </c>
      <c r="C44" t="s">
        <v>76</v>
      </c>
      <c r="D44">
        <f>VLOOKUP(B44,Dates!$B$2:$E$53,4,FALSE)</f>
        <v>40</v>
      </c>
      <c r="E44" s="168" t="b">
        <f>IF(D44&lt;='RDG Weekly Sales'!$F$1,TRUE,FALSE)</f>
        <v>1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101</v>
      </c>
      <c r="C45" t="s">
        <v>76</v>
      </c>
      <c r="D45">
        <f>VLOOKUP(B45,Dates!$B$2:$E$53,4,FALSE)</f>
        <v>41</v>
      </c>
      <c r="E45" s="168" t="b">
        <f>IF(D45&lt;='RDG Weekly Sales'!$F$1,TRUE,FALSE)</f>
        <v>1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179</v>
      </c>
      <c r="C46" t="s">
        <v>76</v>
      </c>
      <c r="D46">
        <f>VLOOKUP(B46,Dates!$B$2:$E$53,4,FALSE)</f>
        <v>42</v>
      </c>
      <c r="E46" s="168" t="b">
        <f>IF(D46&lt;='RDG Weekly Sales'!$F$1,TRUE,FALSE)</f>
        <v>0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CL2:CN2"/>
    <mergeCell ref="CO2:CQ2"/>
    <mergeCell ref="CR2:CT2"/>
    <mergeCell ref="CL3:CN3"/>
    <mergeCell ref="CO3:CQ3"/>
    <mergeCell ref="CR3:CT3"/>
    <mergeCell ref="CC2:CE2"/>
    <mergeCell ref="CF2:CH2"/>
    <mergeCell ref="CI2:CK2"/>
    <mergeCell ref="CC3:CE3"/>
    <mergeCell ref="CF3:CH3"/>
    <mergeCell ref="CI3:CK3"/>
    <mergeCell ref="CU2:CW2"/>
    <mergeCell ref="CX2:CZ2"/>
    <mergeCell ref="DA2:DC2"/>
    <mergeCell ref="CU3:CW3"/>
    <mergeCell ref="CX3:CZ3"/>
    <mergeCell ref="DA3:DC3"/>
    <mergeCell ref="BT2:BV2"/>
    <mergeCell ref="BW2:BY2"/>
    <mergeCell ref="BZ2:CB2"/>
    <mergeCell ref="BT3:BV3"/>
    <mergeCell ref="BW3:BY3"/>
    <mergeCell ref="BZ3:CB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BQ2:BS2"/>
    <mergeCell ref="BH3:BJ3"/>
    <mergeCell ref="BK3:BM3"/>
    <mergeCell ref="BN3:BP3"/>
    <mergeCell ref="BQ3:BS3"/>
    <mergeCell ref="DD2:DF2"/>
    <mergeCell ref="DG2:DI2"/>
    <mergeCell ref="DJ2:DL2"/>
    <mergeCell ref="DM2:DO2"/>
    <mergeCell ref="DD3:DF3"/>
    <mergeCell ref="DG3:DI3"/>
    <mergeCell ref="DJ3:DL3"/>
    <mergeCell ref="DM3:DO3"/>
    <mergeCell ref="DP2:DR2"/>
    <mergeCell ref="DS2:DU2"/>
    <mergeCell ref="DV2:DX2"/>
    <mergeCell ref="DP3:DR3"/>
    <mergeCell ref="DS3:DU3"/>
    <mergeCell ref="DV3:DX3"/>
    <mergeCell ref="DY2:EA2"/>
    <mergeCell ref="EB2:ED2"/>
    <mergeCell ref="EE2:EG2"/>
    <mergeCell ref="EH2:EJ2"/>
    <mergeCell ref="DY3:EA3"/>
    <mergeCell ref="EB3:ED3"/>
    <mergeCell ref="EE3:EG3"/>
    <mergeCell ref="EH3:EJ3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222</v>
      </c>
      <c r="N1" t="s">
        <v>223</v>
      </c>
    </row>
    <row r="3" spans="2:28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6" t="s">
        <v>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95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7" t="s">
        <v>71</v>
      </c>
      <c r="M8" s="427"/>
      <c r="N8" s="427"/>
      <c r="O8" s="427" t="s">
        <v>63</v>
      </c>
      <c r="P8" s="427"/>
      <c r="Q8" s="427"/>
      <c r="R8" s="427" t="s">
        <v>71</v>
      </c>
      <c r="S8" s="427"/>
      <c r="T8" s="427"/>
      <c r="U8" s="427" t="s">
        <v>63</v>
      </c>
      <c r="V8" s="427"/>
      <c r="W8" s="427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477391.67</v>
      </c>
      <c r="D20" s="277">
        <f>SUMIFS('Actual - 2026'!$L:$L,'Actual - 2026'!$C:$C,'Summary - Avg Ck'!B20)</f>
        <v>3404</v>
      </c>
      <c r="E20" s="290">
        <f t="shared" si="1"/>
        <v>140.24432138660399</v>
      </c>
      <c r="F20" s="260">
        <f t="shared" si="4"/>
        <v>138.79401886920516</v>
      </c>
      <c r="G20" s="200">
        <f t="shared" si="2"/>
        <v>-1.034125662315306E-2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594617.85</v>
      </c>
      <c r="D21" s="277">
        <f>SUMIFS('Actual - 2026'!$L:$L,'Actual - 2026'!$C:$C,'Summary - Avg Ck'!B21)</f>
        <v>3858</v>
      </c>
      <c r="E21" s="290">
        <f t="shared" si="1"/>
        <v>154.12593312597201</v>
      </c>
      <c r="F21" s="260">
        <f t="shared" si="4"/>
        <v>144.54054948077848</v>
      </c>
      <c r="G21" s="200">
        <f t="shared" si="2"/>
        <v>-6.2191893672812949E-2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589262.07000000007</v>
      </c>
      <c r="D22" s="277">
        <f>SUMIFS('Actual - 2026'!$L:$L,'Actual - 2026'!$C:$C,'Summary - Avg Ck'!B22)</f>
        <v>3883</v>
      </c>
      <c r="E22" s="290">
        <f t="shared" si="1"/>
        <v>151.75433170229206</v>
      </c>
      <c r="F22" s="260">
        <f t="shared" si="4"/>
        <v>148.02621899986451</v>
      </c>
      <c r="G22" s="200">
        <f t="shared" si="2"/>
        <v>-2.456676300839486E-2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718351.5</v>
      </c>
      <c r="D23" s="277">
        <f>SUMIFS('Actual - 2026'!$L:$L,'Actual - 2026'!$C:$C,'Summary - Avg Ck'!B23)</f>
        <v>3899</v>
      </c>
      <c r="E23" s="290">
        <f t="shared" si="1"/>
        <v>184.23993331623493</v>
      </c>
      <c r="F23" s="260">
        <f t="shared" si="4"/>
        <v>158.17755184791278</v>
      </c>
      <c r="G23" s="200">
        <f t="shared" si="2"/>
        <v>-0.14145891718050013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576355.75</v>
      </c>
      <c r="D24" s="277">
        <f>SUMIFS('Actual - 2026'!$L:$L,'Actual - 2026'!$C:$C,'Summary - Avg Ck'!B24)</f>
        <v>3844</v>
      </c>
      <c r="E24" s="290">
        <f t="shared" si="1"/>
        <v>149.93645941727368</v>
      </c>
      <c r="F24" s="260">
        <f t="shared" si="4"/>
        <v>160.07408744510462</v>
      </c>
      <c r="G24" s="200">
        <f t="shared" si="2"/>
        <v>6.7612827908773598E-2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0</v>
      </c>
      <c r="D25" s="277">
        <f>SUMIFS('Actual - 2026'!$L:$L,'Actual - 2026'!$C:$C,'Summary - Avg Ck'!B25)</f>
        <v>0</v>
      </c>
      <c r="E25" s="290">
        <f>IFERROR(C25/D25,0)</f>
        <v>0</v>
      </c>
      <c r="F25" s="260">
        <f t="shared" si="4"/>
        <v>162.04793738173061</v>
      </c>
      <c r="G25" s="200" t="e">
        <f t="shared" si="2"/>
        <v>#DIV/0!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6" t="s">
        <v>9</v>
      </c>
      <c r="C27" s="426"/>
      <c r="D27" s="426"/>
      <c r="E27" s="426"/>
      <c r="F27" s="426"/>
      <c r="G27" s="426"/>
      <c r="H27" s="426"/>
      <c r="I27" s="426"/>
      <c r="J27" s="426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231</v>
      </c>
      <c r="M29" s="295" t="s">
        <v>232</v>
      </c>
      <c r="N29" s="295" t="s">
        <v>233</v>
      </c>
      <c r="O29" s="295" t="s">
        <v>231</v>
      </c>
      <c r="P29" s="295" t="s">
        <v>232</v>
      </c>
      <c r="Q29" s="295" t="s">
        <v>233</v>
      </c>
      <c r="R29" s="295" t="s">
        <v>234</v>
      </c>
      <c r="S29" s="295" t="s">
        <v>235</v>
      </c>
      <c r="T29" s="295" t="s">
        <v>236</v>
      </c>
      <c r="U29" s="295" t="s">
        <v>234</v>
      </c>
      <c r="V29" s="295" t="s">
        <v>235</v>
      </c>
      <c r="W29" s="295" t="s">
        <v>236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7" t="s">
        <v>71</v>
      </c>
      <c r="M30" s="427"/>
      <c r="N30" s="427"/>
      <c r="O30" s="427" t="s">
        <v>63</v>
      </c>
      <c r="P30" s="427"/>
      <c r="Q30" s="427"/>
      <c r="R30" s="427" t="s">
        <v>71</v>
      </c>
      <c r="S30" s="427"/>
      <c r="T30" s="427"/>
      <c r="U30" s="427" t="s">
        <v>63</v>
      </c>
      <c r="V30" s="427"/>
      <c r="W30" s="427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1392</v>
      </c>
      <c r="E37" s="290">
        <f t="shared" si="15"/>
        <v>127.02406609195403</v>
      </c>
      <c r="F37" s="260">
        <f t="shared" si="12"/>
        <v>199.64566087795467</v>
      </c>
      <c r="G37" s="200">
        <f t="shared" si="13"/>
        <v>0.57171524279052066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1298</v>
      </c>
      <c r="E38" s="290">
        <f t="shared" si="15"/>
        <v>102.49075500770417</v>
      </c>
      <c r="F38" s="260">
        <f t="shared" si="12"/>
        <v>163.82438090950023</v>
      </c>
      <c r="G38" s="200">
        <f t="shared" si="13"/>
        <v>0.59843081356153205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1528</v>
      </c>
      <c r="E39" s="290">
        <f t="shared" si="15"/>
        <v>125.3946335078534</v>
      </c>
      <c r="F39" s="260">
        <f t="shared" si="12"/>
        <v>135.41381038284226</v>
      </c>
      <c r="G39" s="200">
        <f t="shared" si="13"/>
        <v>7.9901161594458203E-2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1574</v>
      </c>
      <c r="E40" s="290">
        <f t="shared" si="15"/>
        <v>148.5937166454892</v>
      </c>
      <c r="F40" s="260">
        <f t="shared" si="12"/>
        <v>126.95787465469614</v>
      </c>
      <c r="G40" s="200">
        <f>(F40-E40)/E40</f>
        <v>-0.14560401663827582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1759</v>
      </c>
      <c r="E41" s="290">
        <f t="shared" si="15"/>
        <v>164.61242183058556</v>
      </c>
      <c r="F41" s="260">
        <f t="shared" si="12"/>
        <v>137.69698977106674</v>
      </c>
      <c r="G41" s="200">
        <f t="shared" si="13"/>
        <v>-0.16350790396133907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161195.03000000003</v>
      </c>
      <c r="D42" s="278">
        <f>SUMIFS('Actual - 2026'!$X:$X,'Actual - 2026'!$C:$C,'Summary - Avg Ck'!B20)</f>
        <v>1267</v>
      </c>
      <c r="E42" s="290">
        <f t="shared" si="15"/>
        <v>127.22575374901344</v>
      </c>
      <c r="F42" s="260">
        <f t="shared" si="12"/>
        <v>142.98919549608357</v>
      </c>
      <c r="G42" s="200">
        <f t="shared" si="13"/>
        <v>0.12390134294796716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278686</v>
      </c>
      <c r="D43" s="278">
        <f>SUMIFS('Actual - 2026'!$X:$X,'Actual - 2026'!$C:$C,'Summary - Avg Ck'!B21)</f>
        <v>1183</v>
      </c>
      <c r="E43" s="290">
        <f t="shared" si="15"/>
        <v>235.57565511411664</v>
      </c>
      <c r="F43" s="260">
        <f t="shared" si="12"/>
        <v>166.57803735085596</v>
      </c>
      <c r="G43" s="200">
        <f t="shared" si="13"/>
        <v>-0.29288942327184497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267581.59999999998</v>
      </c>
      <c r="D44" s="278">
        <f>SUMIFS('Actual - 2026'!$X:$X,'Actual - 2026'!$C:$C,'Summary - Avg Ck'!B22)</f>
        <v>1016</v>
      </c>
      <c r="E44" s="290">
        <f t="shared" si="15"/>
        <v>263.36771653543303</v>
      </c>
      <c r="F44" s="260">
        <f t="shared" si="12"/>
        <v>190.81643636363637</v>
      </c>
      <c r="G44" s="200">
        <f t="shared" si="13"/>
        <v>-0.27547522196797319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337582.28</v>
      </c>
      <c r="D45" s="278">
        <f>SUMIFS('Actual - 2026'!$X:$X,'Actual - 2026'!$C:$C,'Summary - Avg Ck'!B23)</f>
        <v>1368</v>
      </c>
      <c r="E45" s="290">
        <f t="shared" si="15"/>
        <v>246.77067251461992</v>
      </c>
      <c r="F45" s="260">
        <f t="shared" si="12"/>
        <v>216.18636946628052</v>
      </c>
      <c r="G45" s="200">
        <f t="shared" si="13"/>
        <v>-0.1239381598172993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330290.59999999998</v>
      </c>
      <c r="D46" s="278">
        <f>SUMIFS('Actual - 2026'!$X:$X,'Actual - 2026'!$C:$C,'Summary - Avg Ck'!B24)</f>
        <v>1202</v>
      </c>
      <c r="E46" s="290">
        <f t="shared" si="15"/>
        <v>274.78419301164723</v>
      </c>
      <c r="F46" s="260">
        <f t="shared" si="12"/>
        <v>254.59016145942545</v>
      </c>
      <c r="G46" s="200">
        <f t="shared" si="13"/>
        <v>-7.349051388616748E-2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0</v>
      </c>
      <c r="D47" s="278">
        <f>SUMIFS('Actual - 2026'!$X:$X,'Actual - 2026'!$C:$C,'Summary - Avg Ck'!B25)</f>
        <v>0</v>
      </c>
      <c r="E47" s="290">
        <f t="shared" si="15"/>
        <v>0</v>
      </c>
      <c r="F47" s="260">
        <f t="shared" si="12"/>
        <v>260.86293363078636</v>
      </c>
      <c r="G47" s="200" t="e">
        <f t="shared" si="13"/>
        <v>#DIV/0!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226</v>
      </c>
      <c r="F51" s="271" t="s">
        <v>227</v>
      </c>
      <c r="G51" s="267" t="s">
        <v>228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231</v>
      </c>
      <c r="M51" s="295" t="s">
        <v>232</v>
      </c>
      <c r="N51" s="295" t="s">
        <v>233</v>
      </c>
      <c r="O51" s="295" t="s">
        <v>231</v>
      </c>
      <c r="P51" s="295" t="s">
        <v>232</v>
      </c>
      <c r="Q51" s="295" t="s">
        <v>233</v>
      </c>
      <c r="R51" s="295" t="s">
        <v>234</v>
      </c>
      <c r="S51" s="295" t="s">
        <v>235</v>
      </c>
      <c r="T51" s="295" t="s">
        <v>236</v>
      </c>
      <c r="U51" s="295" t="s">
        <v>234</v>
      </c>
      <c r="V51" s="295" t="s">
        <v>235</v>
      </c>
      <c r="W51" s="295" t="s">
        <v>236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7" t="s">
        <v>71</v>
      </c>
      <c r="M52" s="427"/>
      <c r="N52" s="427"/>
      <c r="O52" s="427" t="s">
        <v>63</v>
      </c>
      <c r="P52" s="427"/>
      <c r="Q52" s="427"/>
      <c r="R52" s="427" t="s">
        <v>71</v>
      </c>
      <c r="S52" s="427"/>
      <c r="T52" s="427"/>
      <c r="U52" s="427" t="s">
        <v>63</v>
      </c>
      <c r="V52" s="427"/>
      <c r="W52" s="427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2726</v>
      </c>
      <c r="E59" s="290">
        <f t="shared" si="20"/>
        <v>161.30825018341892</v>
      </c>
      <c r="F59" s="260">
        <f t="shared" si="18"/>
        <v>161.19427774961989</v>
      </c>
      <c r="G59" s="200">
        <f t="shared" si="19"/>
        <v>-7.0655055565626494E-4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2592</v>
      </c>
      <c r="E60" s="290">
        <f t="shared" si="20"/>
        <v>143.8877546296296</v>
      </c>
      <c r="F60" s="260">
        <f t="shared" si="18"/>
        <v>154.80298437637919</v>
      </c>
      <c r="G60" s="200">
        <f t="shared" si="19"/>
        <v>7.585933754297329E-2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2673</v>
      </c>
      <c r="E61" s="290">
        <f t="shared" si="20"/>
        <v>144.61872802095024</v>
      </c>
      <c r="F61" s="260">
        <f t="shared" si="18"/>
        <v>151.89829814576831</v>
      </c>
      <c r="G61" s="200">
        <f t="shared" si="19"/>
        <v>5.0336289251302964E-2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2607</v>
      </c>
      <c r="E62" s="290">
        <f t="shared" si="20"/>
        <v>157.13872650556195</v>
      </c>
      <c r="F62" s="260">
        <f t="shared" si="18"/>
        <v>151.81259388563882</v>
      </c>
      <c r="G62" s="200">
        <f t="shared" si="19"/>
        <v>-3.3894462163244078E-2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2559</v>
      </c>
      <c r="E63" s="290">
        <f t="shared" si="20"/>
        <v>148.36814771395075</v>
      </c>
      <c r="F63" s="260">
        <f t="shared" si="18"/>
        <v>148.48601955708943</v>
      </c>
      <c r="G63" s="200">
        <f t="shared" si="19"/>
        <v>7.944551775758516E-4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417970.01</v>
      </c>
      <c r="D64" s="278">
        <f>SUMIFS('Actual - 2026'!$AS:$AS,'Actual - 2026'!$C:$C,'Summary - Avg Ck'!B42)</f>
        <v>2319</v>
      </c>
      <c r="E64" s="290">
        <f t="shared" si="20"/>
        <v>180.23717550668391</v>
      </c>
      <c r="F64" s="260">
        <f t="shared" si="18"/>
        <v>156.90791691277809</v>
      </c>
      <c r="G64" s="200">
        <f t="shared" si="19"/>
        <v>-0.12943644133527091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406693.96</v>
      </c>
      <c r="D65" s="278">
        <f>SUMIFS('Actual - 2026'!$AS:$AS,'Actual - 2026'!$C:$C,'Summary - Avg Ck'!B43)</f>
        <v>2522</v>
      </c>
      <c r="E65" s="290">
        <f t="shared" si="20"/>
        <v>161.25850911974624</v>
      </c>
      <c r="F65" s="260">
        <f t="shared" si="18"/>
        <v>161.28697112021584</v>
      </c>
      <c r="G65" s="200">
        <f t="shared" si="19"/>
        <v>1.7649921622720218E-4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460989.18999999994</v>
      </c>
      <c r="D66" s="278">
        <f>SUMIFS('Actual - 2026'!$AS:$AS,'Actual - 2026'!$C:$C,'Summary - Avg Ck'!B44)</f>
        <v>2822</v>
      </c>
      <c r="E66" s="290">
        <f t="shared" si="20"/>
        <v>163.35548901488303</v>
      </c>
      <c r="F66" s="260">
        <f t="shared" si="18"/>
        <v>162.91599002152222</v>
      </c>
      <c r="G66" s="200">
        <f t="shared" si="19"/>
        <v>-2.6904452125313797E-3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456446.08</v>
      </c>
      <c r="D67" s="278">
        <f>SUMIFS('Actual - 2026'!$AS:$AS,'Actual - 2026'!$C:$C,'Summary - Avg Ck'!B45)</f>
        <v>2634</v>
      </c>
      <c r="E67" s="290">
        <f t="shared" si="20"/>
        <v>173.2900835231587</v>
      </c>
      <c r="F67" s="260">
        <f t="shared" si="18"/>
        <v>169.18512576478585</v>
      </c>
      <c r="G67" s="200">
        <f t="shared" si="19"/>
        <v>-2.3688359281241019E-2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606637.69999999995</v>
      </c>
      <c r="D68" s="278">
        <f>SUMIFS('Actual - 2026'!$AS:$AS,'Actual - 2026'!$C:$C,'Summary - Avg Ck'!B46)</f>
        <v>2927</v>
      </c>
      <c r="E68" s="290">
        <f t="shared" si="20"/>
        <v>207.25579091219677</v>
      </c>
      <c r="F68" s="260">
        <f t="shared" si="18"/>
        <v>177.05336359468134</v>
      </c>
      <c r="G68" s="200">
        <f t="shared" si="19"/>
        <v>-0.14572537242305855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0</v>
      </c>
      <c r="D69" s="278">
        <f>SUMIFS('Actual - 2026'!$AS:$AS,'Actual - 2026'!$C:$C,'Summary - Avg Ck'!B47)</f>
        <v>0</v>
      </c>
      <c r="E69" s="290">
        <f t="shared" si="20"/>
        <v>0</v>
      </c>
      <c r="F69" s="260">
        <f t="shared" si="18"/>
        <v>181.80519742335679</v>
      </c>
      <c r="G69" s="200" t="e">
        <f t="shared" si="19"/>
        <v>#DIV/0!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6" t="s">
        <v>237</v>
      </c>
      <c r="C71" s="426"/>
      <c r="D71" s="426"/>
      <c r="E71" s="426"/>
      <c r="F71" s="426"/>
      <c r="G71" s="426"/>
      <c r="H71" s="426"/>
      <c r="I71" s="426"/>
      <c r="J71" s="426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226</v>
      </c>
      <c r="F73" s="271" t="s">
        <v>227</v>
      </c>
      <c r="G73" s="267" t="s">
        <v>228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231</v>
      </c>
      <c r="M73" s="295" t="s">
        <v>232</v>
      </c>
      <c r="N73" s="295" t="s">
        <v>233</v>
      </c>
      <c r="O73" s="295" t="s">
        <v>231</v>
      </c>
      <c r="P73" s="295" t="s">
        <v>232</v>
      </c>
      <c r="Q73" s="295" t="s">
        <v>233</v>
      </c>
      <c r="R73" s="295" t="s">
        <v>234</v>
      </c>
      <c r="S73" s="295" t="s">
        <v>235</v>
      </c>
      <c r="T73" s="295" t="s">
        <v>236</v>
      </c>
      <c r="U73" s="295" t="s">
        <v>234</v>
      </c>
      <c r="V73" s="295" t="s">
        <v>235</v>
      </c>
      <c r="W73" s="295" t="s">
        <v>236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7" t="s">
        <v>71</v>
      </c>
      <c r="M74" s="427"/>
      <c r="N74" s="427"/>
      <c r="O74" s="427" t="s">
        <v>63</v>
      </c>
      <c r="P74" s="427"/>
      <c r="Q74" s="427"/>
      <c r="R74" s="427" t="s">
        <v>71</v>
      </c>
      <c r="S74" s="427"/>
      <c r="T74" s="427"/>
      <c r="U74" s="427" t="s">
        <v>63</v>
      </c>
      <c r="V74" s="427"/>
      <c r="W74" s="427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243799.83</v>
      </c>
      <c r="D86" s="278">
        <f>SUMIFS('Actual - 2026'!$BB:$BB,'Actual - 2026'!$C:$C,'Summary - Avg Ck'!B64)</f>
        <v>1839</v>
      </c>
      <c r="E86" s="290">
        <f t="shared" si="30"/>
        <v>132.57195758564436</v>
      </c>
      <c r="F86" s="260">
        <f t="shared" si="28"/>
        <v>128.73955970240274</v>
      </c>
      <c r="G86" s="200">
        <f t="shared" si="29"/>
        <v>-2.8908058333270065E-2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298721.98000000004</v>
      </c>
      <c r="D87" s="278">
        <f>SUMIFS('Actual - 2026'!$BB:$BB,'Actual - 2026'!$C:$C,'Summary - Avg Ck'!B65)</f>
        <v>2272</v>
      </c>
      <c r="E87" s="290">
        <f t="shared" si="30"/>
        <v>131.47974471830989</v>
      </c>
      <c r="F87" s="260">
        <f t="shared" si="28"/>
        <v>131.80611063306699</v>
      </c>
      <c r="G87" s="200">
        <f t="shared" si="29"/>
        <v>2.4822524218945717E-3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318005.00000000006</v>
      </c>
      <c r="D88" s="278">
        <f>SUMIFS('Actual - 2026'!$BB:$BB,'Actual - 2026'!$C:$C,'Summary - Avg Ck'!B66)</f>
        <v>2334</v>
      </c>
      <c r="E88" s="290">
        <f t="shared" si="30"/>
        <v>136.24892887746361</v>
      </c>
      <c r="F88" s="260">
        <f t="shared" si="28"/>
        <v>132.76790234652762</v>
      </c>
      <c r="G88" s="200">
        <f t="shared" si="29"/>
        <v>-2.554901942801089E-2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341645.86</v>
      </c>
      <c r="D89" s="278">
        <f>SUMIFS('Actual - 2026'!$BB:$BB,'Actual - 2026'!$C:$C,'Summary - Avg Ck'!B67)</f>
        <v>2018</v>
      </c>
      <c r="E89" s="290">
        <f t="shared" si="30"/>
        <v>169.29923686818631</v>
      </c>
      <c r="F89" s="260">
        <f t="shared" si="28"/>
        <v>142.05041592815786</v>
      </c>
      <c r="G89" s="200">
        <f t="shared" si="29"/>
        <v>-0.16095064244881357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284940.23</v>
      </c>
      <c r="D90" s="278">
        <f>SUMIFS('Actual - 2026'!$BB:$BB,'Actual - 2026'!$C:$C,'Summary - Avg Ck'!B68)</f>
        <v>2012</v>
      </c>
      <c r="E90" s="290">
        <f t="shared" si="30"/>
        <v>141.62039264413517</v>
      </c>
      <c r="F90" s="260">
        <f t="shared" si="28"/>
        <v>143.96862783696156</v>
      </c>
      <c r="G90" s="200">
        <f t="shared" si="29"/>
        <v>1.6581193915533463E-2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0</v>
      </c>
      <c r="D91" s="278">
        <f>SUMIFS('Actual - 2026'!$BB:$BB,'Actual - 2026'!$C:$C,'Summary - Avg Ck'!B69)</f>
        <v>0</v>
      </c>
      <c r="E91" s="290">
        <f t="shared" si="30"/>
        <v>0</v>
      </c>
      <c r="F91" s="260">
        <f t="shared" si="28"/>
        <v>148.42726115650535</v>
      </c>
      <c r="G91" s="200" t="e">
        <f t="shared" si="29"/>
        <v>#DIV/0!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6" t="s">
        <v>79</v>
      </c>
      <c r="C93" s="426"/>
      <c r="D93" s="426"/>
      <c r="E93" s="426"/>
      <c r="F93" s="426"/>
      <c r="G93" s="426"/>
      <c r="H93" s="426"/>
      <c r="I93" s="426"/>
      <c r="J93" s="426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226</v>
      </c>
      <c r="F95" s="271" t="s">
        <v>227</v>
      </c>
      <c r="G95" s="267" t="s">
        <v>228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231</v>
      </c>
      <c r="M95" s="295" t="s">
        <v>232</v>
      </c>
      <c r="N95" s="295" t="s">
        <v>233</v>
      </c>
      <c r="O95" s="295" t="s">
        <v>231</v>
      </c>
      <c r="P95" s="295" t="s">
        <v>232</v>
      </c>
      <c r="Q95" s="295" t="s">
        <v>233</v>
      </c>
      <c r="R95" s="295" t="s">
        <v>234</v>
      </c>
      <c r="S95" s="295" t="s">
        <v>235</v>
      </c>
      <c r="T95" s="295" t="s">
        <v>236</v>
      </c>
      <c r="U95" s="295" t="s">
        <v>234</v>
      </c>
      <c r="V95" s="295" t="s">
        <v>235</v>
      </c>
      <c r="W95" s="295" t="s">
        <v>236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7" t="s">
        <v>71</v>
      </c>
      <c r="M96" s="427"/>
      <c r="N96" s="427"/>
      <c r="O96" s="427" t="s">
        <v>63</v>
      </c>
      <c r="P96" s="427"/>
      <c r="Q96" s="427"/>
      <c r="R96" s="427" t="s">
        <v>71</v>
      </c>
      <c r="S96" s="427"/>
      <c r="T96" s="427"/>
      <c r="U96" s="427" t="s">
        <v>63</v>
      </c>
      <c r="V96" s="427"/>
      <c r="W96" s="427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2165</v>
      </c>
      <c r="E103" s="290">
        <f t="shared" si="35"/>
        <v>101.53305773672056</v>
      </c>
      <c r="F103" s="260">
        <f t="shared" si="37"/>
        <v>108.72384606133494</v>
      </c>
      <c r="G103" s="200">
        <f t="shared" si="34"/>
        <v>7.0822138965423331E-2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2146</v>
      </c>
      <c r="E104" s="290">
        <f t="shared" si="35"/>
        <v>96.870941286113691</v>
      </c>
      <c r="F104" s="260">
        <f t="shared" si="37"/>
        <v>104.37363193536891</v>
      </c>
      <c r="G104" s="200">
        <f t="shared" si="34"/>
        <v>7.7450374174600017E-2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2577</v>
      </c>
      <c r="E105" s="290">
        <f t="shared" si="35"/>
        <v>102.20616608459449</v>
      </c>
      <c r="F105" s="260">
        <f t="shared" si="37"/>
        <v>102.31446273637376</v>
      </c>
      <c r="G105" s="200">
        <f t="shared" si="34"/>
        <v>1.0595901982042291E-3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2427</v>
      </c>
      <c r="E106" s="290">
        <f t="shared" si="35"/>
        <v>100.79547589616811</v>
      </c>
      <c r="F106" s="260">
        <f t="shared" si="37"/>
        <v>100.45303488996241</v>
      </c>
      <c r="G106" s="200">
        <f t="shared" si="34"/>
        <v>-3.397384685781536E-3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2631</v>
      </c>
      <c r="E107" s="290">
        <f t="shared" si="35"/>
        <v>93.069669327252015</v>
      </c>
      <c r="F107" s="260">
        <f t="shared" si="37"/>
        <v>98.227916368469479</v>
      </c>
      <c r="G107" s="200">
        <f t="shared" si="34"/>
        <v>5.542350239883212E-2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245739.37</v>
      </c>
      <c r="D108" s="278">
        <f>SUMIFS('Actual - 2026'!$AJ:$AJ,'Actual - 2026'!$C:$C,'Summary - Avg Ck'!B86)</f>
        <v>2435</v>
      </c>
      <c r="E108" s="290">
        <f t="shared" si="35"/>
        <v>100.919659137577</v>
      </c>
      <c r="F108" s="260">
        <f t="shared" si="37"/>
        <v>99.167982125124126</v>
      </c>
      <c r="G108" s="200">
        <f t="shared" si="34"/>
        <v>-1.735714356768615E-2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233647.22</v>
      </c>
      <c r="D109" s="278">
        <f>SUMIFS('Actual - 2026'!$AJ:$AJ,'Actual - 2026'!$C:$C,'Summary - Avg Ck'!B87)</f>
        <v>2366</v>
      </c>
      <c r="E109" s="290">
        <f t="shared" si="35"/>
        <v>98.751994928148775</v>
      </c>
      <c r="F109" s="260">
        <f t="shared" si="37"/>
        <v>98.274014605943805</v>
      </c>
      <c r="G109" s="200">
        <f t="shared" si="34"/>
        <v>-4.8402092793441362E-3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273965.2</v>
      </c>
      <c r="D110" s="278">
        <f>SUMIFS('Actual - 2026'!$AJ:$AJ,'Actual - 2026'!$C:$C,'Summary - Avg Ck'!B88)</f>
        <v>2616</v>
      </c>
      <c r="E110" s="290">
        <f t="shared" si="35"/>
        <v>104.72675840978594</v>
      </c>
      <c r="F110" s="260">
        <f t="shared" si="37"/>
        <v>99.3449532245223</v>
      </c>
      <c r="G110" s="200">
        <f t="shared" si="34"/>
        <v>-5.1389017162215098E-2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242661.05999999997</v>
      </c>
      <c r="D111" s="278">
        <f>SUMIFS('Actual - 2026'!$AJ:$AJ,'Actual - 2026'!$C:$C,'Summary - Avg Ck'!B89)</f>
        <v>2271</v>
      </c>
      <c r="E111" s="290">
        <f t="shared" si="35"/>
        <v>106.85207397622192</v>
      </c>
      <c r="F111" s="260">
        <f t="shared" si="37"/>
        <v>102.80892341040462</v>
      </c>
      <c r="G111" s="200">
        <f t="shared" si="34"/>
        <v>-3.7838765457346504E-2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216184.45</v>
      </c>
      <c r="D112" s="278">
        <f>SUMIFS('Actual - 2026'!$AJ:$AJ,'Actual - 2026'!$C:$C,'Summary - Avg Ck'!B90)</f>
        <v>1613</v>
      </c>
      <c r="E112" s="290">
        <f t="shared" si="35"/>
        <v>134.02631742095474</v>
      </c>
      <c r="F112" s="260">
        <f t="shared" si="37"/>
        <v>109.00721069253326</v>
      </c>
      <c r="G112" s="200">
        <f t="shared" si="34"/>
        <v>-0.18667308935931259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0</v>
      </c>
      <c r="D113" s="278">
        <f>SUMIFS('Actual - 2026'!$AJ:$AJ,'Actual - 2026'!$C:$C,'Summary - Avg Ck'!B91)</f>
        <v>0</v>
      </c>
      <c r="E113" s="290">
        <f t="shared" si="35"/>
        <v>0</v>
      </c>
      <c r="F113" s="260">
        <f t="shared" si="37"/>
        <v>112.74010923076922</v>
      </c>
      <c r="G113" s="200" t="e">
        <f t="shared" si="34"/>
        <v>#DIV/0!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L96:N96"/>
    <mergeCell ref="O96:Q96"/>
    <mergeCell ref="R96:T96"/>
    <mergeCell ref="U96:W96"/>
    <mergeCell ref="R52:T52"/>
    <mergeCell ref="U52:W52"/>
    <mergeCell ref="L30:N30"/>
    <mergeCell ref="L74:N74"/>
    <mergeCell ref="O74:Q74"/>
    <mergeCell ref="R74:T74"/>
    <mergeCell ref="U74:W74"/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222</v>
      </c>
      <c r="N1" t="s">
        <v>223</v>
      </c>
    </row>
    <row r="3" spans="2:23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238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84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477391.67</v>
      </c>
      <c r="D21" s="277">
        <f>SUMIFS('Actual - 2026'!$L:$L,'Actual - 2026'!$C:$C,'MILA 2F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594617.85</v>
      </c>
      <c r="D22" s="277">
        <f>SUMIFS('Actual - 2026'!$L:$L,'Actual - 2026'!$C:$C,'MILA 2F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589262.07000000007</v>
      </c>
      <c r="D23" s="277">
        <f>SUMIFS('Actual - 2026'!$L:$L,'Actual - 2026'!$C:$C,'MILA 2F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718351.5</v>
      </c>
      <c r="D24" s="277">
        <f>SUMIFS('Actual - 2026'!$L:$L,'Actual - 2026'!$C:$C,'MILA 2F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576355.75</v>
      </c>
      <c r="D25" s="277">
        <f>SUMIFS('Actual - 2026'!$L:$L,'Actual - 2026'!$C:$C,'MILA 2F - Avg Ck'!B25)</f>
        <v>3844</v>
      </c>
      <c r="E25" s="290">
        <f>IFERROR(C25/D25,0)</f>
        <v>149.93645941727368</v>
      </c>
      <c r="F25" s="260">
        <f t="shared" si="4"/>
        <v>160.07408744510462</v>
      </c>
      <c r="G25" s="200">
        <f t="shared" si="2"/>
        <v>6.7612827908773598E-2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207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231</v>
      </c>
      <c r="M29" s="284" t="s">
        <v>232</v>
      </c>
      <c r="N29" s="284" t="s">
        <v>233</v>
      </c>
      <c r="O29" s="284" t="s">
        <v>231</v>
      </c>
      <c r="P29" s="284" t="s">
        <v>232</v>
      </c>
      <c r="Q29" s="284" t="s">
        <v>233</v>
      </c>
      <c r="R29" s="284" t="s">
        <v>234</v>
      </c>
      <c r="S29" s="284" t="s">
        <v>235</v>
      </c>
      <c r="T29" s="284" t="s">
        <v>236</v>
      </c>
      <c r="U29" s="284" t="s">
        <v>234</v>
      </c>
      <c r="V29" s="284" t="s">
        <v>235</v>
      </c>
      <c r="W29" s="284" t="s">
        <v>236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161195.03000000003</v>
      </c>
      <c r="D43" s="278">
        <f>SUMIFS('Actual - 2026'!$X:$X,'Actual - 2026'!$C:$C,'MILA 2F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278686</v>
      </c>
      <c r="D44" s="278">
        <f>SUMIFS('Actual - 2026'!$X:$X,'Actual - 2026'!$C:$C,'MILA 2F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267581.59999999998</v>
      </c>
      <c r="D45" s="278">
        <f>SUMIFS('Actual - 2026'!$X:$X,'Actual - 2026'!$C:$C,'MILA 2F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337582.28</v>
      </c>
      <c r="D46" s="278">
        <f>SUMIFS('Actual - 2026'!$X:$X,'Actual - 2026'!$C:$C,'MILA 2F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330290.59999999998</v>
      </c>
      <c r="D47" s="278">
        <f>SUMIFS('Actual - 2026'!$X:$X,'Actual - 2026'!$C:$C,'MILA 2F - Avg Ck'!B25)</f>
        <v>1202</v>
      </c>
      <c r="E47" s="290">
        <f t="shared" si="7"/>
        <v>274.78419301164723</v>
      </c>
      <c r="F47" s="260">
        <f t="shared" si="8"/>
        <v>254.59016145942545</v>
      </c>
      <c r="G47" s="200">
        <f t="shared" si="9"/>
        <v>-7.349051388616748E-2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226</v>
      </c>
      <c r="F51" s="271" t="s">
        <v>227</v>
      </c>
      <c r="G51" s="267" t="s">
        <v>228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231</v>
      </c>
      <c r="M51" s="284" t="s">
        <v>232</v>
      </c>
      <c r="N51" s="284" t="s">
        <v>233</v>
      </c>
      <c r="O51" s="284" t="s">
        <v>231</v>
      </c>
      <c r="P51" s="284" t="s">
        <v>232</v>
      </c>
      <c r="Q51" s="284" t="s">
        <v>233</v>
      </c>
      <c r="R51" s="284" t="s">
        <v>234</v>
      </c>
      <c r="S51" s="284" t="s">
        <v>235</v>
      </c>
      <c r="T51" s="284" t="s">
        <v>236</v>
      </c>
      <c r="U51" s="284" t="s">
        <v>234</v>
      </c>
      <c r="V51" s="284" t="s">
        <v>235</v>
      </c>
      <c r="W51" s="284" t="s">
        <v>236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9" t="s">
        <v>71</v>
      </c>
      <c r="M52" s="429"/>
      <c r="N52" s="429"/>
      <c r="O52" s="429" t="s">
        <v>63</v>
      </c>
      <c r="P52" s="429"/>
      <c r="Q52" s="429"/>
      <c r="R52" s="429" t="s">
        <v>71</v>
      </c>
      <c r="S52" s="429"/>
      <c r="T52" s="429"/>
      <c r="U52" s="429" t="s">
        <v>63</v>
      </c>
      <c r="V52" s="429"/>
      <c r="W52" s="429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2726</v>
      </c>
      <c r="E60" s="290">
        <f t="shared" si="12"/>
        <v>161.30825018341892</v>
      </c>
      <c r="F60" s="260">
        <f t="shared" si="13"/>
        <v>161.19427774961989</v>
      </c>
      <c r="G60" s="200">
        <f t="shared" si="14"/>
        <v>-7.0655055565626494E-4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2592</v>
      </c>
      <c r="E61" s="290">
        <f t="shared" si="12"/>
        <v>143.8877546296296</v>
      </c>
      <c r="F61" s="260">
        <f t="shared" si="13"/>
        <v>154.80298437637919</v>
      </c>
      <c r="G61" s="200">
        <f t="shared" si="14"/>
        <v>7.585933754297329E-2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2673</v>
      </c>
      <c r="E62" s="290">
        <f t="shared" si="12"/>
        <v>144.61872802095024</v>
      </c>
      <c r="F62" s="260">
        <f t="shared" si="13"/>
        <v>151.89829814576831</v>
      </c>
      <c r="G62" s="200">
        <f t="shared" si="14"/>
        <v>5.0336289251302964E-2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2607</v>
      </c>
      <c r="E63" s="290">
        <f t="shared" si="12"/>
        <v>157.13872650556195</v>
      </c>
      <c r="F63" s="260">
        <f t="shared" si="13"/>
        <v>151.81259388563882</v>
      </c>
      <c r="G63" s="200">
        <f t="shared" si="14"/>
        <v>-3.3894462163244078E-2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2559</v>
      </c>
      <c r="E64" s="290">
        <f t="shared" si="12"/>
        <v>148.36814771395075</v>
      </c>
      <c r="F64" s="260">
        <f t="shared" si="13"/>
        <v>148.48601955708943</v>
      </c>
      <c r="G64" s="200">
        <f t="shared" si="14"/>
        <v>7.944551775758516E-4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417970.01</v>
      </c>
      <c r="D65" s="278">
        <f>SUMIFS('Actual - 2026'!$AS:$AS,'Actual - 2026'!$C:$C,'MILA 2F - Avg Ck'!B43)</f>
        <v>2319</v>
      </c>
      <c r="E65" s="290">
        <f t="shared" si="12"/>
        <v>180.23717550668391</v>
      </c>
      <c r="F65" s="260">
        <f t="shared" si="13"/>
        <v>156.90791691277809</v>
      </c>
      <c r="G65" s="200">
        <f t="shared" si="14"/>
        <v>-0.12943644133527091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406693.96</v>
      </c>
      <c r="D66" s="278">
        <f>SUMIFS('Actual - 2026'!$AS:$AS,'Actual - 2026'!$C:$C,'MILA 2F - Avg Ck'!B44)</f>
        <v>2522</v>
      </c>
      <c r="E66" s="290">
        <f t="shared" si="12"/>
        <v>161.25850911974624</v>
      </c>
      <c r="F66" s="260">
        <f t="shared" si="13"/>
        <v>161.28697112021584</v>
      </c>
      <c r="G66" s="200">
        <f t="shared" si="14"/>
        <v>1.7649921622720218E-4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460989.18999999994</v>
      </c>
      <c r="D67" s="278">
        <f>SUMIFS('Actual - 2026'!$AS:$AS,'Actual - 2026'!$C:$C,'MILA 2F - Avg Ck'!B45)</f>
        <v>2822</v>
      </c>
      <c r="E67" s="290">
        <f t="shared" si="12"/>
        <v>163.35548901488303</v>
      </c>
      <c r="F67" s="260">
        <f t="shared" si="13"/>
        <v>162.91599002152222</v>
      </c>
      <c r="G67" s="200">
        <f t="shared" si="14"/>
        <v>-2.6904452125313797E-3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456446.08</v>
      </c>
      <c r="D68" s="278">
        <f>SUMIFS('Actual - 2026'!$AS:$AS,'Actual - 2026'!$C:$C,'MILA 2F - Avg Ck'!B46)</f>
        <v>2634</v>
      </c>
      <c r="E68" s="290">
        <f t="shared" si="12"/>
        <v>173.2900835231587</v>
      </c>
      <c r="F68" s="260">
        <f t="shared" si="13"/>
        <v>169.18512576478585</v>
      </c>
      <c r="G68" s="200">
        <f t="shared" si="14"/>
        <v>-2.3688359281241019E-2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606637.69999999995</v>
      </c>
      <c r="D69" s="278">
        <f>SUMIFS('Actual - 2026'!$AS:$AS,'Actual - 2026'!$C:$C,'MILA 2F - Avg Ck'!B47)</f>
        <v>2927</v>
      </c>
      <c r="E69" s="290">
        <f t="shared" si="12"/>
        <v>207.25579091219677</v>
      </c>
      <c r="F69" s="260">
        <f t="shared" si="13"/>
        <v>177.05336359468134</v>
      </c>
      <c r="G69" s="200">
        <f t="shared" si="14"/>
        <v>-0.14572537242305855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6" t="s">
        <v>239</v>
      </c>
      <c r="C71" s="426"/>
      <c r="D71" s="426"/>
      <c r="E71" s="426"/>
      <c r="F71" s="426"/>
      <c r="G71" s="426"/>
      <c r="H71" s="426"/>
      <c r="I71" s="426"/>
      <c r="J71" s="426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226</v>
      </c>
      <c r="F73" s="271" t="s">
        <v>227</v>
      </c>
      <c r="G73" s="267" t="s">
        <v>228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231</v>
      </c>
      <c r="M73" s="284" t="s">
        <v>232</v>
      </c>
      <c r="N73" s="284" t="s">
        <v>233</v>
      </c>
      <c r="O73" s="284" t="s">
        <v>231</v>
      </c>
      <c r="P73" s="284" t="s">
        <v>232</v>
      </c>
      <c r="Q73" s="284" t="s">
        <v>233</v>
      </c>
      <c r="R73" s="284" t="s">
        <v>234</v>
      </c>
      <c r="S73" s="284" t="s">
        <v>235</v>
      </c>
      <c r="T73" s="284" t="s">
        <v>236</v>
      </c>
      <c r="U73" s="284" t="s">
        <v>234</v>
      </c>
      <c r="V73" s="284" t="s">
        <v>235</v>
      </c>
      <c r="W73" s="284" t="s">
        <v>236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9" t="s">
        <v>71</v>
      </c>
      <c r="M74" s="429"/>
      <c r="N74" s="429"/>
      <c r="O74" s="429" t="s">
        <v>63</v>
      </c>
      <c r="P74" s="429"/>
      <c r="Q74" s="429"/>
      <c r="R74" s="429" t="s">
        <v>71</v>
      </c>
      <c r="S74" s="429"/>
      <c r="T74" s="429"/>
      <c r="U74" s="429" t="s">
        <v>63</v>
      </c>
      <c r="V74" s="429"/>
      <c r="W74" s="429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243799.83</v>
      </c>
      <c r="D87" s="278">
        <f>SUMIFS('Actual - 2026'!$BB:$BB,'Actual - 2026'!$C:$C,'MILA 2F - Avg Ck'!B65)</f>
        <v>1839</v>
      </c>
      <c r="E87" s="290">
        <f t="shared" si="18"/>
        <v>132.57195758564436</v>
      </c>
      <c r="F87" s="260">
        <f t="shared" si="19"/>
        <v>128.73955970240274</v>
      </c>
      <c r="G87" s="200">
        <f t="shared" si="20"/>
        <v>-2.8908058333270065E-2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298721.98000000004</v>
      </c>
      <c r="D88" s="278">
        <f>SUMIFS('Actual - 2026'!$BB:$BB,'Actual - 2026'!$C:$C,'MILA 2F - Avg Ck'!B66)</f>
        <v>2272</v>
      </c>
      <c r="E88" s="290">
        <f t="shared" si="18"/>
        <v>131.47974471830989</v>
      </c>
      <c r="F88" s="260">
        <f t="shared" si="19"/>
        <v>131.80611063306699</v>
      </c>
      <c r="G88" s="200">
        <f t="shared" si="20"/>
        <v>2.4822524218945717E-3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318005.00000000006</v>
      </c>
      <c r="D89" s="278">
        <f>SUMIFS('Actual - 2026'!$BB:$BB,'Actual - 2026'!$C:$C,'MILA 2F - Avg Ck'!B67)</f>
        <v>2334</v>
      </c>
      <c r="E89" s="290">
        <f t="shared" si="18"/>
        <v>136.24892887746361</v>
      </c>
      <c r="F89" s="260">
        <f t="shared" si="19"/>
        <v>132.76790234652762</v>
      </c>
      <c r="G89" s="200">
        <f t="shared" si="20"/>
        <v>-2.554901942801089E-2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341645.86</v>
      </c>
      <c r="D90" s="278">
        <f>SUMIFS('Actual - 2026'!$BB:$BB,'Actual - 2026'!$C:$C,'MILA 2F - Avg Ck'!B68)</f>
        <v>2018</v>
      </c>
      <c r="E90" s="290">
        <f t="shared" si="18"/>
        <v>169.29923686818631</v>
      </c>
      <c r="F90" s="260">
        <f t="shared" si="19"/>
        <v>142.05041592815786</v>
      </c>
      <c r="G90" s="200">
        <f t="shared" si="20"/>
        <v>-0.16095064244881357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284940.23</v>
      </c>
      <c r="D91" s="278">
        <f>SUMIFS('Actual - 2026'!$BB:$BB,'Actual - 2026'!$C:$C,'MILA 2F - Avg Ck'!B69)</f>
        <v>2012</v>
      </c>
      <c r="E91" s="290">
        <f t="shared" si="18"/>
        <v>141.62039264413517</v>
      </c>
      <c r="F91" s="260">
        <f t="shared" si="19"/>
        <v>143.96862783696156</v>
      </c>
      <c r="G91" s="200">
        <f t="shared" si="20"/>
        <v>1.6581193915533463E-2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173</v>
      </c>
      <c r="C37" s="90" t="s">
        <v>171</v>
      </c>
      <c r="D37" s="90">
        <v>5</v>
      </c>
      <c r="E37" s="90">
        <v>36</v>
      </c>
    </row>
    <row r="38" spans="2:5">
      <c r="B38" s="90" t="s">
        <v>174</v>
      </c>
      <c r="C38" s="90" t="s">
        <v>171</v>
      </c>
      <c r="D38" s="90">
        <v>5</v>
      </c>
      <c r="E38" s="90">
        <v>37</v>
      </c>
    </row>
    <row r="39" spans="2:5">
      <c r="B39" s="90" t="s">
        <v>175</v>
      </c>
      <c r="C39" s="90" t="s">
        <v>171</v>
      </c>
      <c r="D39" s="90">
        <v>5</v>
      </c>
      <c r="E39" s="90">
        <v>38</v>
      </c>
    </row>
    <row r="40" spans="2:5">
      <c r="B40" s="90" t="s">
        <v>176</v>
      </c>
      <c r="C40" s="90" t="s">
        <v>171</v>
      </c>
      <c r="D40" s="90">
        <v>5</v>
      </c>
      <c r="E40" s="90">
        <v>39</v>
      </c>
    </row>
    <row r="41" spans="2:5">
      <c r="B41" s="90" t="s">
        <v>178</v>
      </c>
      <c r="C41" s="90" t="s">
        <v>76</v>
      </c>
      <c r="D41" s="90">
        <v>4</v>
      </c>
      <c r="E41" s="90">
        <v>40</v>
      </c>
    </row>
    <row r="42" spans="2:5">
      <c r="B42" s="90" t="s">
        <v>101</v>
      </c>
      <c r="C42" s="90" t="s">
        <v>76</v>
      </c>
      <c r="D42" s="90">
        <v>4</v>
      </c>
      <c r="E42" s="90">
        <v>41</v>
      </c>
    </row>
    <row r="43" spans="2:5">
      <c r="B43" s="90" t="s">
        <v>179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zoomScale="70" zoomScaleNormal="70" workbookViewId="0">
      <selection activeCell="AO9" sqref="AO9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41</v>
      </c>
      <c r="F1" s="5">
        <f>VLOOKUP(D1,Dates!$B$2:$E$53,4,FALSE)</f>
        <v>41</v>
      </c>
      <c r="G1" s="5" t="b">
        <v>1</v>
      </c>
    </row>
    <row r="2" spans="3:52" ht="28.5">
      <c r="D2" s="431" t="str">
        <f>CONCATENATE("Riviera Dining Group - SALES",)</f>
        <v>Riviera Dining Group - SALES</v>
      </c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3"/>
      <c r="T2" s="5" t="s">
        <v>240</v>
      </c>
      <c r="U2" s="5" t="s">
        <v>241</v>
      </c>
      <c r="V2" s="5" t="s">
        <v>242</v>
      </c>
      <c r="W2" s="5" t="s">
        <v>243</v>
      </c>
      <c r="X2" s="5" t="s">
        <v>244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52" ht="27" customHeight="1">
      <c r="D6" s="91"/>
      <c r="F6" s="231" t="s">
        <v>77</v>
      </c>
      <c r="G6" s="231" t="s">
        <v>81</v>
      </c>
      <c r="H6" s="231" t="s">
        <v>245</v>
      </c>
      <c r="J6" s="231" t="s">
        <v>77</v>
      </c>
      <c r="K6" s="231" t="s">
        <v>81</v>
      </c>
      <c r="L6" s="231" t="s">
        <v>245</v>
      </c>
      <c r="M6" s="141"/>
      <c r="N6" s="231" t="s">
        <v>77</v>
      </c>
      <c r="O6" s="231" t="s">
        <v>81</v>
      </c>
      <c r="P6" s="231" t="s">
        <v>245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576355.75</v>
      </c>
      <c r="G7" s="196">
        <f>SUMIFS('Actual - 2026'!L:L,'Actual - 2026'!A:A,'RDG Weekly Sales'!D1)</f>
        <v>3844</v>
      </c>
      <c r="H7" s="197">
        <f>F7/G7</f>
        <v>149.93645941727368</v>
      </c>
      <c r="I7" s="194"/>
      <c r="J7" s="195">
        <f>SUMIFS('Actual - 2026'!K:K,'Actual - 2026'!B:B,'RDG Weekly Sales'!D4)</f>
        <v>1294707.25</v>
      </c>
      <c r="K7" s="196">
        <f>SUMIFS('Actual - 2026'!L:L,'Actual - 2026'!B:B,'RDG Weekly Sales'!D4)</f>
        <v>7743</v>
      </c>
      <c r="L7" s="197">
        <f>J7/K7</f>
        <v>167.21002841275993</v>
      </c>
      <c r="M7" s="194"/>
      <c r="N7" s="195">
        <f>SUMIFS('Actual - 2026'!K:K,'Actual - 2026'!D:D,G1)</f>
        <v>29238763.060000006</v>
      </c>
      <c r="O7" s="196">
        <f>SUMIFS('Actual - 2026'!L:L,'Actual - 2026'!D:D,'RDG Weekly Sales'!G1)</f>
        <v>180153</v>
      </c>
      <c r="P7" s="197">
        <f>N7/O7</f>
        <v>162.29961788035729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566071</v>
      </c>
      <c r="G8" s="205">
        <f>SUMIFS('Budget - 2026'!S:S,'Budget - 2026'!B:B,'RDG Weekly Sales'!D1)</f>
        <v>3600</v>
      </c>
      <c r="H8" s="206">
        <f>IFERROR(F8/G8,0)</f>
        <v>157.24194444444444</v>
      </c>
      <c r="I8" s="194"/>
      <c r="J8" s="204">
        <f>SUMIFS('Budget - 2026'!$R:$R,'Budget - 2026'!$C:$C,'RDG Weekly Sales'!D4,'Budget - 2026'!$E:$E,G1)</f>
        <v>1025974</v>
      </c>
      <c r="K8" s="205">
        <f>SUMIFS('Budget - 2026'!S:S,'Budget - 2026'!C:C,'RDG Weekly Sales'!D4,'Budget - 2026'!$E:$E,G1)</f>
        <v>6515</v>
      </c>
      <c r="L8" s="206">
        <f>IFERROR(J8/K8,0)</f>
        <v>157.47874136607828</v>
      </c>
      <c r="M8" s="194"/>
      <c r="N8" s="204">
        <f>SUMIFS('Budget - 2026'!R:R,'Budget - 2026'!E:E,'RDG Weekly Sales'!G1)</f>
        <v>27111832</v>
      </c>
      <c r="O8" s="205">
        <f>SUMIFS('Budget - 2026'!S:S,'Budget - 2026'!E:E,'RDG Weekly Sales'!G1)</f>
        <v>171571</v>
      </c>
      <c r="P8" s="206">
        <f>IFERROR(N8/O8,0)</f>
        <v>158.02106416585553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1.816865728857334E-2</v>
      </c>
      <c r="G9" s="179">
        <f>(G7-G8)/G8</f>
        <v>6.7777777777777784E-2</v>
      </c>
      <c r="H9" s="179">
        <f>(H7-H8)/H8</f>
        <v>-4.6460154464395345E-2</v>
      </c>
      <c r="I9" s="194"/>
      <c r="J9" s="179">
        <f>(J7-J8)/J8</f>
        <v>0.26192988321341476</v>
      </c>
      <c r="K9" s="179">
        <f>(K7-K8)/K8</f>
        <v>0.18848810437452035</v>
      </c>
      <c r="L9" s="179">
        <f>(L7-L8)/L8</f>
        <v>6.1794290215084306E-2</v>
      </c>
      <c r="M9" s="107"/>
      <c r="N9" s="179">
        <f>(N7-N8)/N8</f>
        <v>7.8450289157885239E-2</v>
      </c>
      <c r="O9" s="179">
        <f>(O7-O8)/O8</f>
        <v>5.0020108293359601E-2</v>
      </c>
      <c r="P9" s="179">
        <f>(P7-P8)/P8</f>
        <v>2.7075844205245166E-2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557601.55000000005</v>
      </c>
      <c r="G10" s="196">
        <f>SUMIFS('Budget - 2026'!V:V,'Budget - 2026'!B:B,'RDG Weekly Sales'!D1)</f>
        <v>3600</v>
      </c>
      <c r="H10" s="197">
        <f>IFERROR(F10/G10,0)</f>
        <v>154.88931944444445</v>
      </c>
      <c r="I10" s="194"/>
      <c r="J10" s="195">
        <f>SUMIFS('Budget - 2026'!U:U,'Budget - 2026'!C:C,'RDG Weekly Sales'!D4,'Budget - 2026'!$E:$E,G1)</f>
        <v>1046179.3</v>
      </c>
      <c r="K10" s="196">
        <f>SUMIFS('Budget - 2026'!V:V,'Budget - 2026'!C:C,'RDG Weekly Sales'!D4,'Budget - 2026'!$E:$E,G1)</f>
        <v>6515</v>
      </c>
      <c r="L10" s="197">
        <f>IFERROR(J10/K10,0)</f>
        <v>160.58009209516501</v>
      </c>
      <c r="M10" s="194"/>
      <c r="N10" s="195">
        <f>SUMIFS('Budget - 2026'!U:U,'Budget - 2026'!E:E,'RDG Weekly Sales'!G1)</f>
        <v>26673362.500000004</v>
      </c>
      <c r="O10" s="196">
        <f>SUMIFS('Budget - 2026'!V:V,'Budget - 2026'!E:E,'RDG Weekly Sales'!G1)</f>
        <v>165790</v>
      </c>
      <c r="P10" s="197">
        <f>IFERROR(N10/O10,0)</f>
        <v>160.88643766210268</v>
      </c>
    </row>
    <row r="11" spans="3:52" s="54" customFormat="1" ht="28.9" customHeight="1" thickBot="1">
      <c r="D11" s="199" t="s">
        <v>105</v>
      </c>
      <c r="E11" s="194"/>
      <c r="F11" s="200">
        <f>(F7-F10)/F10</f>
        <v>3.3633694167456943E-2</v>
      </c>
      <c r="G11" s="200">
        <f>(G7-G10)/G10</f>
        <v>6.7777777777777784E-2</v>
      </c>
      <c r="H11" s="200">
        <f>(H7-H10)/H10</f>
        <v>-3.1976769250040241E-2</v>
      </c>
      <c r="I11" s="194"/>
      <c r="J11" s="200">
        <f>(J7-J10)/J10</f>
        <v>0.23755770162915663</v>
      </c>
      <c r="K11" s="200">
        <f>(K7-K10)/K10</f>
        <v>0.18848810437452035</v>
      </c>
      <c r="L11" s="200">
        <f>(L7-L10)/L10</f>
        <v>4.1287411353991464E-2</v>
      </c>
      <c r="M11" s="107"/>
      <c r="N11" s="200">
        <f>(N7-N10)/N10</f>
        <v>9.6178371212103542E-2</v>
      </c>
      <c r="O11" s="200">
        <f>(O7-O10)/O10</f>
        <v>8.6633693226370712E-2</v>
      </c>
      <c r="P11" s="200">
        <f>(P7-P10)/P10</f>
        <v>8.7837125290983354E-3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330290.59999999998</v>
      </c>
      <c r="G13" s="196">
        <f>SUMIFS('Actual - 2026'!X:X,'Actual - 2026'!A:A,'RDG Weekly Sales'!D1)</f>
        <v>1202</v>
      </c>
      <c r="H13" s="197">
        <f>F13/G13</f>
        <v>274.78419301164723</v>
      </c>
      <c r="I13" s="194"/>
      <c r="J13" s="195">
        <f>SUMIFS('Actual - 2026'!W:W,'Actual - 2026'!B:B,'RDG Weekly Sales'!D4)</f>
        <v>667872.88</v>
      </c>
      <c r="K13" s="196">
        <f>SUMIFS('Actual - 2026'!X:X,'Actual - 2026'!B:B,'RDG Weekly Sales'!D4)</f>
        <v>2570</v>
      </c>
      <c r="L13" s="197">
        <f>J13/K13</f>
        <v>259.87271595330742</v>
      </c>
      <c r="M13" s="194"/>
      <c r="N13" s="195">
        <f>SUMIFS('Actual - 2026'!W:W,'Actual - 2026'!D:D,'RDG Weekly Sales'!G1)</f>
        <v>14509776.669999996</v>
      </c>
      <c r="O13" s="196">
        <f>SUMIFS('Actual - 2026'!X:X,'Actual - 2026'!D:D,'RDG Weekly Sales'!G1)</f>
        <v>55094</v>
      </c>
      <c r="P13" s="197">
        <f>N13/O13</f>
        <v>263.36400824046171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304956.98134043213</v>
      </c>
      <c r="G14" s="205">
        <f>SUMIFS('Budget - 2026'!AQ:AQ,'Budget - 2026'!B:B,'RDG Weekly Sales'!D1)</f>
        <v>1087.2</v>
      </c>
      <c r="H14" s="206">
        <f>IFERROR(F14/G14,0)</f>
        <v>280.49759137273008</v>
      </c>
      <c r="I14" s="194"/>
      <c r="J14" s="204">
        <f>SUMIFS('Budget - 2026'!AP:AP,'Budget - 2026'!C:C,'RDG Weekly Sales'!D4,'Budget - 2026'!$E:$E,G1)</f>
        <v>573204.95192462392</v>
      </c>
      <c r="K14" s="205">
        <f>SUMIFS('Budget - 2026'!AQ:AQ,'Budget - 2026'!C:C,'RDG Weekly Sales'!D4,'Budget - 2026'!$E:$E,G1)</f>
        <v>2119.6999999999998</v>
      </c>
      <c r="L14" s="206">
        <f>IFERROR(J14/K14,0)</f>
        <v>270.4179609966618</v>
      </c>
      <c r="M14" s="194"/>
      <c r="N14" s="204">
        <f>SUMIFS('Budget - 2026'!AP:AP,'Budget - 2026'!E:E,'RDG Weekly Sales'!G1)</f>
        <v>14060656.357783101</v>
      </c>
      <c r="O14" s="205">
        <f>SUMIFS('Budget - 2026'!AQ:AQ,'Budget - 2026'!E:E,'RDG Weekly Sales'!G1)</f>
        <v>49520.19999999999</v>
      </c>
      <c r="P14" s="206">
        <f>IFERROR(N14/O14,0)</f>
        <v>283.93779422908437</v>
      </c>
      <c r="S14" s="396"/>
      <c r="T14" s="396"/>
      <c r="U14" s="396"/>
      <c r="V14" s="396"/>
      <c r="W14" s="396"/>
      <c r="X14" s="396"/>
    </row>
    <row r="15" spans="3:52" s="54" customFormat="1" ht="28.9" customHeight="1">
      <c r="D15" s="207" t="s">
        <v>105</v>
      </c>
      <c r="E15" s="203"/>
      <c r="F15" s="179">
        <f>(F13-F14)/F14</f>
        <v>8.3072761765329808E-2</v>
      </c>
      <c r="G15" s="179">
        <f>(G13-G14)/G14</f>
        <v>0.10559234731420157</v>
      </c>
      <c r="H15" s="179">
        <f>(H13-H14)/H14</f>
        <v>-2.0368796513089444E-2</v>
      </c>
      <c r="I15" s="194"/>
      <c r="J15" s="179">
        <f>(J13-J14)/J14</f>
        <v>0.1651554609874076</v>
      </c>
      <c r="K15" s="179">
        <f>(K13-K14)/K14</f>
        <v>0.21243572203613728</v>
      </c>
      <c r="L15" s="179">
        <f>(L13-L14)/L14</f>
        <v>-3.899609702139778E-2</v>
      </c>
      <c r="M15" s="107"/>
      <c r="N15" s="179">
        <f>(N13-N14)/N14</f>
        <v>3.1941632082366465E-2</v>
      </c>
      <c r="O15" s="179">
        <f>(O13-O14)/O14</f>
        <v>0.11255608822258414</v>
      </c>
      <c r="P15" s="179">
        <f>(P13-P14)/P14</f>
        <v>-7.2458779376244245E-2</v>
      </c>
      <c r="S15" s="396"/>
      <c r="T15" s="396"/>
      <c r="U15" s="396"/>
      <c r="V15" s="396"/>
      <c r="W15" s="396"/>
      <c r="X15" s="396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304498.25</v>
      </c>
      <c r="G16" s="196">
        <f>SUMIFS('Budget - 2026'!AT:AT,'Budget - 2026'!B:B,'RDG Weekly Sales'!D1)</f>
        <v>1129</v>
      </c>
      <c r="H16" s="197">
        <f>IFERROR(F16/G16,0)</f>
        <v>269.7061558901683</v>
      </c>
      <c r="I16" s="194"/>
      <c r="J16" s="195">
        <f>SUMIFS('Budget - 2026'!AS:AS,'Budget - 2026'!C:C,'RDG Weekly Sales'!D4,'Budget - 2026'!$E:$E,G1)</f>
        <v>574264.5</v>
      </c>
      <c r="K16" s="196">
        <f>SUMIFS('Budget - 2026'!AT:AT,'Budget - 2026'!C:C,'RDG Weekly Sales'!D4,'Budget - 2026'!$E:$E,G1)</f>
        <v>2213</v>
      </c>
      <c r="L16" s="197">
        <f>IFERROR(J16/K16,0)</f>
        <v>259.49593312245821</v>
      </c>
      <c r="M16" s="194"/>
      <c r="N16" s="195">
        <f>SUMIFS('Budget - 2026'!AS:AS,'Budget - 2026'!E:E,'RDG Weekly Sales'!G1)</f>
        <v>13673902.4</v>
      </c>
      <c r="O16" s="196">
        <f>SUMIFS('Budget - 2026'!AT:AT,'Budget - 2026'!E:E,'RDG Weekly Sales'!G1)</f>
        <v>48319</v>
      </c>
      <c r="P16" s="197">
        <f>IFERROR(N16/O16,0)</f>
        <v>282.9922473561125</v>
      </c>
      <c r="S16" s="396"/>
      <c r="T16" s="396"/>
      <c r="U16" s="396"/>
      <c r="V16" s="396"/>
      <c r="W16" s="396"/>
      <c r="X16" s="396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8.4704427693755135E-2</v>
      </c>
      <c r="G17" s="200">
        <f>(G13-G16)/G16</f>
        <v>6.4658990256864488E-2</v>
      </c>
      <c r="H17" s="200">
        <f>(H13-H16)/H16</f>
        <v>1.8828035662437174E-2</v>
      </c>
      <c r="I17" s="194"/>
      <c r="J17" s="200">
        <f>(J13-J16)/J16</f>
        <v>0.16300568814544519</v>
      </c>
      <c r="K17" s="200">
        <f>(K13-K16)/K16</f>
        <v>0.1613194758246724</v>
      </c>
      <c r="L17" s="200">
        <f>(L13-L16)/L16</f>
        <v>1.451979714346435E-3</v>
      </c>
      <c r="M17" s="107"/>
      <c r="N17" s="200">
        <f>(N13-N16)/N16</f>
        <v>6.1129167486232448E-2</v>
      </c>
      <c r="O17" s="200">
        <f>(O13-O16)/O16</f>
        <v>0.14021399449491917</v>
      </c>
      <c r="P17" s="200">
        <f>(P13-P16)/P16</f>
        <v>-6.9359635463620853E-2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216184.45</v>
      </c>
      <c r="G19" s="196">
        <f>SUMIFS('Actual - 2026'!AJ:AJ,'Actual - 2026'!A:A,'RDG Weekly Sales'!D1)</f>
        <v>1613</v>
      </c>
      <c r="H19" s="197">
        <f>F19/G19</f>
        <v>134.02631742095474</v>
      </c>
      <c r="I19" s="194"/>
      <c r="J19" s="195">
        <f>SUMIFS('Actual - 2026'!AI:AI,'Actual - 2026'!B:B,'RDG Weekly Sales'!D4)</f>
        <v>458845.51</v>
      </c>
      <c r="K19" s="196">
        <f>SUMIFS('Actual - 2026'!AJ:AJ,'Actual - 2026'!B:B,'RDG Weekly Sales'!D4)</f>
        <v>3884</v>
      </c>
      <c r="L19" s="197">
        <f>J19/K19</f>
        <v>118.13736096807415</v>
      </c>
      <c r="M19" s="194"/>
      <c r="N19" s="195">
        <f>SUMIFS('Actual - 2026'!AI:AI,'Actual - 2026'!D:D,'RDG Weekly Sales'!G1)</f>
        <v>9879239.8900000006</v>
      </c>
      <c r="O19" s="196">
        <f>SUMIFS('Actual - 2026'!AJ:AJ,'Actual - 2026'!D:D,'RDG Weekly Sales'!G1)</f>
        <v>89661</v>
      </c>
      <c r="P19" s="197">
        <f>N19/O19</f>
        <v>110.18435986660867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232833.6792313492</v>
      </c>
      <c r="G20" s="205">
        <f>SUMIFS('Budget - 2026'!BF:BF,'Budget - 2026'!B:B,'RDG Weekly Sales'!D1)</f>
        <v>2311</v>
      </c>
      <c r="H20" s="206">
        <f>IFERROR(F20/G20,0)</f>
        <v>100.75018573403254</v>
      </c>
      <c r="I20" s="194"/>
      <c r="J20" s="204">
        <f>SUMIFS('Budget - 2026'!BE:BE,'Budget - 2026'!C:C,'RDG Weekly Sales'!D4,'Budget - 2026'!$E:$E,G1)</f>
        <v>456657.29846692708</v>
      </c>
      <c r="K20" s="205">
        <f>SUMIFS('Budget - 2026'!BF:BF,'Budget - 2026'!C:C,'RDG Weekly Sales'!D4,'Budget - 2026'!$E:$E,G1)</f>
        <v>4465</v>
      </c>
      <c r="L20" s="206">
        <f>IFERROR(J20/K20,0)</f>
        <v>102.2748708772513</v>
      </c>
      <c r="M20" s="194"/>
      <c r="N20" s="204">
        <f>SUMIFS('Budget - 2026'!BE:BE,'Budget - 2026'!E:E,'RDG Weekly Sales'!G1)</f>
        <v>9499960.503664054</v>
      </c>
      <c r="O20" s="205">
        <f>SUMIFS('Budget - 2026'!BF:BF,'Budget - 2026'!E:E,'RDG Weekly Sales'!G1)</f>
        <v>89161</v>
      </c>
      <c r="P20" s="206">
        <f>IFERROR(N20/O20,0)</f>
        <v>106.54838442440141</v>
      </c>
      <c r="S20" s="396"/>
      <c r="T20" s="441"/>
      <c r="U20" s="430"/>
      <c r="V20" s="441"/>
      <c r="W20" s="441"/>
      <c r="X20" s="441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-7.1506962765494564E-2</v>
      </c>
      <c r="G21" s="179">
        <f>(G19-G20)/G20</f>
        <v>-0.30203375162267415</v>
      </c>
      <c r="H21" s="179">
        <f>(H19-H20)/H20</f>
        <v>0.33028357659574825</v>
      </c>
      <c r="I21" s="194"/>
      <c r="J21" s="179">
        <f>(J19-J20)/J20</f>
        <v>4.7918023875214762E-3</v>
      </c>
      <c r="K21" s="179">
        <f>(K19-K20)/K20</f>
        <v>-0.13012318029115341</v>
      </c>
      <c r="L21" s="179">
        <f>(L19-L20)/L20</f>
        <v>0.15509665233271971</v>
      </c>
      <c r="M21" s="107"/>
      <c r="N21" s="179">
        <f>(N19-N20)/N20</f>
        <v>3.992431191578763E-2</v>
      </c>
      <c r="O21" s="179">
        <f>(O19-O20)/O20</f>
        <v>5.6078330211639616E-3</v>
      </c>
      <c r="P21" s="179">
        <f>(P19-P20)/P20</f>
        <v>3.4125110970472564E-2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236246.37</v>
      </c>
      <c r="G22" s="196">
        <f>SUMIFS('Budget - 2026'!BR:BR,'Budget - 2026'!B:B,'RDG Weekly Sales'!D1)</f>
        <v>2339</v>
      </c>
      <c r="H22" s="197">
        <f>IFERROR(F22/G22,0)</f>
        <v>101.00315091919623</v>
      </c>
      <c r="I22" s="194"/>
      <c r="J22" s="195">
        <f>SUMIFS('Budget - 2026'!BQ:BQ,'Budget - 2026'!C:C,'RDG Weekly Sales'!D4,'Budget - 2026'!$E:$E,G1)</f>
        <v>455255.92000000004</v>
      </c>
      <c r="K22" s="196">
        <f>SUMIFS('Budget - 2026'!BR:BR,'Budget - 2026'!C:C,'RDG Weekly Sales'!D4,'Budget - 2026'!$E:$E,G1)</f>
        <v>4438</v>
      </c>
      <c r="L22" s="197">
        <f>IFERROR(J22/K22,0)</f>
        <v>102.58132492113566</v>
      </c>
      <c r="M22" s="194"/>
      <c r="N22" s="195">
        <f>SUMIFS('Budget - 2026'!BQ:BQ,'Budget - 2026'!E:E,'RDG Weekly Sales'!G1)</f>
        <v>9755641.209999999</v>
      </c>
      <c r="O22" s="196">
        <f>SUMIFS('Budget - 2026'!BR:BR,'Budget - 2026'!E:E,'RDG Weekly Sales'!G1)</f>
        <v>88617</v>
      </c>
      <c r="P22" s="197">
        <f>IFERROR(N22/O22,0)</f>
        <v>110.08769434758567</v>
      </c>
      <c r="S22" s="128">
        <f>F19</f>
        <v>216184.45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-8.4919484688801714E-2</v>
      </c>
      <c r="G23" s="200">
        <f>(G19-G22)/G22</f>
        <v>-0.31038905515177428</v>
      </c>
      <c r="H23" s="200">
        <f>(H19-H22)/H22</f>
        <v>0.3269518445833185</v>
      </c>
      <c r="I23" s="194"/>
      <c r="J23" s="200">
        <f>(J19-J22)/J22</f>
        <v>7.8847739091453591E-3</v>
      </c>
      <c r="K23" s="200">
        <f>(K19-K22)/K22</f>
        <v>-0.12483100495718792</v>
      </c>
      <c r="L23" s="200">
        <f>(L19-L22)/L22</f>
        <v>0.15164588738640236</v>
      </c>
      <c r="M23" s="107"/>
      <c r="N23" s="200">
        <f>(N19-N22)/N22</f>
        <v>1.2669457326219316E-2</v>
      </c>
      <c r="O23" s="200">
        <f>(O19-O22)/O22</f>
        <v>1.1781035241545076E-2</v>
      </c>
      <c r="P23" s="200">
        <f>(P19-P22)/P22</f>
        <v>8.7807742360193825E-4</v>
      </c>
      <c r="S23" s="321">
        <f>SUM(S21:S22)</f>
        <v>984184.45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606637.69999999995</v>
      </c>
      <c r="G25" s="196">
        <f>SUMIFS('Actual - 2026'!AS:AS,'Actual - 2026'!A:A,'RDG Weekly Sales'!D1)</f>
        <v>2927</v>
      </c>
      <c r="H25" s="197">
        <f>F25/G25</f>
        <v>207.25579091219677</v>
      </c>
      <c r="I25" s="194"/>
      <c r="J25" s="195">
        <f>SUMIFS('Actual - 2026'!AR:AR,'Actual - 2026'!B:B,'RDG Weekly Sales'!D4)</f>
        <v>1063083.78</v>
      </c>
      <c r="K25" s="196">
        <f>SUMIFS('Actual - 2026'!AS:AS,'Actual - 2026'!B:B,'RDG Weekly Sales'!D4)</f>
        <v>5561</v>
      </c>
      <c r="L25" s="197">
        <f>J25/K25</f>
        <v>191.16773601870167</v>
      </c>
      <c r="M25" s="194"/>
      <c r="N25" s="195">
        <f>SUMIFS('Actual - 2026'!AR:AR,'Actual - 2026'!D:D,'RDG Weekly Sales'!G1)</f>
        <v>28705257.09</v>
      </c>
      <c r="O25" s="196">
        <f>SUMIFS('Actual - 2026'!AS:AS,'Actual - 2026'!D:D,'RDG Weekly Sales'!G1)</f>
        <v>151792</v>
      </c>
      <c r="P25" s="197">
        <f>N25/O25</f>
        <v>189.10915654316432</v>
      </c>
      <c r="S25" s="324">
        <f>S23-S24</f>
        <v>-44409.550000000047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513721.50596077408</v>
      </c>
      <c r="G26" s="205">
        <f>SUMIFS('Budget - 2026'!CA:CA,'Budget - 2026'!B:B,'RDG Weekly Sales'!D1)</f>
        <v>3123</v>
      </c>
      <c r="H26" s="206">
        <f>IFERROR(F26/G26,0)</f>
        <v>164.49615944949539</v>
      </c>
      <c r="I26" s="194"/>
      <c r="J26" s="204">
        <f>SUMIFS('Budget - 2026'!BZ:BZ,'Budget - 2026'!C:C,'RDG Weekly Sales'!D4,'Budget - 2026'!$E:$E,G1)</f>
        <v>1005747.1042657334</v>
      </c>
      <c r="K26" s="205">
        <f>SUMIFS('Budget - 2026'!CA:CA,'Budget - 2026'!C:C,'RDG Weekly Sales'!D4,'Budget - 2026'!$E:$E,G1)</f>
        <v>6104</v>
      </c>
      <c r="L26" s="206">
        <f>IFERROR(J26/K26,0)</f>
        <v>164.76852953239407</v>
      </c>
      <c r="M26" s="194"/>
      <c r="N26" s="204">
        <f>SUMIFS('Budget - 2026'!BZ:BZ,'Budget - 2026'!E:E,'RDG Weekly Sales'!G1)</f>
        <v>26609103.424126588</v>
      </c>
      <c r="O26" s="205">
        <f>SUMIFS('Budget - 2026'!CA:CA,'Budget - 2026'!E:E,'RDG Weekly Sales'!G1)</f>
        <v>156750.75</v>
      </c>
      <c r="P26" s="206">
        <f>IFERROR(N26/O26,0)</f>
        <v>169.75423354673958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0.18086880335183128</v>
      </c>
      <c r="G27" s="179">
        <f>(G25-G26)/G26</f>
        <v>-6.2760166506564199E-2</v>
      </c>
      <c r="H27" s="179">
        <f>(H25-H26)/H26</f>
        <v>0.25994303821925824</v>
      </c>
      <c r="I27" s="194"/>
      <c r="J27" s="179">
        <f>(J25-J26)/J26</f>
        <v>5.7009038843941262E-2</v>
      </c>
      <c r="K27" s="179">
        <f>(K25-K26)/K26</f>
        <v>-8.8958060288335514E-2</v>
      </c>
      <c r="L27" s="179">
        <f>(L25-L26)/L26</f>
        <v>0.16021995560212504</v>
      </c>
      <c r="M27" s="107"/>
      <c r="N27" s="179">
        <f>(N25-N26)/N26</f>
        <v>7.8775809634112681E-2</v>
      </c>
      <c r="O27" s="179">
        <f>(O25-O26)/O26</f>
        <v>-3.163461737822626E-2</v>
      </c>
      <c r="P27" s="179">
        <f>(P25-P26)/P26</f>
        <v>0.11401732134766236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495789.84</v>
      </c>
      <c r="G28" s="196">
        <f>SUMIFS('Budget - 2026'!CJ:CJ,'Budget - 2026'!B:B,'RDG Weekly Sales'!D1)</f>
        <v>3123</v>
      </c>
      <c r="H28" s="197">
        <f>IFERROR(F28/G28,0)</f>
        <v>158.7543515850144</v>
      </c>
      <c r="I28" s="194"/>
      <c r="J28" s="195">
        <f>SUMIFS('Budget - 2026'!CI:CI,'Budget - 2026'!C:C,'RDG Weekly Sales'!D4,'Budget - 2026'!$E:$E,G1)</f>
        <v>987410.05</v>
      </c>
      <c r="K28" s="196">
        <f>SUMIFS('Budget - 2026'!CJ:CJ,'Budget - 2026'!C:C,'RDG Weekly Sales'!D4,'Budget - 2026'!$E:$E,G1)</f>
        <v>6106</v>
      </c>
      <c r="L28" s="197">
        <f>IFERROR(J28/K28,0)</f>
        <v>161.71143956763839</v>
      </c>
      <c r="M28" s="194"/>
      <c r="N28" s="195">
        <f>SUMIFS('Budget - 2026'!CI:CI,'Budget - 2026'!E:E,'RDG Weekly Sales'!G1)</f>
        <v>24554576.350000001</v>
      </c>
      <c r="O28" s="196">
        <f>SUMIFS('Budget - 2026'!CJ:CJ,'Budget - 2026'!E:E,'RDG Weekly Sales'!G1)</f>
        <v>151602</v>
      </c>
      <c r="P28" s="197">
        <f>IFERROR(N28/O28,0)</f>
        <v>161.96736421683093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0.2235783210079495</v>
      </c>
      <c r="G29" s="200">
        <f>IFERROR((G25-G28)/G28,0)</f>
        <v>-6.2760166506564199E-2</v>
      </c>
      <c r="H29" s="200">
        <f>IFERROR((H25-H28)/H28,0)</f>
        <v>0.30551250307749456</v>
      </c>
      <c r="I29" s="194"/>
      <c r="J29" s="200">
        <f>IFERROR((J25-J28)/J28,0)</f>
        <v>7.6638606220384306E-2</v>
      </c>
      <c r="K29" s="200">
        <f>IFERROR((K25-K28)/K28,0)</f>
        <v>-8.9256469046839176E-2</v>
      </c>
      <c r="L29" s="200">
        <f>IFERROR((L25-L28)/L28,0)</f>
        <v>0.18215344894473415</v>
      </c>
      <c r="M29" s="107"/>
      <c r="N29" s="200">
        <f>IFERROR((N25-N28)/N28,0)</f>
        <v>0.16903898812328716</v>
      </c>
      <c r="O29" s="200">
        <f>IFERROR((O25-O28)/O28,0)</f>
        <v>1.253281618976003E-3</v>
      </c>
      <c r="P29" s="200">
        <f>IFERROR((P25-P28)/P28,0)</f>
        <v>0.1675756869760367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246</v>
      </c>
      <c r="E31" s="194"/>
      <c r="F31" s="195">
        <f>SUMIFS('Actual - 2026'!BV:BV,'Actual - 2026'!A:A,$D$1)</f>
        <v>135264</v>
      </c>
      <c r="G31" s="196">
        <f>SUMIFS('Actual - 2026'!BW:BW,'Actual - 2026'!A:A,$D$1)</f>
        <v>534</v>
      </c>
      <c r="H31" s="197">
        <f>IFERROR(F31/G31,0)</f>
        <v>253.30337078651687</v>
      </c>
      <c r="I31" s="194"/>
      <c r="J31" s="195">
        <f>SUMIFS('Actual - 2026'!BV:BV,'Actual - 2026'!$B:$B,'RDG Weekly Sales'!$D$4)</f>
        <v>267447.75</v>
      </c>
      <c r="K31" s="196">
        <f>SUMIFS('Actual - 2026'!BW:BW,'Actual - 2026'!$B:$B,'RDG Weekly Sales'!$D$4)</f>
        <v>1158</v>
      </c>
      <c r="L31" s="197">
        <f>IFERROR(J31/K31,0)</f>
        <v>230.95660621761658</v>
      </c>
      <c r="M31" s="194"/>
      <c r="N31" s="195">
        <f>SUMIFS('Actual - 2026'!BV:BV,'Actual - 2026'!$D:$D,'RDG Weekly Sales'!$G$1)</f>
        <v>6538600.2400000002</v>
      </c>
      <c r="O31" s="196">
        <f>SUMIFS('Actual - 2026'!BW:BW,'Actual - 2026'!$D:$D,'RDG Weekly Sales'!$G$1)</f>
        <v>24546</v>
      </c>
      <c r="P31" s="197">
        <f>IFERROR(N31/O31,0)</f>
        <v>266.38149759634973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86.596670934699105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201038.10246097873</v>
      </c>
      <c r="G32" s="205">
        <f>SUMIFS('Budget - 2026'!DW:DW,'Budget - 2026'!$B:$B,'RDG Weekly Sales'!$D$1)</f>
        <v>832.5</v>
      </c>
      <c r="H32" s="206">
        <f>IFERROR(F32/G32,0)</f>
        <v>241.48721016333781</v>
      </c>
      <c r="I32" s="194"/>
      <c r="J32" s="204">
        <f>SUMIFS('Budget - 2026'!DV:DV,'Budget - 2026'!$C:$C,'RDG Weekly Sales'!$D$4,'Budget - 2026'!$E:$E,$G$1)</f>
        <v>402076.20492195745</v>
      </c>
      <c r="K32" s="205">
        <f>SUMIFS('Budget - 2026'!DW:DW,'Budget - 2026'!$C:$C,'RDG Weekly Sales'!$D$4,'Budget - 2026'!$E:$E,$G$1)</f>
        <v>1665</v>
      </c>
      <c r="L32" s="206">
        <f>IFERROR(J32/K32,0)</f>
        <v>241.48721016333781</v>
      </c>
      <c r="M32" s="194"/>
      <c r="N32" s="204">
        <f>SUMIFS('Budget - 2026'!DV:DV,'Budget - 2026'!$E:$E,'RDG Weekly Sales'!$G$1)</f>
        <v>8355439.3851494752</v>
      </c>
      <c r="O32" s="205">
        <f>SUMIFS('Budget - 2026'!DW:DW,'Budget - 2026'!$E:$E,'RDG Weekly Sales'!$G$1)</f>
        <v>33690</v>
      </c>
      <c r="P32" s="206">
        <f>IFERROR(N32/O32,0)</f>
        <v>248.00948011722988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-0.32717232035029481</v>
      </c>
      <c r="G33" s="179">
        <f>IFERROR((G31-G32)/G32,0)</f>
        <v>-0.35855855855855856</v>
      </c>
      <c r="H33" s="179">
        <f>IFERROR((H31-H32)/H32,0)</f>
        <v>4.8930792712321328E-2</v>
      </c>
      <c r="I33" s="194"/>
      <c r="J33" s="179">
        <f>IFERROR((J31-J32)/J32,0)</f>
        <v>-0.33483318155594083</v>
      </c>
      <c r="K33" s="179">
        <f>IFERROR((K31-K32)/K32,0)</f>
        <v>-0.3045045045045045</v>
      </c>
      <c r="L33" s="179">
        <f>IFERROR((L31-L32)/L32,0)</f>
        <v>-4.3607294724215435E-2</v>
      </c>
      <c r="M33" s="107"/>
      <c r="N33" s="179">
        <f>IFERROR((N31-N32)/N32,0)</f>
        <v>-0.2174438783409321</v>
      </c>
      <c r="O33" s="179">
        <f>IFERROR((O31-O32)/O32,0)</f>
        <v>-0.27141585040071237</v>
      </c>
      <c r="P33" s="179">
        <f>IFERROR((P31-P32)/P32,0)</f>
        <v>7.4077883919742529E-2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237</v>
      </c>
      <c r="E37" s="194"/>
      <c r="F37" s="195">
        <f>SUMIFS('Actual - 2026'!BA:BA,'Actual - 2026'!A:A,'RDG Weekly Sales'!D1)</f>
        <v>284940.23</v>
      </c>
      <c r="G37" s="196">
        <f>SUMIFS('Actual - 2026'!BB:BB,'Actual - 2026'!A:A,'RDG Weekly Sales'!D1)</f>
        <v>2012</v>
      </c>
      <c r="H37" s="197">
        <f>F37/G37</f>
        <v>141.62039264413517</v>
      </c>
      <c r="I37" s="194"/>
      <c r="J37" s="195">
        <f>SUMIFS('Actual - 2026'!BA:BA,'Actual - 2026'!B:B,'RDG Weekly Sales'!D4)</f>
        <v>626586.09</v>
      </c>
      <c r="K37" s="196">
        <f>SUMIFS('Actual - 2026'!BB:BB,'Actual - 2026'!B:B,'RDG Weekly Sales'!D4)</f>
        <v>4030</v>
      </c>
      <c r="L37" s="197">
        <f>J37/K37</f>
        <v>155.48041935483869</v>
      </c>
      <c r="M37" s="194"/>
      <c r="N37" s="195">
        <f>SUMIFS('Actual - 2026'!BA:BA,'Actual - 2026'!D:D,'RDG Weekly Sales'!G1)</f>
        <v>13003671.390000001</v>
      </c>
      <c r="O37" s="196">
        <f>SUMIFS('Actual - 2026'!BB:BB,'Actual - 2026'!D:D,'RDG Weekly Sales'!G1)</f>
        <v>86233</v>
      </c>
      <c r="P37" s="197">
        <f>N37/O37</f>
        <v>150.79692681456055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293784.61193392042</v>
      </c>
      <c r="G38" s="205">
        <f>SUMIFS('Budget - 2026'!DB:DB,'Budget - 2026'!B:B,'RDG Weekly Sales'!D1)</f>
        <v>1971.25</v>
      </c>
      <c r="H38" s="206">
        <f>IFERROR(F38/G38,0)</f>
        <v>149.03467948455062</v>
      </c>
      <c r="I38" s="194"/>
      <c r="J38" s="204">
        <f>SUMIFS('Budget - 2026'!DA:DA,'Budget - 2026'!C:C,'RDG Weekly Sales'!D4,'Budget - 2026'!$E:$E,G1)</f>
        <v>582467.75386784086</v>
      </c>
      <c r="K38" s="205">
        <f>SUMIFS('Budget - 2026'!DB:DB,'Budget - 2026'!C:C,'RDG Weekly Sales'!D4,'Budget - 2026'!$E:$E,G1)</f>
        <v>3908.5</v>
      </c>
      <c r="L38" s="206">
        <f>IFERROR(J38/K38,0)</f>
        <v>149.02590606827192</v>
      </c>
      <c r="M38" s="194"/>
      <c r="N38" s="204">
        <f>SUMIFS('Budget - 2026'!DA:DA,'Budget - 2026'!E:E,'RDG Weekly Sales'!G1)</f>
        <v>13969216.608272891</v>
      </c>
      <c r="O38" s="205">
        <f>SUMIFS('Budget - 2026'!DB:DB,'Budget - 2026'!E:E,'RDG Weekly Sales'!G1)</f>
        <v>88625.75</v>
      </c>
      <c r="P38" s="206">
        <f>IFERROR(N38/O38,0)</f>
        <v>157.6202921642174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-3.010498703693085E-2</v>
      </c>
      <c r="G39" s="179">
        <f>(G37-G38)/G38</f>
        <v>2.0672162333544707E-2</v>
      </c>
      <c r="H39" s="179">
        <f>(H37-H38)/H38</f>
        <v>-4.9748735435661093E-2</v>
      </c>
      <c r="I39" s="194"/>
      <c r="J39" s="179">
        <f>(J37-J38)/J38</f>
        <v>7.5743825884255461E-2</v>
      </c>
      <c r="K39" s="179">
        <f>(K37-K38)/K38</f>
        <v>3.1086094409620058E-2</v>
      </c>
      <c r="L39" s="179">
        <f>(L37-L38)/L38</f>
        <v>4.331135073662841E-2</v>
      </c>
      <c r="M39" s="107"/>
      <c r="N39" s="179">
        <f>(N37-N38)/N38</f>
        <v>-6.9119496486372237E-2</v>
      </c>
      <c r="O39" s="179">
        <f>(O37-O38)/O38</f>
        <v>-2.6998361085801812E-2</v>
      </c>
      <c r="P39" s="179">
        <f>(P37-P38)/P38</f>
        <v>-4.3289891523281152E-2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322209.40000000002</v>
      </c>
      <c r="G40" s="196">
        <f>SUMIFS('Budget - 2026'!CS:CS,'Budget - 2026'!B:B,'RDG Weekly Sales'!D1)</f>
        <v>1716</v>
      </c>
      <c r="H40" s="197">
        <f>IFERROR(F40/G40,0)</f>
        <v>187.76771561771562</v>
      </c>
      <c r="I40" s="194"/>
      <c r="J40" s="195">
        <f>SUMIFS('Budget - 2026'!CR:CR,'Budget - 2026'!C:C,'RDG Weekly Sales'!D4,'Budget - 2026'!$E:$E,G1)</f>
        <v>603926.73</v>
      </c>
      <c r="K40" s="196">
        <f>SUMIFS('Budget - 2026'!CS:CS,'Budget - 2026'!C:C,'RDG Weekly Sales'!D4,'Budget - 2026'!$E:$E,G1)</f>
        <v>3397</v>
      </c>
      <c r="L40" s="197">
        <f>IFERROR(J40/K40,0)</f>
        <v>177.78237562555196</v>
      </c>
      <c r="M40" s="194"/>
      <c r="N40" s="195">
        <f>SUMIFS('Budget - 2026'!CR:CR,'Budget - 2026'!E:E,'RDG Weekly Sales'!G1)</f>
        <v>10880345.789999999</v>
      </c>
      <c r="O40" s="196">
        <f>SUMIFS('Budget - 2026'!CS:CS,'Budget - 2026'!E:E,'RDG Weekly Sales'!G1)</f>
        <v>65821</v>
      </c>
      <c r="P40" s="197">
        <f>IFERROR(N40/O40,0)</f>
        <v>165.30204326886553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-0.11566754414986043</v>
      </c>
      <c r="G41" s="200">
        <f>IFERROR((G37-G40)/G40,0)</f>
        <v>0.17249417249417248</v>
      </c>
      <c r="H41" s="200">
        <f>IFERROR((H37-H40)/H40,0)</f>
        <v>-0.24576814401648139</v>
      </c>
      <c r="I41" s="194"/>
      <c r="J41" s="200">
        <f>IFERROR((J37-J40)/J40,0)</f>
        <v>3.752004816875714E-2</v>
      </c>
      <c r="K41" s="200">
        <f>IFERROR((K37-K40)/K40,0)</f>
        <v>0.18634088901972329</v>
      </c>
      <c r="L41" s="200">
        <f>IFERROR((L37-L40)/L40,0)</f>
        <v>-0.12544525964534306</v>
      </c>
      <c r="M41" s="107"/>
      <c r="N41" s="200">
        <f>IFERROR((N37-N40)/N40,0)</f>
        <v>0.19515240057457786</v>
      </c>
      <c r="O41" s="200">
        <f>IFERROR((O37-O40)/O40,0)</f>
        <v>0.3101137934701691</v>
      </c>
      <c r="P41" s="200">
        <f>IFERROR((P37-P40)/P40,0)</f>
        <v>-8.7749166117155955E-2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247</v>
      </c>
      <c r="E43" s="194"/>
      <c r="F43" s="195">
        <f>SUMIFS('Actual - 2026'!BM:BM,'Actual - 2026'!A:A,'RDG Weekly Sales'!D1)</f>
        <v>214709.49999999997</v>
      </c>
      <c r="G43" s="196">
        <f>SUMIFS('Actual - 2026'!BN:BN,'Actual - 2026'!A:A,'RDG Weekly Sales'!D1)</f>
        <v>1746</v>
      </c>
      <c r="H43" s="197">
        <f>F43/G43</f>
        <v>122.9722222222222</v>
      </c>
      <c r="I43" s="194"/>
      <c r="J43" s="195">
        <f>SUMIFS('Actual - 2026'!BM:BM,'Actual - 2026'!B:B,'RDG Weekly Sales'!D4)</f>
        <v>387717.20999999996</v>
      </c>
      <c r="K43" s="196">
        <f>SUMIFS('Actual - 2026'!BN:BN,'Actual - 2026'!B:B,'RDG Weekly Sales'!D4)</f>
        <v>3301</v>
      </c>
      <c r="L43" s="197">
        <f>J43/K43</f>
        <v>117.4544713723114</v>
      </c>
      <c r="M43" s="194"/>
      <c r="N43" s="195">
        <f>SUMIFS('Actual - 2026'!BM:BM,'Actual - 2026'!D:D,'RDG Weekly Sales'!G1)</f>
        <v>8749355.6199999992</v>
      </c>
      <c r="O43" s="196">
        <f>SUMIFS('Actual - 2026'!BN:BN,'Actual - 2026'!D:D,'RDG Weekly Sales'!G1)</f>
        <v>78450</v>
      </c>
      <c r="P43" s="197">
        <f>N43/O43</f>
        <v>111.52779630337794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137.45806658130599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233123.3</v>
      </c>
      <c r="G44" s="205">
        <f>SUMIFS('Budget - 2026'!DN:DN,'Budget - 2026'!B:B,'RDG Weekly Sales'!D1)</f>
        <v>2268.3999999999996</v>
      </c>
      <c r="H44" s="206">
        <f>IFERROR(F44/G44,0)</f>
        <v>102.76992593898784</v>
      </c>
      <c r="I44" s="194"/>
      <c r="J44" s="204">
        <f>SUMIFS('Budget - 2026'!DM:DM,'Budget - 2026'!C:C,'RDG Weekly Sales'!D4,'Budget - 2026'!$E:$E,G1)</f>
        <v>466246.6</v>
      </c>
      <c r="K44" s="205">
        <f>SUMIFS('Budget - 2026'!DN:DN,'Budget - 2026'!C:C,'RDG Weekly Sales'!D4,'Budget - 2026'!$E:$E,G1)</f>
        <v>4536.7999999999993</v>
      </c>
      <c r="L44" s="206">
        <f>IFERROR(J44/K44,0)</f>
        <v>102.76992593898784</v>
      </c>
      <c r="M44" s="194"/>
      <c r="N44" s="204">
        <f>SUMIFS('Budget - 2026'!DM:DM,'Budget - 2026'!E:E,'RDG Weekly Sales'!G1)</f>
        <v>9713221.1100000031</v>
      </c>
      <c r="O44" s="205">
        <f>SUMIFS('Budget - 2026'!DN:DN,'Budget - 2026'!E:E,'RDG Weekly Sales'!G1)</f>
        <v>89852.56</v>
      </c>
      <c r="P44" s="206">
        <f>IFERROR(N44/O44,0)</f>
        <v>108.10177372798286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-7.8987385645278782E-2</v>
      </c>
      <c r="G45" s="179">
        <f>IFERROR((G43-G44)/G44,0)</f>
        <v>-0.23029448069123598</v>
      </c>
      <c r="H45" s="179">
        <f>IFERROR((H43-H44)/H44,0)</f>
        <v>0.19657790057402594</v>
      </c>
      <c r="I45" s="194"/>
      <c r="J45" s="179">
        <f>IFERROR((J43-J44)/J44,0)</f>
        <v>-0.16842887433388257</v>
      </c>
      <c r="K45" s="179">
        <f>IFERROR((K43-K44)/K44,0)</f>
        <v>-0.27239463939340491</v>
      </c>
      <c r="L45" s="179">
        <f>IFERROR((L43-L44)/L44,0)</f>
        <v>0.14288757434778579</v>
      </c>
      <c r="M45" s="107"/>
      <c r="N45" s="179">
        <f>IFERROR((N43-N44)/N44,0)</f>
        <v>-9.9232322530749401E-2</v>
      </c>
      <c r="O45" s="179">
        <f>IFERROR((O43-O44)/O44,0)</f>
        <v>-0.12690300643632188</v>
      </c>
      <c r="P45" s="179">
        <f>IFERROR((P43-P44)/P44,0)</f>
        <v>3.1692565785423669E-2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2364382.23</v>
      </c>
      <c r="G49" s="304">
        <f>IFERROR(SUM(G7,G13,G19,G25,G31,G37,G43),0)</f>
        <v>13878</v>
      </c>
      <c r="H49" s="218">
        <f>IFERROR(F49/G49,0)</f>
        <v>170.36908992650237</v>
      </c>
      <c r="J49" s="218">
        <f>IFERROR(SUM(J7,J13,J19,J25,J31,J37,J43),0)</f>
        <v>4766260.47</v>
      </c>
      <c r="K49" s="304">
        <f>IFERROR(SUM(K7,K13,K19,K25,K31,K37,K43),0)</f>
        <v>28247</v>
      </c>
      <c r="L49" s="218">
        <f>IFERROR(J49/K49,0)</f>
        <v>168.73510355081956</v>
      </c>
      <c r="N49" s="218">
        <f>IFERROR(SUM(N7,N13,N19,N25,N31,N37,N43),0)</f>
        <v>110624663.96000001</v>
      </c>
      <c r="O49" s="304">
        <f>IFERROR(SUM(O7,O13,O19,O25,O31,O37,O43),0)</f>
        <v>665929</v>
      </c>
      <c r="P49" s="218">
        <f>IFERROR(N49/O49,0)</f>
        <v>166.12080861473223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2345529.180927454</v>
      </c>
      <c r="G50" s="212">
        <f>IFERROR(SUM(G8,G14,G20,G26,G38,G44,G32),0)</f>
        <v>15193.35</v>
      </c>
      <c r="H50" s="213">
        <f>IFERROR(F50/G50,0)</f>
        <v>154.37867099273393</v>
      </c>
      <c r="I50" s="194"/>
      <c r="J50" s="211">
        <f>IFERROR(SUM(J8,J14,J20,J26,J38,J44,J32),0)</f>
        <v>4512373.913447083</v>
      </c>
      <c r="K50" s="212">
        <f>IFERROR(SUM(K8,K14,K20,K26,K38,K44,K32),0)</f>
        <v>29314</v>
      </c>
      <c r="L50" s="213">
        <f>IFERROR(J50/K50,0)</f>
        <v>153.93238430262275</v>
      </c>
      <c r="M50" s="194"/>
      <c r="N50" s="211">
        <f>IFERROR(SUM(N8,N14,N20,N26,N38,N44,N32),0)</f>
        <v>109319429.38899612</v>
      </c>
      <c r="O50" s="212">
        <f>IFERROR(SUM(O8,O14,O20,O26,O38,O44,O32),0)</f>
        <v>679171.26</v>
      </c>
      <c r="P50" s="213">
        <f>IFERROR(N50/O50,0)</f>
        <v>160.96003442341791</v>
      </c>
      <c r="S50" s="139"/>
    </row>
    <row r="51" spans="2:24" ht="28.9" customHeight="1">
      <c r="D51" s="214" t="s">
        <v>105</v>
      </c>
      <c r="E51" s="210"/>
      <c r="F51" s="215">
        <f>(F49-F50)/F50</f>
        <v>8.0378659220480056E-3</v>
      </c>
      <c r="G51" s="215">
        <f>(G49-G50)/G50</f>
        <v>-8.6574060361934685E-2</v>
      </c>
      <c r="H51" s="215">
        <f>(H49-H50)/H50</f>
        <v>0.10357919802613828</v>
      </c>
      <c r="I51" s="194"/>
      <c r="J51" s="215">
        <f>(J49-J50)/J50</f>
        <v>5.6264520942363193E-2</v>
      </c>
      <c r="K51" s="215">
        <f>(K49-K50)/K50</f>
        <v>-3.6398990243569629E-2</v>
      </c>
      <c r="L51" s="215">
        <f>(L49-L50)/L50</f>
        <v>9.6163775512600788E-2</v>
      </c>
      <c r="M51" s="107"/>
      <c r="N51" s="215">
        <f>(N49-N50)/N50</f>
        <v>1.1939639442860707E-2</v>
      </c>
      <c r="O51" s="215">
        <f>(O49-O50)/O50</f>
        <v>-1.9497674268490115E-2</v>
      </c>
      <c r="P51" s="215">
        <f>(P49-P50)/P50</f>
        <v>3.2062457055261923E-2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1916345.4100000001</v>
      </c>
      <c r="G52" s="196">
        <f>IFERROR(SUM(G10,G16,G22,G28,G40,G46,G34),0)</f>
        <v>11907</v>
      </c>
      <c r="H52" s="197">
        <f>IFERROR(F52/G52,0)</f>
        <v>160.94275720164612</v>
      </c>
      <c r="I52" s="194"/>
      <c r="J52" s="195">
        <f>IFERROR(SUM(J10,J16,J22,J28,J40,J46,J34),0)</f>
        <v>3667036.5000000005</v>
      </c>
      <c r="K52" s="196">
        <f>IFERROR(SUM(K10,K16,K22,K28,K40,K46,K34),0)</f>
        <v>22669</v>
      </c>
      <c r="L52" s="197">
        <f>IFERROR(J52/K52,0)</f>
        <v>161.76436984428076</v>
      </c>
      <c r="M52" s="194"/>
      <c r="N52" s="195">
        <f>IFERROR(SUM(N10,N16,N22,N28,N40,N46,N34),0)</f>
        <v>85537828.25</v>
      </c>
      <c r="O52" s="196">
        <f>IFERROR(SUM(O10,O16,O22,O28,O40,O46,O34),0)</f>
        <v>520149</v>
      </c>
      <c r="P52" s="197">
        <f>IFERROR(N52/O52,0)</f>
        <v>164.44870267942454</v>
      </c>
      <c r="S52" s="139"/>
    </row>
    <row r="53" spans="2:24" ht="28.9" customHeight="1">
      <c r="D53" s="199" t="s">
        <v>105</v>
      </c>
      <c r="E53" s="194"/>
      <c r="F53" s="200">
        <f>IFERROR((F49-F52)/F52,0)</f>
        <v>0.23379752818151911</v>
      </c>
      <c r="G53" s="200">
        <f>IFERROR((G49-G52)/G52,0)</f>
        <v>0.1655328798185941</v>
      </c>
      <c r="H53" s="200">
        <f>IFERROR((H49-H52)/H52,0)</f>
        <v>5.856947456819038E-2</v>
      </c>
      <c r="I53" s="194"/>
      <c r="J53" s="200">
        <f>IFERROR((J49-J52)/J52,0)</f>
        <v>0.29975812076045577</v>
      </c>
      <c r="K53" s="200">
        <f>IFERROR((K49-K52)/K52,0)</f>
        <v>0.24606290528916142</v>
      </c>
      <c r="L53" s="200">
        <f>IFERROR((L49-L52)/L52,0)</f>
        <v>4.3091897883625621E-2</v>
      </c>
      <c r="M53" s="107"/>
      <c r="N53" s="200">
        <f>IFERROR((N49-N52)/N52,0)</f>
        <v>0.29328352406468783</v>
      </c>
      <c r="O53" s="200">
        <f>IFERROR((O49-O52)/O52,0)</f>
        <v>0.28026584690156092</v>
      </c>
      <c r="P53" s="200">
        <f>IFERROR((P49-P52)/P52,0)</f>
        <v>1.0167948473070527E-2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3517494.98</v>
      </c>
      <c r="G56" s="114">
        <f t="shared" si="0"/>
        <v>19620</v>
      </c>
      <c r="H56" s="114">
        <f t="shared" si="0"/>
        <v>786.43539127130111</v>
      </c>
      <c r="J56" s="153">
        <f t="shared" ref="J56:L57" si="1">SUM(J13,J19,J25,J49)</f>
        <v>6956062.6399999997</v>
      </c>
      <c r="K56" s="114">
        <f t="shared" si="1"/>
        <v>40262</v>
      </c>
      <c r="L56" s="114">
        <f t="shared" si="1"/>
        <v>737.91291649090283</v>
      </c>
      <c r="N56" s="149">
        <f>SUM(N13,N19,N25,N49)</f>
        <v>163718937.61000001</v>
      </c>
      <c r="O56" s="113">
        <f>SUM(O13,O19,O25,O49)</f>
        <v>962476</v>
      </c>
      <c r="P56" s="113">
        <f>SUM(P13,P19,P25,P49)</f>
        <v>728.77833326496693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3397041.3474600092</v>
      </c>
      <c r="G57" s="119">
        <f t="shared" si="0"/>
        <v>21714.55</v>
      </c>
      <c r="H57" s="119">
        <f t="shared" si="0"/>
        <v>700.12260754899194</v>
      </c>
      <c r="J57" s="154">
        <f t="shared" si="1"/>
        <v>6547983.268104367</v>
      </c>
      <c r="K57" s="119">
        <f t="shared" si="1"/>
        <v>42002.7</v>
      </c>
      <c r="L57" s="119">
        <f t="shared" si="1"/>
        <v>691.39374570892994</v>
      </c>
      <c r="N57" s="150">
        <f>N14+N20+N26+N50</f>
        <v>159489149.67456988</v>
      </c>
      <c r="O57" s="116">
        <f>O14+O20+O26+O50</f>
        <v>974603.21</v>
      </c>
      <c r="P57" s="116">
        <f>P14+P20+P26+P50</f>
        <v>721.2004466236433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6704699.3599999994</v>
      </c>
      <c r="G59" s="114">
        <f t="shared" si="2"/>
        <v>38038</v>
      </c>
      <c r="H59" s="114">
        <f t="shared" si="2"/>
        <v>1298.0865895309551</v>
      </c>
      <c r="J59" s="153">
        <f t="shared" ref="J59:L60" si="3">SUM(J19,J25,J49,J56)</f>
        <v>13244252.399999999</v>
      </c>
      <c r="K59" s="114">
        <f t="shared" si="3"/>
        <v>77954</v>
      </c>
      <c r="L59" s="114">
        <f t="shared" si="3"/>
        <v>1215.9531170284981</v>
      </c>
      <c r="N59" s="149">
        <f>SUM(N19,N25,N49,N56)</f>
        <v>312928098.55000001</v>
      </c>
      <c r="O59" s="113">
        <f>SUM(O19,O25,O49,O56)</f>
        <v>1869858</v>
      </c>
      <c r="P59" s="113">
        <f>SUM(P19,P25,P49,P56)</f>
        <v>1194.1926582894721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6489125.7135795867</v>
      </c>
      <c r="G60" s="119">
        <f t="shared" si="2"/>
        <v>42341.899999999994</v>
      </c>
      <c r="H60" s="119">
        <f t="shared" si="2"/>
        <v>1119.7476237252538</v>
      </c>
      <c r="J60" s="154">
        <f t="shared" si="3"/>
        <v>12522761.58428411</v>
      </c>
      <c r="K60" s="119">
        <f t="shared" si="3"/>
        <v>81885.7</v>
      </c>
      <c r="L60" s="119">
        <f t="shared" si="3"/>
        <v>1112.3695304211981</v>
      </c>
      <c r="N60" s="150">
        <f>N20+N26+N50+N57</f>
        <v>304917642.99135661</v>
      </c>
      <c r="O60" s="116">
        <f>O20+O26+O50+O57</f>
        <v>1899686.22</v>
      </c>
      <c r="P60" s="116">
        <f>P20+P26+P50+P57</f>
        <v>1158.4630990182022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13193214.27</v>
      </c>
      <c r="G62" s="156">
        <f>SUM(G25,G49,G56,G59)</f>
        <v>74463</v>
      </c>
      <c r="H62" s="156">
        <f>SUM(H25,H49,H56,H59)</f>
        <v>2462.1468616409556</v>
      </c>
      <c r="J62" s="155">
        <f>SUM(J25,J49,J56,J59)</f>
        <v>26029659.289999999</v>
      </c>
      <c r="K62" s="156">
        <f>SUM(K25,K49,K56,K59)</f>
        <v>152024</v>
      </c>
      <c r="L62" s="156">
        <f>SUM(L25,L49,L56,L59)</f>
        <v>2313.7688730889222</v>
      </c>
      <c r="N62" s="158">
        <f>SUM(N25,N49,N56,N59)</f>
        <v>615976957.21000004</v>
      </c>
      <c r="O62" s="159">
        <f>SUM(O25,O49,O56,O59)</f>
        <v>3650055</v>
      </c>
      <c r="P62" s="159">
        <f>SUM(P25,P49,P56,P59)</f>
        <v>2278.2009567123355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9886167.0610395968</v>
      </c>
      <c r="G63" s="119">
        <f>SUM(G26,G50,G57,G60)</f>
        <v>82372.799999999988</v>
      </c>
      <c r="H63" s="119">
        <f>SUM(H26,H50,H57,H60)</f>
        <v>2138.745061716475</v>
      </c>
      <c r="J63" s="154">
        <f>SUM(J57,J60)</f>
        <v>19070744.852388479</v>
      </c>
      <c r="K63" s="119">
        <f>SUM(K26,K50,K57,K60)</f>
        <v>159306.4</v>
      </c>
      <c r="L63" s="119">
        <f>SUM(L26,L50,L57,L60)</f>
        <v>2122.4641899651451</v>
      </c>
      <c r="N63" s="150">
        <f>N26+N50+N57+N60</f>
        <v>600335325.47904921</v>
      </c>
      <c r="O63" s="116">
        <f>O26+O50+O57+O60</f>
        <v>3710211.44</v>
      </c>
      <c r="P63" s="116">
        <f>P26+P50+P57+P60</f>
        <v>2210.3778136120031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21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25779790.84</v>
      </c>
      <c r="G66" s="156">
        <f>SUM(G49,G56,G59,G62)</f>
        <v>145999</v>
      </c>
      <c r="H66" s="156">
        <f>SUM(H49,H56,H59,H62)</f>
        <v>4717.0379323697143</v>
      </c>
      <c r="J66" s="155">
        <f t="shared" ref="J66:L66" si="4">SUM(J49,J56,J59,J62)</f>
        <v>50996234.799999997</v>
      </c>
      <c r="K66" s="156">
        <f t="shared" si="4"/>
        <v>298487</v>
      </c>
      <c r="L66" s="156">
        <f t="shared" si="4"/>
        <v>4436.3700101591421</v>
      </c>
      <c r="N66" s="158">
        <f t="shared" ref="N66:P66" si="5">SUM(N49,N56,N59,N62)</f>
        <v>1203248657.3300002</v>
      </c>
      <c r="O66" s="159">
        <f t="shared" si="5"/>
        <v>7148318</v>
      </c>
      <c r="P66" s="159">
        <f t="shared" si="5"/>
        <v>4367.2927568815066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22117863.303006645</v>
      </c>
      <c r="G67" s="119">
        <f t="shared" ref="G67:P67" si="6">SUM(G50,G57,G60,G63)</f>
        <v>161622.59999999998</v>
      </c>
      <c r="H67" s="119">
        <f t="shared" si="6"/>
        <v>4112.9939639834547</v>
      </c>
      <c r="J67" s="154">
        <f t="shared" si="6"/>
        <v>42653863.61822404</v>
      </c>
      <c r="K67" s="119">
        <f t="shared" si="6"/>
        <v>312508.79999999999</v>
      </c>
      <c r="L67" s="119">
        <f t="shared" si="6"/>
        <v>4080.1598503978958</v>
      </c>
      <c r="N67" s="150">
        <f t="shared" si="6"/>
        <v>1174061547.5339718</v>
      </c>
      <c r="O67" s="116">
        <f t="shared" si="6"/>
        <v>7263672.1299999999</v>
      </c>
      <c r="P67" s="116">
        <f t="shared" si="6"/>
        <v>4251.0013936772666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222</v>
      </c>
      <c r="N1" t="s">
        <v>223</v>
      </c>
    </row>
    <row r="3" spans="2:23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248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84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477391.67</v>
      </c>
      <c r="D21" s="277">
        <f>SUMIFS('Actual - 2026'!$L:$L,'Actual - 2026'!$C:$C,'MILA 3F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594617.85</v>
      </c>
      <c r="D22" s="277">
        <f>SUMIFS('Actual - 2026'!$L:$L,'Actual - 2026'!$C:$C,'MILA 3F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589262.07000000007</v>
      </c>
      <c r="D23" s="277">
        <f>SUMIFS('Actual - 2026'!$L:$L,'Actual - 2026'!$C:$C,'MILA 3F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718351.5</v>
      </c>
      <c r="D24" s="277">
        <f>SUMIFS('Actual - 2026'!$L:$L,'Actual - 2026'!$C:$C,'MILA 3F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576355.75</v>
      </c>
      <c r="D25" s="277">
        <f>SUMIFS('Actual - 2026'!$L:$L,'Actual - 2026'!$C:$C,'MILA 3F - Avg Ck'!B25)</f>
        <v>3844</v>
      </c>
      <c r="E25" s="290">
        <f>IFERROR(C25/D25,0)</f>
        <v>149.93645941727368</v>
      </c>
      <c r="F25" s="260">
        <f t="shared" si="4"/>
        <v>160.07408744510462</v>
      </c>
      <c r="G25" s="200">
        <f t="shared" si="2"/>
        <v>6.7612827908773598E-2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249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231</v>
      </c>
      <c r="M29" s="284" t="s">
        <v>232</v>
      </c>
      <c r="N29" s="284" t="s">
        <v>233</v>
      </c>
      <c r="O29" s="284" t="s">
        <v>231</v>
      </c>
      <c r="P29" s="284" t="s">
        <v>232</v>
      </c>
      <c r="Q29" s="284" t="s">
        <v>233</v>
      </c>
      <c r="R29" s="284" t="s">
        <v>234</v>
      </c>
      <c r="S29" s="284" t="s">
        <v>235</v>
      </c>
      <c r="T29" s="284" t="s">
        <v>236</v>
      </c>
      <c r="U29" s="284" t="s">
        <v>234</v>
      </c>
      <c r="V29" s="284" t="s">
        <v>235</v>
      </c>
      <c r="W29" s="284" t="s">
        <v>236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161195.03000000003</v>
      </c>
      <c r="D43" s="278">
        <f>SUMIFS('Actual - 2026'!$X:$X,'Actual - 2026'!$C:$C,'MILA 3F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278686</v>
      </c>
      <c r="D44" s="278">
        <f>SUMIFS('Actual - 2026'!$X:$X,'Actual - 2026'!$C:$C,'MILA 3F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267581.59999999998</v>
      </c>
      <c r="D45" s="278">
        <f>SUMIFS('Actual - 2026'!$X:$X,'Actual - 2026'!$C:$C,'MILA 3F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337582.28</v>
      </c>
      <c r="D46" s="278">
        <f>SUMIFS('Actual - 2026'!$X:$X,'Actual - 2026'!$C:$C,'MILA 3F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330290.59999999998</v>
      </c>
      <c r="D47" s="278">
        <f>SUMIFS('Actual - 2026'!$X:$X,'Actual - 2026'!$C:$C,'MILA 3F - Avg Ck'!B25)</f>
        <v>1202</v>
      </c>
      <c r="E47" s="290">
        <f t="shared" si="7"/>
        <v>274.78419301164723</v>
      </c>
      <c r="F47" s="260">
        <f t="shared" si="8"/>
        <v>254.59016145942545</v>
      </c>
      <c r="G47" s="200">
        <f t="shared" si="9"/>
        <v>-7.349051388616748E-2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27:J27"/>
    <mergeCell ref="L30:N30"/>
    <mergeCell ref="O30:Q30"/>
    <mergeCell ref="R30:T30"/>
    <mergeCell ref="U30:W30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41</v>
      </c>
      <c r="F1" s="5">
        <f>VLOOKUP(D1,Dates!$B$2:$E$53,4,FALSE)</f>
        <v>41</v>
      </c>
      <c r="G1" s="5" t="b">
        <v>1</v>
      </c>
    </row>
    <row r="2" spans="3:21" ht="28.5">
      <c r="D2" s="400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539510.75</v>
      </c>
      <c r="G7" s="196">
        <f>SUMIFS('Actual - 2026'!F:F,'Actual - 2026'!A:A,D1)</f>
        <v>3541</v>
      </c>
      <c r="H7" s="197">
        <f>F7/G7</f>
        <v>152.36112680033889</v>
      </c>
      <c r="I7" s="194"/>
      <c r="J7" s="195">
        <f>SUMIFS('Actual - 2026'!E:E,'Actual - 2026'!B:B,D4)</f>
        <v>1219001.25</v>
      </c>
      <c r="K7" s="196">
        <f>SUMIFS('Actual - 2026'!F:F,'Actual - 2026'!B:B,D4)</f>
        <v>7097</v>
      </c>
      <c r="L7" s="197">
        <f>J7/K7</f>
        <v>171.76289277159364</v>
      </c>
      <c r="M7" s="194"/>
      <c r="N7" s="195">
        <f>SUMIFS('Actual - 2026'!E:E,'Actual - 2026'!D:D,G1)</f>
        <v>27350901.330000006</v>
      </c>
      <c r="O7" s="196">
        <f>SUMIFS('Actual - 2026'!F:F,'Actual - 2026'!D:D,G1)</f>
        <v>164971</v>
      </c>
      <c r="P7" s="197">
        <f>N7/O7</f>
        <v>165.79217759485005</v>
      </c>
    </row>
    <row r="8" spans="3:21" ht="28.9" customHeight="1">
      <c r="D8" s="202" t="s">
        <v>78</v>
      </c>
      <c r="E8" s="203"/>
      <c r="F8" s="204">
        <f>SUMIFS('Budget - 2026'!F:F,'Budget - 2026'!B:B,D1)</f>
        <v>528840</v>
      </c>
      <c r="G8" s="205">
        <f>SUMIFS('Budget - 2026'!G:G,'Budget - 2026'!B:B,D1,'Budget - 2026'!$E:$E,G1)</f>
        <v>3287</v>
      </c>
      <c r="H8" s="206">
        <f>F8/G8</f>
        <v>160.88834803772437</v>
      </c>
      <c r="I8" s="194"/>
      <c r="J8" s="204">
        <f>SUMIFS('Budget - 2026'!F:F,'Budget - 2026'!C:C,D4,'Budget - 2026'!$E:$E,G1)</f>
        <v>962217</v>
      </c>
      <c r="K8" s="205">
        <f>SUMIFS('Budget - 2026'!G:G,'Budget - 2026'!C:C,D4,'Budget - 2026'!$E:$E,G1)</f>
        <v>5979</v>
      </c>
      <c r="L8" s="206">
        <f>J8/K8</f>
        <v>160.9327646763673</v>
      </c>
      <c r="M8" s="194"/>
      <c r="N8" s="204">
        <f>SUMIFS('Budget - 2026'!F:F,'Budget - 2026'!E:E,G1)</f>
        <v>25504714</v>
      </c>
      <c r="O8" s="205">
        <f>SUMIFS('Budget - 2026'!G:G,'Budget - 2026'!E:E,G1)</f>
        <v>159134</v>
      </c>
      <c r="P8" s="206">
        <f>N8/O8</f>
        <v>160.27193434464036</v>
      </c>
    </row>
    <row r="9" spans="3:21" s="54" customFormat="1" ht="28.9" customHeight="1">
      <c r="D9" s="207" t="s">
        <v>105</v>
      </c>
      <c r="E9" s="203"/>
      <c r="F9" s="179">
        <f>(F7-F8)/F8</f>
        <v>2.0177652976325542E-2</v>
      </c>
      <c r="G9" s="179">
        <f>(G7-G8)/G8</f>
        <v>7.7274110130818377E-2</v>
      </c>
      <c r="H9" s="179">
        <f>(H7-H8)/H8</f>
        <v>-5.3000862656542733E-2</v>
      </c>
      <c r="I9" s="194"/>
      <c r="J9" s="179">
        <f>(J7-J8)/J8</f>
        <v>0.26686729708579249</v>
      </c>
      <c r="K9" s="179">
        <f>(K7-K8)/K8</f>
        <v>0.18698779060043486</v>
      </c>
      <c r="L9" s="179">
        <f>(L7-L8)/L8</f>
        <v>6.7295979889524196E-2</v>
      </c>
      <c r="M9" s="107"/>
      <c r="N9" s="179">
        <f>(N7-N8)/N8</f>
        <v>7.2386121640101733E-2</v>
      </c>
      <c r="O9" s="179">
        <f>(O7-O8)/O8</f>
        <v>3.6679779305490968E-2</v>
      </c>
      <c r="P9" s="179">
        <f>(P7-P8)/P8</f>
        <v>3.4442981379005803E-2</v>
      </c>
      <c r="Q9" s="187">
        <f>L8*K8</f>
        <v>962217.00000000012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521842.55</v>
      </c>
      <c r="G10" s="196">
        <f>SUMIFS('Budget - 2026'!J:J,'Budget - 2026'!B:B,D1,'Budget - 2026'!$E:$E,G1)</f>
        <v>3287</v>
      </c>
      <c r="H10" s="197">
        <f>F10/G10</f>
        <v>158.75952236081534</v>
      </c>
      <c r="I10" s="194"/>
      <c r="J10" s="195">
        <f>SUMIFS('Budget - 2026'!I:I,'Budget - 2026'!C:C,D4,'Budget - 2026'!$E:$E,G1)</f>
        <v>982378.3</v>
      </c>
      <c r="K10" s="196">
        <f>SUMIFS('Budget - 2026'!J:J,'Budget - 2026'!C:C,D4,'Budget - 2026'!$E:$E,G1)</f>
        <v>5979</v>
      </c>
      <c r="L10" s="197">
        <f>J10/K10</f>
        <v>164.30478340859676</v>
      </c>
      <c r="M10" s="194"/>
      <c r="N10" s="195">
        <f>SUMIFS('Budget - 2026'!I:I,'Budget - 2026'!E:E,'RDG Weekly Sales'!G1)</f>
        <v>25058981.900000002</v>
      </c>
      <c r="O10" s="196">
        <f>SUMIFS('Budget - 2026'!J:J,'Budget - 2026'!E:E,'RDG Weekly Sales'!G1)</f>
        <v>153537</v>
      </c>
      <c r="P10" s="197">
        <f>N10/O10</f>
        <v>163.21135556901595</v>
      </c>
      <c r="Q10" s="91"/>
    </row>
    <row r="11" spans="3:21" ht="28.15" customHeight="1" thickBot="1">
      <c r="D11" s="199" t="s">
        <v>105</v>
      </c>
      <c r="E11" s="194"/>
      <c r="F11" s="200">
        <f>(F7-F10)/F10</f>
        <v>3.3857338770094565E-2</v>
      </c>
      <c r="G11" s="200">
        <f>(G7-G10)/G10</f>
        <v>7.7274110130818377E-2</v>
      </c>
      <c r="H11" s="200">
        <f>(H7-H10)/H10</f>
        <v>-4.0302436448093532E-2</v>
      </c>
      <c r="I11" s="194"/>
      <c r="J11" s="200">
        <f>(J7-J10)/J10</f>
        <v>0.24086744383502764</v>
      </c>
      <c r="K11" s="200">
        <f>(K7-K10)/K10</f>
        <v>0.18698779060043486</v>
      </c>
      <c r="L11" s="200">
        <f>(L7-L10)/L10</f>
        <v>4.5391918654308971E-2</v>
      </c>
      <c r="M11" s="107"/>
      <c r="N11" s="200">
        <f>(N7-N10)/N10</f>
        <v>9.1460995468455292E-2</v>
      </c>
      <c r="O11" s="200">
        <f>(O7-O10)/O10</f>
        <v>7.4470648768700701E-2</v>
      </c>
      <c r="P11" s="200">
        <f>(P7-P10)/P10</f>
        <v>1.5812760189610475E-2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36845</v>
      </c>
      <c r="G13" s="196">
        <f>SUMIFS('Actual - 2026'!I:I,'Actual - 2026'!A:A,D1)</f>
        <v>303</v>
      </c>
      <c r="H13" s="197">
        <f>F13/G13</f>
        <v>121.6006600660066</v>
      </c>
      <c r="I13" s="194"/>
      <c r="J13" s="195">
        <f>SUMIFS('Actual - 2026'!H:H,'Actual - 2026'!B:B,D4)</f>
        <v>75706</v>
      </c>
      <c r="K13" s="196">
        <f>SUMIFS('Actual - 2026'!I:I,'Actual - 2026'!B:B,D4)</f>
        <v>646</v>
      </c>
      <c r="L13" s="197">
        <f>J13/K13</f>
        <v>117.19195046439629</v>
      </c>
      <c r="M13" s="194"/>
      <c r="N13" s="195">
        <f>SUMIFS('Actual - 2026'!H:H,'Actual - 2026'!D:D,G1)</f>
        <v>1887861.73</v>
      </c>
      <c r="O13" s="196">
        <f>SUMIFS('Actual - 2026'!I:I,'Actual - 2026'!D:D,G1)</f>
        <v>15182</v>
      </c>
      <c r="P13" s="197">
        <f>N13/O13</f>
        <v>124.34868462653142</v>
      </c>
    </row>
    <row r="14" spans="3:21" ht="27.6" customHeight="1">
      <c r="D14" s="202" t="s">
        <v>78</v>
      </c>
      <c r="E14" s="203"/>
      <c r="F14" s="204">
        <f>SUMIFS('Budget - 2026'!L:L,'Budget - 2026'!B:B,D1)</f>
        <v>37231</v>
      </c>
      <c r="G14" s="205">
        <f>SUMIFS('Budget - 2026'!M:M,'Budget - 2026'!B:B,D1,'Budget - 2026'!$E:$E,G1)</f>
        <v>313</v>
      </c>
      <c r="H14" s="206">
        <f>F14/G14</f>
        <v>118.94888178913737</v>
      </c>
      <c r="I14" s="194"/>
      <c r="J14" s="204">
        <f>SUMIFS('Budget - 2026'!L:L,'Budget - 2026'!C:C,D4,'Budget - 2026'!$E:$E,G1)</f>
        <v>63757</v>
      </c>
      <c r="K14" s="205">
        <f>SUMIFS('Budget - 2026'!M:M,'Budget - 2026'!C:C,D4,'Budget - 2026'!$E:$E,G1)</f>
        <v>536</v>
      </c>
      <c r="L14" s="206">
        <f>J14/K14</f>
        <v>118.94962686567165</v>
      </c>
      <c r="M14" s="194"/>
      <c r="N14" s="204">
        <f>SUMIFS('Budget - 2026'!L:L,'Budget - 2026'!E:E,G1)</f>
        <v>1607118</v>
      </c>
      <c r="O14" s="205">
        <f>SUMIFS('Budget - 2026'!M:M,'Budget - 2026'!E:E,G1)</f>
        <v>12437</v>
      </c>
      <c r="P14" s="206">
        <f>N14/O14</f>
        <v>129.22071239044786</v>
      </c>
    </row>
    <row r="15" spans="3:21" s="54" customFormat="1" ht="28.9" customHeight="1">
      <c r="D15" s="207" t="s">
        <v>105</v>
      </c>
      <c r="E15" s="203"/>
      <c r="F15" s="179">
        <f>(F13-F14)/F14</f>
        <v>-1.0367704332411163E-2</v>
      </c>
      <c r="G15" s="179">
        <f>(G13-G14)/G14</f>
        <v>-3.1948881789137379E-2</v>
      </c>
      <c r="H15" s="179">
        <f>(H13-H14)/H14</f>
        <v>2.2293427537806311E-2</v>
      </c>
      <c r="I15" s="194"/>
      <c r="J15" s="179">
        <f>(J13-J14)/J14</f>
        <v>0.18741471524695327</v>
      </c>
      <c r="K15" s="179">
        <f>(K13-K14)/K14</f>
        <v>0.20522388059701493</v>
      </c>
      <c r="L15" s="179">
        <f>(L13-L14)/L14</f>
        <v>-1.4776644934416513E-2</v>
      </c>
      <c r="M15" s="107"/>
      <c r="N15" s="179">
        <f>(N13-N14)/N14</f>
        <v>0.17468768939181814</v>
      </c>
      <c r="O15" s="179">
        <f>(O13-O14)/O14</f>
        <v>0.2207123904478572</v>
      </c>
      <c r="P15" s="179">
        <f>(P13-P14)/P14</f>
        <v>-3.7703148928596844E-2</v>
      </c>
      <c r="Q15" s="187">
        <f>L14*K14</f>
        <v>63757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35759</v>
      </c>
      <c r="G16" s="196">
        <f>SUMIFS('Budget - 2026'!P:P,'Budget - 2026'!B:B,D1,'Budget - 2026'!$E:$E,G1)</f>
        <v>313</v>
      </c>
      <c r="H16" s="197">
        <f>F16/G16</f>
        <v>114.24600638977635</v>
      </c>
      <c r="I16" s="194"/>
      <c r="J16" s="195">
        <f>SUMIFS('Budget - 2026'!O:O,'Budget - 2026'!C:C,D4,'Budget - 2026'!$E:$E,G1)</f>
        <v>63801</v>
      </c>
      <c r="K16" s="196">
        <f>SUMIFS('Budget - 2026'!P:P,'Budget - 2026'!C:C,D4,'Budget - 2026'!$E:$E,G1)</f>
        <v>536</v>
      </c>
      <c r="L16" s="197">
        <f>J16/K16</f>
        <v>119.03171641791045</v>
      </c>
      <c r="M16" s="194"/>
      <c r="N16" s="195">
        <f>SUMIFS('Budget - 2026'!O:O,'Budget - 2026'!E:E,'RDG Weekly Sales'!G1)</f>
        <v>1614380.6</v>
      </c>
      <c r="O16" s="196">
        <f>SUMIFS('Budget - 2026'!P:P,'Budget - 2026'!E:E,'RDG Weekly Sales'!G1)</f>
        <v>12253</v>
      </c>
      <c r="P16" s="197">
        <f>N16/O16</f>
        <v>131.75390516608178</v>
      </c>
    </row>
    <row r="17" spans="2:28" s="54" customFormat="1" ht="28.15" customHeight="1" thickBot="1">
      <c r="D17" s="199" t="s">
        <v>105</v>
      </c>
      <c r="E17" s="194"/>
      <c r="F17" s="200">
        <f>(F13-F16)/F16</f>
        <v>3.0369976789060098E-2</v>
      </c>
      <c r="G17" s="200">
        <f>(G13-G16)/G16</f>
        <v>-3.1948881789137379E-2</v>
      </c>
      <c r="H17" s="200">
        <f>(H13-H16)/H16</f>
        <v>6.4375586584078576E-2</v>
      </c>
      <c r="I17" s="194"/>
      <c r="J17" s="200">
        <f>(J13-J16)/J16</f>
        <v>0.18659582138211001</v>
      </c>
      <c r="K17" s="200">
        <f>(K13-K16)/K16</f>
        <v>0.20522388059701493</v>
      </c>
      <c r="L17" s="200">
        <f>(L13-L16)/L16</f>
        <v>-1.5456098667475271E-2</v>
      </c>
      <c r="M17" s="107"/>
      <c r="N17" s="200">
        <f>(N13-N16)/N16</f>
        <v>0.16940313207430754</v>
      </c>
      <c r="O17" s="200">
        <f>(O13-O16)/O16</f>
        <v>0.23904349955113033</v>
      </c>
      <c r="P17" s="200">
        <f>(P13-P16)/P16</f>
        <v>-5.6204941555362167E-2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250</v>
      </c>
      <c r="E19" s="220"/>
      <c r="F19" s="218">
        <f>SUM(F7,F13)</f>
        <v>576355.75</v>
      </c>
      <c r="G19" s="219">
        <f t="shared" ref="G19" si="0">SUM(G7,G13)</f>
        <v>3844</v>
      </c>
      <c r="H19" s="218">
        <f>F19/G19</f>
        <v>149.93645941727368</v>
      </c>
      <c r="J19" s="218">
        <f>SUM(J7,J13)</f>
        <v>1294707.25</v>
      </c>
      <c r="K19" s="219">
        <f t="shared" ref="K19:O19" si="1">SUM(K7,K13)</f>
        <v>7743</v>
      </c>
      <c r="L19" s="218">
        <f>J19/K19</f>
        <v>167.21002841275993</v>
      </c>
      <c r="N19" s="218">
        <f>SUM(N7,N13)</f>
        <v>29238763.060000006</v>
      </c>
      <c r="O19" s="219">
        <f t="shared" si="1"/>
        <v>180153</v>
      </c>
      <c r="P19" s="218">
        <f>N19/O19</f>
        <v>162.29961788035729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566071</v>
      </c>
      <c r="G20" s="212">
        <f>SUM(G8,G14)</f>
        <v>3600</v>
      </c>
      <c r="H20" s="213">
        <f>F20/G20</f>
        <v>157.24194444444444</v>
      </c>
      <c r="I20" s="194"/>
      <c r="J20" s="211">
        <f>SUM(J8,J14)</f>
        <v>1025974</v>
      </c>
      <c r="K20" s="212">
        <f>SUM(K8,K14)</f>
        <v>6515</v>
      </c>
      <c r="L20" s="213">
        <f>J20/K20</f>
        <v>157.47874136607828</v>
      </c>
      <c r="M20" s="194"/>
      <c r="N20" s="211">
        <f>SUM(N8,N14)</f>
        <v>27111832</v>
      </c>
      <c r="O20" s="212">
        <f>SUM(O8,O14)</f>
        <v>171571</v>
      </c>
      <c r="P20" s="213">
        <f>N20/O20</f>
        <v>158.02106416585553</v>
      </c>
    </row>
    <row r="21" spans="2:28" s="54" customFormat="1" ht="28.9" customHeight="1">
      <c r="D21" s="214" t="s">
        <v>105</v>
      </c>
      <c r="E21" s="210"/>
      <c r="F21" s="215">
        <f>(F19-F20)/F20</f>
        <v>1.816865728857334E-2</v>
      </c>
      <c r="G21" s="215">
        <f>(G19-G20)/G20</f>
        <v>6.7777777777777784E-2</v>
      </c>
      <c r="H21" s="215">
        <f>(H19-H20)/H20</f>
        <v>-4.6460154464395345E-2</v>
      </c>
      <c r="I21" s="194"/>
      <c r="J21" s="215">
        <f>(J19-J20)/J20</f>
        <v>0.26192988321341476</v>
      </c>
      <c r="K21" s="215">
        <f>(K19-K20)/K20</f>
        <v>0.18848810437452035</v>
      </c>
      <c r="L21" s="215">
        <f>(L19-L20)/L20</f>
        <v>6.1794290215084306E-2</v>
      </c>
      <c r="M21" s="107"/>
      <c r="N21" s="215">
        <f>(N19-N20)/N20</f>
        <v>7.8450289157885239E-2</v>
      </c>
      <c r="O21" s="215">
        <f>(O19-O20)/O20</f>
        <v>5.0020108293359601E-2</v>
      </c>
      <c r="P21" s="215">
        <f>(P19-P20)/P20</f>
        <v>2.7075844205245166E-2</v>
      </c>
      <c r="Q21" s="187">
        <f>L20*K20</f>
        <v>1025974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557601.55000000005</v>
      </c>
      <c r="G22" s="196">
        <f>SUM(G10,G16)</f>
        <v>3600</v>
      </c>
      <c r="H22" s="197">
        <f>F22/G22</f>
        <v>154.88931944444445</v>
      </c>
      <c r="I22" s="194"/>
      <c r="J22" s="195">
        <f>SUM(J10,J16)</f>
        <v>1046179.3</v>
      </c>
      <c r="K22" s="196">
        <f>SUM(K10,K16)</f>
        <v>6515</v>
      </c>
      <c r="L22" s="197">
        <f>J22/K22</f>
        <v>160.58009209516501</v>
      </c>
      <c r="M22" s="194"/>
      <c r="N22" s="195">
        <f>SUM(N10,N16)</f>
        <v>26673362.500000004</v>
      </c>
      <c r="O22" s="196">
        <f>SUM(O10,O16)</f>
        <v>165790</v>
      </c>
      <c r="P22" s="197">
        <f>N22/O22</f>
        <v>160.88643766210268</v>
      </c>
      <c r="S22" s="98">
        <f>F19</f>
        <v>576355.75</v>
      </c>
    </row>
    <row r="23" spans="2:28" s="54" customFormat="1" ht="28.9" customHeight="1">
      <c r="D23" s="199" t="s">
        <v>105</v>
      </c>
      <c r="E23" s="194"/>
      <c r="F23" s="200">
        <f>(F19-F22)/F22</f>
        <v>3.3633694167456943E-2</v>
      </c>
      <c r="G23" s="200">
        <f>(G19-G22)/G22</f>
        <v>6.7777777777777784E-2</v>
      </c>
      <c r="H23" s="200">
        <f>(H19-H22)/H22</f>
        <v>-3.1976769250040241E-2</v>
      </c>
      <c r="I23" s="194"/>
      <c r="J23" s="200">
        <f>(J19-J22)/J22</f>
        <v>0.23755770162915663</v>
      </c>
      <c r="K23" s="200">
        <f>(K19-K22)/K22</f>
        <v>0.18848810437452035</v>
      </c>
      <c r="L23" s="200">
        <f>(L19-L22)/L22</f>
        <v>4.1287411353991464E-2</v>
      </c>
      <c r="M23" s="107"/>
      <c r="N23" s="200">
        <f>(N19-N22)/N22</f>
        <v>9.6178371212103542E-2</v>
      </c>
      <c r="O23" s="200">
        <f>(O19-O22)/O22</f>
        <v>8.6633693226370712E-2</v>
      </c>
      <c r="P23" s="200">
        <f>(P19-P22)/P22</f>
        <v>8.7837125290983354E-3</v>
      </c>
      <c r="S23" s="321">
        <f>SUM(S21:S22)</f>
        <v>1344355.75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315761.75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-10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41</v>
      </c>
      <c r="F1" s="5">
        <f>VLOOKUP(D1,Dates!$B$2:$E$53,4,FALSE)</f>
        <v>41</v>
      </c>
      <c r="G1" s="5" t="b">
        <v>1</v>
      </c>
      <c r="S1" s="337" t="s">
        <v>251</v>
      </c>
      <c r="T1" s="325" t="s">
        <v>240</v>
      </c>
      <c r="U1" s="325" t="s">
        <v>241</v>
      </c>
      <c r="V1" s="325" t="s">
        <v>242</v>
      </c>
      <c r="W1" s="325" t="s">
        <v>243</v>
      </c>
      <c r="X1" s="325" t="s">
        <v>244</v>
      </c>
      <c r="Y1" s="325" t="s">
        <v>252</v>
      </c>
      <c r="Z1" s="325" t="s">
        <v>253</v>
      </c>
      <c r="AA1" s="325" t="s">
        <v>107</v>
      </c>
    </row>
    <row r="2" spans="3:27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S2" s="329" t="s">
        <v>254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255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256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14504</v>
      </c>
      <c r="G7" s="196">
        <f>SUMIFS('Actual - 2026'!O:O,'Actual - 2026'!A:A,D1)</f>
        <v>49</v>
      </c>
      <c r="H7" s="197">
        <f>F7/G7</f>
        <v>296</v>
      </c>
      <c r="I7" s="194"/>
      <c r="J7" s="195">
        <f>SUMIFS('Actual - 2026'!N:N,'Actual - 2026'!B:B,D4)</f>
        <v>41013.85</v>
      </c>
      <c r="K7" s="196">
        <f>SUMIFS('Actual - 2026'!O:O,'Actual - 2026'!B:B,D4)</f>
        <v>131</v>
      </c>
      <c r="L7" s="197">
        <f>J7/K7</f>
        <v>313.08282442748089</v>
      </c>
      <c r="M7" s="194"/>
      <c r="N7" s="195">
        <f>SUMIFS('Actual - 2026'!N:N,'Actual - 2026'!D:D,G1)</f>
        <v>950118.16999999993</v>
      </c>
      <c r="O7" s="196">
        <f>SUMIFS('Actual - 2026'!O:O,'Actual - 2026'!D:D,G1)</f>
        <v>2986</v>
      </c>
      <c r="P7" s="197">
        <f>N7/O7</f>
        <v>318.19094775619556</v>
      </c>
      <c r="S7" s="91">
        <f>J7-J8</f>
        <v>9517.9413849071716</v>
      </c>
      <c r="T7" s="51">
        <f>K7-K8</f>
        <v>30</v>
      </c>
      <c r="U7" s="91">
        <f>L7-L8</f>
        <v>1.2421450701261847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17326.284458547616</v>
      </c>
      <c r="G8" s="205">
        <f>SUMIFS('Budget - 2026'!Y:Y,'Budget - 2026'!B:B,D1)</f>
        <v>55</v>
      </c>
      <c r="H8" s="206">
        <f>F8/G8</f>
        <v>315.02335379177481</v>
      </c>
      <c r="I8" s="194"/>
      <c r="J8" s="204">
        <f>SUMIFS('Budget - 2026'!X:X,'Budget - 2026'!C:C,D4,'Budget - 2026'!$E:$E,G1)</f>
        <v>31495.908615092827</v>
      </c>
      <c r="K8" s="205">
        <f>SUMIFS('Budget - 2026'!Y:Y,'Budget - 2026'!C:C,D4,'Budget - 2026'!$E:$E,G1)</f>
        <v>101</v>
      </c>
      <c r="L8" s="206">
        <f>J8/K8</f>
        <v>311.8406793573547</v>
      </c>
      <c r="M8" s="194"/>
      <c r="N8" s="204">
        <f>SUMIFS('Budget - 2026'!X:X,'Budget - 2026'!E:E,G1)</f>
        <v>981875.80161229172</v>
      </c>
      <c r="O8" s="205">
        <f>SUMIFS('Budget - 2026'!Y:Y,'Budget - 2026'!E:E,G1)</f>
        <v>3327</v>
      </c>
      <c r="P8" s="206">
        <f>N8/O8</f>
        <v>295.12347508635156</v>
      </c>
      <c r="Q8" s="187">
        <f>L7*K7</f>
        <v>41013.85</v>
      </c>
      <c r="S8" s="254">
        <f>S7/J7</f>
        <v>0.23206651862498087</v>
      </c>
      <c r="T8" s="186">
        <f>T7*L7</f>
        <v>9392.4847328244268</v>
      </c>
      <c r="U8" s="186">
        <f>U7*K8</f>
        <v>125.45665208274465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-0.16289034531897528</v>
      </c>
      <c r="G9" s="179">
        <f>(G7-G8)/G8</f>
        <v>-0.10909090909090909</v>
      </c>
      <c r="H9" s="179">
        <f>(H7-H8)/H8</f>
        <v>-6.0387122296808919E-2</v>
      </c>
      <c r="I9" s="194"/>
      <c r="J9" s="179">
        <f>(J7-J8)/J8</f>
        <v>0.30219612017626246</v>
      </c>
      <c r="K9" s="179">
        <f>(K7-K8)/K8</f>
        <v>0.29702970297029702</v>
      </c>
      <c r="L9" s="179">
        <f>(L7-L8)/L8</f>
        <v>3.9832682275000595E-3</v>
      </c>
      <c r="M9" s="107"/>
      <c r="N9" s="179">
        <f>(N7-N8)/N8</f>
        <v>-3.2343837744187288E-2</v>
      </c>
      <c r="O9" s="179">
        <f>(O7-O8)/O8</f>
        <v>-0.10249474000601143</v>
      </c>
      <c r="P9" s="179">
        <f>(P7-P8)/P8</f>
        <v>7.8162107108201317E-2</v>
      </c>
      <c r="Q9" s="187">
        <f>L8*K8</f>
        <v>31495.908615092823</v>
      </c>
      <c r="U9" s="187">
        <f>SUM(T8:U8)</f>
        <v>9517.9413849071716</v>
      </c>
    </row>
    <row r="10" spans="3:27" ht="28.9" customHeight="1">
      <c r="D10" s="198">
        <v>2025</v>
      </c>
      <c r="E10" s="194"/>
      <c r="F10" s="195">
        <f>SUMIFS('Budget - 2026'!AA:AA,'Budget - 2026'!B:B,D1)</f>
        <v>21486.95</v>
      </c>
      <c r="G10" s="196">
        <f>SUMIFS('Budget - 2026'!AB:AB,'Budget - 2026'!B:B,D1)</f>
        <v>60</v>
      </c>
      <c r="H10" s="197">
        <f>F10/G10</f>
        <v>358.11583333333334</v>
      </c>
      <c r="I10" s="194"/>
      <c r="J10" s="195">
        <f>SUMIFS('Budget - 2026'!AA:AA,'Budget - 2026'!C:C,D4,'Budget - 2026'!$E:$E,G1)</f>
        <v>34017.949999999997</v>
      </c>
      <c r="K10" s="196">
        <f>SUMIFS('Budget - 2026'!AB:AB,'Budget - 2026'!C:C,D4,'Budget - 2026'!$E:$E,G1)</f>
        <v>106</v>
      </c>
      <c r="L10" s="197">
        <f>J10/K10</f>
        <v>320.92405660377358</v>
      </c>
      <c r="M10" s="194"/>
      <c r="N10" s="195">
        <f>SUMIFS('Budget - 2026'!AA:AA,'Budget - 2026'!E:E,'RDG Weekly Sales'!G1)</f>
        <v>980980.2699999999</v>
      </c>
      <c r="O10" s="196">
        <f>SUMIFS('Budget - 2026'!AB:AB,'Budget - 2026'!E:E,'RDG Weekly Sales'!G1)</f>
        <v>3331</v>
      </c>
      <c r="P10" s="197">
        <f>N10/O10</f>
        <v>294.50023116181325</v>
      </c>
      <c r="R10" s="186">
        <f>J7*0.35</f>
        <v>14354.847499999998</v>
      </c>
    </row>
    <row r="11" spans="3:27" s="54" customFormat="1" ht="28.9" customHeight="1" thickBot="1">
      <c r="D11" s="199" t="s">
        <v>105</v>
      </c>
      <c r="E11" s="194"/>
      <c r="F11" s="200">
        <f>(F7-F10)/F10</f>
        <v>-0.32498563081312148</v>
      </c>
      <c r="G11" s="200">
        <f>(G7-G10)/G10</f>
        <v>-0.18333333333333332</v>
      </c>
      <c r="H11" s="200">
        <f>(H7-H10)/H10</f>
        <v>-0.17345179283239365</v>
      </c>
      <c r="I11" s="194"/>
      <c r="J11" s="200">
        <f>(J7-J10)/J10</f>
        <v>0.20565319191779641</v>
      </c>
      <c r="K11" s="200">
        <f>(K7-K10)/K10</f>
        <v>0.23584905660377359</v>
      </c>
      <c r="L11" s="200">
        <f>(L7-L10)/L10</f>
        <v>-2.4433295089416777E-2</v>
      </c>
      <c r="M11" s="107"/>
      <c r="N11" s="200">
        <f>(N7-N10)/N10</f>
        <v>-3.1460469638191581E-2</v>
      </c>
      <c r="O11" s="200">
        <f>(O7-O10)/O10</f>
        <v>-0.10357250075052536</v>
      </c>
      <c r="P11" s="200">
        <f>(P7-P10)/P10</f>
        <v>8.044379626094568E-2</v>
      </c>
      <c r="R11" s="187">
        <f>R10/K7</f>
        <v>109.5789885496183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61275.199999999997</v>
      </c>
      <c r="G13" s="196">
        <f>SUMIFS('Actual - 2026'!R:R,'Actual - 2026'!A:A,D1)</f>
        <v>397</v>
      </c>
      <c r="H13" s="197">
        <f>F13/G13</f>
        <v>154.34559193954658</v>
      </c>
      <c r="I13" s="194"/>
      <c r="J13" s="195">
        <f>SUMIFS('Actual - 2026'!Q:Q,'Actual - 2026'!B:B,D4)</f>
        <v>142041.90000000002</v>
      </c>
      <c r="K13" s="196">
        <f>SUMIFS('Actual - 2026'!R:R,'Actual - 2026'!B:B,D4)</f>
        <v>961</v>
      </c>
      <c r="L13" s="197">
        <f>J13/K13</f>
        <v>147.80634755463061</v>
      </c>
      <c r="M13" s="194"/>
      <c r="N13" s="195">
        <f>SUMIFS('Actual - 2026'!Q:Q,'Actual - 2026'!D:D,G1)</f>
        <v>3195954.8600000003</v>
      </c>
      <c r="O13" s="196">
        <f>SUMIFS('Actual - 2026'!R:R,'Actual - 2026'!D:D,G1)</f>
        <v>18734</v>
      </c>
      <c r="P13" s="197">
        <f>N13/O13</f>
        <v>170.59650154798763</v>
      </c>
      <c r="S13" s="188">
        <f>K9-L9</f>
        <v>0.29304643474279696</v>
      </c>
    </row>
    <row r="14" spans="3:27" ht="27.6" customHeight="1">
      <c r="D14" s="202" t="s">
        <v>78</v>
      </c>
      <c r="E14" s="203"/>
      <c r="F14" s="204">
        <f>SUMIFS('Budget - 2026'!AD:AD,'Budget - 2026'!B:B,D1)</f>
        <v>67509.073233808536</v>
      </c>
      <c r="G14" s="205">
        <f>SUMIFS('Budget - 2026'!AE:AE,'Budget - 2026'!B:B,D1)</f>
        <v>333</v>
      </c>
      <c r="H14" s="206">
        <f>F14/G14</f>
        <v>202.72994965107668</v>
      </c>
      <c r="I14" s="194"/>
      <c r="J14" s="204">
        <f>SUMIFS('Budget - 2026'!AD:AD,'Budget - 2026'!C:C,D4,'Budget - 2026'!$E:$E,G1)</f>
        <v>127282.42754305173</v>
      </c>
      <c r="K14" s="205">
        <f>SUMIFS('Budget - 2026'!AE:AE,'Budget - 2026'!C:C,D4,'Budget - 2026'!$E:$E,G1)</f>
        <v>645</v>
      </c>
      <c r="L14" s="206">
        <f>J14/K14</f>
        <v>197.33709696597168</v>
      </c>
      <c r="M14" s="194"/>
      <c r="N14" s="204">
        <f>SUMIFS('Budget - 2026'!AD:AD,'Budget - 2026'!E:E,G1)</f>
        <v>2673949.296395455</v>
      </c>
      <c r="O14" s="205">
        <f>SUMIFS('Budget - 2026'!AE:AE,'Budget - 2026'!E:E,G1)</f>
        <v>12314</v>
      </c>
      <c r="P14" s="206">
        <f>N14/O14</f>
        <v>217.14709244725151</v>
      </c>
    </row>
    <row r="15" spans="3:27" s="54" customFormat="1" ht="28.9" customHeight="1">
      <c r="D15" s="207" t="s">
        <v>105</v>
      </c>
      <c r="E15" s="203"/>
      <c r="F15" s="179">
        <f>(F13-F14)/F14</f>
        <v>-9.2341265183990356E-2</v>
      </c>
      <c r="G15" s="179">
        <f>(G13-G14)/G14</f>
        <v>0.19219219219219219</v>
      </c>
      <c r="H15" s="179">
        <f>(H13-H14)/H14</f>
        <v>-0.23866408389488364</v>
      </c>
      <c r="I15" s="194"/>
      <c r="J15" s="179">
        <f>(J13-J14)/J14</f>
        <v>0.1159584456539068</v>
      </c>
      <c r="K15" s="179">
        <f>(K13-K14)/K14</f>
        <v>0.48992248062015503</v>
      </c>
      <c r="L15" s="179">
        <f>(L13-L14)/L14</f>
        <v>-0.25099563220939669</v>
      </c>
      <c r="M15" s="107"/>
      <c r="N15" s="179">
        <f>(N13-N14)/N14</f>
        <v>0.19521894611398233</v>
      </c>
      <c r="O15" s="179">
        <f>(O13-O14)/O14</f>
        <v>0.52135780412538579</v>
      </c>
      <c r="P15" s="179">
        <f>(P13-P14)/P14</f>
        <v>-0.2143735399568924</v>
      </c>
    </row>
    <row r="16" spans="3:27" ht="28.9" customHeight="1">
      <c r="D16" s="198">
        <v>2025</v>
      </c>
      <c r="E16" s="194"/>
      <c r="F16" s="195">
        <f>SUMIFS('Budget - 2026'!AG:AG,'Budget - 2026'!B:B,D1)</f>
        <v>64512.2</v>
      </c>
      <c r="G16" s="196">
        <f>SUMIFS('Budget - 2026'!AH:AH,'Budget - 2026'!B:B,D1)</f>
        <v>333</v>
      </c>
      <c r="H16" s="197">
        <f>F16/G16</f>
        <v>193.73033033033033</v>
      </c>
      <c r="I16" s="194"/>
      <c r="J16" s="195">
        <f>SUMIFS('Budget - 2026'!AG:AG,'Budget - 2026'!C:C,D4,'Budget - 2026'!$E:$E,G1)</f>
        <v>130157.95</v>
      </c>
      <c r="K16" s="196">
        <f>SUMIFS('Budget - 2026'!AH:AH,'Budget - 2026'!C:C,D4,'Budget - 2026'!$E:$E,G1)</f>
        <v>645</v>
      </c>
      <c r="L16" s="197">
        <f>J16/K16</f>
        <v>201.79527131782945</v>
      </c>
      <c r="M16" s="194"/>
      <c r="N16" s="195">
        <f>SUMIFS('Budget - 2026'!AG:AG,'Budget - 2026'!E:E,'RDG Weekly Sales'!G1)</f>
        <v>2559483.89</v>
      </c>
      <c r="O16" s="196">
        <f>SUMIFS('Budget - 2026'!AH:AH,'Budget - 2026'!E:E,'RDG Weekly Sales'!G1)</f>
        <v>11804</v>
      </c>
      <c r="P16" s="197">
        <f>N16/O16</f>
        <v>216.83191206370722</v>
      </c>
    </row>
    <row r="17" spans="2:19" s="54" customFormat="1" ht="28.9" customHeight="1" thickBot="1">
      <c r="D17" s="199" t="s">
        <v>105</v>
      </c>
      <c r="E17" s="194"/>
      <c r="F17" s="200">
        <f>(F13-F16)/F16</f>
        <v>-5.0176555752245312E-2</v>
      </c>
      <c r="G17" s="200">
        <f>(G13-G16)/G16</f>
        <v>0.19219219219219219</v>
      </c>
      <c r="H17" s="200">
        <f>(H13-H16)/H16</f>
        <v>-0.20329670797354593</v>
      </c>
      <c r="I17" s="194"/>
      <c r="J17" s="200">
        <f>(J13-J16)/J16</f>
        <v>9.1304065560344386E-2</v>
      </c>
      <c r="K17" s="200">
        <f>(K13-K16)/K16</f>
        <v>0.48992248062015503</v>
      </c>
      <c r="L17" s="200">
        <f>(L13-L16)/L16</f>
        <v>-0.26754305693400404</v>
      </c>
      <c r="M17" s="107"/>
      <c r="N17" s="200">
        <f>(N13-N16)/N16</f>
        <v>0.24867160621198525</v>
      </c>
      <c r="O17" s="200">
        <f>(O13-O16)/O16</f>
        <v>0.58708912233141308</v>
      </c>
      <c r="P17" s="200">
        <f>(P13-P16)/P16</f>
        <v>-0.21323157682682428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254511.39999999997</v>
      </c>
      <c r="G19" s="196">
        <f>SUMIFS('Actual - 2026'!U:U,'Actual - 2026'!A:A,D1)</f>
        <v>756</v>
      </c>
      <c r="H19" s="197">
        <f>F19/G19</f>
        <v>336.65529100529096</v>
      </c>
      <c r="I19" s="194"/>
      <c r="J19" s="195">
        <f>SUMIFS('Actual - 2026'!T:T,'Actual - 2026'!B:B,D4)</f>
        <v>484817.12999999995</v>
      </c>
      <c r="K19" s="196">
        <f>SUMIFS('Actual - 2026'!U:U,'Actual - 2026'!B:B,D4)</f>
        <v>1478</v>
      </c>
      <c r="L19" s="197">
        <f>J19/K19</f>
        <v>328.02241542625165</v>
      </c>
      <c r="M19" s="194"/>
      <c r="N19" s="195">
        <f>SUMIFS('Actual - 2026'!T:T,'Actual - 2026'!D:D,G1)</f>
        <v>10363703.640000002</v>
      </c>
      <c r="O19" s="196">
        <f>SUMIFS('Actual - 2026'!U:U,'Actual - 2026'!D:D,G1)</f>
        <v>33374</v>
      </c>
      <c r="P19" s="197">
        <f>N19/O19</f>
        <v>310.53225984299161</v>
      </c>
      <c r="Q19" s="91">
        <f>J19-J22</f>
        <v>74728.52999999997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220121.62364807597</v>
      </c>
      <c r="G20" s="205">
        <f>SUMIFS('Budget - 2026'!AK:AK,'Budget - 2026'!B:B,D1)</f>
        <v>699.2</v>
      </c>
      <c r="H20" s="206">
        <f>F20/G20</f>
        <v>314.81925578958231</v>
      </c>
      <c r="I20" s="194"/>
      <c r="J20" s="204">
        <f>SUMIFS('Budget - 2026'!AJ:AJ,'Budget - 2026'!C:C,D4,'Budget - 2026'!$E:$E,G1)</f>
        <v>414426.61576647928</v>
      </c>
      <c r="K20" s="205">
        <f>SUMIFS('Budget - 2026'!AK:AK,'Budget - 2026'!C:C,D4,'Budget - 2026'!$E:$E,G1)</f>
        <v>1373.7</v>
      </c>
      <c r="L20" s="206">
        <f>J20/K20</f>
        <v>301.68640588664141</v>
      </c>
      <c r="M20" s="194"/>
      <c r="N20" s="204">
        <f>SUMIFS('Budget - 2026'!AJ:AJ,'Budget - 2026'!E:E,G1)</f>
        <v>10404831.25977535</v>
      </c>
      <c r="O20" s="205">
        <f>SUMIFS('Budget - 2026'!AK:AK,'Budget - 2026'!E:E,G1)</f>
        <v>33879.19999999999</v>
      </c>
      <c r="P20" s="206">
        <f>N20/O20</f>
        <v>307.11561252259065</v>
      </c>
      <c r="Q20" s="189">
        <f>G20-G22</f>
        <v>-36.799999999999955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0.15623079542110488</v>
      </c>
      <c r="G21" s="179">
        <f>(G19-G20)/G20</f>
        <v>8.1235697940503365E-2</v>
      </c>
      <c r="H21" s="179">
        <f>(H19-H20)/H20</f>
        <v>6.9360545183117184E-2</v>
      </c>
      <c r="I21" s="194"/>
      <c r="J21" s="179">
        <f>(J19-J20)/J20</f>
        <v>0.169850370501262</v>
      </c>
      <c r="K21" s="179">
        <f>(K19-K20)/K20</f>
        <v>7.5926330348693269E-2</v>
      </c>
      <c r="L21" s="179">
        <f>(L19-L20)/L20</f>
        <v>8.7295976967241923E-2</v>
      </c>
      <c r="M21" s="107"/>
      <c r="N21" s="179">
        <f>(N19-N20)/N20</f>
        <v>-3.95274260086707E-3</v>
      </c>
      <c r="O21" s="179">
        <f>(O19-O20)/O20</f>
        <v>-1.4911804292899181E-2</v>
      </c>
      <c r="P21" s="179">
        <f>(P19-P20)/P20</f>
        <v>1.1124954841394249E-2</v>
      </c>
      <c r="Q21" s="54">
        <f>Q20/G22</f>
        <v>-4.999999999999994E-2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218499.09999999998</v>
      </c>
      <c r="G22" s="196">
        <f>SUMIFS('Budget - 2026'!AN:AN,'Budget - 2026'!B:B,D1)</f>
        <v>736</v>
      </c>
      <c r="H22" s="197">
        <f>F22/G22</f>
        <v>296.87377717391303</v>
      </c>
      <c r="I22" s="194"/>
      <c r="J22" s="195">
        <f>SUMIFS('Budget - 2026'!AM:AM,'Budget - 2026'!C:C,D4,'Budget - 2026'!$E:$E,G1)</f>
        <v>410088.6</v>
      </c>
      <c r="K22" s="196">
        <f>SUMIFS('Budget - 2026'!AN:AN,'Budget - 2026'!C:C,D4,'Budget - 2026'!$E:$E,G1)</f>
        <v>1462</v>
      </c>
      <c r="L22" s="197">
        <f>J22/K22</f>
        <v>280.49835841313268</v>
      </c>
      <c r="M22" s="194"/>
      <c r="N22" s="195">
        <f>SUMIFS('Budget - 2026'!AM:AM,'Budget - 2026'!E:E,'RDG Weekly Sales'!G1)</f>
        <v>10133438.239999998</v>
      </c>
      <c r="O22" s="196">
        <f>SUMIFS('Budget - 2026'!AN:AN,'Budget - 2026'!E:E,'RDG Weekly Sales'!G1)</f>
        <v>33184</v>
      </c>
      <c r="P22" s="197">
        <f>N22/O22</f>
        <v>305.3712102217936</v>
      </c>
      <c r="S22" s="98">
        <f>F19</f>
        <v>254511.39999999997</v>
      </c>
    </row>
    <row r="23" spans="2:19" s="54" customFormat="1" ht="28.9" customHeight="1" thickBot="1">
      <c r="D23" s="199" t="s">
        <v>105</v>
      </c>
      <c r="E23" s="194"/>
      <c r="F23" s="200">
        <f>(F19-F22)/F22</f>
        <v>0.16481669718548037</v>
      </c>
      <c r="G23" s="200">
        <f>(G19-G22)/G22</f>
        <v>2.717391304347826E-2</v>
      </c>
      <c r="H23" s="200">
        <f>(H19-H22)/H22</f>
        <v>0.13400144064618189</v>
      </c>
      <c r="I23" s="194"/>
      <c r="J23" s="200">
        <f>(J19-J22)/J22</f>
        <v>0.18222532886795675</v>
      </c>
      <c r="K23" s="200">
        <f>(K19-K22)/K22</f>
        <v>1.094391244870041E-2</v>
      </c>
      <c r="L23" s="200">
        <f>(L19-L22)/L22</f>
        <v>0.16942721975977862</v>
      </c>
      <c r="M23" s="107"/>
      <c r="N23" s="200">
        <f>(N19-N22)/N22</f>
        <v>2.2723323964325474E-2</v>
      </c>
      <c r="O23" s="200">
        <f>(O19-O22)/O22</f>
        <v>5.7256509161041462E-3</v>
      </c>
      <c r="P23" s="200">
        <f>(P19-P22)/P22</f>
        <v>1.6900904369634227E-2</v>
      </c>
      <c r="S23" s="321">
        <f>SUM(S21:S22)</f>
        <v>1022511.3999999999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250</v>
      </c>
      <c r="E25" s="222"/>
      <c r="F25" s="223">
        <f>SUM(F7,F13,F19)</f>
        <v>330290.59999999998</v>
      </c>
      <c r="G25" s="224">
        <f>SUM(G7,G13,G19)</f>
        <v>1202</v>
      </c>
      <c r="H25" s="223">
        <f>F25/G25</f>
        <v>274.78419301164723</v>
      </c>
      <c r="I25" s="76"/>
      <c r="J25" s="223">
        <f>SUM(J7,J13,J19)</f>
        <v>667872.88</v>
      </c>
      <c r="K25" s="224">
        <f>SUM(K7,K13,K19)</f>
        <v>2570</v>
      </c>
      <c r="L25" s="223">
        <f>J25/K25</f>
        <v>259.87271595330742</v>
      </c>
      <c r="N25" s="223">
        <f>SUM(N7,N13,N19)</f>
        <v>14509776.670000002</v>
      </c>
      <c r="O25" s="224">
        <f>SUM(O7,O13,O19)</f>
        <v>55094</v>
      </c>
      <c r="P25" s="223">
        <f>N25/O25</f>
        <v>263.36400824046177</v>
      </c>
      <c r="S25" s="324">
        <f>S23-S24</f>
        <v>-6082.6000000000931</v>
      </c>
    </row>
    <row r="26" spans="2:19" ht="28.9" customHeight="1">
      <c r="D26" s="209" t="s">
        <v>78</v>
      </c>
      <c r="E26" s="210"/>
      <c r="F26" s="211">
        <f>SUM(F8,F14,F20)</f>
        <v>304956.98134043213</v>
      </c>
      <c r="G26" s="212">
        <f>SUM(G8,G14,G20)</f>
        <v>1087.2</v>
      </c>
      <c r="H26" s="213">
        <f>F26/G26</f>
        <v>280.49759137273008</v>
      </c>
      <c r="I26" s="194"/>
      <c r="J26" s="211">
        <f>SUM(J8,J14,J20)</f>
        <v>573204.95192462381</v>
      </c>
      <c r="K26" s="212">
        <f>SUM(K8,K14,K20)</f>
        <v>2119.6999999999998</v>
      </c>
      <c r="L26" s="213">
        <f>J26/K26</f>
        <v>270.41796099666175</v>
      </c>
      <c r="M26" s="194"/>
      <c r="N26" s="211">
        <f>SUM(N8,N14,N20)</f>
        <v>14060656.357783098</v>
      </c>
      <c r="O26" s="212">
        <f>SUM(O8,O14,O20)</f>
        <v>49520.19999999999</v>
      </c>
      <c r="P26" s="213">
        <f>N26/O26</f>
        <v>283.93779422908432</v>
      </c>
    </row>
    <row r="27" spans="2:19" s="54" customFormat="1" ht="28.9" customHeight="1">
      <c r="D27" s="214" t="s">
        <v>105</v>
      </c>
      <c r="E27" s="210"/>
      <c r="F27" s="215">
        <f>(F25-F26)/F26</f>
        <v>8.3072761765329808E-2</v>
      </c>
      <c r="G27" s="215">
        <f>(G25-G26)/G26</f>
        <v>0.10559234731420157</v>
      </c>
      <c r="H27" s="215">
        <f>(H25-H26)/H26</f>
        <v>-2.0368796513089444E-2</v>
      </c>
      <c r="I27" s="194"/>
      <c r="J27" s="215">
        <f>(J25-J26)/J26</f>
        <v>0.16515546098740785</v>
      </c>
      <c r="K27" s="215">
        <f>(K25-K26)/K26</f>
        <v>0.21243572203613728</v>
      </c>
      <c r="L27" s="215">
        <f>(L25-L26)/L26</f>
        <v>-3.8996097021397579E-2</v>
      </c>
      <c r="M27" s="107"/>
      <c r="N27" s="215">
        <f>(N25-N26)/N26</f>
        <v>3.1941632082367132E-2</v>
      </c>
      <c r="O27" s="215">
        <f>(O25-O26)/O26</f>
        <v>0.11255608822258414</v>
      </c>
      <c r="P27" s="215">
        <f>(P25-P26)/P26</f>
        <v>-7.2458779376243856E-2</v>
      </c>
    </row>
    <row r="28" spans="2:19" ht="28.9" customHeight="1">
      <c r="D28" s="198">
        <v>2025</v>
      </c>
      <c r="E28" s="194"/>
      <c r="F28" s="195">
        <f t="shared" ref="F28:G28" si="2">SUM(F10,F16,F22)</f>
        <v>304498.25</v>
      </c>
      <c r="G28" s="196">
        <f t="shared" si="2"/>
        <v>1129</v>
      </c>
      <c r="H28" s="197">
        <f>F28/G28</f>
        <v>269.7061558901683</v>
      </c>
      <c r="I28" s="194"/>
      <c r="J28" s="195">
        <f t="shared" ref="J28" si="3">SUM(J10,J16,J22)</f>
        <v>574264.5</v>
      </c>
      <c r="K28" s="196">
        <f>SUM(K10,K16,K22)</f>
        <v>2213</v>
      </c>
      <c r="L28" s="197">
        <f>J28/K28</f>
        <v>259.49593312245821</v>
      </c>
      <c r="M28" s="194"/>
      <c r="N28" s="195">
        <f t="shared" ref="N28:O28" si="4">SUM(N10,N16,N22)</f>
        <v>13673902.399999999</v>
      </c>
      <c r="O28" s="196">
        <f t="shared" si="4"/>
        <v>48319</v>
      </c>
      <c r="P28" s="197">
        <f>N28/O28</f>
        <v>282.99224735611244</v>
      </c>
    </row>
    <row r="29" spans="2:19" s="54" customFormat="1" ht="28.9" customHeight="1">
      <c r="D29" s="199" t="s">
        <v>105</v>
      </c>
      <c r="E29" s="194"/>
      <c r="F29" s="200">
        <f>(F25-F28)/F28</f>
        <v>8.4704427693755135E-2</v>
      </c>
      <c r="G29" s="200">
        <f>(G25-G28)/G28</f>
        <v>6.4658990256864488E-2</v>
      </c>
      <c r="H29" s="200">
        <f>(H25-H28)/H28</f>
        <v>1.8828035662437174E-2</v>
      </c>
      <c r="I29" s="194"/>
      <c r="J29" s="200">
        <f>(J25-J28)/J28</f>
        <v>0.16300568814544519</v>
      </c>
      <c r="K29" s="200">
        <f>(K25-K28)/K28</f>
        <v>0.1613194758246724</v>
      </c>
      <c r="L29" s="200">
        <f>(L25-L28)/L28</f>
        <v>1.451979714346435E-3</v>
      </c>
      <c r="M29" s="107"/>
      <c r="N29" s="200">
        <f>(N25-N28)/N28</f>
        <v>6.1129167486232996E-2</v>
      </c>
      <c r="O29" s="200">
        <f>(O25-O28)/O28</f>
        <v>0.14021399449491917</v>
      </c>
      <c r="P29" s="200">
        <f>(P25-P28)/P28</f>
        <v>-6.9359635463620464E-2</v>
      </c>
    </row>
    <row r="30" spans="2:19" ht="15.75">
      <c r="B30" s="46" t="s">
        <v>96</v>
      </c>
      <c r="F30" s="91">
        <f>F25-F26</f>
        <v>25333.618659567845</v>
      </c>
      <c r="J30" s="91"/>
      <c r="M30" s="99"/>
    </row>
    <row r="31" spans="2:19" ht="15.75">
      <c r="B31" s="46" t="s">
        <v>97</v>
      </c>
      <c r="F31" s="91">
        <f>F19-F20</f>
        <v>34389.776351923996</v>
      </c>
      <c r="J31" s="91">
        <v>-203516.69000000006</v>
      </c>
      <c r="M31" s="99"/>
    </row>
    <row r="32" spans="2:19">
      <c r="F32" s="91">
        <f>F13-F14</f>
        <v>-6233.8732338085392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484817.12999999995</v>
      </c>
    </row>
    <row r="41" spans="7:15">
      <c r="J41" s="91">
        <f>SUM(J39:J40)</f>
        <v>1457184.88</v>
      </c>
    </row>
    <row r="42" spans="7:15">
      <c r="J42" s="91">
        <f>J37-J41</f>
        <v>106883.12000000011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41</v>
      </c>
      <c r="F1" s="5">
        <f>VLOOKUP(D1,Dates!$B$2:$E$53,4,FALSE)</f>
        <v>41</v>
      </c>
      <c r="G1" s="5" t="b">
        <v>1</v>
      </c>
    </row>
    <row r="2" spans="3:19" ht="28.5">
      <c r="D2" s="400" t="str">
        <f>CONCATENATE("AVA WP",)</f>
        <v>AVA WP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9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9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9" ht="28.9" customHeight="1">
      <c r="D7" s="193" t="s">
        <v>204</v>
      </c>
      <c r="E7" s="194"/>
      <c r="F7" s="195">
        <f>SUMIFS('Actual - 2026'!Z:Z,'Actual - 2026'!A:A,D1)</f>
        <v>125308.05</v>
      </c>
      <c r="G7" s="196">
        <f>SUMIFS('Actual - 2026'!AA:AA,'Actual - 2026'!A:A,D1)</f>
        <v>1183</v>
      </c>
      <c r="H7" s="197">
        <f>F7/G7</f>
        <v>105.92396449704142</v>
      </c>
      <c r="I7" s="194"/>
      <c r="J7" s="195">
        <f>SUMIFS('Actual - 2026'!Z:Z,'Actual - 2026'!B:B,D4)</f>
        <v>299147.09999999998</v>
      </c>
      <c r="K7" s="196">
        <f>SUMIFS('Actual - 2026'!AA:AA,'Actual - 2026'!B:B,D4)</f>
        <v>2934</v>
      </c>
      <c r="L7" s="197">
        <f>J7/K7</f>
        <v>101.95879345603271</v>
      </c>
      <c r="M7" s="194"/>
      <c r="N7" s="195">
        <f>SUMIFS('Actual - 2026'!Z:Z,'Actual - 2026'!D:D,G1)</f>
        <v>7492288.7599999998</v>
      </c>
      <c r="O7" s="196">
        <f>SUMIFS('Actual - 2026'!AA:AA,'Actual - 2026'!D:D,G1)</f>
        <v>68581.853000000003</v>
      </c>
      <c r="P7" s="197">
        <f>N7/O7</f>
        <v>109.24593653076127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171002.18666869556</v>
      </c>
      <c r="G8" s="205">
        <f>SUMIFS('Budget - 2026'!AW:AW,'Budget - 2026'!B:B,D1)</f>
        <v>1582</v>
      </c>
      <c r="H8" s="206">
        <f>F8/G8</f>
        <v>108.0924062381135</v>
      </c>
      <c r="I8" s="194"/>
      <c r="J8" s="204">
        <f>SUMIFS('Budget - 2026'!AV:AV,'Budget - 2026'!C:C,D4,'Budget - 2026'!$E:$E,G1)</f>
        <v>345132.83118926804</v>
      </c>
      <c r="K8" s="205">
        <f>SUMIFS('Budget - 2026'!AW:AW,'Budget - 2026'!C:C,D4,'Budget - 2026'!$E:$E,G1)</f>
        <v>3160</v>
      </c>
      <c r="L8" s="206">
        <f>J8/K8</f>
        <v>109.21925037635064</v>
      </c>
      <c r="M8" s="194"/>
      <c r="N8" s="204">
        <f>SUMIFS('Budget - 2026'!AV:AV,'Budget - 2026'!E:E,G1)</f>
        <v>7342302.5344450837</v>
      </c>
      <c r="O8" s="205">
        <f>SUMIFS('Budget - 2026'!AW:AW,'Budget - 2026'!E:E,G1)</f>
        <v>66468</v>
      </c>
      <c r="P8" s="206">
        <f>N8/O8</f>
        <v>110.46371990198416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-0.2672137564955509</v>
      </c>
      <c r="G9" s="179">
        <f>(G7-G8)/G8</f>
        <v>-0.25221238938053098</v>
      </c>
      <c r="H9" s="179">
        <f>(H7-H8)/H8</f>
        <v>-2.0060999810618315E-2</v>
      </c>
      <c r="I9" s="194"/>
      <c r="J9" s="179">
        <f>(J7-J8)/J8</f>
        <v>-0.1332406744116727</v>
      </c>
      <c r="K9" s="179">
        <f>(K7-K8)/K8</f>
        <v>-7.1518987341772158E-2</v>
      </c>
      <c r="L9" s="179">
        <f>(L7-L8)/L8</f>
        <v>-6.6475981983941987E-2</v>
      </c>
      <c r="M9" s="107"/>
      <c r="N9" s="179">
        <f>(N7-N8)/N8</f>
        <v>2.0427682576587228E-2</v>
      </c>
      <c r="O9" s="179">
        <f>(O7-O8)/O8</f>
        <v>3.1802566648612911E-2</v>
      </c>
      <c r="P9" s="179">
        <f>(P7-P8)/P8</f>
        <v>-1.1024283559375399E-2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172920.27</v>
      </c>
      <c r="G10" s="196">
        <f>SUMIFS('Budget - 2026'!BI:BI,'Budget - 2026'!B:B,D1)</f>
        <v>1582</v>
      </c>
      <c r="H10" s="197">
        <f>F10/G10</f>
        <v>109.30484829329961</v>
      </c>
      <c r="I10" s="194"/>
      <c r="J10" s="195">
        <f>SUMIFS('Budget - 2026'!BH:BH,'Budget - 2026'!C:C,D4,'Budget - 2026'!$E:$E,G1)</f>
        <v>339763.72</v>
      </c>
      <c r="K10" s="196">
        <f>SUMIFS('Budget - 2026'!BI:BI,'Budget - 2026'!C:C,D4,'Budget - 2026'!$E:$E,G1)</f>
        <v>3160</v>
      </c>
      <c r="L10" s="197">
        <f>J10/K10</f>
        <v>107.52016455696202</v>
      </c>
      <c r="M10" s="194"/>
      <c r="N10" s="195">
        <f>SUMIFS('Budget - 2026'!BH:BH,'Budget - 2026'!E:E,G1)</f>
        <v>7288354.1799999997</v>
      </c>
      <c r="O10" s="196">
        <f>SUMIFS('Budget - 2026'!BI:BI,'Budget - 2026'!E:E,G1)</f>
        <v>66133</v>
      </c>
      <c r="P10" s="197">
        <f>N10/O10</f>
        <v>110.20752392905206</v>
      </c>
    </row>
    <row r="11" spans="3:19" s="54" customFormat="1" ht="28.9" customHeight="1" thickBot="1">
      <c r="D11" s="199" t="s">
        <v>105</v>
      </c>
      <c r="E11" s="194"/>
      <c r="F11" s="200">
        <f>(F7-F10)/F10</f>
        <v>-0.2753420405832121</v>
      </c>
      <c r="G11" s="200">
        <f>(G7-G10)/G10</f>
        <v>-0.25221238938053098</v>
      </c>
      <c r="H11" s="200">
        <f>(H7-H10)/H10</f>
        <v>-3.09307761645321E-2</v>
      </c>
      <c r="I11" s="194"/>
      <c r="J11" s="200">
        <f>(J7-J10)/J10</f>
        <v>-0.11954372291426524</v>
      </c>
      <c r="K11" s="200">
        <f>(K7-K10)/K10</f>
        <v>-7.1518987341772158E-2</v>
      </c>
      <c r="L11" s="200">
        <f>(L7-L10)/L10</f>
        <v>-5.1723982416182077E-2</v>
      </c>
      <c r="M11" s="107"/>
      <c r="N11" s="200">
        <f>(N7-N10)/N10</f>
        <v>2.7980882235336166E-2</v>
      </c>
      <c r="O11" s="200">
        <f>(O7-O10)/O10</f>
        <v>3.7029213856924724E-2</v>
      </c>
      <c r="P11" s="200">
        <f>(P7-P10)/P10</f>
        <v>-8.7252427421364315E-3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69540.5</v>
      </c>
      <c r="G13" s="196">
        <f>SUMIFS('Actual - 2026'!AD:AD,'Actual - 2026'!A:A,D1)</f>
        <v>264</v>
      </c>
      <c r="H13" s="197">
        <f>F13/G13</f>
        <v>263.41098484848487</v>
      </c>
      <c r="I13" s="194"/>
      <c r="J13" s="195">
        <f>SUMIFS('Actual - 2026'!AC:AC,'Actual - 2026'!B:B,D4)</f>
        <v>89296.84</v>
      </c>
      <c r="K13" s="196">
        <f>SUMIFS('Actual - 2026'!AD:AD,'Actual - 2026'!B:B,D4)</f>
        <v>567</v>
      </c>
      <c r="L13" s="197">
        <f>J13/K13</f>
        <v>157.49001763668429</v>
      </c>
      <c r="M13" s="194"/>
      <c r="N13" s="195">
        <f>SUMIFS('Actual - 2026'!AC:AC,'Actual - 2026'!D:D,G1)</f>
        <v>969350.20000000019</v>
      </c>
      <c r="O13" s="196">
        <f>SUMIFS('Actual - 2026'!AD:AD,'Actual - 2026'!D:D,G1)</f>
        <v>13150.147000000001</v>
      </c>
      <c r="P13" s="197">
        <f>N13/O13</f>
        <v>73.7140200790151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24179.245727644651</v>
      </c>
      <c r="G14" s="205">
        <f>SUMIFS('Budget - 2026'!AZ:AZ,'Budget - 2026'!B:B,D1)</f>
        <v>381</v>
      </c>
      <c r="H14" s="206">
        <f>F14/G14</f>
        <v>63.462587211665749</v>
      </c>
      <c r="I14" s="194"/>
      <c r="J14" s="204">
        <f>SUMIFS('Budget - 2026'!AY:AY,'Budget - 2026'!C:C,D4,'Budget - 2026'!$E:$E,G1)</f>
        <v>43734.35609585038</v>
      </c>
      <c r="K14" s="205">
        <f>SUMIFS('Budget - 2026'!AZ:AZ,'Budget - 2026'!C:C,D4,'Budget - 2026'!$E:$E,G1)</f>
        <v>689</v>
      </c>
      <c r="L14" s="206">
        <f>J14/K14</f>
        <v>63.475117700798812</v>
      </c>
      <c r="M14" s="194"/>
      <c r="N14" s="204">
        <f>SUMIFS('Budget - 2026'!AY:AY,'Budget - 2026'!E:E,G1)</f>
        <v>865856.85803716583</v>
      </c>
      <c r="O14" s="205">
        <f>SUMIFS('Budget - 2026'!AZ:AZ,'Budget - 2026'!E:E,G1)</f>
        <v>13320</v>
      </c>
      <c r="P14" s="206">
        <f>N14/O14</f>
        <v>65.004268621408841</v>
      </c>
    </row>
    <row r="15" spans="3:19" s="54" customFormat="1" ht="28.9" customHeight="1">
      <c r="D15" s="207" t="s">
        <v>105</v>
      </c>
      <c r="E15" s="203"/>
      <c r="F15" s="179">
        <f>(F13-F14)/F14</f>
        <v>1.8760409147293149</v>
      </c>
      <c r="G15" s="179">
        <f>(G13-G14)/G14</f>
        <v>-0.30708661417322836</v>
      </c>
      <c r="H15" s="179">
        <f>(H13-H14)/H14</f>
        <v>3.1506499564843526</v>
      </c>
      <c r="I15" s="194"/>
      <c r="J15" s="179">
        <f>(J13-J14)/J14</f>
        <v>1.0418007253677777</v>
      </c>
      <c r="K15" s="179">
        <f>(K13-K14)/K14</f>
        <v>-0.17706821480406387</v>
      </c>
      <c r="L15" s="179">
        <f>(L13-L14)/L14</f>
        <v>1.4811299819724844</v>
      </c>
      <c r="M15" s="107"/>
      <c r="N15" s="179">
        <f>(N13-N14)/N14</f>
        <v>0.11952708002734562</v>
      </c>
      <c r="O15" s="179">
        <f>(O13-O14)/O14</f>
        <v>-1.2751726726726663E-2</v>
      </c>
      <c r="P15" s="179">
        <f>(P13-P14)/P14</f>
        <v>0.13398737717260839</v>
      </c>
    </row>
    <row r="16" spans="3:19" ht="28.9" customHeight="1">
      <c r="D16" s="198">
        <v>2025</v>
      </c>
      <c r="E16" s="194"/>
      <c r="F16" s="195">
        <f>SUMIFS('Budget - 2026'!BK:BK,'Budget - 2026'!B:B,D1)</f>
        <v>24033</v>
      </c>
      <c r="G16" s="196">
        <f>SUMIFS('Budget - 2026'!BL:BL,'Budget - 2026'!B:B,D1)</f>
        <v>381</v>
      </c>
      <c r="H16" s="197">
        <f>F16/G16</f>
        <v>63.078740157480318</v>
      </c>
      <c r="I16" s="194"/>
      <c r="J16" s="195">
        <f>SUMIFS('Budget - 2026'!BK:BK,'Budget - 2026'!C:C,D4,'Budget - 2026'!$E:$E,G1)</f>
        <v>42042</v>
      </c>
      <c r="K16" s="196">
        <f>SUMIFS('Budget - 2026'!BL:BL,'Budget - 2026'!C:C,D4,'Budget - 2026'!$E:$E,G1)</f>
        <v>689</v>
      </c>
      <c r="L16" s="197">
        <f>J16/K16</f>
        <v>61.018867924528301</v>
      </c>
      <c r="M16" s="194"/>
      <c r="N16" s="195">
        <f>SUMIFS('Budget - 2026'!BK:BK,'Budget - 2026'!E:E,G1)</f>
        <v>1102032</v>
      </c>
      <c r="O16" s="196">
        <f>SUMIFS('Budget - 2026'!BL:BL,'Budget - 2026'!E:E,G1)</f>
        <v>13179</v>
      </c>
      <c r="P16" s="197">
        <f>N16/O16</f>
        <v>83.620305030730705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1.893542212790746</v>
      </c>
      <c r="G17" s="200">
        <f>(G13-G16)/G16</f>
        <v>-0.30708661417322836</v>
      </c>
      <c r="H17" s="200">
        <f>(H13-H16)/H16</f>
        <v>3.1759075116411903</v>
      </c>
      <c r="I17" s="194"/>
      <c r="J17" s="200">
        <f>(J13-J16)/J16</f>
        <v>1.1239912468483897</v>
      </c>
      <c r="K17" s="200">
        <f>(K13-K16)/K16</f>
        <v>-0.17706821480406387</v>
      </c>
      <c r="L17" s="200">
        <f>(L13-L16)/L16</f>
        <v>1.5810052364700886</v>
      </c>
      <c r="M17" s="107"/>
      <c r="N17" s="200">
        <f>(N13-N16)/N16</f>
        <v>-0.1203974113274386</v>
      </c>
      <c r="O17" s="200">
        <f>(O13-O16)/O16</f>
        <v>-2.1893163365960359E-3</v>
      </c>
      <c r="P17" s="200">
        <f>(P13-P16)/P16</f>
        <v>-0.11846745773140886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21335.9</v>
      </c>
      <c r="G19" s="196">
        <f>SUMIFS('Actual - 2026'!AG:AG,'Actual - 2026'!A:A,D1)</f>
        <v>166</v>
      </c>
      <c r="H19" s="197">
        <f>F19/G19</f>
        <v>128.52951807228916</v>
      </c>
      <c r="I19" s="194"/>
      <c r="J19" s="195">
        <f>SUMIFS('Actual - 2026'!AF:AF,'Actual - 2026'!B:B,D4)</f>
        <v>70401.570000000007</v>
      </c>
      <c r="K19" s="196">
        <f>SUMIFS('Actual - 2026'!AG:AG,'Actual - 2026'!B:B,D4)</f>
        <v>383</v>
      </c>
      <c r="L19" s="197">
        <f>J19/K19</f>
        <v>183.81610966057443</v>
      </c>
      <c r="M19" s="194"/>
      <c r="N19" s="195">
        <f>SUMIFS('Actual - 2026'!AF:AF,'Actual - 2026'!D:D,G1)</f>
        <v>1417600.9300000002</v>
      </c>
      <c r="O19" s="196">
        <f>SUMIFS('Actual - 2026'!AG:AG,'Actual - 2026'!D:D,G1)</f>
        <v>7929</v>
      </c>
      <c r="P19" s="197">
        <f>N19/O19</f>
        <v>178.78684953966453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37652.246835008977</v>
      </c>
      <c r="G20" s="205">
        <f>SUMIFS('Budget - 2026'!BC:BC,'Budget - 2026'!B:B,D1)</f>
        <v>348</v>
      </c>
      <c r="H20" s="206">
        <f>F20/G20</f>
        <v>108.19611159485338</v>
      </c>
      <c r="I20" s="194"/>
      <c r="J20" s="204">
        <f>SUMIFS('Budget - 2026'!BB:BB,'Budget - 2026'!C:C,D4,'Budget - 2026'!$E:$E,G1)</f>
        <v>67790.111181808679</v>
      </c>
      <c r="K20" s="205">
        <f>SUMIFS('Budget - 2026'!BC:BC,'Budget - 2026'!C:C,D4,'Budget - 2026'!$E:$E,G1)</f>
        <v>616</v>
      </c>
      <c r="L20" s="206">
        <f>J20/K20</f>
        <v>110.04888178865045</v>
      </c>
      <c r="M20" s="194"/>
      <c r="N20" s="204">
        <f>SUMIFS('Budget - 2026'!BB:BB,'Budget - 2026'!E:E,G1)</f>
        <v>1291801.1111818084</v>
      </c>
      <c r="O20" s="205">
        <f>SUMIFS('Budget - 2026'!BC:BC,'Budget - 2026'!E:E,G1)</f>
        <v>9373</v>
      </c>
      <c r="P20" s="206">
        <f>N20/O20</f>
        <v>137.82152045042233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-0.43334324526519546</v>
      </c>
      <c r="G21" s="179">
        <f>(G19-G20)/G20</f>
        <v>-0.52298850574712641</v>
      </c>
      <c r="H21" s="179">
        <f>(H19-H20)/H20</f>
        <v>0.18793102799826494</v>
      </c>
      <c r="I21" s="194"/>
      <c r="J21" s="179">
        <f>(J19-J20)/J20</f>
        <v>3.8522710357968948E-2</v>
      </c>
      <c r="K21" s="179">
        <f>(K19-K20)/K20</f>
        <v>-0.37824675324675322</v>
      </c>
      <c r="L21" s="179">
        <f>(L19-L20)/L20</f>
        <v>0.67031328872195528</v>
      </c>
      <c r="M21" s="107"/>
      <c r="N21" s="179">
        <f>(N19-N20)/N20</f>
        <v>9.7383271874649027E-2</v>
      </c>
      <c r="O21" s="179">
        <f>(O19-O20)/O20</f>
        <v>-0.15405953270030939</v>
      </c>
      <c r="P21" s="179">
        <f>(P19-P20)/P20</f>
        <v>0.29723463328049993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39293.1</v>
      </c>
      <c r="G22" s="196">
        <f>SUMIFS('Budget - 2026'!BO:BO,'Budget - 2026'!B:B,D1)</f>
        <v>376</v>
      </c>
      <c r="H22" s="197">
        <f>F22/G22</f>
        <v>104.50292553191488</v>
      </c>
      <c r="I22" s="194"/>
      <c r="J22" s="195">
        <f>SUMIFS('Budget - 2026'!BN:BN,'Budget - 2026'!C:C,D4,'Budget - 2026'!$E:$E,G1)</f>
        <v>73450.2</v>
      </c>
      <c r="K22" s="196">
        <f>SUMIFS('Budget - 2026'!BO:BO,'Budget - 2026'!C:C,D4,'Budget - 2026'!$E:$E,G1)</f>
        <v>589</v>
      </c>
      <c r="L22" s="197">
        <f>J22/K22</f>
        <v>124.70322580645161</v>
      </c>
      <c r="M22" s="194"/>
      <c r="N22" s="195">
        <f>SUMIFS('Budget - 2026'!BN:BN,'Budget - 2026'!E:E,G1)</f>
        <v>1365255.0300000003</v>
      </c>
      <c r="O22" s="196">
        <f>SUMIFS('Budget - 2026'!BO:BO,'Budget - 2026'!E:E,G1)</f>
        <v>9305</v>
      </c>
      <c r="P22" s="197">
        <f>N22/O22</f>
        <v>146.72273293927998</v>
      </c>
      <c r="S22" s="98">
        <f>F19</f>
        <v>21335.9</v>
      </c>
    </row>
    <row r="23" spans="2:19" s="54" customFormat="1" ht="28.9" customHeight="1" thickBot="1">
      <c r="D23" s="199" t="s">
        <v>105</v>
      </c>
      <c r="E23" s="194"/>
      <c r="F23" s="200">
        <f>(F19-F22)/F22</f>
        <v>-0.45700644642443577</v>
      </c>
      <c r="G23" s="200">
        <f>(G19-G22)/G22</f>
        <v>-0.55851063829787229</v>
      </c>
      <c r="H23" s="200">
        <f>(H19-H22)/H22</f>
        <v>0.22991310930368769</v>
      </c>
      <c r="I23" s="194"/>
      <c r="J23" s="200">
        <f>(J19-J22)/J22</f>
        <v>-4.1506081671663114E-2</v>
      </c>
      <c r="K23" s="200">
        <f>(K19-K22)/K22</f>
        <v>-0.34974533106960953</v>
      </c>
      <c r="L23" s="200">
        <f>(L19-L22)/L22</f>
        <v>0.474028506254283</v>
      </c>
      <c r="M23" s="107"/>
      <c r="N23" s="200">
        <f>(N19-N22)/N22</f>
        <v>3.8341481151693613E-2</v>
      </c>
      <c r="O23" s="200">
        <f>(O19-O22)/O22</f>
        <v>-0.1478774852229984</v>
      </c>
      <c r="P23" s="200">
        <f>(P19-P22)/P22</f>
        <v>0.21853543727033783</v>
      </c>
      <c r="S23" s="321">
        <f>SUM(S21:S22)</f>
        <v>789335.9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250</v>
      </c>
      <c r="E25" s="222"/>
      <c r="F25" s="223">
        <f>SUM(F19,F13,F7)</f>
        <v>216184.45</v>
      </c>
      <c r="G25" s="224">
        <f t="shared" ref="G25" si="0">SUM(G19,G13,G7)</f>
        <v>1613</v>
      </c>
      <c r="H25" s="223">
        <f>F25/G25</f>
        <v>134.02631742095474</v>
      </c>
      <c r="I25" s="76"/>
      <c r="J25" s="223">
        <f>SUM(J19,J13,J7)</f>
        <v>458845.51</v>
      </c>
      <c r="K25" s="224">
        <f t="shared" ref="K25" si="1">SUM(K19,K13,K7)</f>
        <v>3884</v>
      </c>
      <c r="L25" s="223">
        <f>J25/K25</f>
        <v>118.13736096807415</v>
      </c>
      <c r="N25" s="223">
        <f>SUM(N19,N13,N7)</f>
        <v>9879239.8900000006</v>
      </c>
      <c r="O25" s="224">
        <f t="shared" ref="O25" si="2">SUM(O19,O13,O7)</f>
        <v>89661</v>
      </c>
      <c r="P25" s="223">
        <f>N25/O25</f>
        <v>110.18435986660867</v>
      </c>
      <c r="S25" s="324">
        <f>S23-S24</f>
        <v>-239258.09999999998</v>
      </c>
    </row>
    <row r="26" spans="2:19" ht="28.9" customHeight="1">
      <c r="D26" s="209" t="s">
        <v>78</v>
      </c>
      <c r="E26" s="210"/>
      <c r="F26" s="211">
        <f>SUM(F20,F14,F8)</f>
        <v>232833.6792313492</v>
      </c>
      <c r="G26" s="212">
        <f>SUM(G20,G14,G8)</f>
        <v>2311</v>
      </c>
      <c r="H26" s="338">
        <f>F26/G26</f>
        <v>100.75018573403254</v>
      </c>
      <c r="I26" s="194"/>
      <c r="J26" s="211">
        <f>SUM(J20,J14,J8)</f>
        <v>456657.29846692708</v>
      </c>
      <c r="K26" s="212">
        <f>SUM(K20,K14,K8)</f>
        <v>4465</v>
      </c>
      <c r="L26" s="213">
        <f>J26/K26</f>
        <v>102.2748708772513</v>
      </c>
      <c r="M26" s="194"/>
      <c r="N26" s="211">
        <f>SUM(N20,N14,N8)</f>
        <v>9499960.5036640577</v>
      </c>
      <c r="O26" s="212">
        <f>SUM(O20,O14,O8)</f>
        <v>89161</v>
      </c>
      <c r="P26" s="213">
        <f>N26/O26</f>
        <v>106.54838442440145</v>
      </c>
    </row>
    <row r="27" spans="2:19" s="54" customFormat="1" ht="28.9" customHeight="1">
      <c r="D27" s="214" t="s">
        <v>105</v>
      </c>
      <c r="E27" s="210"/>
      <c r="F27" s="215">
        <f>(F25-F26)/F26</f>
        <v>-7.1506962765494564E-2</v>
      </c>
      <c r="G27" s="215">
        <f>(G25-G26)/G26</f>
        <v>-0.30203375162267415</v>
      </c>
      <c r="H27" s="215">
        <f>(H25-H26)/H26</f>
        <v>0.33028357659574825</v>
      </c>
      <c r="I27" s="194"/>
      <c r="J27" s="215">
        <f>(J25-J26)/J26</f>
        <v>4.7918023875214762E-3</v>
      </c>
      <c r="K27" s="215">
        <f>(K25-K26)/K26</f>
        <v>-0.13012318029115341</v>
      </c>
      <c r="L27" s="215">
        <f>(L25-L26)/L26</f>
        <v>0.15509665233271971</v>
      </c>
      <c r="M27" s="107"/>
      <c r="N27" s="215">
        <f>(N25-N26)/N26</f>
        <v>3.9924311915787221E-2</v>
      </c>
      <c r="O27" s="215">
        <f>(O25-O26)/O26</f>
        <v>5.6078330211639616E-3</v>
      </c>
      <c r="P27" s="215">
        <f>(P25-P26)/P26</f>
        <v>3.4125110970472147E-2</v>
      </c>
    </row>
    <row r="28" spans="2:19" ht="28.9" customHeight="1">
      <c r="D28" s="198">
        <v>2025</v>
      </c>
      <c r="E28" s="194"/>
      <c r="F28" s="195">
        <f>SUM(F10,F16,F22)</f>
        <v>236246.37</v>
      </c>
      <c r="G28" s="196">
        <f>SUM(G10,G16,G22)</f>
        <v>2339</v>
      </c>
      <c r="H28" s="197">
        <f>F28/G28</f>
        <v>101.00315091919623</v>
      </c>
      <c r="I28" s="194"/>
      <c r="J28" s="195">
        <f>SUM(J10,J16,J22)</f>
        <v>455255.92</v>
      </c>
      <c r="K28" s="196">
        <f>SUM(K10,K16,K22)</f>
        <v>4438</v>
      </c>
      <c r="L28" s="197">
        <f>J28/K28</f>
        <v>102.58132492113565</v>
      </c>
      <c r="M28" s="194"/>
      <c r="N28" s="195">
        <f>SUM(N10,N16,N22)</f>
        <v>9755641.2100000009</v>
      </c>
      <c r="O28" s="196">
        <f>SUM(O10,O16,O22)</f>
        <v>88617</v>
      </c>
      <c r="P28" s="197">
        <f>N28/O28</f>
        <v>110.08769434758568</v>
      </c>
    </row>
    <row r="29" spans="2:19" s="54" customFormat="1" ht="28.9" customHeight="1">
      <c r="D29" s="199" t="s">
        <v>105</v>
      </c>
      <c r="E29" s="194"/>
      <c r="F29" s="200">
        <f>(F25-F28)/F28</f>
        <v>-8.4919484688801714E-2</v>
      </c>
      <c r="G29" s="200">
        <f>(G25-G28)/G28</f>
        <v>-0.31038905515177428</v>
      </c>
      <c r="H29" s="200">
        <f>(H25-H28)/H28</f>
        <v>0.3269518445833185</v>
      </c>
      <c r="I29" s="194"/>
      <c r="J29" s="200">
        <f>(J25-J28)/J28</f>
        <v>7.8847739091454892E-3</v>
      </c>
      <c r="K29" s="200">
        <f>(K25-K28)/K28</f>
        <v>-0.12483100495718792</v>
      </c>
      <c r="L29" s="200">
        <f>(L25-L28)/L28</f>
        <v>0.1516458873864025</v>
      </c>
      <c r="M29" s="107"/>
      <c r="N29" s="200">
        <f>(N25-N28)/N28</f>
        <v>1.2669457326219123E-2</v>
      </c>
      <c r="O29" s="200">
        <f>(O25-O28)/O28</f>
        <v>1.1781035241545076E-2</v>
      </c>
      <c r="P29" s="200">
        <f>(P25-P28)/P28</f>
        <v>8.7807742360180912E-4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T10" sqref="T10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41</v>
      </c>
      <c r="F1" s="5">
        <f>VLOOKUP(D1,Dates!$B$2:$E$53,4,FALSE)</f>
        <v>41</v>
      </c>
      <c r="G1" s="5" t="b">
        <v>1</v>
      </c>
    </row>
    <row r="2" spans="3:16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482677.74999999994</v>
      </c>
      <c r="G7" s="196">
        <f>SUMIFS('Actual - 2026'!AP:AP,'Actual - 2026'!A:A,D1)</f>
        <v>2101</v>
      </c>
      <c r="H7" s="197">
        <f>F7/G7</f>
        <v>229.73714897667776</v>
      </c>
      <c r="I7" s="194"/>
      <c r="J7" s="195">
        <f>SUMIFS('Actual - 2026'!AO:AO,'Actual - 2026'!B:B,D4)</f>
        <v>857757.78</v>
      </c>
      <c r="K7" s="196">
        <f>SUMIFS('Actual - 2026'!AP:AP,'Actual - 2026'!B:B,D4)</f>
        <v>3907</v>
      </c>
      <c r="L7" s="197">
        <f>J7/K7</f>
        <v>219.54383926286152</v>
      </c>
      <c r="M7" s="194"/>
      <c r="N7" s="195">
        <f>SUMIFS('Actual - 2026'!AO:AO,'Actual - 2026'!D:D,G1)</f>
        <v>22847808.249999996</v>
      </c>
      <c r="O7" s="196">
        <f>SUMIFS('Actual - 2026'!AP:AP,'Actual - 2026'!D:D,G1)</f>
        <v>112842.40299999999</v>
      </c>
      <c r="P7" s="197">
        <f>N7/O7</f>
        <v>202.47537842667174</v>
      </c>
    </row>
    <row r="8" spans="3:16" ht="28.9" customHeight="1">
      <c r="D8" s="202" t="s">
        <v>78</v>
      </c>
      <c r="E8" s="203"/>
      <c r="F8" s="204">
        <f>SUMIFS('Budget - 2026'!BW:BW,'Budget - 2026'!B:B,D1)</f>
        <v>345361.16603506758</v>
      </c>
      <c r="G8" s="205">
        <f>SUMIFS('Budget - 2026'!BX:BX,'Budget - 2026'!B:B,D1)</f>
        <v>2242</v>
      </c>
      <c r="H8" s="206">
        <f>F8/G8</f>
        <v>154.04155487737179</v>
      </c>
      <c r="I8" s="194"/>
      <c r="J8" s="204">
        <f>SUMIFS('Budget - 2026'!BW:BW,'Budget - 2026'!C:C,D4,'Budget - 2026'!$E:$E,G1)</f>
        <v>678320.97633454553</v>
      </c>
      <c r="K8" s="205">
        <f>SUMIFS('Budget - 2026'!BX:BX,'Budget - 2026'!C:C,D4,'Budget - 2026'!$E:$E,G1)</f>
        <v>4370</v>
      </c>
      <c r="L8" s="206">
        <f>J8/K8</f>
        <v>155.22219138090287</v>
      </c>
      <c r="M8" s="194"/>
      <c r="N8" s="204">
        <f>SUMIFS('Budget - 2026'!BW:BW,'Budget - 2026'!E:E,G1)</f>
        <v>18336674.165435709</v>
      </c>
      <c r="O8" s="205">
        <f>SUMIFS('Budget - 2026'!BX:BX,'Budget - 2026'!E:E,G1)</f>
        <v>112972</v>
      </c>
      <c r="P8" s="206">
        <f>N8/O8</f>
        <v>162.31167161275104</v>
      </c>
    </row>
    <row r="9" spans="3:16" s="54" customFormat="1" ht="28.9" customHeight="1">
      <c r="D9" s="207" t="s">
        <v>105</v>
      </c>
      <c r="E9" s="203"/>
      <c r="F9" s="179">
        <f>(F7-F8)/F8</f>
        <v>0.39760285020287833</v>
      </c>
      <c r="G9" s="179">
        <f>(G7-G8)/G8</f>
        <v>-6.2890276538804635E-2</v>
      </c>
      <c r="H9" s="179">
        <f>(H7-H8)/H8</f>
        <v>0.49139723472387126</v>
      </c>
      <c r="I9" s="194"/>
      <c r="J9" s="179">
        <f>(J7-J8)/J8</f>
        <v>0.26453081936973288</v>
      </c>
      <c r="K9" s="179">
        <f>(K7-K8)/K8</f>
        <v>-0.10594965675057208</v>
      </c>
      <c r="L9" s="179">
        <f>(L7-L8)/L8</f>
        <v>0.41438435644886923</v>
      </c>
      <c r="M9" s="107"/>
      <c r="N9" s="179">
        <f>(N7-N8)/N8</f>
        <v>0.24601702816248386</v>
      </c>
      <c r="O9" s="179">
        <f>(O7-O8)/O8</f>
        <v>-1.1471603583189539E-3</v>
      </c>
      <c r="P9" s="179">
        <f>(P7-P8)/P8</f>
        <v>0.24744805111578605</v>
      </c>
    </row>
    <row r="10" spans="3:16" ht="28.9" customHeight="1">
      <c r="D10" s="198">
        <v>2025</v>
      </c>
      <c r="E10" s="194"/>
      <c r="F10" s="195">
        <f>SUMIFS('Budget - 2026'!CF:CF,'Budget - 2026'!B:B,D1)</f>
        <v>379896.64</v>
      </c>
      <c r="G10" s="196">
        <f>SUMIFS('Budget - 2026'!CG:CG,'Budget - 2026'!B:B,D1)</f>
        <v>2272</v>
      </c>
      <c r="H10" s="197">
        <f>F10/G10</f>
        <v>167.20802816901409</v>
      </c>
      <c r="I10" s="194"/>
      <c r="J10" s="195">
        <f>SUMIFS('Budget - 2026'!CF:CF,'Budget - 2026'!C:C,D4,'Budget - 2026'!$E:$E,G1)</f>
        <v>738125.3</v>
      </c>
      <c r="K10" s="196">
        <f>SUMIFS('Budget - 2026'!CG:CG,'Budget - 2026'!C:C,D4,'Budget - 2026'!$E:$E,G1)</f>
        <v>4410</v>
      </c>
      <c r="L10" s="197">
        <f>J10/K10</f>
        <v>167.3753514739229</v>
      </c>
      <c r="M10" s="194"/>
      <c r="N10" s="195">
        <f>SUMIFS('Budget - 2026'!CF:CF,'Budget - 2026'!E:E,G1)</f>
        <v>18526427.830000002</v>
      </c>
      <c r="O10" s="196">
        <f>SUMIFS('Budget - 2026'!CG:CG,'Budget - 2026'!E:E,G1)</f>
        <v>114352</v>
      </c>
      <c r="P10" s="197">
        <f>N10/O10</f>
        <v>162.01227639219255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0.27055019491617488</v>
      </c>
      <c r="G11" s="200">
        <f>IFERROR((G7-G10)/G10,0)</f>
        <v>-7.526408450704225E-2</v>
      </c>
      <c r="H11" s="200">
        <f>IFERROR((H7-H10)/H10,0)</f>
        <v>0.37396003943338868</v>
      </c>
      <c r="I11" s="194"/>
      <c r="J11" s="200">
        <f>IFERROR((J7-J10)/J10,0)</f>
        <v>0.16207611363544913</v>
      </c>
      <c r="K11" s="200">
        <f>IFERROR((K7-K10)/K10,0)</f>
        <v>-0.11405895691609977</v>
      </c>
      <c r="L11" s="200">
        <f>IFERROR((L7-L10)/L10,0)</f>
        <v>0.31168560561359882</v>
      </c>
      <c r="M11" s="107"/>
      <c r="N11" s="200">
        <f>IFERROR((N7-N10)/N10,0)</f>
        <v>0.2332549188463815</v>
      </c>
      <c r="O11" s="200">
        <f>IFERROR((O7-O10)/O10,0)</f>
        <v>-1.3201316986148112E-2</v>
      </c>
      <c r="P11" s="200">
        <f>IFERROR((P7-P10)/P10,0)</f>
        <v>0.24975330842539245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123959.95</v>
      </c>
      <c r="G13" s="196">
        <f>SUMIFS('Actual - 2026'!AM:AM,'Actual - 2026'!A:A,D1)</f>
        <v>826</v>
      </c>
      <c r="H13" s="197">
        <f>F13/G13</f>
        <v>150.07257869249395</v>
      </c>
      <c r="I13" s="194"/>
      <c r="J13" s="195">
        <f>SUMIFS('Actual - 2026'!AL:AL,'Actual - 2026'!B:B,D4)</f>
        <v>205326</v>
      </c>
      <c r="K13" s="196">
        <f>SUMIFS('Actual - 2026'!AM:AM,'Actual - 2026'!B:B,D4)</f>
        <v>1654</v>
      </c>
      <c r="L13" s="197">
        <f>J13/K13</f>
        <v>124.13905683192262</v>
      </c>
      <c r="M13" s="194"/>
      <c r="N13" s="195">
        <f>SUMIFS('Actual - 2026'!AL:AL,'Actual - 2026'!D:D,G1)</f>
        <v>5857448.8400000008</v>
      </c>
      <c r="O13" s="196">
        <f>SUMIFS('Actual - 2026'!AM:AM,'Actual - 2026'!D:D,G1)</f>
        <v>38949.597000000002</v>
      </c>
      <c r="P13" s="197">
        <f>N13/O13</f>
        <v>150.38535161223876</v>
      </c>
    </row>
    <row r="14" spans="3:16" ht="27.6" customHeight="1">
      <c r="D14" s="202" t="s">
        <v>78</v>
      </c>
      <c r="E14" s="203"/>
      <c r="F14" s="204">
        <f>SUMIFS('Budget - 2026'!BT:BT,'Budget - 2026'!B:B,D1)</f>
        <v>168360.3399257065</v>
      </c>
      <c r="G14" s="205">
        <f>SUMIFS('Budget - 2026'!BU:BU,'Budget - 2026'!B:B,D1)</f>
        <v>881</v>
      </c>
      <c r="H14" s="206">
        <f>F14/G14</f>
        <v>191.10140740715835</v>
      </c>
      <c r="I14" s="194"/>
      <c r="J14" s="204">
        <f>SUMIFS('Budget - 2026'!BT:BT,'Budget - 2026'!C:C,D4,'Budget - 2026'!$E:$E,G1)</f>
        <v>327426.1279311878</v>
      </c>
      <c r="K14" s="205">
        <f>SUMIFS('Budget - 2026'!BU:BU,'Budget - 2026'!C:C,D4,'Budget - 2026'!$E:$E,G1)</f>
        <v>1734</v>
      </c>
      <c r="L14" s="206">
        <f>J14/K14</f>
        <v>188.82706339745548</v>
      </c>
      <c r="M14" s="194"/>
      <c r="N14" s="204">
        <f>SUMIFS('Budget - 2026'!BT:BT,'Budget - 2026'!E:E,G1)</f>
        <v>8272429.2586908834</v>
      </c>
      <c r="O14" s="205">
        <f>SUMIFS('Budget - 2026'!BU:BU,'Budget - 2026'!E:E,G1)</f>
        <v>43778.75</v>
      </c>
      <c r="P14" s="206">
        <f>N14/O14</f>
        <v>188.95992367737506</v>
      </c>
    </row>
    <row r="15" spans="3:16" s="54" customFormat="1" ht="28.9" customHeight="1">
      <c r="D15" s="207" t="s">
        <v>105</v>
      </c>
      <c r="E15" s="203"/>
      <c r="F15" s="179">
        <f>(F13-F14)/F14</f>
        <v>-0.26372238227423017</v>
      </c>
      <c r="G15" s="179">
        <f>(G13-G14)/G14</f>
        <v>-6.2429057888762768E-2</v>
      </c>
      <c r="H15" s="179">
        <f>(H13-H14)/H14</f>
        <v>-0.21469663290992344</v>
      </c>
      <c r="I15" s="194"/>
      <c r="J15" s="179">
        <f>(J13-J14)/J14</f>
        <v>-0.37290893278024678</v>
      </c>
      <c r="K15" s="179">
        <f>(K13-K14)/K14</f>
        <v>-4.61361014994233E-2</v>
      </c>
      <c r="L15" s="179">
        <f>(L13-L14)/L14</f>
        <v>-0.34257804682040383</v>
      </c>
      <c r="M15" s="107"/>
      <c r="N15" s="179">
        <f>(N13-N14)/N14</f>
        <v>-0.2919312263871876</v>
      </c>
      <c r="O15" s="179">
        <f>(O13-O14)/O14</f>
        <v>-0.11030815178596919</v>
      </c>
      <c r="P15" s="179">
        <f>(P13-P14)/P14</f>
        <v>-0.20414155189328639</v>
      </c>
    </row>
    <row r="16" spans="3:16" ht="28.9" customHeight="1">
      <c r="D16" s="198">
        <v>2025</v>
      </c>
      <c r="E16" s="194"/>
      <c r="F16" s="195">
        <f>SUMIFS('Budget - 2026'!CC:CC,'Budget - 2026'!B:B,D1)</f>
        <v>115893.2</v>
      </c>
      <c r="G16" s="196">
        <f>SUMIFS('Budget - 2026'!CD:CD,'Budget - 2026'!B:B,D1)</f>
        <v>851</v>
      </c>
      <c r="H16" s="197">
        <f>F16/G16</f>
        <v>136.18472385428908</v>
      </c>
      <c r="I16" s="194"/>
      <c r="J16" s="195">
        <f>SUMIFS('Budget - 2026'!CC:CC,'Budget - 2026'!C:C,D4,'Budget - 2026'!$E:$E,G1)</f>
        <v>249284.75</v>
      </c>
      <c r="K16" s="196">
        <f>SUMIFS('Budget - 2026'!CD:CD,'Budget - 2026'!C:C,D4,'Budget - 2026'!$E:$E,G1)</f>
        <v>1696</v>
      </c>
      <c r="L16" s="197">
        <f>J16/K16</f>
        <v>146.98393278301887</v>
      </c>
      <c r="M16" s="194"/>
      <c r="N16" s="195">
        <f>SUMIFS('Budget - 2026'!CC:CC,'Budget - 2026'!E:E,G1)</f>
        <v>6028148.5199999986</v>
      </c>
      <c r="O16" s="196">
        <f>SUMIFS('Budget - 2026'!CD:CD,'Budget - 2026'!E:E,G1)</f>
        <v>37250</v>
      </c>
      <c r="P16" s="197">
        <f>N16/O16</f>
        <v>161.82949046979863</v>
      </c>
    </row>
    <row r="17" spans="4:19" ht="28.9" customHeight="1" thickBot="1">
      <c r="D17" s="199" t="s">
        <v>105</v>
      </c>
      <c r="E17" s="194"/>
      <c r="F17" s="200">
        <f>IFERROR((F13-F16)/F16,0)</f>
        <v>6.9605032909609885E-2</v>
      </c>
      <c r="G17" s="200">
        <f>IFERROR((G13-G16)/G16,0)</f>
        <v>-2.9377203290246769E-2</v>
      </c>
      <c r="H17" s="200">
        <f>IFERROR((H13-H16)/H16,0)</f>
        <v>0.10197806659331476</v>
      </c>
      <c r="I17" s="194"/>
      <c r="J17" s="200">
        <f>IFERROR((J13-J16)/J16,0)</f>
        <v>-0.17633950733047249</v>
      </c>
      <c r="K17" s="200">
        <f>IFERROR((K13-K16)/K16,0)</f>
        <v>-2.4764150943396228E-2</v>
      </c>
      <c r="L17" s="200">
        <f>IFERROR((L13-L16)/L16,0)</f>
        <v>-0.15542430739569607</v>
      </c>
      <c r="M17" s="107"/>
      <c r="N17" s="200">
        <f>IFERROR((N13-N16)/N16,0)</f>
        <v>-2.8317099260851967E-2</v>
      </c>
      <c r="O17" s="200">
        <f>IFERROR((O13-O16)/O16,0)</f>
        <v>4.5626765100671186E-2</v>
      </c>
      <c r="P17" s="200">
        <f>IFERROR((P13-P16)/P16,0)</f>
        <v>-7.0717264352356229E-2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250</v>
      </c>
      <c r="E31" s="222"/>
      <c r="F31" s="223">
        <f>SUM(F7,F13,F19,F25)</f>
        <v>606637.69999999995</v>
      </c>
      <c r="G31" s="224">
        <f>SUM(G7,G13,G19,G25)</f>
        <v>2927</v>
      </c>
      <c r="H31" s="225">
        <f>F31/G31</f>
        <v>207.25579091219677</v>
      </c>
      <c r="I31" s="76"/>
      <c r="J31" s="223">
        <f>SUM(J7,J13,J19,J25)</f>
        <v>1063083.78</v>
      </c>
      <c r="K31" s="224">
        <f>SUM(K7,K13,K19,K25)</f>
        <v>5561</v>
      </c>
      <c r="L31" s="225">
        <f>J31/K31</f>
        <v>191.16773601870167</v>
      </c>
      <c r="N31" s="223">
        <f>SUM(N7,N13,N19,N25)</f>
        <v>28705257.089999996</v>
      </c>
      <c r="O31" s="224">
        <f>SUM(O7,O13,O19,O25)</f>
        <v>151792</v>
      </c>
      <c r="P31" s="225">
        <f>N31/O31</f>
        <v>189.10915654316432</v>
      </c>
    </row>
    <row r="32" spans="4:19" ht="28.9" customHeight="1">
      <c r="D32" s="209" t="s">
        <v>78</v>
      </c>
      <c r="E32" s="210"/>
      <c r="F32" s="211">
        <f>SUM(F8,F14,F20,F26)</f>
        <v>513721.50596077408</v>
      </c>
      <c r="G32" s="212">
        <f>SUM(G8,G14,G20,G26)</f>
        <v>3123</v>
      </c>
      <c r="H32" s="213">
        <f>F32/G32</f>
        <v>164.49615944949539</v>
      </c>
      <c r="I32" s="194"/>
      <c r="J32" s="211">
        <f>SUM(J8,J14,J20,J26)</f>
        <v>1005747.1042657334</v>
      </c>
      <c r="K32" s="212">
        <f>SUM(K8,K14,K20,K26)</f>
        <v>6104</v>
      </c>
      <c r="L32" s="213">
        <f>J32/K32</f>
        <v>164.76852953239407</v>
      </c>
      <c r="M32" s="194"/>
      <c r="N32" s="211">
        <f>SUM(N8,N14,N20,N26)</f>
        <v>26609103.424126592</v>
      </c>
      <c r="O32" s="212">
        <f>SUM(O8,O14,O20,O26)</f>
        <v>156750.75</v>
      </c>
      <c r="P32" s="213">
        <f>N32/O32</f>
        <v>169.75423354673958</v>
      </c>
    </row>
    <row r="33" spans="4:16" s="54" customFormat="1" ht="28.9" customHeight="1">
      <c r="D33" s="214" t="s">
        <v>105</v>
      </c>
      <c r="E33" s="210"/>
      <c r="F33" s="215">
        <f>(F31-F32)/F32</f>
        <v>0.18086880335183128</v>
      </c>
      <c r="G33" s="215">
        <f>(G31-G32)/G32</f>
        <v>-6.2760166506564199E-2</v>
      </c>
      <c r="H33" s="215">
        <f>(H31-H32)/H32</f>
        <v>0.25994303821925824</v>
      </c>
      <c r="I33" s="194"/>
      <c r="J33" s="215">
        <f>(J31-J32)/J32</f>
        <v>5.7009038843941262E-2</v>
      </c>
      <c r="K33" s="215">
        <f>(K31-K32)/K32</f>
        <v>-8.8958060288335514E-2</v>
      </c>
      <c r="L33" s="215">
        <f>(L31-L32)/L32</f>
        <v>0.16021995560212504</v>
      </c>
      <c r="M33" s="107"/>
      <c r="N33" s="215">
        <f>(N31-N32)/N32</f>
        <v>7.877580963411239E-2</v>
      </c>
      <c r="O33" s="215">
        <f>(O31-O32)/O32</f>
        <v>-3.163461737822626E-2</v>
      </c>
      <c r="P33" s="215">
        <f>(P31-P32)/P32</f>
        <v>0.11401732134766236</v>
      </c>
    </row>
    <row r="34" spans="4:16" ht="28.9" customHeight="1">
      <c r="D34" s="198">
        <v>2025</v>
      </c>
      <c r="E34" s="194"/>
      <c r="F34" s="195">
        <f>SUM(F10,F16,F22,F28)</f>
        <v>495789.84</v>
      </c>
      <c r="G34" s="253">
        <f>SUM(G10,G16,G22,G28)</f>
        <v>3123</v>
      </c>
      <c r="H34" s="197">
        <f>F34/G34</f>
        <v>158.7543515850144</v>
      </c>
      <c r="I34" s="194"/>
      <c r="J34" s="195">
        <f>SUM(J10,J16,J22,J28)</f>
        <v>987410.05</v>
      </c>
      <c r="K34" s="253">
        <f>SUM(K10,K16,K22,K28)</f>
        <v>6106</v>
      </c>
      <c r="L34" s="197">
        <f>J34/K34</f>
        <v>161.71143956763839</v>
      </c>
      <c r="M34" s="194"/>
      <c r="N34" s="195">
        <f>SUM(N10,N16,N22,N28)</f>
        <v>24554576.350000001</v>
      </c>
      <c r="O34" s="253">
        <f>SUM(O10,O16,O22,O28)</f>
        <v>151602</v>
      </c>
      <c r="P34" s="197">
        <f>N34/O34</f>
        <v>161.96736421683093</v>
      </c>
    </row>
    <row r="35" spans="4:16" ht="28.9" customHeight="1">
      <c r="D35" s="199" t="s">
        <v>105</v>
      </c>
      <c r="E35" s="194"/>
      <c r="F35" s="200">
        <f>IFERROR((F31-F34)/F34,0)</f>
        <v>0.2235783210079495</v>
      </c>
      <c r="G35" s="200">
        <f>IFERROR((G31-G34)/G34,0)</f>
        <v>-6.2760166506564199E-2</v>
      </c>
      <c r="H35" s="200">
        <f>IFERROR((H31-H34)/H34,0)</f>
        <v>0.30551250307749456</v>
      </c>
      <c r="I35" s="194"/>
      <c r="J35" s="200">
        <f>IFERROR((J31-J34)/J34,0)</f>
        <v>7.6638606220384306E-2</v>
      </c>
      <c r="K35" s="200">
        <f>IFERROR((K31-K34)/K34,0)</f>
        <v>-8.9256469046839176E-2</v>
      </c>
      <c r="L35" s="200">
        <f>IFERROR((L31-L34)/L34,0)</f>
        <v>0.18215344894473415</v>
      </c>
      <c r="M35" s="107"/>
      <c r="N35" s="200">
        <f>IFERROR((N31-N34)/N34,0)</f>
        <v>0.16903898812328702</v>
      </c>
      <c r="O35" s="200">
        <f>IFERROR((O31-O34)/O34,0)</f>
        <v>1.253281618976003E-3</v>
      </c>
      <c r="P35" s="200">
        <f>IFERROR((P31-P34)/P34,0)</f>
        <v>0.1675756869760367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41</v>
      </c>
      <c r="F1" s="5">
        <f>VLOOKUP(D1,Dates!$B$2:$E$53,4,FALSE)</f>
        <v>41</v>
      </c>
      <c r="G1" s="5" t="b">
        <v>1</v>
      </c>
    </row>
    <row r="2" spans="3:24" ht="28.5">
      <c r="D2" s="400" t="s">
        <v>246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128927</v>
      </c>
      <c r="G7" s="196">
        <f>SUMIFS('Actual - 2026'!BQ:BQ,'Actual - 2026'!$A:$A,$D$1)</f>
        <v>494</v>
      </c>
      <c r="H7" s="197">
        <f>IFERROR(F7/G7,0)</f>
        <v>260.98582995951415</v>
      </c>
      <c r="I7" s="194"/>
      <c r="J7" s="195">
        <f>SUMIFS('Actual - 2026'!BP:BP,'Actual - 2026'!$B:$B,$D$4)</f>
        <v>239047.65</v>
      </c>
      <c r="K7" s="196">
        <f>SUMIFS('Actual - 2026'!BQ:BQ,'Actual - 2026'!$B:$B,$D$4)</f>
        <v>930</v>
      </c>
      <c r="L7" s="197">
        <f>IFERROR(J7/K7,0)</f>
        <v>257.04048387096776</v>
      </c>
      <c r="M7" s="194"/>
      <c r="N7" s="195">
        <f>SUMIFS('Actual - 2026'!BP:BP,'Actual - 2026'!$D:$D,$G$1)</f>
        <v>5198070.7799999993</v>
      </c>
      <c r="O7" s="196">
        <f>SUMIFS('Actual - 2026'!BQ:BQ,'Actual - 2026'!$D:$D,$G$1)</f>
        <v>15761</v>
      </c>
      <c r="P7" s="197">
        <f>IFERROR(N7/O7,0)</f>
        <v>329.80589937186721</v>
      </c>
    </row>
    <row r="8" spans="3:24" ht="28.9" customHeight="1">
      <c r="D8" s="202" t="s">
        <v>78</v>
      </c>
      <c r="E8" s="203"/>
      <c r="F8" s="204">
        <f>SUMIFS('Budget - 2026'!DP:DP,'Budget - 2026'!$B:$B,$D$1)</f>
        <v>178238.10246097873</v>
      </c>
      <c r="G8" s="205">
        <f>SUMIFS('Budget - 2026'!DQ:DQ,'Budget - 2026'!$B:$B,$D$1)</f>
        <v>712.5</v>
      </c>
      <c r="H8" s="206">
        <f>IFERROR(F8/G8,0)</f>
        <v>250.15874029611049</v>
      </c>
      <c r="I8" s="194"/>
      <c r="J8" s="204">
        <f>SUMIFS('Budget - 2026'!DP:DP,'Budget - 2026'!$C:$C,$D$4,'Budget - 2026'!$E:$E,$G$1)</f>
        <v>356476.20492195745</v>
      </c>
      <c r="K8" s="205">
        <f>SUMIFS('Budget - 2026'!DQ:DQ,'Budget - 2026'!$C:$C,$D$4,'Budget - 2026'!$E:$E,$G$1)</f>
        <v>1425</v>
      </c>
      <c r="L8" s="206">
        <f>IFERROR(J8/K8,0)</f>
        <v>250.15874029611049</v>
      </c>
      <c r="M8" s="194"/>
      <c r="N8" s="204">
        <f>SUMIFS('Budget - 2026'!DP:DP,'Budget - 2026'!$E:$E,$G$1)</f>
        <v>6817339.385149477</v>
      </c>
      <c r="O8" s="205">
        <f>SUMIFS('Budget - 2026'!DQ:DQ,'Budget - 2026'!$E:$E,$G$1)</f>
        <v>25860</v>
      </c>
      <c r="P8" s="206">
        <f>IFERROR(N8/O8,0)</f>
        <v>263.62487954947704</v>
      </c>
    </row>
    <row r="9" spans="3:24" s="54" customFormat="1" ht="28.9" customHeight="1">
      <c r="D9" s="207" t="s">
        <v>105</v>
      </c>
      <c r="E9" s="203"/>
      <c r="F9" s="179">
        <f>IFERROR((F7-F8)/F8,0)</f>
        <v>-0.27665859196281728</v>
      </c>
      <c r="G9" s="179">
        <f>IFERROR((G7-G8)/G8,0)</f>
        <v>-0.30666666666666664</v>
      </c>
      <c r="H9" s="179">
        <f>IFERROR((H7-H8)/H8,0)</f>
        <v>4.3280876976705802E-2</v>
      </c>
      <c r="I9" s="194"/>
      <c r="J9" s="179">
        <f>IFERROR((J7-J8)/J8,0)</f>
        <v>-0.32941484817385169</v>
      </c>
      <c r="K9" s="179">
        <f>IFERROR((K7-K8)/K8,0)</f>
        <v>-0.3473684210526316</v>
      </c>
      <c r="L9" s="179">
        <f>IFERROR((L7-L8)/L8,0)</f>
        <v>2.7509506830388632E-2</v>
      </c>
      <c r="M9" s="107"/>
      <c r="N9" s="179">
        <f>IFERROR((N7-N8)/N8,0)</f>
        <v>-0.23752207623355304</v>
      </c>
      <c r="O9" s="179">
        <f>IFERROR((O7-O8)/O8,0)</f>
        <v>-0.39052590873936582</v>
      </c>
      <c r="P9" s="179">
        <f>IFERROR((P7-P8)/P8,0)</f>
        <v>0.25104238998796519</v>
      </c>
      <c r="Q9" s="187">
        <f>L8*K8</f>
        <v>356476.20492195745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6337</v>
      </c>
      <c r="G13" s="196">
        <f>SUMIFS('Actual - 2026'!BT:BT,'Actual - 2026'!$A:$A,$D$1)</f>
        <v>40</v>
      </c>
      <c r="H13" s="197">
        <f>IFERROR(F13/G13,0)</f>
        <v>158.42500000000001</v>
      </c>
      <c r="I13" s="194"/>
      <c r="J13" s="195">
        <f>SUMIFS('Actual - 2026'!BS:BS,'Actual - 2026'!$B:$B,$D$4)</f>
        <v>28400.1</v>
      </c>
      <c r="K13" s="196">
        <f>SUMIFS('Actual - 2026'!BT:BT,'Actual - 2026'!$B:$B,$D$4)</f>
        <v>228</v>
      </c>
      <c r="L13" s="197">
        <f>IFERROR(J13/K13,0)</f>
        <v>124.56184210526315</v>
      </c>
      <c r="M13" s="194"/>
      <c r="N13" s="195">
        <f>SUMIFS('Actual - 2026'!BS:BS,'Actual - 2026'!$D:$D,$G$1)</f>
        <v>1340529.46</v>
      </c>
      <c r="O13" s="196">
        <f>SUMIFS('Actual - 2026'!BT:BT,'Actual - 2026'!$D:$D,$G$1)</f>
        <v>8785</v>
      </c>
      <c r="P13" s="197">
        <f>IFERROR(N13/O13,0)</f>
        <v>152.59299487763232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45600</v>
      </c>
      <c r="K14" s="205">
        <f>SUMIFS('Budget - 2026'!DT:DT,'Budget - 2026'!$C:$C,D4,'Budget - 2026'!$E:$E,$G$1)</f>
        <v>240</v>
      </c>
      <c r="L14" s="206">
        <f>IFERROR(J14/K14,0)</f>
        <v>190</v>
      </c>
      <c r="M14" s="194"/>
      <c r="N14" s="204">
        <f>SUMIFS('Budget - 2026'!DS:DS,'Budget - 2026'!$E:$E,$G$1)</f>
        <v>1538100</v>
      </c>
      <c r="O14" s="205">
        <f>SUMIFS('Budget - 2026'!DT:DT,'Budget - 2026'!$E:$E,$G$1)</f>
        <v>7830</v>
      </c>
      <c r="P14" s="206">
        <f>IFERROR(N14/O14,0)</f>
        <v>196.43678160919541</v>
      </c>
    </row>
    <row r="15" spans="3:24" s="54" customFormat="1" ht="28.9" customHeight="1">
      <c r="D15" s="207" t="s">
        <v>105</v>
      </c>
      <c r="E15" s="203"/>
      <c r="F15" s="179">
        <f>IFERROR((F13-F14)/F14,0)</f>
        <v>-0.7220614035087719</v>
      </c>
      <c r="G15" s="179">
        <f>IFERROR((G13-G14)/G14,0)</f>
        <v>-0.66666666666666663</v>
      </c>
      <c r="H15" s="179">
        <f>IFERROR((H13-H14)/H14,0)</f>
        <v>-0.16618421052631574</v>
      </c>
      <c r="I15" s="194"/>
      <c r="J15" s="179">
        <f>IFERROR((J13-J14)/J14,0)</f>
        <v>-0.37719078947368423</v>
      </c>
      <c r="K15" s="179">
        <f>IFERROR((K13-K14)/K14,0)</f>
        <v>-0.05</v>
      </c>
      <c r="L15" s="179">
        <f>IFERROR((L13-L14)/L14,0)</f>
        <v>-0.34441135734072026</v>
      </c>
      <c r="M15" s="107"/>
      <c r="N15" s="179">
        <f>IFERROR((N13-N14)/N14,0)</f>
        <v>-0.12845103699369353</v>
      </c>
      <c r="O15" s="179">
        <f>IFERROR((O13-O14)/O14,0)</f>
        <v>0.12196679438058748</v>
      </c>
      <c r="P15" s="179">
        <f>IFERROR((P13-P14)/P14,0)</f>
        <v>-0.22319540349011049</v>
      </c>
      <c r="Q15" s="187">
        <f>L14*K14</f>
        <v>45600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250</v>
      </c>
      <c r="E19" s="220"/>
      <c r="F19" s="218">
        <f>SUM(F7,F13)</f>
        <v>135264</v>
      </c>
      <c r="G19" s="219">
        <f t="shared" ref="G19" si="0">SUM(G7,G13)</f>
        <v>534</v>
      </c>
      <c r="H19" s="218">
        <f>IFERROR(F19/G19,0)</f>
        <v>253.30337078651687</v>
      </c>
      <c r="J19" s="218">
        <f>SUM(J7,J13)</f>
        <v>267447.75</v>
      </c>
      <c r="K19" s="219">
        <f t="shared" ref="K19:O19" si="1">SUM(K7,K13)</f>
        <v>1158</v>
      </c>
      <c r="L19" s="218">
        <f>IFERROR(J19/K19,0)</f>
        <v>230.95660621761658</v>
      </c>
      <c r="N19" s="218">
        <f>SUM(N7,N13)</f>
        <v>6538600.2399999993</v>
      </c>
      <c r="O19" s="219">
        <f t="shared" si="1"/>
        <v>24546</v>
      </c>
      <c r="P19" s="218">
        <f>IFERROR(N19/O19,0)</f>
        <v>266.38149759634967</v>
      </c>
      <c r="Q19" s="49"/>
    </row>
    <row r="20" spans="2:21" ht="28.9" customHeight="1">
      <c r="D20" s="209" t="s">
        <v>78</v>
      </c>
      <c r="E20" s="210"/>
      <c r="F20" s="211">
        <f>SUM(F8,F14)</f>
        <v>201038.10246097873</v>
      </c>
      <c r="G20" s="212">
        <f>SUM(G8,G14)</f>
        <v>832.5</v>
      </c>
      <c r="H20" s="213">
        <f>IFERROR(F20/G20,0)</f>
        <v>241.48721016333781</v>
      </c>
      <c r="I20" s="194"/>
      <c r="J20" s="211">
        <f>SUM(J8,J14)</f>
        <v>402076.20492195745</v>
      </c>
      <c r="K20" s="212">
        <f>SUM(K8,K14)</f>
        <v>1665</v>
      </c>
      <c r="L20" s="213">
        <f>IFERROR(J20/K20,0)</f>
        <v>241.48721016333781</v>
      </c>
      <c r="M20" s="194"/>
      <c r="N20" s="211">
        <f>SUM(N8,N14)</f>
        <v>8355439.385149477</v>
      </c>
      <c r="O20" s="212">
        <f>SUM(O8,O14)</f>
        <v>33690</v>
      </c>
      <c r="P20" s="213">
        <f>IFERROR(N20/O20,0)</f>
        <v>248.00948011722994</v>
      </c>
    </row>
    <row r="21" spans="2:21" s="54" customFormat="1" ht="28.9" customHeight="1">
      <c r="D21" s="214" t="s">
        <v>105</v>
      </c>
      <c r="E21" s="210"/>
      <c r="F21" s="215">
        <f>IFERROR((F19-F20)/F20,0)</f>
        <v>-0.32717232035029481</v>
      </c>
      <c r="G21" s="215">
        <f>IFERROR((G19-G20)/G20,0)</f>
        <v>-0.35855855855855856</v>
      </c>
      <c r="H21" s="215">
        <f>IFERROR((H19-H20)/H20,0)</f>
        <v>4.8930792712321328E-2</v>
      </c>
      <c r="I21" s="194"/>
      <c r="J21" s="215">
        <f>IFERROR((J19-J20)/J20,0)</f>
        <v>-0.33483318155594083</v>
      </c>
      <c r="K21" s="215">
        <f>IFERROR((K19-K20)/K20,0)</f>
        <v>-0.3045045045045045</v>
      </c>
      <c r="L21" s="215">
        <f>IFERROR((L19-L20)/L20,0)</f>
        <v>-4.3607294724215435E-2</v>
      </c>
      <c r="M21" s="107"/>
      <c r="N21" s="215">
        <f>IFERROR((N19-N20)/N20,0)</f>
        <v>-0.21744387834093237</v>
      </c>
      <c r="O21" s="215">
        <f>IFERROR((O19-O20)/O20,0)</f>
        <v>-0.27141585040071237</v>
      </c>
      <c r="P21" s="215">
        <f>IFERROR((P19-P20)/P20,0)</f>
        <v>7.4077883919742057E-2</v>
      </c>
      <c r="Q21" s="187">
        <f>L20*K20</f>
        <v>402076.20492195745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135264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903264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-125330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41</v>
      </c>
      <c r="F1" s="5">
        <f>VLOOKUP(D1,Dates!$B$2:$E$53,4,FALSE)</f>
        <v>41</v>
      </c>
      <c r="G1" s="5" t="b">
        <v>1</v>
      </c>
    </row>
    <row r="2" spans="3:16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241362.07</v>
      </c>
      <c r="G7" s="196">
        <f>SUMIFS('Actual - 2026'!AY:AY,'Actual - 2026'!A:A,D1)</f>
        <v>1769</v>
      </c>
      <c r="H7" s="197">
        <f>F7/G7</f>
        <v>136.43983606557379</v>
      </c>
      <c r="I7" s="194"/>
      <c r="J7" s="195">
        <f>SUMIFS('Actual - 2026'!AX:AX,'Actual - 2026'!B:B,D4)</f>
        <v>533348.53</v>
      </c>
      <c r="K7" s="196">
        <f>SUMIFS('Actual - 2026'!AY:AY,'Actual - 2026'!B:B,D4)</f>
        <v>3395</v>
      </c>
      <c r="L7" s="197">
        <f>J7/K7</f>
        <v>157.09824153166423</v>
      </c>
      <c r="M7" s="194"/>
      <c r="N7" s="195">
        <f>SUMIFS('Actual - 2026'!AX:AX,'Actual - 2026'!D:D,G1)</f>
        <v>11672226.300000001</v>
      </c>
      <c r="O7" s="196">
        <f>SUMIFS('Actual - 2026'!AY:AY,'Actual - 2026'!D:D,G1)</f>
        <v>75340</v>
      </c>
      <c r="P7" s="197">
        <f>N7/O7</f>
        <v>154.92734669498276</v>
      </c>
    </row>
    <row r="8" spans="3:16" ht="28.9" customHeight="1">
      <c r="D8" s="202" t="s">
        <v>78</v>
      </c>
      <c r="E8" s="203"/>
      <c r="F8" s="204">
        <f>SUMIFS('Budget - 2026'!CX:CX,'Budget - 2026'!B:B,D1)</f>
        <v>263573.43000000005</v>
      </c>
      <c r="G8" s="205">
        <f>SUMIFS('Budget - 2026'!CY:CY,'Budget - 2026'!B:B,D1)</f>
        <v>1627</v>
      </c>
      <c r="H8" s="206">
        <f>F8/G8</f>
        <v>161.99964966195455</v>
      </c>
      <c r="I8" s="194"/>
      <c r="J8" s="204">
        <f>SUMIFS('Budget - 2026'!CX:CX,'Budget - 2026'!C:C,D4,'Budget - 2026'!$E:$E,G1)</f>
        <v>522045.39000000007</v>
      </c>
      <c r="K8" s="205">
        <f>SUMIFS('Budget - 2026'!CY:CY,'Budget - 2026'!C:C,D4,'Budget - 2026'!$E:$E,G1)</f>
        <v>3220</v>
      </c>
      <c r="L8" s="206">
        <f>J8/K8</f>
        <v>162.12589751552798</v>
      </c>
      <c r="M8" s="194"/>
      <c r="N8" s="204">
        <f>SUMIFS('Budget - 2026'!CX:CX,'Budget - 2026'!E:E,G1)</f>
        <v>12881113.102283526</v>
      </c>
      <c r="O8" s="205">
        <f>SUMIFS('Budget - 2026'!CY:CY,'Budget - 2026'!E:E,G1)</f>
        <v>76625</v>
      </c>
      <c r="P8" s="206">
        <f>N8/O8</f>
        <v>168.10588061707702</v>
      </c>
    </row>
    <row r="9" spans="3:16" s="54" customFormat="1" ht="28.9" customHeight="1">
      <c r="D9" s="207" t="s">
        <v>105</v>
      </c>
      <c r="E9" s="203"/>
      <c r="F9" s="179">
        <f>(F7-F8)/F8</f>
        <v>-8.4270102642743774E-2</v>
      </c>
      <c r="G9" s="179">
        <f>(G7-G8)/G8</f>
        <v>8.7277197295636141E-2</v>
      </c>
      <c r="H9" s="179">
        <f>(H7-H8)/H8</f>
        <v>-0.15777696834355229</v>
      </c>
      <c r="I9" s="194"/>
      <c r="J9" s="179">
        <f>(J7-J8)/J8</f>
        <v>2.1651642206820282E-2</v>
      </c>
      <c r="K9" s="179">
        <f>(K7-K8)/K8</f>
        <v>5.434782608695652E-2</v>
      </c>
      <c r="L9" s="179">
        <f>(L7-L8)/L8</f>
        <v>-3.1010813577036434E-2</v>
      </c>
      <c r="M9" s="107"/>
      <c r="N9" s="179">
        <f>(N7-N8)/N8</f>
        <v>-9.3849560413316879E-2</v>
      </c>
      <c r="O9" s="179">
        <f>(O7-O8)/O8</f>
        <v>-1.6769983686786297E-2</v>
      </c>
      <c r="P9" s="179">
        <f>(P7-P8)/P8</f>
        <v>-7.8394246969344397E-2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322209.40000000002</v>
      </c>
      <c r="G10" s="196">
        <f>SUMIFS('Budget - 2026'!CP:CP,'Budget - 2026'!$B:$B,$D$1)</f>
        <v>1716</v>
      </c>
      <c r="H10" s="197">
        <f>F10/G10</f>
        <v>187.76771561771562</v>
      </c>
      <c r="I10" s="194"/>
      <c r="J10" s="195">
        <f>SUMIFS('Budget - 2026'!CO:CO,'Budget - 2026'!$C:$C,$D$4,'Budget - 2026'!$E:$E,$G$1)</f>
        <v>603926.73</v>
      </c>
      <c r="K10" s="196">
        <f>SUMIFS('Budget - 2026'!CP:CP,'Budget - 2026'!$C:$C,$D$4,'Budget - 2026'!$E:$E,$G$1)</f>
        <v>3397</v>
      </c>
      <c r="L10" s="197">
        <f>J10/K10</f>
        <v>177.78237562555196</v>
      </c>
      <c r="M10" s="194"/>
      <c r="N10" s="195">
        <f>SUMIFS('Budget - 2026'!CO:CO,'Budget - 2026'!$E:$E,$G$1)</f>
        <v>10880345.789999999</v>
      </c>
      <c r="O10" s="196">
        <f>SUMIFS('Budget - 2026'!CP:CP,'Budget - 2026'!$E:$E,$G$1)</f>
        <v>65821</v>
      </c>
      <c r="P10" s="197">
        <f>N10/O10</f>
        <v>165.30204326886553</v>
      </c>
    </row>
    <row r="11" spans="3:16" ht="28.9" customHeight="1" thickBot="1">
      <c r="D11" s="199" t="s">
        <v>105</v>
      </c>
      <c r="E11" s="194"/>
      <c r="F11" s="200">
        <f>IFERROR((F7-F10)/F10,0)</f>
        <v>-0.25091549160266585</v>
      </c>
      <c r="G11" s="200">
        <f>IFERROR((G7-G10)/G10,0)</f>
        <v>3.0885780885780884E-2</v>
      </c>
      <c r="H11" s="200">
        <f>IFERROR((H7-H10)/H10,0)</f>
        <v>-0.27335838529687645</v>
      </c>
      <c r="I11" s="194"/>
      <c r="J11" s="200">
        <f>IFERROR((J7-J10)/J10,0)</f>
        <v>-0.11686550121734131</v>
      </c>
      <c r="K11" s="200">
        <f>IFERROR((K7-K10)/K10,0)</f>
        <v>-5.8875478363261706E-4</v>
      </c>
      <c r="L11" s="200">
        <f>IFERROR((L7-L10)/L10,0)</f>
        <v>-0.11634524525340456</v>
      </c>
      <c r="M11" s="107"/>
      <c r="N11" s="200">
        <f>IFERROR((N7-N10)/N10,0)</f>
        <v>7.2780821977901658E-2</v>
      </c>
      <c r="O11" s="200">
        <f>IFERROR((O7-O10)/O10,0)</f>
        <v>0.1446194983363972</v>
      </c>
      <c r="P11" s="200">
        <f>IFERROR((P7-P10)/P10,0)</f>
        <v>-6.276205888760987E-2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43578.16</v>
      </c>
      <c r="G13" s="196">
        <f>SUMIFS('Actual - 2026'!AV:AV,'Actual - 2026'!A:A,D1)</f>
        <v>243</v>
      </c>
      <c r="H13" s="197">
        <f>IFERROR(F13/G13,0)</f>
        <v>179.33399176954734</v>
      </c>
      <c r="I13" s="194"/>
      <c r="J13" s="195">
        <f>SUMIFS('Actual - 2026'!AU:AU,'Actual - 2026'!B:B,D4)</f>
        <v>93237.56</v>
      </c>
      <c r="K13" s="196">
        <f>SUMIFS('Actual - 2026'!AV:AV,'Actual - 2026'!B:B,D4)</f>
        <v>635</v>
      </c>
      <c r="L13" s="197">
        <f>IFERROR(J13/K13,0)</f>
        <v>146.83080314960628</v>
      </c>
      <c r="M13" s="194"/>
      <c r="N13" s="195">
        <f>SUMIFS('Actual - 2026'!AU:AU,'Actual - 2026'!D:D,G1)</f>
        <v>1331445.0900000001</v>
      </c>
      <c r="O13" s="196">
        <f>SUMIFS('Actual - 2026'!AV:AV,'Actual - 2026'!D:D,G1)</f>
        <v>10893</v>
      </c>
      <c r="P13" s="197">
        <f>IFERROR(N13/O13,0)</f>
        <v>122.22942164692923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60422.363867840715</v>
      </c>
      <c r="K14" s="205">
        <f>SUMIFS('Budget - 2026'!CV:CV,'Budget - 2026'!C:C,D4,'Budget - 2026'!$E:$E,G1)</f>
        <v>688.5</v>
      </c>
      <c r="L14" s="206">
        <f>IFERROR(J14/K14,0)</f>
        <v>87.759424644648817</v>
      </c>
      <c r="M14" s="194"/>
      <c r="N14" s="204">
        <f>SUMIFS('Budget - 2026'!CU:CU,'Budget - 2026'!E:E,G1)</f>
        <v>1088103.5059893657</v>
      </c>
      <c r="O14" s="205">
        <f>SUMIFS('Budget - 2026'!CV:CV,'Budget - 2026'!E:E,G1)</f>
        <v>12000.75</v>
      </c>
      <c r="P14" s="206">
        <f>IFERROR(N14/O14,0)</f>
        <v>90.669625314198342</v>
      </c>
    </row>
    <row r="15" spans="3:16" ht="27.6" customHeight="1">
      <c r="D15" s="207" t="s">
        <v>105</v>
      </c>
      <c r="E15" s="203"/>
      <c r="F15" s="179">
        <f>(F13-F14)/F14</f>
        <v>0.44245134451597001</v>
      </c>
      <c r="G15" s="179">
        <f>(G13-G14)/G14</f>
        <v>-0.29411764705882354</v>
      </c>
      <c r="H15" s="179">
        <f>(H13-H14)/H14</f>
        <v>1.043472738064291</v>
      </c>
      <c r="I15" s="194"/>
      <c r="J15" s="179">
        <f>(J13-J14)/J14</f>
        <v>0.54309686069109409</v>
      </c>
      <c r="K15" s="179">
        <f>(K13-K14)/K14</f>
        <v>-7.7705156136528689E-2</v>
      </c>
      <c r="L15" s="179">
        <f>(L13-L14)/L14</f>
        <v>0.67310580879656412</v>
      </c>
      <c r="M15" s="107"/>
      <c r="N15" s="179">
        <f>(N13-N14)/N14</f>
        <v>0.22363826848381882</v>
      </c>
      <c r="O15" s="179">
        <f>(O13-O14)/O14</f>
        <v>-9.2306730829323169E-2</v>
      </c>
      <c r="P15" s="179">
        <f>(P13-P14)/P14</f>
        <v>0.34807463054321014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250</v>
      </c>
      <c r="E19" s="226"/>
      <c r="F19" s="223">
        <f>SUM(F13,F7)</f>
        <v>284940.23</v>
      </c>
      <c r="G19" s="224">
        <f>SUM(G13,G7)</f>
        <v>2012</v>
      </c>
      <c r="H19" s="225">
        <f>F19/G19</f>
        <v>141.62039264413517</v>
      </c>
      <c r="J19" s="223">
        <f>SUM(J13,J7)</f>
        <v>626586.09000000008</v>
      </c>
      <c r="K19" s="224">
        <f>SUM(K13,K7)</f>
        <v>4030</v>
      </c>
      <c r="L19" s="225">
        <f>J19/K19</f>
        <v>155.48041935483874</v>
      </c>
      <c r="N19" s="223">
        <f>SUM(N13,N7)</f>
        <v>13003671.390000001</v>
      </c>
      <c r="O19" s="224">
        <f>SUM(O13,O7)</f>
        <v>86233</v>
      </c>
      <c r="P19" s="225">
        <f>N19/O19</f>
        <v>150.79692681456055</v>
      </c>
      <c r="R19" s="91"/>
    </row>
    <row r="20" spans="2:19" ht="28.9" customHeight="1">
      <c r="D20" s="209" t="s">
        <v>78</v>
      </c>
      <c r="E20" s="210"/>
      <c r="F20" s="211">
        <f>SUM(F8,F14)</f>
        <v>293784.61193392042</v>
      </c>
      <c r="G20" s="212">
        <f>SUM(G8,G14)</f>
        <v>1971.25</v>
      </c>
      <c r="H20" s="213">
        <f>F20/G20</f>
        <v>149.03467948455062</v>
      </c>
      <c r="I20" s="194"/>
      <c r="J20" s="211">
        <f>SUM(J8,J14)</f>
        <v>582467.75386784074</v>
      </c>
      <c r="K20" s="212">
        <f>SUM(K8,K14)</f>
        <v>3908.5</v>
      </c>
      <c r="L20" s="213">
        <f>J20/K20</f>
        <v>149.02590606827189</v>
      </c>
      <c r="M20" s="194"/>
      <c r="N20" s="211">
        <f>SUM(N8,N14)</f>
        <v>13969216.608272891</v>
      </c>
      <c r="O20" s="212">
        <f>SUM(O8,O14)</f>
        <v>88625.75</v>
      </c>
      <c r="P20" s="213">
        <f>N20/O20</f>
        <v>157.6202921642174</v>
      </c>
    </row>
    <row r="21" spans="2:19" ht="28.9" customHeight="1">
      <c r="D21" s="214" t="s">
        <v>105</v>
      </c>
      <c r="E21" s="210"/>
      <c r="F21" s="215">
        <f>(F19-F20)/F20</f>
        <v>-3.010498703693085E-2</v>
      </c>
      <c r="G21" s="215">
        <f>(G19-G20)/G20</f>
        <v>2.0672162333544707E-2</v>
      </c>
      <c r="H21" s="215">
        <f>(H19-H20)/H20</f>
        <v>-4.9748735435661093E-2</v>
      </c>
      <c r="I21" s="194"/>
      <c r="J21" s="215">
        <f>(J19-J20)/J20</f>
        <v>7.5743825884255878E-2</v>
      </c>
      <c r="K21" s="215">
        <f>(K19-K20)/K20</f>
        <v>3.1086094409620058E-2</v>
      </c>
      <c r="L21" s="215">
        <f>(L19-L20)/L20</f>
        <v>4.3311350736628992E-2</v>
      </c>
      <c r="M21" s="107"/>
      <c r="N21" s="215">
        <f>(N19-N20)/N20</f>
        <v>-6.9119496486372237E-2</v>
      </c>
      <c r="O21" s="215">
        <f>(O19-O20)/O20</f>
        <v>-2.6998361085801812E-2</v>
      </c>
      <c r="P21" s="215">
        <f>(P19-P20)/P20</f>
        <v>-4.3289891523281152E-2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322209.40000000002</v>
      </c>
      <c r="G22" s="196">
        <f>SUMIFS('Budget - 2026'!CS:CS,'Budget - 2026'!B:B,$D$1)</f>
        <v>1716</v>
      </c>
      <c r="H22" s="197">
        <f>IFERROR(F22/G22,0)</f>
        <v>187.76771561771562</v>
      </c>
      <c r="I22" s="194"/>
      <c r="J22" s="195">
        <f>SUMIFS('Budget - 2026'!CR:CR,'Budget - 2026'!C:C,D4,'Budget - 2026'!$E:$E,G1)</f>
        <v>603926.73</v>
      </c>
      <c r="K22" s="196">
        <f>SUMIFS('Budget - 2026'!CS:CS,'Budget - 2026'!C:C,D4,'Budget - 2026'!$E:$E,G1)</f>
        <v>3397</v>
      </c>
      <c r="L22" s="197">
        <f>IFERROR(J22/K22,0)</f>
        <v>177.78237562555196</v>
      </c>
      <c r="M22" s="194"/>
      <c r="N22" s="195">
        <f>SUMIFS('Budget - 2026'!CR:CR,'Budget - 2026'!E:E,G1)</f>
        <v>10880345.789999999</v>
      </c>
      <c r="O22" s="196">
        <f>SUMIFS('Budget - 2026'!CS:CS,'Budget - 2026'!E:E,G1)</f>
        <v>65821</v>
      </c>
      <c r="P22" s="197">
        <f>IFERROR(N22/O22,0)</f>
        <v>165.30204326886553</v>
      </c>
      <c r="S22" s="98">
        <f>F19</f>
        <v>284940.23</v>
      </c>
    </row>
    <row r="23" spans="2:19" ht="28.9" customHeight="1">
      <c r="D23" s="199" t="s">
        <v>105</v>
      </c>
      <c r="E23" s="194"/>
      <c r="F23" s="200">
        <f>IFERROR((F19-F22)/F22,0)</f>
        <v>-0.11566754414986043</v>
      </c>
      <c r="G23" s="200">
        <f>IFERROR((G19-G22)/G22,0)</f>
        <v>0.17249417249417248</v>
      </c>
      <c r="H23" s="200">
        <f>IFERROR((H19-H22)/H22,0)</f>
        <v>-0.24576814401648139</v>
      </c>
      <c r="I23" s="194"/>
      <c r="J23" s="200">
        <f>IFERROR((J19-J22)/J22,0)</f>
        <v>3.7520048168757328E-2</v>
      </c>
      <c r="K23" s="200">
        <f>IFERROR((K19-K22)/K22,0)</f>
        <v>0.18634088901972329</v>
      </c>
      <c r="L23" s="200">
        <f>IFERROR((L19-L22)/L22,0)</f>
        <v>-0.12544525964534275</v>
      </c>
      <c r="M23" s="107"/>
      <c r="N23" s="200">
        <f>IFERROR((N19-N22)/N22,0)</f>
        <v>0.19515240057457786</v>
      </c>
      <c r="O23" s="200">
        <f>IFERROR((O19-O22)/O22,0)</f>
        <v>0.3101137934701691</v>
      </c>
      <c r="P23" s="200">
        <f>IFERROR((P19-P22)/P22,0)</f>
        <v>-8.7749166117155955E-2</v>
      </c>
      <c r="S23" s="324">
        <f>SUM(S21:S22)</f>
        <v>1052940.23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24346.229999999981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41</v>
      </c>
      <c r="F1" s="5">
        <f>VLOOKUP(D1,Dates!$B$2:$E$53,4,FALSE)</f>
        <v>41</v>
      </c>
      <c r="G1" s="5" t="b">
        <v>1</v>
      </c>
    </row>
    <row r="2" spans="3:26" ht="28.5">
      <c r="D2" s="400" t="str">
        <f>CONCATENATE("AVA CG",)</f>
        <v>AVA CG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2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26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6" ht="28.9" customHeight="1">
      <c r="D7" s="193" t="s">
        <v>204</v>
      </c>
      <c r="E7" s="194"/>
      <c r="F7" s="195">
        <f>SUMIFS('Actual - 2026'!BD:BD,'Actual - 2026'!A:A,D1)</f>
        <v>189233.26999999996</v>
      </c>
      <c r="G7" s="196">
        <f>SUMIFS('Actual - 2026'!BE:BE,'Actual - 2026'!A:A,D1)</f>
        <v>1430</v>
      </c>
      <c r="H7" s="197">
        <f>F7/G7</f>
        <v>132.33095804195801</v>
      </c>
      <c r="I7" s="194"/>
      <c r="J7" s="195">
        <f>SUMIFS('Actual - 2026'!BD:BD,'Actual - 2026'!B:B,D4)</f>
        <v>325520.26</v>
      </c>
      <c r="K7" s="196">
        <f>SUMIFS('Actual - 2026'!BE:BE,'Actual - 2026'!B:B,D4)</f>
        <v>2615</v>
      </c>
      <c r="L7" s="197">
        <f>J7/K7</f>
        <v>124.48193499043977</v>
      </c>
      <c r="M7" s="194"/>
      <c r="N7" s="195">
        <f>SUMIFS('Actual - 2026'!BD:BD,'Actual - 2026'!D:D,G1)</f>
        <v>7115342.7499999991</v>
      </c>
      <c r="O7" s="196">
        <f>SUMIFS('Actual - 2026'!BE:BE,'Actual - 2026'!D:D,G1)</f>
        <v>59182</v>
      </c>
      <c r="P7" s="197">
        <f>N7/O7</f>
        <v>120.228156365111</v>
      </c>
    </row>
    <row r="8" spans="3:26" ht="28.9" customHeight="1">
      <c r="D8" s="202" t="s">
        <v>78</v>
      </c>
      <c r="E8" s="203"/>
      <c r="F8" s="204">
        <f>SUMIFS('Budget - 2026'!DD:DD,'Budget - 2026'!B:B,D1)</f>
        <v>187758.8</v>
      </c>
      <c r="G8" s="205">
        <f>SUMIFS('Budget - 2026'!DE:DE,'Budget - 2026'!B:B,D1)</f>
        <v>1707.3999999999999</v>
      </c>
      <c r="H8" s="206">
        <f>F8/G8</f>
        <v>109.96767014173598</v>
      </c>
      <c r="I8" s="194"/>
      <c r="J8" s="204">
        <f>SUMIFS('Budget - 2026'!DD:DD,'Budget - 2026'!C:C,D4,'Budget - 2026'!$E:$E,G1)</f>
        <v>375517.6</v>
      </c>
      <c r="K8" s="205">
        <f>SUMIFS('Budget - 2026'!DE:DE,'Budget - 2026'!C:C,D4,'Budget - 2026'!$E:$E,G1)</f>
        <v>3414.7999999999997</v>
      </c>
      <c r="L8" s="206">
        <f>J8/K8</f>
        <v>109.96767014173598</v>
      </c>
      <c r="M8" s="194"/>
      <c r="N8" s="204">
        <f>SUMIFS('Budget - 2026'!DD:DD,'Budget - 2026'!E:E,G1)</f>
        <v>7825302.3100000042</v>
      </c>
      <c r="O8" s="205">
        <f>SUMIFS('Budget - 2026'!DE:DE,'Budget - 2026'!E:E,G1)</f>
        <v>67234.160000000018</v>
      </c>
      <c r="P8" s="206">
        <f>N8/O8</f>
        <v>116.38878674173965</v>
      </c>
    </row>
    <row r="9" spans="3:26" s="54" customFormat="1" ht="28.9" customHeight="1">
      <c r="D9" s="207" t="s">
        <v>105</v>
      </c>
      <c r="E9" s="203"/>
      <c r="F9" s="179">
        <f>(F7-F8)/F8</f>
        <v>7.853000764810875E-3</v>
      </c>
      <c r="G9" s="179">
        <f>(G7-G8)/G8</f>
        <v>-0.16246925149349883</v>
      </c>
      <c r="H9" s="179">
        <f>(H7-H8)/H8</f>
        <v>0.20336238706701948</v>
      </c>
      <c r="I9" s="194"/>
      <c r="J9" s="179">
        <f>(J7-J8)/J8</f>
        <v>-0.13314246788965409</v>
      </c>
      <c r="K9" s="179">
        <f>(K7-K8)/K8</f>
        <v>-0.23421576666276203</v>
      </c>
      <c r="L9" s="179">
        <f>(L7-L8)/L8</f>
        <v>0.13198665416841632</v>
      </c>
      <c r="M9" s="107"/>
      <c r="N9" s="179">
        <f>(N7-N8)/N8</f>
        <v>-9.0726151128083993E-2</v>
      </c>
      <c r="O9" s="179">
        <f>(O7-O8)/O8</f>
        <v>-0.11976293003437562</v>
      </c>
      <c r="P9" s="179">
        <f>(P7-P8)/P8</f>
        <v>3.2987452922683222E-2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25476.23</v>
      </c>
      <c r="G13" s="196">
        <f>SUMIFS('Actual - 2026'!BH:BH,'Actual - 2026'!A:A,D1)</f>
        <v>316</v>
      </c>
      <c r="H13" s="197">
        <f>F13/G13</f>
        <v>80.62098101265822</v>
      </c>
      <c r="I13" s="194"/>
      <c r="J13" s="195">
        <f>SUMIFS('Actual - 2026'!BG:BG,'Actual - 2026'!B:B,D4)</f>
        <v>62196.95</v>
      </c>
      <c r="K13" s="196">
        <f>SUMIFS('Actual - 2026'!BH:BH,'Actual - 2026'!B:B,D4)</f>
        <v>686</v>
      </c>
      <c r="L13" s="197">
        <f>J13/K13</f>
        <v>90.666107871720115</v>
      </c>
      <c r="M13" s="194"/>
      <c r="N13" s="195">
        <f>SUMIFS('Actual - 2026'!BG:BG,'Actual - 2026'!D:D,G1)</f>
        <v>1634012.87</v>
      </c>
      <c r="O13" s="196">
        <f>SUMIFS('Actual - 2026'!BH:BH,'Actual - 2026'!D:D,G1)</f>
        <v>19268</v>
      </c>
      <c r="P13" s="197">
        <f>N13/O13</f>
        <v>84.804487751712685</v>
      </c>
    </row>
    <row r="14" spans="3:26" ht="27.6" customHeight="1">
      <c r="D14" s="202" t="s">
        <v>78</v>
      </c>
      <c r="E14" s="203"/>
      <c r="F14" s="204">
        <f>SUMIFS('Budget - 2026'!DG:DG,'Budget - 2026'!B:B,D1)</f>
        <v>45364.5</v>
      </c>
      <c r="G14" s="205">
        <f>SUMIFS('Budget - 2026'!DH:DH,'Budget - 2026'!B:B,D1)</f>
        <v>561</v>
      </c>
      <c r="H14" s="206">
        <f>F14/G14</f>
        <v>80.86363636363636</v>
      </c>
      <c r="I14" s="194"/>
      <c r="J14" s="204">
        <f>SUMIFS('Budget - 2026'!DG:DG,'Budget - 2026'!C:C,D4,'Budget - 2026'!$E:$E,G1)</f>
        <v>90729</v>
      </c>
      <c r="K14" s="205">
        <f>SUMIFS('Budget - 2026'!DH:DH,'Budget - 2026'!C:C,D4,'Budget - 2026'!$E:$E,G1)</f>
        <v>1122</v>
      </c>
      <c r="L14" s="206">
        <f>J14/K14</f>
        <v>80.86363636363636</v>
      </c>
      <c r="M14" s="194"/>
      <c r="N14" s="204">
        <f>SUMIFS('Budget - 2026'!DG:DG,'Budget - 2026'!E:E,G1)</f>
        <v>1887918.7999999996</v>
      </c>
      <c r="O14" s="205">
        <f>SUMIFS('Budget - 2026'!DH:DH,'Budget - 2026'!E:E,G1)</f>
        <v>22618.399999999991</v>
      </c>
      <c r="P14" s="206">
        <f>N14/O14</f>
        <v>83.468273617939388</v>
      </c>
    </row>
    <row r="15" spans="3:26" s="54" customFormat="1" ht="28.9" customHeight="1">
      <c r="D15" s="207" t="s">
        <v>105</v>
      </c>
      <c r="E15" s="203"/>
      <c r="F15" s="179">
        <f>(F13-F14)/F14</f>
        <v>-0.43841043106393768</v>
      </c>
      <c r="G15" s="179">
        <f>(G13-G14)/G14</f>
        <v>-0.43672014260249553</v>
      </c>
      <c r="H15" s="179">
        <f>(H13-H14)/H14</f>
        <v>-3.0007969204716577E-3</v>
      </c>
      <c r="I15" s="194"/>
      <c r="J15" s="179">
        <f>(J13-J14)/J14</f>
        <v>-0.31447552601703976</v>
      </c>
      <c r="K15" s="179">
        <f>(K13-K14)/K14</f>
        <v>-0.38859180035650626</v>
      </c>
      <c r="L15" s="179">
        <f>(L13-L14)/L14</f>
        <v>0.12122224461936067</v>
      </c>
      <c r="M15" s="107"/>
      <c r="N15" s="179">
        <f>(N13-N14)/N14</f>
        <v>-0.13448985729682841</v>
      </c>
      <c r="O15" s="179">
        <f>(O13-O14)/O14</f>
        <v>-0.14812718848371201</v>
      </c>
      <c r="P15" s="179">
        <f>(P13-P14)/P14</f>
        <v>1.6008647068580451E-2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250</v>
      </c>
      <c r="E25" s="222"/>
      <c r="F25" s="223">
        <f>SUM(F19,F13,F7)</f>
        <v>214709.49999999997</v>
      </c>
      <c r="G25" s="224">
        <f t="shared" ref="G25" si="0">SUM(G19,G13,G7)</f>
        <v>1746</v>
      </c>
      <c r="H25" s="223">
        <f>F25/G25</f>
        <v>122.9722222222222</v>
      </c>
      <c r="I25" s="76"/>
      <c r="J25" s="223">
        <f>SUM(J19,J13,J7)</f>
        <v>387717.21</v>
      </c>
      <c r="K25" s="224">
        <f t="shared" ref="K25" si="1">SUM(K19,K13,K7)</f>
        <v>3301</v>
      </c>
      <c r="L25" s="223">
        <f>J25/K25</f>
        <v>117.45447137231143</v>
      </c>
      <c r="N25" s="223">
        <f>SUM(N19,N13,N7)</f>
        <v>8749355.6199999992</v>
      </c>
      <c r="O25" s="224">
        <f t="shared" ref="O25" si="2">SUM(O19,O13,O7)</f>
        <v>78450</v>
      </c>
      <c r="P25" s="223">
        <f>N25/O25</f>
        <v>111.52779630337794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233123.3</v>
      </c>
      <c r="G26" s="212">
        <f>SUM(G20,G14,G8)</f>
        <v>2268.3999999999996</v>
      </c>
      <c r="H26" s="213">
        <f>F26/G26</f>
        <v>102.76992593898784</v>
      </c>
      <c r="I26" s="194"/>
      <c r="J26" s="211">
        <f>SUM(J20,J14,J8)</f>
        <v>466246.6</v>
      </c>
      <c r="K26" s="212">
        <f>SUM(K20,K14,K8)</f>
        <v>4536.7999999999993</v>
      </c>
      <c r="L26" s="213">
        <f>J26/K26</f>
        <v>102.76992593898784</v>
      </c>
      <c r="M26" s="194"/>
      <c r="N26" s="211">
        <f>SUM(N20,N14,N8)</f>
        <v>9713221.1100000031</v>
      </c>
      <c r="O26" s="212">
        <f>SUM(O20,O14,O8)</f>
        <v>89852.560000000012</v>
      </c>
      <c r="P26" s="213">
        <f>N26/O26</f>
        <v>108.10177372798285</v>
      </c>
    </row>
    <row r="27" spans="2:26" s="54" customFormat="1" ht="28.9" customHeight="1">
      <c r="D27" s="214" t="s">
        <v>105</v>
      </c>
      <c r="E27" s="210"/>
      <c r="F27" s="215">
        <f>(F25-F26)/F26</f>
        <v>-7.8987385645278782E-2</v>
      </c>
      <c r="G27" s="215">
        <f>(G25-G26)/G26</f>
        <v>-0.23029448069123598</v>
      </c>
      <c r="H27" s="215">
        <f>(H25-H26)/H26</f>
        <v>0.19657790057402594</v>
      </c>
      <c r="I27" s="194"/>
      <c r="J27" s="215">
        <f>(J25-J26)/J26</f>
        <v>-0.16842887433388246</v>
      </c>
      <c r="K27" s="215">
        <f>(K25-K26)/K26</f>
        <v>-0.27239463939340491</v>
      </c>
      <c r="L27" s="215">
        <f>(L25-L26)/L26</f>
        <v>0.14288757434778607</v>
      </c>
      <c r="M27" s="107"/>
      <c r="N27" s="215">
        <f>(N25-N26)/N26</f>
        <v>-9.9232322530749401E-2</v>
      </c>
      <c r="O27" s="215">
        <f>(O25-O26)/O26</f>
        <v>-0.12690300643632202</v>
      </c>
      <c r="P27" s="215">
        <f>(P25-P26)/P26</f>
        <v>3.1692565785423801E-2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T10" sqref="T10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41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41</v>
      </c>
      <c r="F1" s="5">
        <f>VLOOKUP(D1,Dates!$B$2:$E$53,4,FALSE)</f>
        <v>41</v>
      </c>
      <c r="G1" s="232" t="b">
        <v>1</v>
      </c>
    </row>
    <row r="2" spans="4:20" ht="28.5" customHeight="1">
      <c r="D2" s="401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6" t="s">
        <v>257</v>
      </c>
      <c r="G4" s="436"/>
      <c r="H4" s="436"/>
      <c r="I4" s="436"/>
      <c r="J4" s="436"/>
      <c r="K4" s="436"/>
      <c r="M4" s="434" t="s">
        <v>248</v>
      </c>
      <c r="N4" s="435"/>
      <c r="O4" s="435"/>
      <c r="P4" s="434" t="s">
        <v>249</v>
      </c>
      <c r="Q4" s="435"/>
      <c r="R4" s="435"/>
    </row>
    <row r="5" spans="4:20" ht="19.5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260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261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262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263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264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265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266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267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173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174</v>
      </c>
      <c r="E50" s="194"/>
      <c r="F50" s="239">
        <f>SUMIFS('Actual - 2026'!$K$5:$K$56,'Actual - 2026'!$A$5:$A$56,'MILA 3F - Overview'!D50)</f>
        <v>477391.67</v>
      </c>
      <c r="G50" s="233">
        <f>SUMIFS('Budget - 2026'!$R$5:$R$56,'Budget - 2026'!$B$5:$B$56,'MILA 3F - Overview'!D50)</f>
        <v>495911</v>
      </c>
      <c r="H50" s="247">
        <f t="shared" si="0"/>
        <v>-3.734405972039341E-2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-6.5640451624128932E-2</v>
      </c>
      <c r="L50" s="194"/>
      <c r="M50" s="239">
        <f>SUMIFS('Actual - 2026'!$E$5:$E$56,'Actual - 2026'!$A$5:$A$56,'MILA 2F - Overview'!D50)</f>
        <v>447348.67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30043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175</v>
      </c>
      <c r="E51" s="194"/>
      <c r="F51" s="239">
        <f>SUMIFS('Actual - 2026'!$K$5:$K$56,'Actual - 2026'!$A$5:$A$56,'MILA 3F - Overview'!D51)</f>
        <v>594617.85</v>
      </c>
      <c r="G51" s="233">
        <f>SUMIFS('Budget - 2026'!$R$5:$R$56,'Budget - 2026'!$B$5:$B$56,'MILA 3F - Overview'!D51)</f>
        <v>500317</v>
      </c>
      <c r="H51" s="247">
        <f t="shared" si="0"/>
        <v>0.18848220228375206</v>
      </c>
      <c r="I51" s="194"/>
      <c r="J51" s="239">
        <f>SUMIFS('Budget - 2026'!$U$5:$U$56,'Budget - 2026'!$B$5:$B$56,'MILA 3F - Overview'!D51)</f>
        <v>530741.75</v>
      </c>
      <c r="K51" s="251">
        <f t="shared" si="1"/>
        <v>0.12035250665695695</v>
      </c>
      <c r="L51" s="194"/>
      <c r="M51" s="239">
        <f>SUMIFS('Actual - 2026'!$E$5:$E$56,'Actual - 2026'!$A$5:$A$56,'MILA 2F - Overview'!D51)</f>
        <v>553562.75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41055.1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176</v>
      </c>
      <c r="E52" s="194"/>
      <c r="F52" s="239">
        <f>SUMIFS('Actual - 2026'!$K$5:$K$56,'Actual - 2026'!$A$5:$A$56,'MILA 3F - Overview'!D52)</f>
        <v>589262.07000000007</v>
      </c>
      <c r="G52" s="233">
        <f>SUMIFS('Budget - 2026'!$R$5:$R$56,'Budget - 2026'!$B$5:$B$56,'MILA 3F - Overview'!D52)</f>
        <v>514288</v>
      </c>
      <c r="H52" s="247">
        <f t="shared" si="0"/>
        <v>0.14578226596770694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0.12023910745434706</v>
      </c>
      <c r="L52" s="194"/>
      <c r="M52" s="239">
        <f>SUMIFS('Actual - 2026'!$E$5:$E$56,'Actual - 2026'!$A$5:$A$56,'MILA 2F - Overview'!D52)</f>
        <v>544236.92000000004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45025.15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268</v>
      </c>
      <c r="E53" s="194"/>
      <c r="F53" s="241">
        <f>SUM(F48:F52)</f>
        <v>2691026.2</v>
      </c>
      <c r="G53" s="228">
        <f>SUM(G48:G52)</f>
        <v>2497925</v>
      </c>
      <c r="H53" s="248">
        <f t="shared" si="0"/>
        <v>7.7304642853568542E-2</v>
      </c>
      <c r="I53" s="194"/>
      <c r="J53" s="241">
        <f>SUM(J48:J52)</f>
        <v>2504555.89</v>
      </c>
      <c r="K53" s="248">
        <f>(F53-J53)/J53</f>
        <v>7.4452445139884679E-2</v>
      </c>
      <c r="L53" s="194"/>
      <c r="M53" s="241">
        <f t="shared" ref="M53:R53" si="14">SUM(M48:M52)</f>
        <v>2494283.2999999998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196742.9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178</v>
      </c>
      <c r="E54" s="194"/>
      <c r="F54" s="239">
        <f>SUMIFS('Actual - 2026'!$K$5:$K$56,'Actual - 2026'!$A$5:$A$56,'MILA 3F - Overview'!D54)</f>
        <v>718351.5</v>
      </c>
      <c r="G54" s="233">
        <f>SUMIFS('Budget - 2026'!$R$5:$R$56,'Budget - 2026'!$B$5:$B$56,'MILA 3F - Overview'!D54)</f>
        <v>459903</v>
      </c>
      <c r="H54" s="247">
        <f t="shared" si="0"/>
        <v>0.56196306612481328</v>
      </c>
      <c r="I54" s="194"/>
      <c r="J54" s="239">
        <f>SUMIFS('Budget - 2026'!$U$5:$U$56,'Budget - 2026'!$B$5:$B$56,'MILA 3F - Overview'!D54)</f>
        <v>488577.75</v>
      </c>
      <c r="K54" s="251">
        <f t="shared" si="1"/>
        <v>0.47029106421649369</v>
      </c>
      <c r="L54" s="194"/>
      <c r="M54" s="239">
        <f>SUMIFS('Actual - 2026'!$E$5:$E$56,'Actual - 2026'!$A$5:$A$56,'MILA 2F - Overview'!D54)</f>
        <v>679490.5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38861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101</v>
      </c>
      <c r="E55" s="194"/>
      <c r="F55" s="239">
        <f>SUMIFS('Actual - 2026'!$K$5:$K$56,'Actual - 2026'!$A$5:$A$56,'MILA 3F - Overview'!D55)</f>
        <v>576355.75</v>
      </c>
      <c r="G55" s="233">
        <f>SUMIFS('Budget - 2026'!$R$5:$R$56,'Budget - 2026'!$B$5:$B$56,'MILA 3F - Overview'!D55)</f>
        <v>566071</v>
      </c>
      <c r="H55" s="247">
        <f t="shared" si="0"/>
        <v>1.816865728857334E-2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3.3633694167456943E-2</v>
      </c>
      <c r="L55" s="194"/>
      <c r="M55" s="239">
        <f>SUMIFS('Actual - 2026'!$E$5:$E$56,'Actual - 2026'!$A$5:$A$56,'MILA 2F - Overview'!D55)</f>
        <v>539510.75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36845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179</v>
      </c>
      <c r="E56" s="194"/>
      <c r="F56" s="239">
        <f>SUMIFS('Actual - 2026'!$K$5:$K$56,'Actual - 2026'!$A$5:$A$56,'MILA 3F - Overview'!D56)</f>
        <v>0</v>
      </c>
      <c r="G56" s="233">
        <f>SUMIFS('Budget - 2026'!$R$5:$R$56,'Budget - 2026'!$B$5:$B$56,'MILA 3F - Overview'!D56)</f>
        <v>603868</v>
      </c>
      <c r="H56" s="247">
        <f t="shared" si="0"/>
        <v>-1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-1</v>
      </c>
      <c r="L56" s="194"/>
      <c r="M56" s="239">
        <f>SUMIFS('Actual - 2026'!$E$5:$E$56,'Actual - 2026'!$A$5:$A$56,'MILA 2F - Overview'!D56)</f>
        <v>0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0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269</v>
      </c>
      <c r="E58" s="194"/>
      <c r="F58" s="241">
        <f>SUM(F54:F57)</f>
        <v>1294707.25</v>
      </c>
      <c r="G58" s="228">
        <f>SUM(G54:G57)</f>
        <v>2294481</v>
      </c>
      <c r="H58" s="248">
        <f t="shared" si="0"/>
        <v>-0.43572980120558852</v>
      </c>
      <c r="I58" s="194"/>
      <c r="J58" s="241">
        <f>SUM(J54:J57)</f>
        <v>2326187.1800000002</v>
      </c>
      <c r="K58" s="248">
        <f>(F58-J58)/J58</f>
        <v>-0.44342086435193923</v>
      </c>
      <c r="L58" s="194"/>
      <c r="M58" s="241">
        <f t="shared" ref="M58:R58" si="15">SUM(M54:M57)</f>
        <v>1219001.25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75706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41</v>
      </c>
      <c r="F1" s="5">
        <f>VLOOKUP(D1,Dates!$B$2:$E$53,4,FALSE)</f>
        <v>41</v>
      </c>
      <c r="G1" s="5" t="b">
        <v>1</v>
      </c>
    </row>
    <row r="2" spans="4:21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7" t="s">
        <v>257</v>
      </c>
      <c r="G4" s="437"/>
      <c r="H4" s="437"/>
      <c r="I4" s="437"/>
      <c r="J4" s="437"/>
      <c r="K4" s="437"/>
      <c r="M4" s="438" t="s">
        <v>238</v>
      </c>
      <c r="N4" s="439"/>
      <c r="O4" s="439"/>
      <c r="P4" s="438" t="s">
        <v>207</v>
      </c>
      <c r="Q4" s="439"/>
      <c r="R4" s="439"/>
      <c r="S4" s="438" t="s">
        <v>239</v>
      </c>
      <c r="T4" s="439"/>
      <c r="U4" s="439"/>
    </row>
    <row r="5" spans="4:21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260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261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262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263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264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265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266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267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173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174</v>
      </c>
      <c r="E50" s="194"/>
      <c r="F50" s="239">
        <f>SUMIFS('Actual - 2026'!$W$5:$W$56,'Actual - 2026'!$A$5:$A$56,'MILA 2F - Overview'!D50)</f>
        <v>161195.03000000003</v>
      </c>
      <c r="G50" s="233">
        <f>SUMIFS('Budget - 2026'!$AP$5:$AP$56,'Budget - 2026'!$B$5:$B$56,'MILA 2F - Overview'!D50)</f>
        <v>262152.36600204615</v>
      </c>
      <c r="H50" s="247">
        <f t="shared" si="3"/>
        <v>-0.38510938330138184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-0.40944499490117692</v>
      </c>
      <c r="L50" s="194"/>
      <c r="M50" s="239">
        <f>SUMIFS('Actual - 2026'!$N$5:$N$56,'Actual - 2026'!$A$5:$A$56,'MILA 2F - Overview'!D50)</f>
        <v>15386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32410.23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113398.80000000002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175</v>
      </c>
      <c r="E51" s="194"/>
      <c r="F51" s="239">
        <f>SUMIFS('Actual - 2026'!$W$5:$W$56,'Actual - 2026'!$A$5:$A$56,'MILA 2F - Overview'!D51)</f>
        <v>278686</v>
      </c>
      <c r="G51" s="233">
        <f>SUMIFS('Budget - 2026'!$AP$5:$AP$56,'Budget - 2026'!$B$5:$B$56,'MILA 2F - Overview'!D51)</f>
        <v>232982.00763429431</v>
      </c>
      <c r="H51" s="247">
        <f t="shared" si="3"/>
        <v>0.19616962197976268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0.14290733980223247</v>
      </c>
      <c r="L51" s="194"/>
      <c r="M51" s="239">
        <f>SUMIFS('Actual - 2026'!$N$5:$N$56,'Actual - 2026'!$A$5:$A$56,'MILA 2F - Overview'!D51)</f>
        <v>21627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191238.57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204188.1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176</v>
      </c>
      <c r="E52" s="194"/>
      <c r="F52" s="239">
        <f>SUMIFS('Actual - 2026'!$W$5:$W$56,'Actual - 2026'!$A$5:$A$56,'MILA 2F - Overview'!D52)</f>
        <v>267581.59999999998</v>
      </c>
      <c r="G52" s="233">
        <f>SUMIFS('Budget - 2026'!$AP$5:$AP$56,'Budget - 2026'!$B$5:$B$56,'MILA 2F - Overview'!D52)</f>
        <v>258042.10322871362</v>
      </c>
      <c r="H52" s="247">
        <f t="shared" si="3"/>
        <v>3.6968760725187157E-2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-5.5975838657858074E-2</v>
      </c>
      <c r="L52" s="194"/>
      <c r="M52" s="239">
        <f>SUMIFS('Actual - 2026'!$N$5:$N$56,'Actual - 2026'!$A$5:$A$56,'MILA 2F - Overview'!D52)</f>
        <v>18661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200071.7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197645.6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268</v>
      </c>
      <c r="E53" s="194"/>
      <c r="F53" s="241">
        <f>SUM(F48:F52)</f>
        <v>1230902.3900000001</v>
      </c>
      <c r="G53" s="228">
        <f>SUM(G48:G52)</f>
        <v>1214740.1000000001</v>
      </c>
      <c r="H53" s="248">
        <f t="shared" si="3"/>
        <v>1.3305142392187462E-2</v>
      </c>
      <c r="I53" s="194"/>
      <c r="J53" s="241">
        <f>SUM(J48:J52)</f>
        <v>1265240.52</v>
      </c>
      <c r="K53" s="248">
        <f>IFERROR((F53-J53)/J53,0)</f>
        <v>-2.7139606625940092E-2</v>
      </c>
      <c r="L53" s="194"/>
      <c r="M53" s="241">
        <f t="shared" ref="M53:U53" si="11">SUM(M48:M52)</f>
        <v>102172.51000000001</v>
      </c>
      <c r="N53" s="228">
        <f t="shared" si="11"/>
        <v>106523</v>
      </c>
      <c r="O53" s="242">
        <f t="shared" si="11"/>
        <v>106078.60999999999</v>
      </c>
      <c r="P53" s="241">
        <f t="shared" si="11"/>
        <v>521182.7</v>
      </c>
      <c r="Q53" s="228">
        <f t="shared" si="11"/>
        <v>262947</v>
      </c>
      <c r="R53" s="242">
        <f t="shared" si="11"/>
        <v>269714.57</v>
      </c>
      <c r="S53" s="241">
        <f t="shared" si="11"/>
        <v>894711.55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178</v>
      </c>
      <c r="E54" s="194"/>
      <c r="F54" s="239">
        <f>SUMIFS('Actual - 2026'!$W$5:$W$56,'Actual - 2026'!$A$5:$A$56,'MILA 2F - Overview'!D54)</f>
        <v>337582.28</v>
      </c>
      <c r="G54" s="233">
        <f>SUMIFS('Budget - 2026'!$AP$5:$AP$56,'Budget - 2026'!$B$5:$B$56,'MILA 2F - Overview'!D54)</f>
        <v>268247.97058419173</v>
      </c>
      <c r="H54" s="247">
        <f t="shared" si="3"/>
        <v>0.25847095605164022</v>
      </c>
      <c r="I54" s="194"/>
      <c r="J54" s="239">
        <f>SUMIFS('Budget - 2026'!$AS$5:$AS$56,'Budget - 2026'!$B$5:$B$56,'MILA 2F - Overview'!D54)</f>
        <v>269766.25</v>
      </c>
      <c r="K54" s="251">
        <f t="shared" si="1"/>
        <v>0.25138811841733361</v>
      </c>
      <c r="L54" s="194"/>
      <c r="M54" s="239">
        <f>SUMIFS('Actual - 2026'!$N$5:$N$56,'Actual - 2026'!$A$5:$A$56,'MILA 2F - Overview'!D54)</f>
        <v>26509.85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80766.700000000012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230305.72999999998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101</v>
      </c>
      <c r="E55" s="194"/>
      <c r="F55" s="239">
        <f>SUMIFS('Actual - 2026'!$W$5:$W$56,'Actual - 2026'!$A$5:$A$56,'MILA 2F - Overview'!D55)</f>
        <v>330290.59999999998</v>
      </c>
      <c r="G55" s="233">
        <f>SUMIFS('Budget - 2026'!$AP$5:$AP$56,'Budget - 2026'!$B$5:$B$56,'MILA 2F - Overview'!D55)</f>
        <v>304956.98134043213</v>
      </c>
      <c r="H55" s="247">
        <f t="shared" si="3"/>
        <v>8.3072761765329808E-2</v>
      </c>
      <c r="I55" s="194"/>
      <c r="J55" s="239">
        <f>SUMIFS('Budget - 2026'!$AS$5:$AS$56,'Budget - 2026'!$B$5:$B$56,'MILA 2F - Overview'!D55)</f>
        <v>304498.25</v>
      </c>
      <c r="K55" s="251">
        <f t="shared" si="1"/>
        <v>8.4704427693755135E-2</v>
      </c>
      <c r="L55" s="194"/>
      <c r="M55" s="239">
        <f>SUMIFS('Actual - 2026'!$N$5:$N$56,'Actual - 2026'!$A$5:$A$56,'MILA 2F - Overview'!D55)</f>
        <v>14504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61275.199999999997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254511.39999999997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179</v>
      </c>
      <c r="E56" s="194"/>
      <c r="F56" s="239">
        <f>SUMIFS('Actual - 2026'!$W$5:$W$56,'Actual - 2026'!$A$5:$A$56,'MILA 2F - Overview'!D56)</f>
        <v>0</v>
      </c>
      <c r="G56" s="233">
        <f>SUMIFS('Budget - 2026'!$AP$5:$AP$56,'Budget - 2026'!$B$5:$B$56,'MILA 2F - Overview'!D56)</f>
        <v>319323.33782905317</v>
      </c>
      <c r="H56" s="247">
        <f t="shared" si="3"/>
        <v>-1</v>
      </c>
      <c r="I56" s="194"/>
      <c r="J56" s="239">
        <f>SUMIFS('Budget - 2026'!$AS$5:$AS$56,'Budget - 2026'!$B$5:$B$56,'MILA 2F - Overview'!D56)</f>
        <v>323936</v>
      </c>
      <c r="K56" s="251">
        <f t="shared" si="1"/>
        <v>-1</v>
      </c>
      <c r="L56" s="194"/>
      <c r="M56" s="239">
        <f>SUMIFS('Actual - 2026'!$N$5:$N$56,'Actual - 2026'!$A$5:$A$56,'MILA 2F - Overview'!D56)</f>
        <v>0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0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0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269</v>
      </c>
      <c r="E58" s="194"/>
      <c r="F58" s="241">
        <f>SUM(F54:F57)</f>
        <v>667872.88</v>
      </c>
      <c r="G58" s="228">
        <f>SUM(G54:G57)</f>
        <v>1236354</v>
      </c>
      <c r="H58" s="248">
        <f t="shared" si="3"/>
        <v>-0.45980448965263993</v>
      </c>
      <c r="I58" s="194"/>
      <c r="J58" s="241">
        <f>SUM(J54:J57)</f>
        <v>1310143.78</v>
      </c>
      <c r="K58" s="248">
        <f>IFERROR((F58-J58)/J58,0)</f>
        <v>-0.49022932429599447</v>
      </c>
      <c r="L58" s="194"/>
      <c r="M58" s="241">
        <f t="shared" ref="M58:U58" si="12">SUM(M54:M57)</f>
        <v>41013.85</v>
      </c>
      <c r="N58" s="228">
        <f t="shared" si="12"/>
        <v>72925</v>
      </c>
      <c r="O58" s="242">
        <f t="shared" si="12"/>
        <v>72083.95</v>
      </c>
      <c r="P58" s="241">
        <f t="shared" si="12"/>
        <v>142041.90000000002</v>
      </c>
      <c r="Q58" s="228">
        <f t="shared" si="12"/>
        <v>285230</v>
      </c>
      <c r="R58" s="242">
        <f t="shared" si="12"/>
        <v>287741.21000000002</v>
      </c>
      <c r="S58" s="241">
        <f t="shared" si="12"/>
        <v>484817.12999999995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41</v>
      </c>
      <c r="F1" s="5">
        <f>VLOOKUP(D1,Dates!$B$2:$E$53,4,FALSE)</f>
        <v>41</v>
      </c>
      <c r="G1" s="5" t="b">
        <v>1</v>
      </c>
    </row>
    <row r="2" spans="4:21" ht="28.5">
      <c r="D2" s="400" t="str">
        <f>CONCATENATE("AVA - Winter Park",)</f>
        <v>AVA - Winter Park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7" t="s">
        <v>257</v>
      </c>
      <c r="G4" s="437"/>
      <c r="H4" s="437"/>
      <c r="I4" s="437"/>
      <c r="J4" s="437"/>
      <c r="K4" s="437"/>
      <c r="M4" s="438" t="s">
        <v>272</v>
      </c>
      <c r="N4" s="439"/>
      <c r="O4" s="439"/>
      <c r="P4" s="438" t="s">
        <v>248</v>
      </c>
      <c r="Q4" s="439"/>
      <c r="R4" s="439"/>
      <c r="S4" s="438" t="s">
        <v>273</v>
      </c>
      <c r="T4" s="439"/>
      <c r="U4" s="439"/>
    </row>
    <row r="5" spans="4:21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260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261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262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263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264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265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266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267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173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174</v>
      </c>
      <c r="E50" s="194"/>
      <c r="F50" s="239">
        <f>SUMIFS('Actual - 2026'!$AI$5:$AI$56,'Actual - 2026'!$A$5:$A$56,'AVA WP - Overview'!D50)</f>
        <v>245739.37</v>
      </c>
      <c r="G50" s="233">
        <f>SUMIFS('Budget - 2026'!$BE$5:$BE$56,'Budget - 2026'!$B$5:$B$56,'AVA WP - Overview'!D50)</f>
        <v>204209.6904894491</v>
      </c>
      <c r="H50" s="247">
        <f t="shared" si="3"/>
        <v>0.20336781967110718</v>
      </c>
      <c r="I50" s="194"/>
      <c r="J50" s="239">
        <f>SUMIFS('Budget - 2026'!$BQ$5:$BQ$56,'Budget - 2026'!$B$5:$B$56,'AVA WP - Overview'!D50)</f>
        <v>221980.72</v>
      </c>
      <c r="K50" s="251">
        <f t="shared" si="1"/>
        <v>0.10703024118491009</v>
      </c>
      <c r="L50" s="194"/>
      <c r="M50" s="239">
        <f>SUMIFS('Actual - 2026'!$AC$5:$AC$56,'Actual - 2026'!$A$5:$A$56,'AVA WP - Overview'!D50)</f>
        <v>21776.799999999999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192019.48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31943.090000000004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175</v>
      </c>
      <c r="E51" s="194"/>
      <c r="F51" s="239">
        <f>SUMIFS('Actual - 2026'!$AI$5:$AI$56,'Actual - 2026'!$A$5:$A$56,'AVA WP - Overview'!D51)</f>
        <v>233647.22</v>
      </c>
      <c r="G51" s="233">
        <f>SUMIFS('Budget - 2026'!$BE$5:$BE$56,'Budget - 2026'!$B$5:$B$56,'AVA WP - Overview'!D51)</f>
        <v>244406.03558090213</v>
      </c>
      <c r="H51" s="247">
        <f t="shared" si="3"/>
        <v>-4.4020253245099561E-2</v>
      </c>
      <c r="I51" s="194"/>
      <c r="J51" s="239">
        <f>SUMIFS('Budget - 2026'!$BQ$5:$BQ$56,'Budget - 2026'!$B$5:$B$56,'AVA WP - Overview'!D51)</f>
        <v>242489.54</v>
      </c>
      <c r="K51" s="251">
        <f t="shared" si="1"/>
        <v>-3.6464748128929629E-2</v>
      </c>
      <c r="L51" s="194"/>
      <c r="M51" s="239">
        <f>SUMIFS('Actual - 2026'!$AC$5:$AC$56,'Actual - 2026'!$A$5:$A$56,'AVA WP - Overview'!D51)</f>
        <v>20209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191238.57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22199.65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176</v>
      </c>
      <c r="E52" s="194"/>
      <c r="F52" s="239">
        <f>SUMIFS('Actual - 2026'!$AI$5:$AI$56,'Actual - 2026'!$A$5:$A$56,'AVA WP - Overview'!D52)</f>
        <v>273965.2</v>
      </c>
      <c r="G52" s="233">
        <f>SUMIFS('Budget - 2026'!$BE$5:$BE$56,'Budget - 2026'!$B$5:$B$56,'AVA WP - Overview'!D52)</f>
        <v>258333.5513017484</v>
      </c>
      <c r="H52" s="247">
        <f t="shared" si="3"/>
        <v>6.0509556809339664E-2</v>
      </c>
      <c r="I52" s="194"/>
      <c r="J52" s="239">
        <f>SUMIFS('Budget - 2026'!$BQ$5:$BQ$56,'Budget - 2026'!$B$5:$B$56,'AVA WP - Overview'!D52)</f>
        <v>252756.7</v>
      </c>
      <c r="K52" s="251">
        <f t="shared" si="1"/>
        <v>8.3908754941016392E-2</v>
      </c>
      <c r="L52" s="194"/>
      <c r="M52" s="239">
        <f>SUMIFS('Actual - 2026'!$AC$5:$AC$56,'Actual - 2026'!$A$5:$A$56,'AVA WP - Overview'!D52)</f>
        <v>26178.25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200071.7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47715.25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268</v>
      </c>
      <c r="E53" s="194"/>
      <c r="F53" s="241">
        <f>SUM(F48:F52)</f>
        <v>1242848.71</v>
      </c>
      <c r="G53" s="228">
        <f>SUM(G48:G52)</f>
        <v>1151039.0344756185</v>
      </c>
      <c r="H53" s="248">
        <f t="shared" si="3"/>
        <v>7.9762434439252003E-2</v>
      </c>
      <c r="I53" s="194"/>
      <c r="J53" s="241">
        <f>SUM(J48:J52)</f>
        <v>1175666.7</v>
      </c>
      <c r="K53" s="248">
        <f>IFERROR((F53-J53)/J53,0)</f>
        <v>5.71437551135879E-2</v>
      </c>
      <c r="L53" s="194"/>
      <c r="M53" s="241">
        <f t="shared" ref="M53:U53" si="11">SUM(M48:M52)</f>
        <v>112508.5</v>
      </c>
      <c r="N53" s="228">
        <f t="shared" si="11"/>
        <v>84435.03447561861</v>
      </c>
      <c r="O53" s="242">
        <f t="shared" si="11"/>
        <v>92203</v>
      </c>
      <c r="P53" s="241">
        <f t="shared" si="11"/>
        <v>967943.8899999999</v>
      </c>
      <c r="Q53" s="228">
        <f t="shared" si="11"/>
        <v>903179</v>
      </c>
      <c r="R53" s="242">
        <f t="shared" si="11"/>
        <v>897472.23</v>
      </c>
      <c r="S53" s="241">
        <f t="shared" si="11"/>
        <v>162396.32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178</v>
      </c>
      <c r="E54" s="194"/>
      <c r="F54" s="239">
        <f>SUMIFS('Actual - 2026'!$AI$5:$AI$56,'Actual - 2026'!$A$5:$A$56,'AVA WP - Overview'!D54)</f>
        <v>242661.05999999997</v>
      </c>
      <c r="G54" s="233">
        <f>SUMIFS('Budget - 2026'!$BE$5:$BE$56,'Budget - 2026'!$B$5:$B$56,'AVA WP - Overview'!D54)</f>
        <v>223823.61923557788</v>
      </c>
      <c r="H54" s="247">
        <f t="shared" si="3"/>
        <v>8.4161988036639643E-2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0.10799305327096444</v>
      </c>
      <c r="L54" s="194"/>
      <c r="M54" s="239">
        <f>SUMIFS('Actual - 2026'!$AC$5:$AC$56,'Actual - 2026'!$A$5:$A$56,'AVA WP - Overview'!D54)</f>
        <v>19756.34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173839.05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49065.67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101</v>
      </c>
      <c r="E55" s="194"/>
      <c r="F55" s="239">
        <f>SUMIFS('Actual - 2026'!$AI$5:$AI$56,'Actual - 2026'!$A$5:$A$56,'AVA WP - Overview'!D55)</f>
        <v>216184.45</v>
      </c>
      <c r="G55" s="233">
        <f>SUMIFS('Budget - 2026'!$BE$5:$BE$56,'Budget - 2026'!$B$5:$B$56,'AVA WP - Overview'!D55)</f>
        <v>232833.6792313492</v>
      </c>
      <c r="H55" s="247">
        <f t="shared" si="3"/>
        <v>-7.1506962765494564E-2</v>
      </c>
      <c r="I55" s="194"/>
      <c r="J55" s="239">
        <f>SUMIFS('Budget - 2026'!$BQ$5:$BQ$56,'Budget - 2026'!$B$5:$B$56,'AVA WP - Overview'!D55)</f>
        <v>236246.37</v>
      </c>
      <c r="K55" s="251">
        <f t="shared" si="1"/>
        <v>-8.4919484688801714E-2</v>
      </c>
      <c r="L55" s="194"/>
      <c r="M55" s="239">
        <f>SUMIFS('Actual - 2026'!$AC$5:$AC$56,'Actual - 2026'!$A$5:$A$56,'AVA WP - Overview'!D55)</f>
        <v>69540.5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125308.05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21335.9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179</v>
      </c>
      <c r="E56" s="194"/>
      <c r="F56" s="239">
        <f>SUMIFS('Actual - 2026'!$AI$5:$AI$56,'Actual - 2026'!$A$5:$A$56,'AVA WP - Overview'!D56)</f>
        <v>0</v>
      </c>
      <c r="G56" s="233">
        <f>SUMIFS('Budget - 2026'!$BE$5:$BE$56,'Budget - 2026'!$B$5:$B$56,'AVA WP - Overview'!D56)</f>
        <v>237355.62247068359</v>
      </c>
      <c r="H56" s="247">
        <f t="shared" si="3"/>
        <v>-1</v>
      </c>
      <c r="I56" s="194"/>
      <c r="J56" s="239">
        <f>SUMIFS('Budget - 2026'!$BQ$5:$BQ$56,'Budget - 2026'!$B$5:$B$56,'AVA WP - Overview'!D56)</f>
        <v>239202.97</v>
      </c>
      <c r="K56" s="251">
        <f t="shared" si="1"/>
        <v>-1</v>
      </c>
      <c r="L56" s="194"/>
      <c r="M56" s="239">
        <f>SUMIFS('Actual - 2026'!$AC$5:$AC$56,'Actual - 2026'!$A$5:$A$56,'AVA WP - Overview'!D56)</f>
        <v>0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0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0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269</v>
      </c>
      <c r="E58" s="194"/>
      <c r="F58" s="241">
        <f>SUM(F54:F57)</f>
        <v>458845.51</v>
      </c>
      <c r="G58" s="228">
        <f>SUM(G54:G57)</f>
        <v>927301.07843366452</v>
      </c>
      <c r="H58" s="248">
        <f t="shared" si="3"/>
        <v>-0.50518173582300652</v>
      </c>
      <c r="I58" s="194"/>
      <c r="J58" s="241">
        <f>SUM(J54:J57)</f>
        <v>944135.04</v>
      </c>
      <c r="K58" s="248">
        <f>IFERROR((F58-J58)/J58,0)</f>
        <v>-0.51400436318940135</v>
      </c>
      <c r="L58" s="194"/>
      <c r="M58" s="241">
        <f t="shared" ref="M58:U58" si="12">SUM(M54:M57)</f>
        <v>89296.84</v>
      </c>
      <c r="N58" s="228">
        <f t="shared" si="12"/>
        <v>80503.078433664516</v>
      </c>
      <c r="O58" s="242">
        <f t="shared" si="12"/>
        <v>83520</v>
      </c>
      <c r="P58" s="241">
        <f t="shared" si="12"/>
        <v>299147.09999999998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70401.570000000007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41</v>
      </c>
      <c r="F1" s="5">
        <f>VLOOKUP(D1,Dates!$B$2:$E$53,4,FALSE)</f>
        <v>41</v>
      </c>
      <c r="G1" s="5" t="b">
        <v>1</v>
      </c>
    </row>
    <row r="2" spans="4:20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7" t="s">
        <v>257</v>
      </c>
      <c r="G4" s="437"/>
      <c r="H4" s="437"/>
      <c r="I4" s="437"/>
      <c r="J4" s="437"/>
      <c r="K4" s="437"/>
      <c r="M4" s="438" t="s">
        <v>248</v>
      </c>
      <c r="N4" s="439"/>
      <c r="O4" s="439"/>
      <c r="P4" s="438" t="s">
        <v>249</v>
      </c>
      <c r="Q4" s="439"/>
      <c r="R4" s="439"/>
    </row>
    <row r="5" spans="4:20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260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261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262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263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264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265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266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267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173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174</v>
      </c>
      <c r="E50" s="194"/>
      <c r="F50" s="239">
        <f>SUMIFS('Actual - 2026'!$AR$5:$AR$56,'Actual - 2026'!$A$5:$A$56,'CASA NEOS Overview '!D50)</f>
        <v>417970.01</v>
      </c>
      <c r="G50" s="233">
        <f>SUMIFS('Budget - 2026'!$BZ$5:$BZ$56,'Budget - 2026'!$B$5:$B$56,'CASA NEOS Overview '!D50)</f>
        <v>516573.18886320991</v>
      </c>
      <c r="H50" s="247">
        <f t="shared" si="0"/>
        <v>-0.19087939712899099</v>
      </c>
      <c r="I50" s="194"/>
      <c r="J50" s="239">
        <f>SUMIFS('Budget - 2026'!$CI$5:$CI$56,'Budget - 2026'!$B$5:$B$56,'CASA NEOS Overview '!D50)</f>
        <v>481710.5</v>
      </c>
      <c r="K50" s="251">
        <f t="shared" si="7"/>
        <v>-0.13232115554882029</v>
      </c>
      <c r="L50" s="194"/>
      <c r="M50" s="239">
        <f>SUMIFS('Actual - 2026'!$AO$5:$AO$56,'Actual - 2026'!$A$5:$A$56,'MILA 2F - Overview'!D50)</f>
        <v>355895.66000000003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62074.35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175</v>
      </c>
      <c r="E51" s="194"/>
      <c r="F51" s="239">
        <f>SUMIFS('Actual - 2026'!$AR$5:$AR$56,'Actual - 2026'!$A$5:$A$56,'CASA NEOS Overview '!D51)</f>
        <v>406693.96</v>
      </c>
      <c r="G51" s="233">
        <f>SUMIFS('Budget - 2026'!$BZ$5:$BZ$56,'Budget - 2026'!$B$5:$B$56,'CASA NEOS Overview '!D51)</f>
        <v>471579.57080375077</v>
      </c>
      <c r="H51" s="247">
        <f t="shared" si="0"/>
        <v>-0.1375920731535529</v>
      </c>
      <c r="I51" s="194"/>
      <c r="J51" s="239">
        <f>SUMIFS('Budget - 2026'!$CI$5:$CI$56,'Budget - 2026'!$B$5:$B$56,'CASA NEOS Overview '!D51)</f>
        <v>502088.24</v>
      </c>
      <c r="K51" s="251">
        <f t="shared" si="7"/>
        <v>-0.1899950494757654</v>
      </c>
      <c r="L51" s="194"/>
      <c r="M51" s="239">
        <f>SUMIFS('Actual - 2026'!$AO$5:$AO$56,'Actual - 2026'!$A$5:$A$56,'MILA 2F - Overview'!D51)</f>
        <v>319112.76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87581.2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-64885.610803750751</v>
      </c>
    </row>
    <row r="52" spans="4:21" s="108" customFormat="1" ht="22.15" customHeight="1">
      <c r="D52" s="193" t="s">
        <v>176</v>
      </c>
      <c r="E52" s="194"/>
      <c r="F52" s="239">
        <f>SUMIFS('Actual - 2026'!$AR$5:$AR$56,'Actual - 2026'!$A$5:$A$56,'CASA NEOS Overview '!D52)</f>
        <v>460989.18999999994</v>
      </c>
      <c r="G52" s="233">
        <f>SUMIFS('Budget - 2026'!$BZ$5:$BZ$56,'Budget - 2026'!$B$5:$B$56,'CASA NEOS Overview '!D52)</f>
        <v>520902.52506208071</v>
      </c>
      <c r="H52" s="247">
        <f t="shared" si="0"/>
        <v>-0.11501832335126488</v>
      </c>
      <c r="I52" s="194"/>
      <c r="J52" s="239">
        <f>SUMIFS('Budget - 2026'!$CI$5:$CI$56,'Budget - 2026'!$B$5:$B$56,'CASA NEOS Overview '!D52)</f>
        <v>516060.21</v>
      </c>
      <c r="K52" s="251">
        <f t="shared" si="7"/>
        <v>-0.10671433087236094</v>
      </c>
      <c r="L52" s="194"/>
      <c r="M52" s="239">
        <f>SUMIFS('Actual - 2026'!$AO$5:$AO$56,'Actual - 2026'!$A$5:$A$56,'MILA 2F - Overview'!D52)</f>
        <v>379110.64999999997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81878.540000000008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268</v>
      </c>
      <c r="E53" s="194"/>
      <c r="F53" s="241">
        <f>SUM(F48:F52)</f>
        <v>2074987.91</v>
      </c>
      <c r="G53" s="228">
        <f>SUM(G48:G52)</f>
        <v>2501307.0499999998</v>
      </c>
      <c r="H53" s="248">
        <f t="shared" si="0"/>
        <v>-0.17043854731869082</v>
      </c>
      <c r="I53" s="194"/>
      <c r="J53" s="241">
        <f>SUM(J48:J52)</f>
        <v>2452042.75</v>
      </c>
      <c r="K53" s="248">
        <f>(F53-J53)/J53</f>
        <v>-0.15377172359658089</v>
      </c>
      <c r="L53" s="194"/>
      <c r="M53" s="241">
        <f t="shared" ref="M53:R53" si="11">SUM(M48:M52)</f>
        <v>1700127.35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374860.56000000006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178</v>
      </c>
      <c r="E54" s="194"/>
      <c r="F54" s="239">
        <f>SUMIFS('Actual - 2026'!$AR$5:$AR$56,'Actual - 2026'!$A$5:$A$56,'CASA NEOS Overview '!D54)</f>
        <v>456446.08</v>
      </c>
      <c r="G54" s="233">
        <f>SUMIFS('Budget - 2026'!$BZ$5:$BZ$56,'Budget - 2026'!$B$5:$B$56,'CASA NEOS Overview '!D54)</f>
        <v>492025.59830495931</v>
      </c>
      <c r="H54" s="247">
        <f t="shared" si="0"/>
        <v>-7.2312331772029004E-2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-7.1547363766839345E-2</v>
      </c>
      <c r="L54" s="194"/>
      <c r="M54" s="239">
        <f>SUMIFS('Actual - 2026'!$AO$5:$AO$56,'Actual - 2026'!$A$5:$A$56,'MILA 2F - Overview'!D54)</f>
        <v>375080.03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81366.05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101</v>
      </c>
      <c r="E55" s="194"/>
      <c r="F55" s="239">
        <f>SUMIFS('Actual - 2026'!$AR$5:$AR$56,'Actual - 2026'!$A$5:$A$56,'CASA NEOS Overview '!D55)</f>
        <v>606637.69999999995</v>
      </c>
      <c r="G55" s="233">
        <f>SUMIFS('Budget - 2026'!$BZ$5:$BZ$56,'Budget - 2026'!$B$5:$B$56,'CASA NEOS Overview '!D55)</f>
        <v>513721.50596077408</v>
      </c>
      <c r="H55" s="247">
        <f t="shared" si="0"/>
        <v>0.18086880335183128</v>
      </c>
      <c r="I55" s="194"/>
      <c r="J55" s="239">
        <f>SUMIFS('Budget - 2026'!$CI$5:$CI$56,'Budget - 2026'!$B$5:$B$56,'CASA NEOS Overview '!D55)</f>
        <v>495789.84</v>
      </c>
      <c r="K55" s="251">
        <f t="shared" si="7"/>
        <v>0.2235783210079495</v>
      </c>
      <c r="L55" s="194"/>
      <c r="M55" s="239">
        <f>SUMIFS('Actual - 2026'!$AO$5:$AO$56,'Actual - 2026'!$A$5:$A$56,'MILA 2F - Overview'!D55)</f>
        <v>482677.74999999994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123959.95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179</v>
      </c>
      <c r="E56" s="194"/>
      <c r="F56" s="239">
        <f>SUMIFS('Actual - 2026'!$AR$5:$AR$56,'Actual - 2026'!$A$5:$A$56,'CASA NEOS Overview '!D56)</f>
        <v>0</v>
      </c>
      <c r="G56" s="233">
        <f>SUMIFS('Budget - 2026'!$BZ$5:$BZ$56,'Budget - 2026'!$B$5:$B$56,'CASA NEOS Overview '!D56)</f>
        <v>495067.09928503947</v>
      </c>
      <c r="H56" s="247">
        <f t="shared" si="0"/>
        <v>-1</v>
      </c>
      <c r="I56" s="194"/>
      <c r="J56" s="239">
        <f>SUMIFS('Budget - 2026'!$CI$5:$CI$56,'Budget - 2026'!$B$5:$B$56,'CASA NEOS Overview '!D56)</f>
        <v>481493.53</v>
      </c>
      <c r="K56" s="251">
        <f t="shared" si="7"/>
        <v>-1</v>
      </c>
      <c r="L56" s="194"/>
      <c r="M56" s="239">
        <f>SUMIFS('Actual - 2026'!$AO$5:$AO$56,'Actual - 2026'!$A$5:$A$56,'MILA 2F - Overview'!D56)</f>
        <v>0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0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269</v>
      </c>
      <c r="E58" s="194"/>
      <c r="F58" s="241">
        <f>SUM(F54:F57)</f>
        <v>1063083.78</v>
      </c>
      <c r="G58" s="228">
        <f>SUM(G54:G57)</f>
        <v>2017094.2899999998</v>
      </c>
      <c r="H58" s="248">
        <f t="shared" si="0"/>
        <v>-0.47296277359448569</v>
      </c>
      <c r="I58" s="194"/>
      <c r="J58" s="241">
        <f>SUM(J54:J57)</f>
        <v>2015397.4500000002</v>
      </c>
      <c r="K58" s="248">
        <f>(F58-J58)/J58</f>
        <v>-0.47251904084725327</v>
      </c>
      <c r="L58" s="194"/>
      <c r="M58" s="241">
        <f t="shared" ref="M58:R58" si="12">SUM(M54:M57)</f>
        <v>857757.78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205326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41</v>
      </c>
      <c r="F1" s="5">
        <f>VLOOKUP(D1,Dates!$B$2:$E$53,4,FALSE)</f>
        <v>41</v>
      </c>
      <c r="G1" s="232" t="b">
        <v>1</v>
      </c>
    </row>
    <row r="2" spans="4:20" ht="28.5" customHeight="1">
      <c r="D2" s="401" t="s">
        <v>246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6" t="s">
        <v>257</v>
      </c>
      <c r="G4" s="436"/>
      <c r="H4" s="436"/>
      <c r="I4" s="436"/>
      <c r="J4" s="436"/>
      <c r="K4" s="436"/>
      <c r="M4" s="434" t="s">
        <v>239</v>
      </c>
      <c r="N4" s="435"/>
      <c r="O4" s="435"/>
      <c r="P4" s="434" t="s">
        <v>207</v>
      </c>
      <c r="Q4" s="435"/>
      <c r="R4" s="435"/>
    </row>
    <row r="5" spans="4:20" ht="19.5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260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261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262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263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264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265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266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267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- 2026'!$BV$5:$BV$56,'Actual - 2026'!$A$5:$A$56,$D50)</f>
        <v>108804</v>
      </c>
      <c r="G50" s="233">
        <f>SUMIFS('Budget - 2026'!$DV$5:$DV$56,'Budget - 2026'!$B$5:$B$56,$D50)</f>
        <v>181591.53720233616</v>
      </c>
      <c r="H50" s="247">
        <f t="shared" si="5"/>
        <v>-0.40083110878252842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88610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20194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- 2026'!$BV$5:$BV$56,'Actual - 2026'!$A$5:$A$56,$D51)</f>
        <v>35776</v>
      </c>
      <c r="G51" s="233">
        <f>SUMIFS('Budget - 2026'!$DV$5:$DV$56,'Budget - 2026'!$B$5:$B$56,$D51)</f>
        <v>181591.53720233616</v>
      </c>
      <c r="H51" s="247">
        <f t="shared" si="5"/>
        <v>-0.80298641362269529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35776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- 2026'!$BV$5:$BV$56,'Actual - 2026'!$A$5:$A$56,$D52)</f>
        <v>131170.22999999998</v>
      </c>
      <c r="G52" s="233">
        <f>SUMIFS('Budget - 2026'!$DV$5:$DV$56,'Budget - 2026'!$B$5:$B$56,$D52)</f>
        <v>181591.53720233616</v>
      </c>
      <c r="H52" s="247">
        <f t="shared" si="5"/>
        <v>-0.27766330953052537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80399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50771.229999999996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268</v>
      </c>
      <c r="E53" s="194"/>
      <c r="F53" s="241">
        <f>SUM(F48:F52)</f>
        <v>522828.23</v>
      </c>
      <c r="G53" s="228">
        <f>SUM(G48:G52)</f>
        <v>907957.68601168075</v>
      </c>
      <c r="H53" s="248">
        <f t="shared" si="5"/>
        <v>-0.4241711502034976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350430</v>
      </c>
      <c r="N53" s="228">
        <f t="shared" si="12"/>
        <v>793957.68601168075</v>
      </c>
      <c r="O53" s="242">
        <f t="shared" si="12"/>
        <v>0</v>
      </c>
      <c r="P53" s="241">
        <f t="shared" si="12"/>
        <v>172398.22999999998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178</v>
      </c>
      <c r="E54" s="194"/>
      <c r="F54" s="239">
        <f>SUMIFS('Actual - 2026'!$BV$5:$BV$56,'Actual - 2026'!$A$5:$A$56,$D54)</f>
        <v>132183.75</v>
      </c>
      <c r="G54" s="233">
        <f>SUMIFS('Budget - 2026'!$DV$5:$DV$56,'Budget - 2026'!$B$5:$B$56,$D54)</f>
        <v>201038.10246097873</v>
      </c>
      <c r="H54" s="247">
        <f t="shared" si="5"/>
        <v>-0.34249404276158685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110120.65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22063.1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101</v>
      </c>
      <c r="E55" s="194"/>
      <c r="F55" s="239">
        <f>SUMIFS('Actual - 2026'!$BV$5:$BV$56,'Actual - 2026'!$A$5:$A$56,$D55)</f>
        <v>135264</v>
      </c>
      <c r="G55" s="233">
        <f>SUMIFS('Budget - 2026'!$DV$5:$DV$56,'Budget - 2026'!$B$5:$B$56,$D55)</f>
        <v>201038.10246097873</v>
      </c>
      <c r="H55" s="247">
        <f t="shared" si="5"/>
        <v>-0.32717232035029481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128927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6337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- 2026'!$BV$5:$BV$56,'Actual - 2026'!$A$5:$A$56,$D56)</f>
        <v>0</v>
      </c>
      <c r="G56" s="233">
        <f>SUMIFS('Budget - 2026'!$DV$5:$DV$56,'Budget - 2026'!$B$5:$B$56,$D56)</f>
        <v>201038.10246097873</v>
      </c>
      <c r="H56" s="247">
        <f t="shared" si="5"/>
        <v>-1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0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0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269</v>
      </c>
      <c r="E58" s="194"/>
      <c r="F58" s="241">
        <f>SUM(F54:F57)</f>
        <v>267447.75</v>
      </c>
      <c r="G58" s="228">
        <f>SUM(G54:G57)</f>
        <v>804152.40984391491</v>
      </c>
      <c r="H58" s="248">
        <f t="shared" si="5"/>
        <v>-0.66741659077797044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239047.65</v>
      </c>
      <c r="N58" s="228">
        <f t="shared" si="13"/>
        <v>712952.40984391491</v>
      </c>
      <c r="O58" s="242">
        <f t="shared" si="13"/>
        <v>0</v>
      </c>
      <c r="P58" s="241">
        <f t="shared" si="13"/>
        <v>28400.1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T10" sqref="T10"/>
      <selection pane="bottomLeft" activeCell="T10" sqref="T10"/>
      <selection pane="topRight" activeCell="T10" sqref="T10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41</v>
      </c>
      <c r="F1" s="5">
        <f>VLOOKUP(D1,Dates!$B$2:$E$53,4,FALSE)</f>
        <v>41</v>
      </c>
      <c r="G1" s="5" t="b">
        <v>1</v>
      </c>
    </row>
    <row r="2" spans="4:20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7" t="s">
        <v>257</v>
      </c>
      <c r="G4" s="437"/>
      <c r="H4" s="437"/>
      <c r="I4" s="437"/>
      <c r="J4" s="437"/>
      <c r="K4" s="437"/>
      <c r="M4" s="438" t="s">
        <v>248</v>
      </c>
      <c r="N4" s="439"/>
      <c r="O4" s="439"/>
      <c r="P4" s="438" t="s">
        <v>249</v>
      </c>
      <c r="Q4" s="439"/>
      <c r="R4" s="439"/>
    </row>
    <row r="5" spans="4:20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260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261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262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263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264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265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266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267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- 2026'!$BA$5:$BA$56,'Actual - 2026'!$A$5:$A$56,'CLAUDIE Overview'!D50)</f>
        <v>243799.83</v>
      </c>
      <c r="G50" s="233">
        <f>SUMIFS('Budget - 2026'!$DA$5:$DA$56,'Budget - 2026'!$B$5:$B$56,'CLAUDIE Overview'!D50)</f>
        <v>285509.30193392036</v>
      </c>
      <c r="H50" s="247">
        <f t="shared" si="3"/>
        <v>-0.14608796158793388</v>
      </c>
      <c r="I50" s="194"/>
      <c r="J50" s="239">
        <f>SUMIFS('Budget - 2026'!$CR$5:$CR$56,'Budget - 2026'!$B$5:$B$56,D50)</f>
        <v>267323.02</v>
      </c>
      <c r="K50" s="251">
        <f t="shared" si="1"/>
        <v>-8.7995377278021286E-2</v>
      </c>
      <c r="L50" s="194"/>
      <c r="M50" s="239">
        <f>SUMIFS('Actual - 2026'!$AX$5:$AX$56,'Actual - 2026'!$A$5:$A$56,'MILA 2F - Overview'!D50)</f>
        <v>206720.69999999998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37079.130000000005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- 2026'!$BA$5:$BA$56,'Actual - 2026'!$A$5:$A$56,'CLAUDIE Overview'!D51)</f>
        <v>298721.98000000004</v>
      </c>
      <c r="G51" s="233">
        <f>SUMIFS('Budget - 2026'!$DA$5:$DA$56,'Budget - 2026'!$B$5:$B$56,'CLAUDIE Overview'!D51)</f>
        <v>323315.56193392037</v>
      </c>
      <c r="H51" s="247">
        <f t="shared" si="3"/>
        <v>-7.6066805404643029E-2</v>
      </c>
      <c r="I51" s="194"/>
      <c r="J51" s="239">
        <f>SUMIFS('Budget - 2026'!$CR$5:$CR$56,'Budget - 2026'!$B$5:$B$56,D51)</f>
        <v>306426</v>
      </c>
      <c r="K51" s="251">
        <f t="shared" si="1"/>
        <v>-2.5141534987239856E-2</v>
      </c>
      <c r="L51" s="194"/>
      <c r="M51" s="239">
        <f>SUMIFS('Actual - 2026'!$AX$5:$AX$56,'Actual - 2026'!$A$5:$A$56,'MILA 2F - Overview'!D51)</f>
        <v>235767.62000000002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62954.36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- 2026'!$BA$5:$BA$56,'Actual - 2026'!$A$5:$A$56,'CLAUDIE Overview'!D52)</f>
        <v>318005.00000000006</v>
      </c>
      <c r="G52" s="233">
        <f>SUMIFS('Budget - 2026'!$DA$5:$DA$56,'Budget - 2026'!$B$5:$B$56,'CLAUDIE Overview'!D52)</f>
        <v>337147.7819339204</v>
      </c>
      <c r="H52" s="247">
        <f t="shared" si="3"/>
        <v>-5.6778608549980757E-2</v>
      </c>
      <c r="I52" s="194"/>
      <c r="J52" s="239">
        <f>SUMIFS('Budget - 2026'!$CR$5:$CR$56,'Budget - 2026'!$B$5:$B$56,D52)</f>
        <v>308881.95</v>
      </c>
      <c r="K52" s="251">
        <f t="shared" si="1"/>
        <v>2.9535717448041385E-2</v>
      </c>
      <c r="L52" s="194"/>
      <c r="M52" s="239">
        <f>SUMIFS('Actual - 2026'!$AX$5:$AX$56,'Actual - 2026'!$A$5:$A$56,'MILA 2F - Overview'!D52)</f>
        <v>267882.24000000005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50122.76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268</v>
      </c>
      <c r="E53" s="194"/>
      <c r="F53" s="241">
        <f>SUM(F48:F52)</f>
        <v>1390247.71</v>
      </c>
      <c r="G53" s="228">
        <f>SUM(G48:G52)</f>
        <v>1547886.5196696019</v>
      </c>
      <c r="H53" s="248">
        <f t="shared" si="3"/>
        <v>-0.10184132212951254</v>
      </c>
      <c r="I53" s="194"/>
      <c r="J53" s="241">
        <f>SUM(J48:J52)</f>
        <v>1467160.14</v>
      </c>
      <c r="K53" s="248">
        <f>IFERROR((F53-J53)/J53,0)</f>
        <v>-5.2422655102939163E-2</v>
      </c>
      <c r="L53" s="194"/>
      <c r="M53" s="241">
        <f t="shared" ref="M53:R53" si="12">SUM(M48:M52)</f>
        <v>1176683.81</v>
      </c>
      <c r="N53" s="228">
        <f t="shared" si="12"/>
        <v>1396830.61</v>
      </c>
      <c r="O53" s="242">
        <f t="shared" si="12"/>
        <v>1467160.14</v>
      </c>
      <c r="P53" s="241">
        <f t="shared" si="12"/>
        <v>213563.90000000002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178</v>
      </c>
      <c r="E54" s="194"/>
      <c r="F54" s="239">
        <f>SUMIFS('Actual - 2026'!$BA$5:$BA$56,'Actual - 2026'!$A$5:$A$56,'CLAUDIE Overview'!D54)</f>
        <v>341645.86</v>
      </c>
      <c r="G54" s="233">
        <f>SUMIFS('Budget - 2026'!$DA$5:$DA$56,'Budget - 2026'!$B$5:$B$56,'CLAUDIE Overview'!D54)</f>
        <v>288683.14193392039</v>
      </c>
      <c r="H54" s="247">
        <f t="shared" si="3"/>
        <v>0.1834631482506269</v>
      </c>
      <c r="I54" s="194"/>
      <c r="J54" s="239">
        <f>SUMIFS('Budget - 2026'!$CR$5:$CR$56,'Budget - 2026'!$B$5:$B$56,D54)</f>
        <v>281717.33</v>
      </c>
      <c r="K54" s="251">
        <f t="shared" si="1"/>
        <v>0.21272574889162824</v>
      </c>
      <c r="L54" s="194"/>
      <c r="M54" s="239">
        <f>SUMIFS('Actual - 2026'!$AX$5:$AX$56,'Actual - 2026'!$A$5:$A$56,'MILA 2F - Overview'!D54)</f>
        <v>291986.45999999996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49659.399999999994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101</v>
      </c>
      <c r="E55" s="194"/>
      <c r="F55" s="239">
        <f>SUMIFS('Actual - 2026'!$BA$5:$BA$56,'Actual - 2026'!$A$5:$A$56,'CLAUDIE Overview'!D55)</f>
        <v>284940.23</v>
      </c>
      <c r="G55" s="233">
        <f>SUMIFS('Budget - 2026'!$DA$5:$DA$56,'Budget - 2026'!$B$5:$B$56,'CLAUDIE Overview'!D55)</f>
        <v>293784.61193392042</v>
      </c>
      <c r="H55" s="247">
        <f t="shared" si="3"/>
        <v>-3.010498703693085E-2</v>
      </c>
      <c r="I55" s="194"/>
      <c r="J55" s="239">
        <f>SUMIFS('Budget - 2026'!$CR$5:$CR$56,'Budget - 2026'!$B$5:$B$56,D55)</f>
        <v>322209.40000000002</v>
      </c>
      <c r="K55" s="251">
        <f t="shared" si="1"/>
        <v>-0.11566754414986043</v>
      </c>
      <c r="L55" s="194"/>
      <c r="M55" s="239">
        <f>SUMIFS('Actual - 2026'!$AX$5:$AX$56,'Actual - 2026'!$A$5:$A$56,'MILA 2F - Overview'!D55)</f>
        <v>241362.07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43578.16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179</v>
      </c>
      <c r="E56" s="194"/>
      <c r="F56" s="239">
        <f>SUMIFS('Actual - 2026'!$BA$5:$BA$56,'Actual - 2026'!$A$5:$A$56,'CLAUDIE Overview'!D56)</f>
        <v>0</v>
      </c>
      <c r="G56" s="233">
        <f>SUMIFS('Budget - 2026'!$DA$5:$DA$56,'Budget - 2026'!$B$5:$B$56,'CLAUDIE Overview'!D56)</f>
        <v>306347.89193392039</v>
      </c>
      <c r="H56" s="247">
        <f t="shared" si="3"/>
        <v>-1</v>
      </c>
      <c r="I56" s="194"/>
      <c r="J56" s="239">
        <f>SUMIFS('Budget - 2026'!$CR$5:$CR$56,'Budget - 2026'!$B$5:$B$56,D56)</f>
        <v>296641</v>
      </c>
      <c r="K56" s="251">
        <f t="shared" si="1"/>
        <v>-1</v>
      </c>
      <c r="L56" s="194"/>
      <c r="M56" s="239">
        <f>SUMIFS('Actual - 2026'!$AX$5:$AX$56,'Actual - 2026'!$A$5:$A$56,'MILA 2F - Overview'!D56)</f>
        <v>0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0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269</v>
      </c>
      <c r="E58" s="194"/>
      <c r="F58" s="241">
        <f>SUM(F54:F57)</f>
        <v>626586.09</v>
      </c>
      <c r="G58" s="228">
        <f>SUM(G54:G57)</f>
        <v>1233086.2377356817</v>
      </c>
      <c r="H58" s="248">
        <f t="shared" si="3"/>
        <v>-0.4918554186845836</v>
      </c>
      <c r="I58" s="194"/>
      <c r="J58" s="241">
        <f>SUM(J54:J57)</f>
        <v>1277439.6200000001</v>
      </c>
      <c r="K58" s="248">
        <f>IFERROR((F58-J58)/J58,0)</f>
        <v>-0.50949846850687164</v>
      </c>
      <c r="L58" s="194"/>
      <c r="M58" s="241">
        <f t="shared" ref="M58:R58" si="13">SUM(M54:M57)</f>
        <v>533348.53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93237.56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6" activePane="bottomRight" state="frozen"/>
      <selection pane="bottomRight" activeCell="T10" sqref="T10"/>
      <selection pane="bottomLeft" activeCell="T16" sqref="T16"/>
      <selection pane="topRight" activeCell="T16" sqref="T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41</v>
      </c>
      <c r="F1" s="5">
        <f>VLOOKUP(D1,Dates!$B$2:$E$53,4,FALSE)</f>
        <v>41</v>
      </c>
      <c r="G1" s="5" t="b">
        <v>1</v>
      </c>
    </row>
    <row r="2" spans="4:25" ht="28.5">
      <c r="D2" s="400" t="str">
        <f>CONCATENATE("AVA - Coconut Grove",)</f>
        <v>AVA - Coconut Grove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4" spans="4:25">
      <c r="F4" s="437" t="s">
        <v>257</v>
      </c>
      <c r="G4" s="437"/>
      <c r="H4" s="437"/>
      <c r="I4" s="437"/>
      <c r="J4" s="437"/>
      <c r="K4" s="437"/>
      <c r="M4" s="438" t="s">
        <v>272</v>
      </c>
      <c r="N4" s="439"/>
      <c r="O4" s="439"/>
      <c r="P4" s="438" t="s">
        <v>248</v>
      </c>
      <c r="Q4" s="439"/>
      <c r="R4" s="439"/>
      <c r="S4" s="438" t="s">
        <v>273</v>
      </c>
      <c r="T4" s="439"/>
      <c r="U4" s="439"/>
    </row>
    <row r="5" spans="4:25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260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261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262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263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264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265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266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267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173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174</v>
      </c>
      <c r="E50" s="194"/>
      <c r="F50" s="239">
        <f>SUMIFS('Actual - 2026'!$BM$5:$BM$56,'Actual - 2026'!$A$5:$A$56,'AVA CG - Overview'!D50)</f>
        <v>163955.47999999998</v>
      </c>
      <c r="G50" s="233">
        <f>SUMIFS('Budget - 2026'!$DM$5:$DM$56,'Budget - 2026'!$B$5:$B$56,'AVA CG - Overview'!D50)</f>
        <v>230673.492</v>
      </c>
      <c r="H50" s="247">
        <f t="shared" si="3"/>
        <v>-0.28923137817673483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25497.119999999999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138458.35999999999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175</v>
      </c>
      <c r="E51" s="194"/>
      <c r="F51" s="239">
        <f>SUMIFS('Actual - 2026'!$BM$5:$BM$56,'Actual - 2026'!$A$5:$A$56,'AVA CG - Overview'!D51)</f>
        <v>201326.81</v>
      </c>
      <c r="G51" s="233">
        <f>SUMIFS('Budget - 2026'!$DM$5:$DM$56,'Budget - 2026'!$B$5:$B$56,'AVA CG - Overview'!D51)</f>
        <v>230673.492</v>
      </c>
      <c r="H51" s="247">
        <f t="shared" si="3"/>
        <v>-0.12722173556032176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39015.440000000002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162311.37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176</v>
      </c>
      <c r="E52" s="194"/>
      <c r="F52" s="239">
        <f>SUMIFS('Actual - 2026'!$BM$5:$BM$56,'Actual - 2026'!$A$5:$A$56,'AVA CG - Overview'!D52)</f>
        <v>228480.33</v>
      </c>
      <c r="G52" s="233">
        <f>SUMIFS('Budget - 2026'!$DM$5:$DM$56,'Budget - 2026'!$B$5:$B$56,'AVA CG - Overview'!D52)</f>
        <v>230673.492</v>
      </c>
      <c r="H52" s="247">
        <f t="shared" si="3"/>
        <v>-9.5076464182542973E-3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42469.9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186010.43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268</v>
      </c>
      <c r="E53" s="194"/>
      <c r="F53" s="241">
        <f>SUM(F48:F52)</f>
        <v>979265.95999999985</v>
      </c>
      <c r="G53" s="228">
        <f>SUM(G48:G52)</f>
        <v>1153367.46</v>
      </c>
      <c r="H53" s="248">
        <f t="shared" si="3"/>
        <v>-0.15095059123655191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164673.89000000001</v>
      </c>
      <c r="N53" s="228">
        <f t="shared" si="11"/>
        <v>290761</v>
      </c>
      <c r="O53" s="242">
        <f t="shared" si="11"/>
        <v>0</v>
      </c>
      <c r="P53" s="241">
        <f t="shared" si="11"/>
        <v>814592.06999999983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178</v>
      </c>
      <c r="E54" s="194"/>
      <c r="F54" s="239">
        <f>SUMIFS('Actual - 2026'!$BM$5:$BM$56,'Actual - 2026'!$A$5:$A$56,'AVA CG - Overview'!D54)</f>
        <v>173007.71000000002</v>
      </c>
      <c r="G54" s="233">
        <f>SUMIFS('Budget - 2026'!$DM$5:$DM$56,'Budget - 2026'!$B$5:$B$56,'AVA CG - Overview'!D54)</f>
        <v>233123.3</v>
      </c>
      <c r="H54" s="247">
        <f t="shared" si="3"/>
        <v>-0.25787036302248628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36720.720000000001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136286.99000000002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101</v>
      </c>
      <c r="E55" s="194"/>
      <c r="F55" s="239">
        <f>SUMIFS('Actual - 2026'!$BM$5:$BM$56,'Actual - 2026'!$A$5:$A$56,'AVA CG - Overview'!D55)</f>
        <v>214709.49999999997</v>
      </c>
      <c r="G55" s="233">
        <f>SUMIFS('Budget - 2026'!$DM$5:$DM$56,'Budget - 2026'!$B$5:$B$56,'AVA CG - Overview'!D55)</f>
        <v>233123.3</v>
      </c>
      <c r="H55" s="247">
        <f t="shared" si="3"/>
        <v>-7.8987385645278782E-2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25476.23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189233.26999999996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179</v>
      </c>
      <c r="E56" s="194"/>
      <c r="F56" s="239">
        <f>SUMIFS('Actual - 2026'!$BM$5:$BM$56,'Actual - 2026'!$A$5:$A$56,'AVA CG - Overview'!D56)</f>
        <v>0</v>
      </c>
      <c r="G56" s="233">
        <f>SUMIFS('Budget - 2026'!$DM$5:$DM$56,'Budget - 2026'!$B$5:$B$56,'AVA CG - Overview'!D56)</f>
        <v>233123.3</v>
      </c>
      <c r="H56" s="247">
        <f t="shared" si="3"/>
        <v>-1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0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0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269</v>
      </c>
      <c r="E58" s="194"/>
      <c r="F58" s="241">
        <f>SUM(F54:F57)</f>
        <v>387717.20999999996</v>
      </c>
      <c r="G58" s="228">
        <f>SUM(G54:G57)</f>
        <v>932493.2</v>
      </c>
      <c r="H58" s="248">
        <f t="shared" si="3"/>
        <v>-0.58421443716694132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62196.95</v>
      </c>
      <c r="N58" s="228">
        <f t="shared" si="12"/>
        <v>181458</v>
      </c>
      <c r="O58" s="242">
        <f t="shared" si="12"/>
        <v>0</v>
      </c>
      <c r="P58" s="241">
        <f t="shared" si="12"/>
        <v>325520.26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workbookViewId="0">
      <selection activeCell="T16" sqref="T16"/>
    </sheetView>
  </sheetViews>
  <sheetFormatPr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J652"/>
  <sheetViews>
    <sheetView zoomScale="106" zoomScaleNormal="106" workbookViewId="0">
      <selection activeCell="T16" sqref="T16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28" width="2.7109375" style="343" customWidth="1"/>
    <col min="29" max="29" width="2.140625" style="343" customWidth="1"/>
    <col min="30" max="35" width="9.140625" style="343"/>
    <col min="36" max="36" width="26.7109375" style="343" customWidth="1"/>
    <col min="37" max="16384" width="9.140625" style="343"/>
  </cols>
  <sheetData>
    <row r="1" spans="1:36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  <c r="AD1" s="390"/>
      <c r="AE1" s="390"/>
      <c r="AF1" s="390"/>
      <c r="AG1" s="390"/>
      <c r="AH1" s="390"/>
      <c r="AI1" s="390"/>
    </row>
    <row r="2" spans="1:36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240</v>
      </c>
      <c r="G2" s="343" t="s">
        <v>280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253</v>
      </c>
      <c r="O2" s="343" t="s">
        <v>280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281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  <c r="AD2" s="350"/>
      <c r="AE2" s="350"/>
      <c r="AF2" s="363"/>
      <c r="AG2" s="363"/>
      <c r="AH2" s="391"/>
      <c r="AI2" s="362"/>
      <c r="AJ2" s="440"/>
    </row>
    <row r="3" spans="1:36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241</v>
      </c>
      <c r="G3" s="343" t="s">
        <v>280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253</v>
      </c>
      <c r="O3" s="343" t="s">
        <v>282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283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  <c r="AD3" s="350"/>
      <c r="AE3" s="350"/>
      <c r="AF3" s="363"/>
      <c r="AG3" s="363"/>
      <c r="AH3" s="362"/>
      <c r="AI3" s="362"/>
      <c r="AJ3" s="440"/>
    </row>
    <row r="4" spans="1:36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242</v>
      </c>
      <c r="G4" s="343" t="s">
        <v>280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253</v>
      </c>
      <c r="O4" s="343" t="s">
        <v>284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285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  <c r="AD4" s="350"/>
      <c r="AE4" s="350"/>
      <c r="AF4" s="363"/>
      <c r="AG4" s="363"/>
      <c r="AH4" s="362"/>
      <c r="AI4" s="362"/>
      <c r="AJ4" s="440"/>
    </row>
    <row r="5" spans="1:36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243</v>
      </c>
      <c r="G5" s="343" t="s">
        <v>280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253</v>
      </c>
      <c r="O5" s="343" t="s">
        <v>286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287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  <c r="AD5" s="350"/>
      <c r="AE5" s="350"/>
      <c r="AF5" s="363"/>
      <c r="AG5" s="363"/>
      <c r="AH5" s="362"/>
      <c r="AI5" s="362"/>
      <c r="AJ5" s="440"/>
    </row>
    <row r="6" spans="1:36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244</v>
      </c>
      <c r="G6" s="343" t="s">
        <v>280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253</v>
      </c>
      <c r="O6" s="343" t="s">
        <v>288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289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  <c r="AD6" s="350"/>
      <c r="AE6" s="350"/>
      <c r="AF6" s="363"/>
      <c r="AG6" s="363"/>
      <c r="AH6" s="362"/>
      <c r="AI6" s="362"/>
      <c r="AJ6" s="440"/>
    </row>
    <row r="7" spans="1:36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252</v>
      </c>
      <c r="G7" s="343" t="s">
        <v>280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253</v>
      </c>
      <c r="O7" s="343" t="s">
        <v>290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291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  <c r="AD7" s="350"/>
      <c r="AE7" s="350"/>
      <c r="AF7" s="363"/>
      <c r="AG7" s="363"/>
      <c r="AH7" s="362"/>
      <c r="AI7" s="362"/>
      <c r="AJ7" s="440"/>
    </row>
    <row r="8" spans="1:36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253</v>
      </c>
      <c r="G8" s="343" t="s">
        <v>280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253</v>
      </c>
      <c r="O8" s="343" t="s">
        <v>292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293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  <c r="AD8" s="350"/>
      <c r="AE8" s="350"/>
      <c r="AF8" s="363"/>
      <c r="AG8" s="363"/>
      <c r="AH8" s="362"/>
      <c r="AI8" s="362"/>
      <c r="AJ8" s="440"/>
    </row>
    <row r="9" spans="1:36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240</v>
      </c>
      <c r="G9" s="343" t="s">
        <v>282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253</v>
      </c>
      <c r="O9" s="343" t="s">
        <v>294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295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  <c r="AD9" s="350"/>
      <c r="AE9" s="350"/>
      <c r="AF9" s="363"/>
      <c r="AG9" s="363"/>
      <c r="AH9" s="362"/>
      <c r="AI9" s="362"/>
      <c r="AJ9" s="440"/>
    </row>
    <row r="10" spans="1:36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241</v>
      </c>
      <c r="G10" s="343" t="s">
        <v>282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253</v>
      </c>
      <c r="O10" s="343" t="s">
        <v>296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297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  <c r="AD10" s="350"/>
      <c r="AE10" s="350"/>
      <c r="AF10" s="363"/>
      <c r="AG10" s="363"/>
      <c r="AH10" s="362"/>
      <c r="AI10" s="362"/>
      <c r="AJ10" s="440"/>
    </row>
    <row r="11" spans="1:36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242</v>
      </c>
      <c r="G11" s="343" t="s">
        <v>282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253</v>
      </c>
      <c r="O11" s="343" t="s">
        <v>298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299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  <c r="AD11" s="350"/>
      <c r="AE11" s="350"/>
      <c r="AF11" s="363"/>
      <c r="AG11" s="363"/>
      <c r="AH11" s="362"/>
      <c r="AI11" s="362"/>
      <c r="AJ11" s="440"/>
    </row>
    <row r="12" spans="1:36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243</v>
      </c>
      <c r="G12" s="343" t="s">
        <v>282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253</v>
      </c>
      <c r="O12" s="343" t="s">
        <v>300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301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  <c r="AD12" s="350"/>
      <c r="AE12" s="350"/>
      <c r="AF12" s="363"/>
      <c r="AG12" s="363"/>
      <c r="AH12" s="362"/>
      <c r="AI12" s="362"/>
      <c r="AJ12" s="440"/>
    </row>
    <row r="13" spans="1:36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244</v>
      </c>
      <c r="G13" s="343" t="s">
        <v>282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253</v>
      </c>
      <c r="O13" s="343" t="s">
        <v>302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  <c r="AD13" s="350"/>
      <c r="AE13" s="350"/>
      <c r="AF13" s="363"/>
      <c r="AG13" s="363"/>
      <c r="AH13" s="362"/>
      <c r="AI13" s="362"/>
      <c r="AJ13" s="440"/>
    </row>
    <row r="14" spans="1:36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252</v>
      </c>
      <c r="G14" s="343" t="s">
        <v>282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253</v>
      </c>
      <c r="O14" s="343" t="s">
        <v>303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281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  <c r="AD14" s="350"/>
      <c r="AE14" s="350"/>
      <c r="AF14" s="363"/>
      <c r="AG14" s="363"/>
      <c r="AH14" s="362"/>
      <c r="AI14" s="362"/>
      <c r="AJ14" s="440"/>
    </row>
    <row r="15" spans="1:36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253</v>
      </c>
      <c r="G15" s="343" t="s">
        <v>282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253</v>
      </c>
      <c r="O15" s="343" t="s">
        <v>304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283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  <c r="AD15" s="350"/>
      <c r="AE15" s="350"/>
      <c r="AF15" s="363"/>
      <c r="AG15" s="363"/>
      <c r="AH15" s="362"/>
      <c r="AI15" s="362"/>
      <c r="AJ15" s="440"/>
    </row>
    <row r="16" spans="1:36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240</v>
      </c>
      <c r="G16" s="343" t="s">
        <v>284</v>
      </c>
      <c r="I16" s="343">
        <v>20250410</v>
      </c>
      <c r="J16" s="343">
        <v>-990.3</v>
      </c>
      <c r="M16" s="384">
        <v>45757</v>
      </c>
      <c r="N16" s="343" t="s">
        <v>243</v>
      </c>
      <c r="O16" s="343" t="s">
        <v>305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285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  <c r="AD16" s="350"/>
      <c r="AE16" s="350"/>
      <c r="AF16" s="363"/>
      <c r="AG16" s="363"/>
      <c r="AH16" s="362"/>
      <c r="AI16" s="362"/>
      <c r="AJ16" s="440"/>
    </row>
    <row r="17" spans="1:36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241</v>
      </c>
      <c r="G17" s="343" t="s">
        <v>284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253</v>
      </c>
      <c r="O17" s="343" t="s">
        <v>305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287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  <c r="AD17" s="350"/>
      <c r="AE17" s="350"/>
      <c r="AF17" s="363"/>
      <c r="AG17" s="363"/>
      <c r="AH17" s="362"/>
      <c r="AI17" s="362"/>
      <c r="AJ17" s="440"/>
    </row>
    <row r="18" spans="1:36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242</v>
      </c>
      <c r="G18" s="343" t="s">
        <v>284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253</v>
      </c>
      <c r="O18" s="343" t="s">
        <v>306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289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  <c r="AD18" s="350"/>
      <c r="AE18" s="350"/>
      <c r="AF18" s="363"/>
      <c r="AG18" s="363"/>
      <c r="AH18" s="362"/>
      <c r="AI18" s="362"/>
      <c r="AJ18" s="440"/>
    </row>
    <row r="19" spans="1:36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243</v>
      </c>
      <c r="G19" s="343" t="s">
        <v>284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253</v>
      </c>
      <c r="O19" s="343" t="s">
        <v>307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291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  <c r="AD19" s="350"/>
      <c r="AE19" s="350"/>
      <c r="AF19" s="363"/>
      <c r="AG19" s="363"/>
      <c r="AH19" s="362"/>
      <c r="AI19" s="362"/>
      <c r="AJ19" s="440"/>
    </row>
    <row r="20" spans="1:36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244</v>
      </c>
      <c r="G20" s="343" t="s">
        <v>284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253</v>
      </c>
      <c r="O20" s="343" t="s">
        <v>308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293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  <c r="AD20" s="350"/>
      <c r="AE20" s="350"/>
      <c r="AF20" s="363"/>
      <c r="AG20" s="363"/>
      <c r="AH20" s="362"/>
      <c r="AI20" s="362"/>
    </row>
    <row r="21" spans="1:36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252</v>
      </c>
      <c r="G21" s="343" t="s">
        <v>284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253</v>
      </c>
      <c r="O21" s="343" t="s">
        <v>309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295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  <c r="AD21" s="350"/>
      <c r="AE21" s="350"/>
      <c r="AF21" s="363"/>
      <c r="AG21" s="363"/>
      <c r="AH21" s="362"/>
      <c r="AI21" s="362"/>
    </row>
    <row r="22" spans="1:36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253</v>
      </c>
      <c r="G22" s="343" t="s">
        <v>284</v>
      </c>
      <c r="I22" s="343">
        <v>20250516</v>
      </c>
      <c r="J22" s="343">
        <v>-315</v>
      </c>
      <c r="M22" s="384">
        <v>45793</v>
      </c>
      <c r="N22" s="343" t="s">
        <v>244</v>
      </c>
      <c r="O22" s="343" t="s">
        <v>310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297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  <c r="AD22" s="350"/>
      <c r="AE22" s="350"/>
      <c r="AF22" s="363"/>
      <c r="AG22" s="363"/>
      <c r="AH22" s="362"/>
      <c r="AI22" s="362"/>
    </row>
    <row r="23" spans="1:36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240</v>
      </c>
      <c r="G23" s="343" t="s">
        <v>286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253</v>
      </c>
      <c r="O23" s="343" t="s">
        <v>310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301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  <c r="AD23" s="350"/>
      <c r="AE23" s="350"/>
      <c r="AF23" s="363"/>
      <c r="AG23" s="363"/>
      <c r="AH23" s="362"/>
      <c r="AI23" s="362"/>
    </row>
    <row r="24" spans="1:36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241</v>
      </c>
      <c r="G24" s="343" t="s">
        <v>286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253</v>
      </c>
      <c r="O24" s="343" t="s">
        <v>311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  <c r="AD24" s="350"/>
      <c r="AE24" s="350"/>
      <c r="AF24" s="363"/>
      <c r="AG24" s="363"/>
      <c r="AH24" s="362"/>
      <c r="AI24" s="362"/>
    </row>
    <row r="25" spans="1:36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242</v>
      </c>
      <c r="G25" s="343" t="s">
        <v>286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253</v>
      </c>
      <c r="O25" s="343" t="s">
        <v>312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281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  <c r="AD25" s="350"/>
      <c r="AE25" s="350"/>
      <c r="AF25" s="363"/>
      <c r="AG25" s="363"/>
      <c r="AH25" s="362"/>
      <c r="AI25" s="362"/>
    </row>
    <row r="26" spans="1:36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243</v>
      </c>
      <c r="G26" s="343" t="s">
        <v>286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253</v>
      </c>
      <c r="O26" s="343" t="s">
        <v>313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283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  <c r="AD26" s="350"/>
      <c r="AE26" s="350"/>
      <c r="AF26" s="363"/>
      <c r="AG26" s="363"/>
      <c r="AH26" s="362"/>
      <c r="AI26" s="362"/>
    </row>
    <row r="27" spans="1:36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244</v>
      </c>
      <c r="G27" s="343" t="s">
        <v>286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253</v>
      </c>
      <c r="O27" s="343" t="s">
        <v>314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285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  <c r="AD27" s="350"/>
      <c r="AE27" s="350"/>
      <c r="AF27" s="363"/>
      <c r="AG27" s="363"/>
      <c r="AH27" s="362"/>
      <c r="AI27" s="362"/>
    </row>
    <row r="28" spans="1:36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252</v>
      </c>
      <c r="G28" s="343" t="s">
        <v>286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253</v>
      </c>
      <c r="O28" s="343" t="s">
        <v>315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287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  <c r="AD28" s="350"/>
      <c r="AE28" s="350"/>
      <c r="AF28" s="363"/>
      <c r="AG28" s="363"/>
      <c r="AH28" s="362"/>
      <c r="AI28" s="362"/>
    </row>
    <row r="29" spans="1:36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253</v>
      </c>
      <c r="G29" s="343" t="s">
        <v>286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253</v>
      </c>
      <c r="O29" s="343" t="s">
        <v>316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289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  <c r="AD29" s="350"/>
      <c r="AE29" s="350"/>
      <c r="AF29" s="363"/>
      <c r="AG29" s="363"/>
      <c r="AH29" s="362"/>
      <c r="AI29" s="362"/>
    </row>
    <row r="30" spans="1:36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240</v>
      </c>
      <c r="G30" s="343" t="s">
        <v>288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253</v>
      </c>
      <c r="O30" s="343" t="s">
        <v>317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291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  <c r="AD30" s="350"/>
      <c r="AE30" s="350"/>
      <c r="AF30" s="363"/>
      <c r="AG30" s="363"/>
      <c r="AH30" s="362"/>
      <c r="AI30" s="362"/>
    </row>
    <row r="31" spans="1:36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241</v>
      </c>
      <c r="G31" s="343" t="s">
        <v>288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253</v>
      </c>
      <c r="O31" s="343" t="s">
        <v>318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293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  <c r="AD31" s="350"/>
      <c r="AE31" s="350"/>
      <c r="AF31" s="363"/>
      <c r="AG31" s="363"/>
      <c r="AH31" s="362"/>
      <c r="AI31" s="362"/>
    </row>
    <row r="32" spans="1:36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242</v>
      </c>
      <c r="G32" s="343" t="s">
        <v>288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253</v>
      </c>
      <c r="O32" s="343" t="s">
        <v>319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295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  <c r="AD32" s="350"/>
      <c r="AE32" s="350"/>
      <c r="AF32" s="363"/>
      <c r="AG32" s="363"/>
      <c r="AH32" s="362"/>
      <c r="AI32" s="362"/>
    </row>
    <row r="33" spans="1:35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243</v>
      </c>
      <c r="G33" s="343" t="s">
        <v>288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253</v>
      </c>
      <c r="O33" s="343" t="s">
        <v>320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297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  <c r="AD33" s="350"/>
      <c r="AE33" s="350"/>
      <c r="AF33" s="363"/>
      <c r="AG33" s="363"/>
      <c r="AH33" s="362"/>
      <c r="AI33" s="362"/>
    </row>
    <row r="34" spans="1:35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244</v>
      </c>
      <c r="G34" s="343" t="s">
        <v>288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253</v>
      </c>
      <c r="O34" s="343" t="s">
        <v>321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299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  <c r="AD34" s="350"/>
      <c r="AE34" s="350"/>
      <c r="AF34" s="363"/>
      <c r="AG34" s="363"/>
      <c r="AH34" s="362"/>
      <c r="AI34" s="362"/>
    </row>
    <row r="35" spans="1:35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252</v>
      </c>
      <c r="G35" s="343" t="s">
        <v>288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253</v>
      </c>
      <c r="O35" s="343" t="s">
        <v>322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301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  <c r="AD35" s="350"/>
      <c r="AE35" s="350"/>
      <c r="AF35" s="363"/>
      <c r="AG35" s="363"/>
      <c r="AH35" s="362"/>
      <c r="AI35" s="362"/>
    </row>
    <row r="36" spans="1:35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253</v>
      </c>
      <c r="G36" s="343" t="s">
        <v>288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253</v>
      </c>
      <c r="O36" s="343" t="s">
        <v>323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  <c r="AD36" s="350"/>
      <c r="AE36" s="350"/>
      <c r="AF36" s="363"/>
      <c r="AG36" s="363"/>
      <c r="AH36" s="362"/>
      <c r="AI36" s="362"/>
    </row>
    <row r="37" spans="1:35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240</v>
      </c>
      <c r="G37" s="343" t="s">
        <v>290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253</v>
      </c>
      <c r="O37" s="343" t="s">
        <v>324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281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  <c r="AD37" s="350"/>
      <c r="AE37" s="350"/>
      <c r="AF37" s="363"/>
      <c r="AG37" s="363"/>
      <c r="AH37" s="362"/>
      <c r="AI37" s="362"/>
    </row>
    <row r="38" spans="1:35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241</v>
      </c>
      <c r="G38" s="343" t="s">
        <v>290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253</v>
      </c>
      <c r="O38" s="343" t="s">
        <v>325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283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  <c r="AD38" s="350"/>
      <c r="AE38" s="350"/>
      <c r="AF38" s="363"/>
      <c r="AG38" s="363"/>
      <c r="AH38" s="362"/>
      <c r="AI38" s="362"/>
    </row>
    <row r="39" spans="1:35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242</v>
      </c>
      <c r="G39" s="343" t="s">
        <v>290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253</v>
      </c>
      <c r="O39" s="343" t="s">
        <v>326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285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  <c r="AD39" s="350"/>
      <c r="AE39" s="350"/>
      <c r="AF39" s="363"/>
      <c r="AG39" s="363"/>
      <c r="AH39" s="362"/>
      <c r="AI39" s="362"/>
    </row>
    <row r="40" spans="1:35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243</v>
      </c>
      <c r="G40" s="343" t="s">
        <v>290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253</v>
      </c>
      <c r="O40" s="343" t="s">
        <v>327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287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  <c r="AD40" s="350"/>
      <c r="AE40" s="350"/>
      <c r="AF40" s="363"/>
      <c r="AG40" s="363"/>
      <c r="AH40" s="362"/>
      <c r="AI40" s="362"/>
    </row>
    <row r="41" spans="1:35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244</v>
      </c>
      <c r="G41" s="343" t="s">
        <v>290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253</v>
      </c>
      <c r="O41" s="343" t="s">
        <v>328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289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  <c r="AD41" s="350"/>
      <c r="AE41" s="350"/>
      <c r="AF41" s="363"/>
      <c r="AG41" s="363"/>
      <c r="AH41" s="362"/>
      <c r="AI41" s="362"/>
    </row>
    <row r="42" spans="1:35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252</v>
      </c>
      <c r="G42" s="343" t="s">
        <v>290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253</v>
      </c>
      <c r="O42" s="343" t="s">
        <v>329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291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  <c r="AD42" s="350"/>
      <c r="AE42" s="350"/>
      <c r="AF42" s="363"/>
      <c r="AG42" s="363"/>
      <c r="AH42" s="362"/>
      <c r="AI42" s="362"/>
    </row>
    <row r="43" spans="1:35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253</v>
      </c>
      <c r="G43" s="343" t="s">
        <v>290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253</v>
      </c>
      <c r="O43" s="343" t="s">
        <v>330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293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  <c r="AD43" s="350"/>
      <c r="AE43" s="350"/>
      <c r="AF43" s="363"/>
      <c r="AG43" s="363"/>
      <c r="AH43" s="362"/>
      <c r="AI43" s="362"/>
    </row>
    <row r="44" spans="1:35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240</v>
      </c>
      <c r="G44" s="343" t="s">
        <v>292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253</v>
      </c>
      <c r="O44" s="343" t="s">
        <v>331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295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  <c r="AD44" s="350"/>
      <c r="AE44" s="350"/>
      <c r="AF44" s="363"/>
      <c r="AG44" s="363"/>
      <c r="AH44" s="362"/>
      <c r="AI44" s="362"/>
    </row>
    <row r="45" spans="1:35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241</v>
      </c>
      <c r="G45" s="343" t="s">
        <v>292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253</v>
      </c>
      <c r="O45" s="343" t="s">
        <v>332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297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  <c r="AD45" s="350"/>
      <c r="AE45" s="350"/>
      <c r="AF45" s="363"/>
      <c r="AG45" s="363"/>
      <c r="AH45" s="362"/>
      <c r="AI45" s="362"/>
    </row>
    <row r="46" spans="1:35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242</v>
      </c>
      <c r="G46" s="343" t="s">
        <v>292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253</v>
      </c>
      <c r="O46" s="343" t="s">
        <v>333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299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  <c r="AD46" s="350"/>
      <c r="AE46" s="350"/>
      <c r="AF46" s="363"/>
      <c r="AG46" s="363"/>
      <c r="AH46" s="362"/>
      <c r="AI46" s="362"/>
    </row>
    <row r="47" spans="1:35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243</v>
      </c>
      <c r="G47" s="343" t="s">
        <v>292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253</v>
      </c>
      <c r="O47" s="343" t="s">
        <v>334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301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  <c r="AD47" s="350"/>
      <c r="AE47" s="350"/>
      <c r="AF47" s="363"/>
      <c r="AG47" s="363"/>
      <c r="AH47" s="362"/>
      <c r="AI47" s="362"/>
    </row>
    <row r="48" spans="1:35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244</v>
      </c>
      <c r="G48" s="343" t="s">
        <v>292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253</v>
      </c>
      <c r="O48" s="343" t="s">
        <v>335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  <c r="AD48" s="350"/>
      <c r="AE48" s="350"/>
      <c r="AF48" s="363"/>
      <c r="AG48" s="363"/>
      <c r="AH48" s="362"/>
      <c r="AI48" s="362"/>
    </row>
    <row r="49" spans="1:35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252</v>
      </c>
      <c r="G49" s="343" t="s">
        <v>292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253</v>
      </c>
      <c r="O49" s="343" t="s">
        <v>336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281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  <c r="AD49" s="350"/>
      <c r="AE49" s="350"/>
      <c r="AF49" s="363"/>
      <c r="AG49" s="363"/>
      <c r="AH49" s="362"/>
      <c r="AI49" s="362"/>
    </row>
    <row r="50" spans="1:35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253</v>
      </c>
      <c r="G50" s="343" t="s">
        <v>292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253</v>
      </c>
      <c r="O50" s="343" t="s">
        <v>337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283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  <c r="AD50" s="350"/>
      <c r="AE50" s="350"/>
      <c r="AF50" s="363"/>
      <c r="AG50" s="363"/>
      <c r="AH50" s="362"/>
      <c r="AI50" s="362"/>
    </row>
    <row r="51" spans="1:35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240</v>
      </c>
      <c r="G51" s="343" t="s">
        <v>294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253</v>
      </c>
      <c r="O51" s="343" t="s">
        <v>338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285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  <c r="AD51" s="350"/>
      <c r="AE51" s="350"/>
      <c r="AF51" s="363"/>
      <c r="AG51" s="363"/>
      <c r="AH51" s="362"/>
      <c r="AI51" s="362"/>
    </row>
    <row r="52" spans="1:35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241</v>
      </c>
      <c r="G52" s="343" t="s">
        <v>294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253</v>
      </c>
      <c r="O52" s="343" t="s">
        <v>339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287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  <c r="AD52" s="350"/>
      <c r="AE52" s="350"/>
      <c r="AF52" s="363"/>
      <c r="AG52" s="363"/>
      <c r="AH52" s="362"/>
      <c r="AI52" s="362"/>
    </row>
    <row r="53" spans="1:35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242</v>
      </c>
      <c r="G53" s="343" t="s">
        <v>294</v>
      </c>
      <c r="I53" s="343">
        <v>20251211</v>
      </c>
      <c r="J53" s="343">
        <v>-660.54</v>
      </c>
      <c r="M53" s="384">
        <v>46002</v>
      </c>
      <c r="N53" s="343" t="s">
        <v>243</v>
      </c>
      <c r="O53" s="343" t="s">
        <v>340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289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  <c r="AD53" s="350"/>
      <c r="AE53" s="350"/>
      <c r="AF53" s="363"/>
      <c r="AG53" s="363"/>
      <c r="AH53" s="362"/>
      <c r="AI53" s="362"/>
    </row>
    <row r="54" spans="1:35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243</v>
      </c>
      <c r="G54" s="343" t="s">
        <v>294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253</v>
      </c>
      <c r="O54" s="343" t="s">
        <v>340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291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  <c r="AF54" s="384"/>
      <c r="AG54" s="384"/>
    </row>
    <row r="55" spans="1:35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244</v>
      </c>
      <c r="G55" s="343" t="s">
        <v>294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253</v>
      </c>
      <c r="O55" s="343" t="s">
        <v>341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293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  <c r="AF55" s="384"/>
      <c r="AG55" s="384"/>
    </row>
    <row r="56" spans="1:35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252</v>
      </c>
      <c r="G56" s="343" t="s">
        <v>294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253</v>
      </c>
      <c r="O56" s="343" t="s">
        <v>342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295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  <c r="AF56" s="384"/>
      <c r="AG56" s="384"/>
    </row>
    <row r="57" spans="1:35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253</v>
      </c>
      <c r="G57" s="343" t="s">
        <v>294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253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299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  <c r="AF57" s="384"/>
      <c r="AG57" s="384"/>
    </row>
    <row r="58" spans="1:35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240</v>
      </c>
      <c r="G58" s="343" t="s">
        <v>296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253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301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  <c r="AF58" s="384"/>
      <c r="AG58" s="384"/>
    </row>
    <row r="59" spans="1:35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241</v>
      </c>
      <c r="G59" s="343" t="s">
        <v>296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253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  <c r="AF59" s="384"/>
      <c r="AG59" s="384"/>
    </row>
    <row r="60" spans="1:35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242</v>
      </c>
      <c r="G60" s="343" t="s">
        <v>296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253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281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  <c r="AF60" s="384"/>
      <c r="AG60" s="384"/>
    </row>
    <row r="61" spans="1:35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243</v>
      </c>
      <c r="G61" s="343" t="s">
        <v>296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253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283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  <c r="AF61" s="384"/>
      <c r="AG61" s="384"/>
    </row>
    <row r="62" spans="1:35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244</v>
      </c>
      <c r="G62" s="343" t="s">
        <v>296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253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285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35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252</v>
      </c>
      <c r="G63" s="343" t="s">
        <v>296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253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287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35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253</v>
      </c>
      <c r="G64" s="343" t="s">
        <v>296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253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289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240</v>
      </c>
      <c r="G65" s="343" t="s">
        <v>298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253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291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241</v>
      </c>
      <c r="G66" s="343" t="s">
        <v>298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253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293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242</v>
      </c>
      <c r="G67" s="343" t="s">
        <v>298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253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295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243</v>
      </c>
      <c r="G68" s="343" t="s">
        <v>298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253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301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244</v>
      </c>
      <c r="G69" s="343" t="s">
        <v>298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253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252</v>
      </c>
      <c r="G70" s="343" t="s">
        <v>298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253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343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253</v>
      </c>
      <c r="G71" s="343" t="s">
        <v>298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253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281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240</v>
      </c>
      <c r="G72" s="343" t="s">
        <v>300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253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283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241</v>
      </c>
      <c r="G73" s="343" t="s">
        <v>300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253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285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242</v>
      </c>
      <c r="G74" s="343" t="s">
        <v>300</v>
      </c>
      <c r="I74" s="343">
        <v>20260430</v>
      </c>
      <c r="J74" s="343">
        <v>-248.52</v>
      </c>
      <c r="M74" s="384">
        <v>46142</v>
      </c>
      <c r="N74" s="343" t="s">
        <v>243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287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243</v>
      </c>
      <c r="G75" s="343" t="s">
        <v>300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253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289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244</v>
      </c>
      <c r="G76" s="343" t="s">
        <v>300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253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291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252</v>
      </c>
      <c r="G77" s="343" t="s">
        <v>300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253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293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253</v>
      </c>
      <c r="G78" s="343" t="s">
        <v>300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253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295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240</v>
      </c>
      <c r="G79" s="343" t="s">
        <v>302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253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299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241</v>
      </c>
      <c r="G80" s="343" t="s">
        <v>302</v>
      </c>
      <c r="I80" s="343">
        <v>20260603</v>
      </c>
      <c r="J80" s="343">
        <v>-91.07</v>
      </c>
      <c r="M80" s="384">
        <v>46176</v>
      </c>
      <c r="N80" s="343" t="s">
        <v>242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301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242</v>
      </c>
      <c r="G81" s="343" t="s">
        <v>302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253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243</v>
      </c>
      <c r="G82" s="343" t="s">
        <v>302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253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343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244</v>
      </c>
      <c r="G83" s="343" t="s">
        <v>302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253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281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252</v>
      </c>
      <c r="G84" s="343" t="s">
        <v>302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253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283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253</v>
      </c>
      <c r="G85" s="343" t="s">
        <v>302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253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285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240</v>
      </c>
      <c r="G86" s="343" t="s">
        <v>303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253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287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241</v>
      </c>
      <c r="G87" s="343" t="s">
        <v>303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253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289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242</v>
      </c>
      <c r="G88" s="343" t="s">
        <v>303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253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291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243</v>
      </c>
      <c r="G89" s="343" t="s">
        <v>303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253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293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244</v>
      </c>
      <c r="G90" s="343" t="s">
        <v>303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253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295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252</v>
      </c>
      <c r="G91" s="343" t="s">
        <v>303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253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301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253</v>
      </c>
      <c r="G92" s="343" t="s">
        <v>303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253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240</v>
      </c>
      <c r="G93" s="343" t="s">
        <v>304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253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343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241</v>
      </c>
      <c r="G94" s="343" t="s">
        <v>304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253</v>
      </c>
      <c r="O94" s="343" t="s">
        <v>173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281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242</v>
      </c>
      <c r="G95" s="343" t="s">
        <v>304</v>
      </c>
      <c r="I95" s="343">
        <v>20260913</v>
      </c>
      <c r="J95" s="343">
        <v>30043</v>
      </c>
      <c r="K95" s="343">
        <v>97</v>
      </c>
      <c r="L95" s="343">
        <v>272</v>
      </c>
      <c r="M95" s="384">
        <v>46278</v>
      </c>
      <c r="N95" s="343" t="s">
        <v>253</v>
      </c>
      <c r="O95" s="343" t="s">
        <v>174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283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243</v>
      </c>
      <c r="G96" s="343" t="s">
        <v>304</v>
      </c>
      <c r="I96" s="343">
        <v>20260920</v>
      </c>
      <c r="J96" s="343">
        <v>41055.1</v>
      </c>
      <c r="K96" s="343">
        <v>104</v>
      </c>
      <c r="L96" s="343">
        <v>349</v>
      </c>
      <c r="M96" s="384">
        <v>46285</v>
      </c>
      <c r="N96" s="343" t="s">
        <v>253</v>
      </c>
      <c r="O96" s="343" t="s">
        <v>175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285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244</v>
      </c>
      <c r="G97" s="343" t="s">
        <v>304</v>
      </c>
      <c r="I97" s="343">
        <v>20260927</v>
      </c>
      <c r="J97" s="343">
        <v>45025.15</v>
      </c>
      <c r="K97" s="343">
        <v>86</v>
      </c>
      <c r="L97" s="343">
        <v>326</v>
      </c>
      <c r="M97" s="384">
        <v>46292</v>
      </c>
      <c r="N97" s="343" t="s">
        <v>253</v>
      </c>
      <c r="O97" s="343" t="s">
        <v>176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287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252</v>
      </c>
      <c r="G98" s="343" t="s">
        <v>304</v>
      </c>
      <c r="I98" s="343">
        <v>20261004</v>
      </c>
      <c r="J98" s="343">
        <v>38861</v>
      </c>
      <c r="K98" s="343">
        <v>96</v>
      </c>
      <c r="L98" s="343">
        <v>338</v>
      </c>
      <c r="M98" s="384">
        <v>46299</v>
      </c>
      <c r="N98" s="343" t="s">
        <v>253</v>
      </c>
      <c r="O98" s="343" t="s">
        <v>178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289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253</v>
      </c>
      <c r="G99" s="343" t="s">
        <v>304</v>
      </c>
      <c r="I99" s="343">
        <v>20261011</v>
      </c>
      <c r="J99" s="343">
        <v>36845</v>
      </c>
      <c r="K99" s="343">
        <v>101</v>
      </c>
      <c r="L99" s="343">
        <v>312</v>
      </c>
      <c r="M99" s="384">
        <v>46306</v>
      </c>
      <c r="N99" s="343" t="s">
        <v>253</v>
      </c>
      <c r="O99" s="343" t="s">
        <v>101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291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240</v>
      </c>
      <c r="G100" s="343" t="s">
        <v>305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293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241</v>
      </c>
      <c r="G101" s="343" t="s">
        <v>305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295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242</v>
      </c>
      <c r="G102" s="343" t="s">
        <v>305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301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243</v>
      </c>
      <c r="G103" s="343" t="s">
        <v>305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244</v>
      </c>
      <c r="G104" s="343" t="s">
        <v>305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281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252</v>
      </c>
      <c r="G105" s="343" t="s">
        <v>305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283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253</v>
      </c>
      <c r="G106" s="343" t="s">
        <v>305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285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240</v>
      </c>
      <c r="G107" s="343" t="s">
        <v>306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287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241</v>
      </c>
      <c r="G108" s="343" t="s">
        <v>306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289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242</v>
      </c>
      <c r="G109" s="343" t="s">
        <v>306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291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243</v>
      </c>
      <c r="G110" s="343" t="s">
        <v>306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293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244</v>
      </c>
      <c r="G111" s="343" t="s">
        <v>306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295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252</v>
      </c>
      <c r="G112" s="343" t="s">
        <v>306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299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253</v>
      </c>
      <c r="G113" s="343" t="s">
        <v>306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301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240</v>
      </c>
      <c r="G114" s="343" t="s">
        <v>307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241</v>
      </c>
      <c r="G115" s="343" t="s">
        <v>307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281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242</v>
      </c>
      <c r="G116" s="343" t="s">
        <v>307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283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243</v>
      </c>
      <c r="G117" s="343" t="s">
        <v>307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285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244</v>
      </c>
      <c r="G118" s="343" t="s">
        <v>307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287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252</v>
      </c>
      <c r="G119" s="343" t="s">
        <v>307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289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253</v>
      </c>
      <c r="G120" s="343" t="s">
        <v>307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291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240</v>
      </c>
      <c r="G121" s="343" t="s">
        <v>308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293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241</v>
      </c>
      <c r="G122" s="343" t="s">
        <v>308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295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242</v>
      </c>
      <c r="G123" s="343" t="s">
        <v>308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301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243</v>
      </c>
      <c r="G124" s="343" t="s">
        <v>308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244</v>
      </c>
      <c r="G125" s="343" t="s">
        <v>308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281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252</v>
      </c>
      <c r="G126" s="343" t="s">
        <v>308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283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253</v>
      </c>
      <c r="G127" s="343" t="s">
        <v>308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285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240</v>
      </c>
      <c r="G128" s="343" t="s">
        <v>309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287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241</v>
      </c>
      <c r="G129" s="343" t="s">
        <v>309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289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242</v>
      </c>
      <c r="G130" s="343" t="s">
        <v>309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291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243</v>
      </c>
      <c r="G131" s="343" t="s">
        <v>309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293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244</v>
      </c>
      <c r="G132" s="343" t="s">
        <v>309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295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252</v>
      </c>
      <c r="G133" s="343" t="s">
        <v>309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301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253</v>
      </c>
      <c r="G134" s="343" t="s">
        <v>309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240</v>
      </c>
      <c r="G135" s="343" t="s">
        <v>310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343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241</v>
      </c>
      <c r="G136" s="343" t="s">
        <v>310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281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242</v>
      </c>
      <c r="G137" s="343" t="s">
        <v>310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283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243</v>
      </c>
      <c r="G138" s="343" t="s">
        <v>310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285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244</v>
      </c>
      <c r="G139" s="343" t="s">
        <v>310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287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252</v>
      </c>
      <c r="G140" s="343" t="s">
        <v>310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289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253</v>
      </c>
      <c r="G141" s="343" t="s">
        <v>310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291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240</v>
      </c>
      <c r="G142" s="343" t="s">
        <v>311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293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241</v>
      </c>
      <c r="G143" s="343" t="s">
        <v>311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295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242</v>
      </c>
      <c r="G144" s="343" t="s">
        <v>311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301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243</v>
      </c>
      <c r="G145" s="343" t="s">
        <v>311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244</v>
      </c>
      <c r="G146" s="343" t="s">
        <v>311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281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252</v>
      </c>
      <c r="G147" s="343" t="s">
        <v>311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283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253</v>
      </c>
      <c r="G148" s="343" t="s">
        <v>311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285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240</v>
      </c>
      <c r="G149" s="343" t="s">
        <v>312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287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241</v>
      </c>
      <c r="G150" s="343" t="s">
        <v>312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289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242</v>
      </c>
      <c r="G151" s="343" t="s">
        <v>312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291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243</v>
      </c>
      <c r="G152" s="343" t="s">
        <v>312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293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244</v>
      </c>
      <c r="G153" s="343" t="s">
        <v>312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295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252</v>
      </c>
      <c r="G154" s="343" t="s">
        <v>312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301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253</v>
      </c>
      <c r="G155" s="343" t="s">
        <v>312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240</v>
      </c>
      <c r="G156" s="343" t="s">
        <v>313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281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241</v>
      </c>
      <c r="G157" s="343" t="s">
        <v>313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283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242</v>
      </c>
      <c r="G158" s="343" t="s">
        <v>313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285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243</v>
      </c>
      <c r="G159" s="343" t="s">
        <v>313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287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244</v>
      </c>
      <c r="G160" s="343" t="s">
        <v>313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289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252</v>
      </c>
      <c r="G161" s="343" t="s">
        <v>313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291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253</v>
      </c>
      <c r="G162" s="343" t="s">
        <v>313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293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240</v>
      </c>
      <c r="G163" s="343" t="s">
        <v>314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295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241</v>
      </c>
      <c r="G164" s="343" t="s">
        <v>314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301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242</v>
      </c>
      <c r="G165" s="343" t="s">
        <v>314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243</v>
      </c>
      <c r="G166" s="343" t="s">
        <v>314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343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244</v>
      </c>
      <c r="G167" s="343" t="s">
        <v>314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281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252</v>
      </c>
      <c r="G168" s="343" t="s">
        <v>314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283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253</v>
      </c>
      <c r="G169" s="343" t="s">
        <v>314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285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240</v>
      </c>
      <c r="G170" s="343" t="s">
        <v>315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287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241</v>
      </c>
      <c r="G171" s="343" t="s">
        <v>315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289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242</v>
      </c>
      <c r="G172" s="343" t="s">
        <v>315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291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243</v>
      </c>
      <c r="G173" s="343" t="s">
        <v>315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293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244</v>
      </c>
      <c r="G174" s="343" t="s">
        <v>315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295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252</v>
      </c>
      <c r="G175" s="343" t="s">
        <v>315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299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253</v>
      </c>
      <c r="G176" s="343" t="s">
        <v>315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301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240</v>
      </c>
      <c r="G177" s="343" t="s">
        <v>316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241</v>
      </c>
      <c r="G178" s="343" t="s">
        <v>316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343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242</v>
      </c>
      <c r="G179" s="343" t="s">
        <v>316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283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243</v>
      </c>
      <c r="G180" s="343" t="s">
        <v>316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285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244</v>
      </c>
      <c r="G181" s="343" t="s">
        <v>316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287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252</v>
      </c>
      <c r="G182" s="343" t="s">
        <v>316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289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253</v>
      </c>
      <c r="G183" s="343" t="s">
        <v>316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291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240</v>
      </c>
      <c r="G184" s="343" t="s">
        <v>317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293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241</v>
      </c>
      <c r="G185" s="343" t="s">
        <v>317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295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242</v>
      </c>
      <c r="G186" s="343" t="s">
        <v>317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299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243</v>
      </c>
      <c r="G187" s="343" t="s">
        <v>317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301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244</v>
      </c>
      <c r="G188" s="343" t="s">
        <v>317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252</v>
      </c>
      <c r="G189" s="343" t="s">
        <v>317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281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253</v>
      </c>
      <c r="G190" s="343" t="s">
        <v>317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344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240</v>
      </c>
      <c r="G191" s="343" t="s">
        <v>318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283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241</v>
      </c>
      <c r="G192" s="343" t="s">
        <v>318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285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242</v>
      </c>
      <c r="G193" s="343" t="s">
        <v>318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287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243</v>
      </c>
      <c r="G194" s="343" t="s">
        <v>318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289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244</v>
      </c>
      <c r="G195" s="343" t="s">
        <v>318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291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252</v>
      </c>
      <c r="G196" s="343" t="s">
        <v>318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293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253</v>
      </c>
      <c r="G197" s="343" t="s">
        <v>318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295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240</v>
      </c>
      <c r="G198" s="343" t="s">
        <v>319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299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241</v>
      </c>
      <c r="G199" s="343" t="s">
        <v>319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301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242</v>
      </c>
      <c r="G200" s="343" t="s">
        <v>319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243</v>
      </c>
      <c r="G201" s="343" t="s">
        <v>319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343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244</v>
      </c>
      <c r="G202" s="343" t="s">
        <v>319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281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252</v>
      </c>
      <c r="G203" s="343" t="s">
        <v>319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344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253</v>
      </c>
      <c r="G204" s="343" t="s">
        <v>319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283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240</v>
      </c>
      <c r="G205" s="343" t="s">
        <v>320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285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241</v>
      </c>
      <c r="G206" s="343" t="s">
        <v>320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287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242</v>
      </c>
      <c r="G207" s="343" t="s">
        <v>320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289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243</v>
      </c>
      <c r="G208" s="343" t="s">
        <v>320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291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244</v>
      </c>
      <c r="G209" s="343" t="s">
        <v>320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293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252</v>
      </c>
      <c r="G210" s="343" t="s">
        <v>320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295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253</v>
      </c>
      <c r="G211" s="343" t="s">
        <v>320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301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240</v>
      </c>
      <c r="G212" s="343" t="s">
        <v>321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241</v>
      </c>
      <c r="G213" s="343" t="s">
        <v>321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343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242</v>
      </c>
      <c r="G214" s="343" t="s">
        <v>321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281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243</v>
      </c>
      <c r="G215" s="343" t="s">
        <v>321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283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244</v>
      </c>
      <c r="G216" s="343" t="s">
        <v>321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285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252</v>
      </c>
      <c r="G217" s="343" t="s">
        <v>321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287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253</v>
      </c>
      <c r="G218" s="343" t="s">
        <v>321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289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240</v>
      </c>
      <c r="G219" s="343" t="s">
        <v>322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291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241</v>
      </c>
      <c r="G220" s="343" t="s">
        <v>322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293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242</v>
      </c>
      <c r="G221" s="343" t="s">
        <v>322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295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243</v>
      </c>
      <c r="G222" s="343" t="s">
        <v>322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301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244</v>
      </c>
      <c r="G223" s="343" t="s">
        <v>322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252</v>
      </c>
      <c r="G224" s="343" t="s">
        <v>322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283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253</v>
      </c>
      <c r="G225" s="343" t="s">
        <v>322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285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240</v>
      </c>
      <c r="G226" s="343" t="s">
        <v>323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287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241</v>
      </c>
      <c r="G227" s="343" t="s">
        <v>323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289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242</v>
      </c>
      <c r="G228" s="343" t="s">
        <v>323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291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243</v>
      </c>
      <c r="G229" s="343" t="s">
        <v>323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293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244</v>
      </c>
      <c r="G230" s="343" t="s">
        <v>323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295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252</v>
      </c>
      <c r="G231" s="343" t="s">
        <v>323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301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253</v>
      </c>
      <c r="G232" s="343" t="s">
        <v>323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240</v>
      </c>
      <c r="G233" s="343" t="s">
        <v>324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283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241</v>
      </c>
      <c r="G234" s="343" t="s">
        <v>324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285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242</v>
      </c>
      <c r="G235" s="343" t="s">
        <v>324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287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243</v>
      </c>
      <c r="G236" s="343" t="s">
        <v>324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289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244</v>
      </c>
      <c r="G237" s="343" t="s">
        <v>324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291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252</v>
      </c>
      <c r="G238" s="343" t="s">
        <v>324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293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253</v>
      </c>
      <c r="G239" s="343" t="s">
        <v>324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295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240</v>
      </c>
      <c r="G240" s="343" t="s">
        <v>325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301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241</v>
      </c>
      <c r="G241" s="343" t="s">
        <v>325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242</v>
      </c>
      <c r="G242" s="343" t="s">
        <v>325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343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243</v>
      </c>
      <c r="G243" s="343" t="s">
        <v>325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283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244</v>
      </c>
      <c r="G244" s="343" t="s">
        <v>325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285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252</v>
      </c>
      <c r="G245" s="343" t="s">
        <v>325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287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253</v>
      </c>
      <c r="G246" s="343" t="s">
        <v>325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289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240</v>
      </c>
      <c r="G247" s="343" t="s">
        <v>326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291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241</v>
      </c>
      <c r="G248" s="343" t="s">
        <v>326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293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242</v>
      </c>
      <c r="G249" s="343" t="s">
        <v>326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295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243</v>
      </c>
      <c r="G250" s="343" t="s">
        <v>326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299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244</v>
      </c>
      <c r="G251" s="343" t="s">
        <v>326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301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252</v>
      </c>
      <c r="G252" s="343" t="s">
        <v>326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253</v>
      </c>
      <c r="G253" s="343" t="s">
        <v>326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343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240</v>
      </c>
      <c r="G254" s="343" t="s">
        <v>327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287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241</v>
      </c>
      <c r="G255" s="343" t="s">
        <v>327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293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242</v>
      </c>
      <c r="G256" s="343" t="s">
        <v>327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283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243</v>
      </c>
      <c r="G257" s="343" t="s">
        <v>327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289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244</v>
      </c>
      <c r="G258" s="343" t="s">
        <v>327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291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252</v>
      </c>
      <c r="G259" s="343" t="s">
        <v>327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301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253</v>
      </c>
      <c r="G260" s="343" t="s">
        <v>327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240</v>
      </c>
      <c r="G261" s="343" t="s">
        <v>328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285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241</v>
      </c>
      <c r="G262" s="343" t="s">
        <v>328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295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242</v>
      </c>
      <c r="G263" s="343" t="s">
        <v>328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287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243</v>
      </c>
      <c r="G264" s="343" t="s">
        <v>328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343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244</v>
      </c>
      <c r="G265" s="343" t="s">
        <v>328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293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252</v>
      </c>
      <c r="G266" s="343" t="s">
        <v>328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344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253</v>
      </c>
      <c r="G267" s="343" t="s">
        <v>328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283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240</v>
      </c>
      <c r="G268" s="343" t="s">
        <v>329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289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241</v>
      </c>
      <c r="G269" s="343" t="s">
        <v>329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291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242</v>
      </c>
      <c r="G270" s="343" t="s">
        <v>329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301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243</v>
      </c>
      <c r="G271" s="343" t="s">
        <v>329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244</v>
      </c>
      <c r="G272" s="343" t="s">
        <v>329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281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252</v>
      </c>
      <c r="G273" s="343" t="s">
        <v>329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285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253</v>
      </c>
      <c r="G274" s="343" t="s">
        <v>329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295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240</v>
      </c>
      <c r="G275" s="343" t="s">
        <v>330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287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241</v>
      </c>
      <c r="G276" s="343" t="s">
        <v>330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293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242</v>
      </c>
      <c r="G277" s="343" t="s">
        <v>330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344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243</v>
      </c>
      <c r="G278" s="343" t="s">
        <v>330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283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244</v>
      </c>
      <c r="G279" s="343" t="s">
        <v>330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289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252</v>
      </c>
      <c r="G280" s="343" t="s">
        <v>330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291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253</v>
      </c>
      <c r="G281" s="343" t="s">
        <v>330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301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240</v>
      </c>
      <c r="G282" s="343" t="s">
        <v>331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241</v>
      </c>
      <c r="G283" s="343" t="s">
        <v>331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281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242</v>
      </c>
      <c r="G284" s="343" t="s">
        <v>331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285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243</v>
      </c>
      <c r="G285" s="343" t="s">
        <v>331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295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244</v>
      </c>
      <c r="G286" s="343" t="s">
        <v>331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287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252</v>
      </c>
      <c r="G287" s="343" t="s">
        <v>331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293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253</v>
      </c>
      <c r="G288" s="343" t="s">
        <v>331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283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240</v>
      </c>
      <c r="G289" s="343" t="s">
        <v>332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289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241</v>
      </c>
      <c r="G290" s="343" t="s">
        <v>332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291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242</v>
      </c>
      <c r="G291" s="343" t="s">
        <v>332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301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243</v>
      </c>
      <c r="G292" s="343" t="s">
        <v>332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244</v>
      </c>
      <c r="G293" s="343" t="s">
        <v>332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281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252</v>
      </c>
      <c r="G294" s="343" t="s">
        <v>332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285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253</v>
      </c>
      <c r="G295" s="343" t="s">
        <v>332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295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240</v>
      </c>
      <c r="G296" s="343" t="s">
        <v>333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287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241</v>
      </c>
      <c r="G297" s="343" t="s">
        <v>333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293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242</v>
      </c>
      <c r="G298" s="343" t="s">
        <v>333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283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243</v>
      </c>
      <c r="G299" s="343" t="s">
        <v>333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289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244</v>
      </c>
      <c r="G300" s="343" t="s">
        <v>333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291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252</v>
      </c>
      <c r="G301" s="343" t="s">
        <v>333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301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253</v>
      </c>
      <c r="G302" s="343" t="s">
        <v>333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240</v>
      </c>
      <c r="G303" s="343" t="s">
        <v>334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285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241</v>
      </c>
      <c r="G304" s="343" t="s">
        <v>334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295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242</v>
      </c>
      <c r="G305" s="343" t="s">
        <v>334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287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243</v>
      </c>
      <c r="G306" s="343" t="s">
        <v>334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343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244</v>
      </c>
      <c r="G307" s="343" t="s">
        <v>334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293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252</v>
      </c>
      <c r="G308" s="343" t="s">
        <v>334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344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253</v>
      </c>
      <c r="G309" s="343" t="s">
        <v>334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283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240</v>
      </c>
      <c r="G310" s="343" t="s">
        <v>335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289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241</v>
      </c>
      <c r="G311" s="343" t="s">
        <v>335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291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242</v>
      </c>
      <c r="G312" s="343" t="s">
        <v>335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301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243</v>
      </c>
      <c r="G313" s="343" t="s">
        <v>335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244</v>
      </c>
      <c r="G314" s="343" t="s">
        <v>335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285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252</v>
      </c>
      <c r="G315" s="343" t="s">
        <v>335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295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253</v>
      </c>
      <c r="G316" s="343" t="s">
        <v>335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287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240</v>
      </c>
      <c r="G317" s="343" t="s">
        <v>336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293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241</v>
      </c>
      <c r="G318" s="343" t="s">
        <v>336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344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242</v>
      </c>
      <c r="G319" s="343" t="s">
        <v>336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283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243</v>
      </c>
      <c r="G320" s="343" t="s">
        <v>336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289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244</v>
      </c>
      <c r="G321" s="343" t="s">
        <v>336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291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252</v>
      </c>
      <c r="G322" s="343" t="s">
        <v>336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301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253</v>
      </c>
      <c r="G323" s="343" t="s">
        <v>336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240</v>
      </c>
      <c r="G324" s="343" t="s">
        <v>337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285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241</v>
      </c>
      <c r="G325" s="343" t="s">
        <v>337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295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242</v>
      </c>
      <c r="G326" s="343" t="s">
        <v>337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287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243</v>
      </c>
      <c r="G327" s="343" t="s">
        <v>337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293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244</v>
      </c>
      <c r="G328" s="343" t="s">
        <v>337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344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252</v>
      </c>
      <c r="G329" s="343" t="s">
        <v>337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283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253</v>
      </c>
      <c r="G330" s="343" t="s">
        <v>337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289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240</v>
      </c>
      <c r="G331" s="343" t="s">
        <v>338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291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241</v>
      </c>
      <c r="G332" s="343" t="s">
        <v>338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301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242</v>
      </c>
      <c r="G333" s="343" t="s">
        <v>338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243</v>
      </c>
      <c r="G334" s="343" t="s">
        <v>338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285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244</v>
      </c>
      <c r="G335" s="343" t="s">
        <v>338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295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252</v>
      </c>
      <c r="G336" s="343" t="s">
        <v>338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287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253</v>
      </c>
      <c r="G337" s="343" t="s">
        <v>338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293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240</v>
      </c>
      <c r="G338" s="343" t="s">
        <v>339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283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241</v>
      </c>
      <c r="G339" s="343" t="s">
        <v>339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289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242</v>
      </c>
      <c r="G340" s="343" t="s">
        <v>339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291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243</v>
      </c>
      <c r="G341" s="343" t="s">
        <v>339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301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244</v>
      </c>
      <c r="G342" s="343" t="s">
        <v>339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252</v>
      </c>
      <c r="G343" s="343" t="s">
        <v>339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285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253</v>
      </c>
      <c r="G344" s="343" t="s">
        <v>339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295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240</v>
      </c>
      <c r="G345" s="343" t="s">
        <v>340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241</v>
      </c>
      <c r="G346" s="343" t="s">
        <v>340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242</v>
      </c>
      <c r="G347" s="343" t="s">
        <v>340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243</v>
      </c>
      <c r="G348" s="343" t="s">
        <v>340</v>
      </c>
      <c r="Q348" s="343" t="s">
        <v>171</v>
      </c>
      <c r="R348" s="343" t="s">
        <v>173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244</v>
      </c>
      <c r="G349" s="343" t="s">
        <v>340</v>
      </c>
      <c r="Q349" s="343" t="s">
        <v>171</v>
      </c>
      <c r="R349" s="343" t="s">
        <v>174</v>
      </c>
      <c r="S349" s="384">
        <v>46272</v>
      </c>
      <c r="T349" s="384">
        <v>46278</v>
      </c>
      <c r="U349" s="343" t="s">
        <v>106</v>
      </c>
      <c r="V349" s="343">
        <v>7</v>
      </c>
      <c r="W349" s="343">
        <v>1461.7</v>
      </c>
      <c r="X349" s="343">
        <v>0</v>
      </c>
      <c r="Y349" s="343">
        <v>0</v>
      </c>
      <c r="Z349" s="343">
        <v>1461.7</v>
      </c>
      <c r="AA349" s="343">
        <v>0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252</v>
      </c>
      <c r="G350" s="343" t="s">
        <v>340</v>
      </c>
      <c r="Q350" s="343" t="s">
        <v>171</v>
      </c>
      <c r="R350" s="343" t="s">
        <v>175</v>
      </c>
      <c r="S350" s="384">
        <v>46279</v>
      </c>
      <c r="T350" s="384">
        <v>46285</v>
      </c>
      <c r="U350" s="343" t="s">
        <v>106</v>
      </c>
      <c r="V350" s="343">
        <v>25</v>
      </c>
      <c r="W350" s="343">
        <v>3932.68</v>
      </c>
      <c r="X350" s="343">
        <v>0</v>
      </c>
      <c r="Y350" s="343">
        <v>0</v>
      </c>
      <c r="Z350" s="343">
        <v>3932.68</v>
      </c>
      <c r="AA350" s="343">
        <v>0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253</v>
      </c>
      <c r="G351" s="343" t="s">
        <v>340</v>
      </c>
      <c r="Q351" s="343" t="s">
        <v>171</v>
      </c>
      <c r="R351" s="343" t="s">
        <v>176</v>
      </c>
      <c r="S351" s="384">
        <v>46286</v>
      </c>
      <c r="T351" s="384">
        <v>46292</v>
      </c>
      <c r="U351" s="343" t="s">
        <v>106</v>
      </c>
      <c r="V351" s="343">
        <v>16</v>
      </c>
      <c r="W351" s="343">
        <v>2779.45</v>
      </c>
      <c r="X351" s="343">
        <v>0</v>
      </c>
      <c r="Y351" s="343">
        <v>0</v>
      </c>
      <c r="Z351" s="343">
        <v>2779.45</v>
      </c>
      <c r="AA351" s="343">
        <v>0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240</v>
      </c>
      <c r="G352" s="343" t="s">
        <v>341</v>
      </c>
      <c r="Q352" s="343" t="s">
        <v>76</v>
      </c>
      <c r="R352" s="343" t="s">
        <v>178</v>
      </c>
      <c r="S352" s="384">
        <v>46293</v>
      </c>
      <c r="T352" s="384">
        <v>46299</v>
      </c>
      <c r="U352" s="343" t="s">
        <v>106</v>
      </c>
      <c r="V352" s="343">
        <v>16</v>
      </c>
      <c r="W352" s="343">
        <v>11497.65</v>
      </c>
      <c r="X352" s="343">
        <v>0</v>
      </c>
      <c r="Y352" s="343">
        <v>0</v>
      </c>
      <c r="Z352" s="343">
        <v>11497.65</v>
      </c>
      <c r="AA352" s="343">
        <v>0</v>
      </c>
    </row>
    <row r="353" spans="1:2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241</v>
      </c>
      <c r="G353" s="343" t="s">
        <v>341</v>
      </c>
      <c r="Q353" s="343" t="s">
        <v>76</v>
      </c>
      <c r="R353" s="343" t="s">
        <v>101</v>
      </c>
      <c r="S353" s="384">
        <v>46300</v>
      </c>
      <c r="T353" s="384">
        <v>46306</v>
      </c>
      <c r="U353" s="343" t="s">
        <v>106</v>
      </c>
      <c r="V353" s="343">
        <v>11</v>
      </c>
      <c r="W353" s="343">
        <v>2262.6</v>
      </c>
      <c r="X353" s="343">
        <v>0</v>
      </c>
      <c r="Y353" s="343">
        <v>0</v>
      </c>
      <c r="Z353" s="343">
        <v>2262.6</v>
      </c>
      <c r="AA353" s="343">
        <v>0</v>
      </c>
    </row>
    <row r="354" spans="1:2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242</v>
      </c>
      <c r="G354" s="343" t="s">
        <v>341</v>
      </c>
    </row>
    <row r="355" spans="1:2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243</v>
      </c>
      <c r="G355" s="343" t="s">
        <v>341</v>
      </c>
    </row>
    <row r="356" spans="1:2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244</v>
      </c>
      <c r="G356" s="343" t="s">
        <v>341</v>
      </c>
    </row>
    <row r="357" spans="1:2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252</v>
      </c>
      <c r="G357" s="343" t="s">
        <v>341</v>
      </c>
    </row>
    <row r="358" spans="1:2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253</v>
      </c>
      <c r="G358" s="343" t="s">
        <v>341</v>
      </c>
    </row>
    <row r="359" spans="1:2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240</v>
      </c>
      <c r="G359" s="343" t="s">
        <v>342</v>
      </c>
    </row>
    <row r="360" spans="1:2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241</v>
      </c>
      <c r="G360" s="343" t="s">
        <v>342</v>
      </c>
    </row>
    <row r="361" spans="1:2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242</v>
      </c>
      <c r="G361" s="343" t="s">
        <v>342</v>
      </c>
    </row>
    <row r="362" spans="1:2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243</v>
      </c>
      <c r="G362" s="343" t="s">
        <v>342</v>
      </c>
    </row>
    <row r="363" spans="1:2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244</v>
      </c>
      <c r="G363" s="343" t="s">
        <v>342</v>
      </c>
    </row>
    <row r="364" spans="1:2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252</v>
      </c>
      <c r="G364" s="343" t="s">
        <v>342</v>
      </c>
    </row>
    <row r="365" spans="1:2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253</v>
      </c>
      <c r="G365" s="343" t="s">
        <v>342</v>
      </c>
    </row>
    <row r="366" spans="1:2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240</v>
      </c>
      <c r="G366" s="343" t="s">
        <v>122</v>
      </c>
    </row>
    <row r="367" spans="1:2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241</v>
      </c>
      <c r="G367" s="343" t="s">
        <v>122</v>
      </c>
    </row>
    <row r="368" spans="1:2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242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243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244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252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253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240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241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242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243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244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252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253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240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241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242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243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244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252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253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240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241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242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243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244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252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253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240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241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242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243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244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252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253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240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241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242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243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244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252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253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240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241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242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243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244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252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253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240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241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242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243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244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252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253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240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241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242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243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244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252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253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240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241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242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243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244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252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253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240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241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242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243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244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252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253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240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241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242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243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244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252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253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240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241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242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243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244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252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253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240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241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242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243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244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252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253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240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241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242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243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244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252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253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240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241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242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243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244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252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253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240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241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242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243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244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252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253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240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241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242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243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244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252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253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240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241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242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243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244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252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253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240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241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242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243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244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252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253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240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241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242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243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244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252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253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240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241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242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243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244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252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253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240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241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242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243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244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252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253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240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241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242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243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244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252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253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240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241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242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243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244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252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253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240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241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242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243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244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252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253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240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241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242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243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244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252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253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240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241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242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243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244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252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253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240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241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242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243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244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252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253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240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241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242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243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244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252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253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240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241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242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243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244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252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253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240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241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242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243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244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252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253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240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241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242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243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244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252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253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240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241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242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243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244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252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253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240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241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242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243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244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252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253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240</v>
      </c>
      <c r="G611" s="343" t="s">
        <v>173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241</v>
      </c>
      <c r="G612" s="343" t="s">
        <v>173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242</v>
      </c>
      <c r="G613" s="343" t="s">
        <v>173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243</v>
      </c>
      <c r="G614" s="343" t="s">
        <v>173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244</v>
      </c>
      <c r="G615" s="343" t="s">
        <v>173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252</v>
      </c>
      <c r="G616" s="343" t="s">
        <v>173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253</v>
      </c>
      <c r="G617" s="343" t="s">
        <v>173</v>
      </c>
    </row>
    <row r="618" spans="1:7">
      <c r="A618" s="343">
        <v>20260907</v>
      </c>
      <c r="B618" s="343">
        <v>58772</v>
      </c>
      <c r="C618" s="343">
        <v>222</v>
      </c>
      <c r="D618" s="343">
        <v>499</v>
      </c>
      <c r="E618" s="384">
        <v>46272</v>
      </c>
      <c r="F618" s="343" t="s">
        <v>240</v>
      </c>
      <c r="G618" s="343" t="s">
        <v>174</v>
      </c>
    </row>
    <row r="619" spans="1:7">
      <c r="A619" s="343">
        <v>20260908</v>
      </c>
      <c r="B619" s="343">
        <v>34901</v>
      </c>
      <c r="C619" s="343">
        <v>143</v>
      </c>
      <c r="D619" s="343">
        <v>324</v>
      </c>
      <c r="E619" s="384">
        <v>46273</v>
      </c>
      <c r="F619" s="343" t="s">
        <v>241</v>
      </c>
      <c r="G619" s="343" t="s">
        <v>174</v>
      </c>
    </row>
    <row r="620" spans="1:7">
      <c r="A620" s="343">
        <v>20260909</v>
      </c>
      <c r="B620" s="343">
        <v>60862.400000000001</v>
      </c>
      <c r="C620" s="343">
        <v>190</v>
      </c>
      <c r="D620" s="343">
        <v>484</v>
      </c>
      <c r="E620" s="384">
        <v>46274</v>
      </c>
      <c r="F620" s="343" t="s">
        <v>242</v>
      </c>
      <c r="G620" s="343" t="s">
        <v>174</v>
      </c>
    </row>
    <row r="621" spans="1:7">
      <c r="A621" s="343">
        <v>20260910</v>
      </c>
      <c r="B621" s="343">
        <v>70678.06</v>
      </c>
      <c r="C621" s="343">
        <v>235</v>
      </c>
      <c r="D621" s="343">
        <v>493</v>
      </c>
      <c r="E621" s="384">
        <v>46275</v>
      </c>
      <c r="F621" s="343" t="s">
        <v>243</v>
      </c>
      <c r="G621" s="343" t="s">
        <v>174</v>
      </c>
    </row>
    <row r="622" spans="1:7">
      <c r="A622" s="343">
        <v>20260911</v>
      </c>
      <c r="B622" s="343">
        <v>90936.16</v>
      </c>
      <c r="C622" s="343">
        <v>331</v>
      </c>
      <c r="D622" s="343">
        <v>764</v>
      </c>
      <c r="E622" s="384">
        <v>46276</v>
      </c>
      <c r="F622" s="343" t="s">
        <v>244</v>
      </c>
      <c r="G622" s="343" t="s">
        <v>174</v>
      </c>
    </row>
    <row r="623" spans="1:7">
      <c r="A623" s="343">
        <v>20260912</v>
      </c>
      <c r="B623" s="343">
        <v>86846.25</v>
      </c>
      <c r="C623" s="343">
        <v>358</v>
      </c>
      <c r="D623" s="343">
        <v>775</v>
      </c>
      <c r="E623" s="384">
        <v>46277</v>
      </c>
      <c r="F623" s="343" t="s">
        <v>252</v>
      </c>
      <c r="G623" s="343" t="s">
        <v>174</v>
      </c>
    </row>
    <row r="624" spans="1:7">
      <c r="A624" s="343">
        <v>20260913</v>
      </c>
      <c r="B624" s="343">
        <v>45814.5</v>
      </c>
      <c r="C624" s="343">
        <v>181</v>
      </c>
      <c r="D624" s="343">
        <v>392</v>
      </c>
      <c r="E624" s="384">
        <v>46278</v>
      </c>
      <c r="F624" s="343" t="s">
        <v>253</v>
      </c>
      <c r="G624" s="343" t="s">
        <v>174</v>
      </c>
    </row>
    <row r="625" spans="1:7">
      <c r="A625" s="343">
        <v>20260914</v>
      </c>
      <c r="B625" s="343">
        <v>70514.100000000006</v>
      </c>
      <c r="C625" s="343">
        <v>214</v>
      </c>
      <c r="D625" s="343">
        <v>519</v>
      </c>
      <c r="E625" s="384">
        <v>46279</v>
      </c>
      <c r="F625" s="343" t="s">
        <v>240</v>
      </c>
      <c r="G625" s="343" t="s">
        <v>175</v>
      </c>
    </row>
    <row r="626" spans="1:7">
      <c r="A626" s="343">
        <v>20260915</v>
      </c>
      <c r="B626" s="343">
        <v>71184.5</v>
      </c>
      <c r="C626" s="343">
        <v>206</v>
      </c>
      <c r="D626" s="343">
        <v>493</v>
      </c>
      <c r="E626" s="384">
        <v>46280</v>
      </c>
      <c r="F626" s="343" t="s">
        <v>241</v>
      </c>
      <c r="G626" s="343" t="s">
        <v>175</v>
      </c>
    </row>
    <row r="627" spans="1:7">
      <c r="A627" s="343">
        <v>20260916</v>
      </c>
      <c r="B627" s="343">
        <v>69616.2</v>
      </c>
      <c r="C627" s="343">
        <v>187</v>
      </c>
      <c r="D627" s="343">
        <v>454</v>
      </c>
      <c r="E627" s="384">
        <v>46281</v>
      </c>
      <c r="F627" s="343" t="s">
        <v>242</v>
      </c>
      <c r="G627" s="343" t="s">
        <v>175</v>
      </c>
    </row>
    <row r="628" spans="1:7">
      <c r="A628" s="343">
        <v>20260917</v>
      </c>
      <c r="B628" s="343">
        <v>92880.6</v>
      </c>
      <c r="C628" s="343">
        <v>311</v>
      </c>
      <c r="D628" s="343">
        <v>688</v>
      </c>
      <c r="E628" s="384">
        <v>46282</v>
      </c>
      <c r="F628" s="343" t="s">
        <v>243</v>
      </c>
      <c r="G628" s="343" t="s">
        <v>175</v>
      </c>
    </row>
    <row r="629" spans="1:7">
      <c r="A629" s="343">
        <v>20260918</v>
      </c>
      <c r="B629" s="343">
        <v>101246.9</v>
      </c>
      <c r="C629" s="343">
        <v>363</v>
      </c>
      <c r="D629" s="343">
        <v>827</v>
      </c>
      <c r="E629" s="384">
        <v>46283</v>
      </c>
      <c r="F629" s="343" t="s">
        <v>244</v>
      </c>
      <c r="G629" s="343" t="s">
        <v>175</v>
      </c>
    </row>
    <row r="630" spans="1:7">
      <c r="A630" s="343">
        <v>20260919</v>
      </c>
      <c r="B630" s="343">
        <v>109044.13</v>
      </c>
      <c r="C630" s="343">
        <v>375</v>
      </c>
      <c r="D630" s="343">
        <v>1447</v>
      </c>
      <c r="E630" s="384">
        <v>46284</v>
      </c>
      <c r="F630" s="343" t="s">
        <v>252</v>
      </c>
      <c r="G630" s="343" t="s">
        <v>175</v>
      </c>
    </row>
    <row r="631" spans="1:7">
      <c r="A631" s="343">
        <v>20260920</v>
      </c>
      <c r="B631" s="343">
        <v>43009</v>
      </c>
      <c r="C631" s="343">
        <v>173</v>
      </c>
      <c r="D631" s="343">
        <v>362</v>
      </c>
      <c r="E631" s="384">
        <v>46285</v>
      </c>
      <c r="F631" s="343" t="s">
        <v>253</v>
      </c>
      <c r="G631" s="343" t="s">
        <v>175</v>
      </c>
    </row>
    <row r="632" spans="1:7">
      <c r="A632" s="343">
        <v>20260921</v>
      </c>
      <c r="B632" s="343">
        <v>51512.5</v>
      </c>
      <c r="C632" s="343">
        <v>199</v>
      </c>
      <c r="D632" s="343">
        <v>410</v>
      </c>
      <c r="E632" s="384">
        <v>46286</v>
      </c>
      <c r="F632" s="343" t="s">
        <v>240</v>
      </c>
      <c r="G632" s="343" t="s">
        <v>176</v>
      </c>
    </row>
    <row r="633" spans="1:7">
      <c r="A633" s="343">
        <v>20260922</v>
      </c>
      <c r="B633" s="343">
        <v>57089.9</v>
      </c>
      <c r="C633" s="343">
        <v>174</v>
      </c>
      <c r="D633" s="343">
        <v>459</v>
      </c>
      <c r="E633" s="384">
        <v>46287</v>
      </c>
      <c r="F633" s="343" t="s">
        <v>241</v>
      </c>
      <c r="G633" s="343" t="s">
        <v>176</v>
      </c>
    </row>
    <row r="634" spans="1:7">
      <c r="A634" s="343">
        <v>20260923</v>
      </c>
      <c r="B634" s="343">
        <v>64051.8</v>
      </c>
      <c r="C634" s="343">
        <v>216</v>
      </c>
      <c r="D634" s="343">
        <v>505</v>
      </c>
      <c r="E634" s="384">
        <v>46288</v>
      </c>
      <c r="F634" s="343" t="s">
        <v>242</v>
      </c>
      <c r="G634" s="343" t="s">
        <v>176</v>
      </c>
    </row>
    <row r="635" spans="1:7">
      <c r="A635" s="343">
        <v>20260924</v>
      </c>
      <c r="B635" s="343">
        <v>95773.45</v>
      </c>
      <c r="C635" s="343">
        <v>310</v>
      </c>
      <c r="D635" s="343">
        <v>728</v>
      </c>
      <c r="E635" s="384">
        <v>46289</v>
      </c>
      <c r="F635" s="343" t="s">
        <v>243</v>
      </c>
      <c r="G635" s="343" t="s">
        <v>176</v>
      </c>
    </row>
    <row r="636" spans="1:7">
      <c r="A636" s="343">
        <v>20260925</v>
      </c>
      <c r="B636" s="343">
        <v>104339.91</v>
      </c>
      <c r="C636" s="343">
        <v>330</v>
      </c>
      <c r="D636" s="343">
        <v>948</v>
      </c>
      <c r="E636" s="384">
        <v>46290</v>
      </c>
      <c r="F636" s="343" t="s">
        <v>244</v>
      </c>
      <c r="G636" s="343" t="s">
        <v>176</v>
      </c>
    </row>
    <row r="637" spans="1:7">
      <c r="A637" s="343">
        <v>20260926</v>
      </c>
      <c r="B637" s="343">
        <v>114195.45</v>
      </c>
      <c r="C637" s="343">
        <v>369</v>
      </c>
      <c r="D637" s="343">
        <v>880</v>
      </c>
      <c r="E637" s="384">
        <v>46291</v>
      </c>
      <c r="F637" s="343" t="s">
        <v>252</v>
      </c>
      <c r="G637" s="343" t="s">
        <v>176</v>
      </c>
    </row>
    <row r="638" spans="1:7">
      <c r="A638" s="343">
        <v>20260927</v>
      </c>
      <c r="B638" s="343">
        <v>59707</v>
      </c>
      <c r="C638" s="343">
        <v>215</v>
      </c>
      <c r="D638" s="343">
        <v>472</v>
      </c>
      <c r="E638" s="384">
        <v>46292</v>
      </c>
      <c r="F638" s="343" t="s">
        <v>253</v>
      </c>
      <c r="G638" s="343" t="s">
        <v>176</v>
      </c>
    </row>
    <row r="639" spans="1:7">
      <c r="A639" s="343">
        <v>20260928</v>
      </c>
      <c r="B639" s="343">
        <v>127540.25</v>
      </c>
      <c r="C639" s="343">
        <v>141</v>
      </c>
      <c r="D639" s="343">
        <v>472</v>
      </c>
      <c r="E639" s="384">
        <v>46293</v>
      </c>
      <c r="F639" s="343" t="s">
        <v>240</v>
      </c>
      <c r="G639" s="343" t="s">
        <v>178</v>
      </c>
    </row>
    <row r="640" spans="1:7">
      <c r="A640" s="343">
        <v>20260929</v>
      </c>
      <c r="B640" s="343">
        <v>118085.1</v>
      </c>
      <c r="C640" s="343">
        <v>3</v>
      </c>
      <c r="D640" s="343">
        <v>255</v>
      </c>
      <c r="E640" s="384">
        <v>46294</v>
      </c>
      <c r="F640" s="343" t="s">
        <v>241</v>
      </c>
      <c r="G640" s="343" t="s">
        <v>178</v>
      </c>
    </row>
    <row r="641" spans="1:7">
      <c r="A641" s="343">
        <v>20260930</v>
      </c>
      <c r="B641" s="343">
        <v>81239.350000000006</v>
      </c>
      <c r="C641" s="343">
        <v>247</v>
      </c>
      <c r="D641" s="343">
        <v>562</v>
      </c>
      <c r="E641" s="384">
        <v>46295</v>
      </c>
      <c r="F641" s="343" t="s">
        <v>242</v>
      </c>
      <c r="G641" s="343" t="s">
        <v>178</v>
      </c>
    </row>
    <row r="642" spans="1:7">
      <c r="A642" s="343">
        <v>20261001</v>
      </c>
      <c r="B642" s="343">
        <v>83192.100000000006</v>
      </c>
      <c r="C642" s="343">
        <v>293</v>
      </c>
      <c r="D642" s="343">
        <v>655</v>
      </c>
      <c r="E642" s="384">
        <v>46296</v>
      </c>
      <c r="F642" s="343" t="s">
        <v>243</v>
      </c>
      <c r="G642" s="343" t="s">
        <v>178</v>
      </c>
    </row>
    <row r="643" spans="1:7">
      <c r="A643" s="343">
        <v>20261002</v>
      </c>
      <c r="B643" s="343">
        <v>104069.8</v>
      </c>
      <c r="C643" s="343">
        <v>322</v>
      </c>
      <c r="D643" s="343">
        <v>752</v>
      </c>
      <c r="E643" s="384">
        <v>46297</v>
      </c>
      <c r="F643" s="343" t="s">
        <v>244</v>
      </c>
      <c r="G643" s="343" t="s">
        <v>178</v>
      </c>
    </row>
    <row r="644" spans="1:7">
      <c r="A644" s="343">
        <v>20261003</v>
      </c>
      <c r="B644" s="343">
        <v>120356.05</v>
      </c>
      <c r="C644" s="343">
        <v>421</v>
      </c>
      <c r="D644" s="343">
        <v>920</v>
      </c>
      <c r="E644" s="384">
        <v>46298</v>
      </c>
      <c r="F644" s="343" t="s">
        <v>252</v>
      </c>
      <c r="G644" s="343" t="s">
        <v>178</v>
      </c>
    </row>
    <row r="645" spans="1:7">
      <c r="A645" s="343">
        <v>20261004</v>
      </c>
      <c r="B645" s="343">
        <v>56505.5</v>
      </c>
      <c r="C645" s="343">
        <v>213</v>
      </c>
      <c r="D645" s="343">
        <v>464</v>
      </c>
      <c r="E645" s="384">
        <v>46299</v>
      </c>
      <c r="F645" s="343" t="s">
        <v>253</v>
      </c>
      <c r="G645" s="343" t="s">
        <v>178</v>
      </c>
    </row>
    <row r="646" spans="1:7">
      <c r="A646" s="343">
        <v>20261005</v>
      </c>
      <c r="B646" s="343">
        <v>48977.5</v>
      </c>
      <c r="C646" s="343">
        <v>162</v>
      </c>
      <c r="D646" s="343">
        <v>384</v>
      </c>
      <c r="E646" s="384">
        <v>46300</v>
      </c>
      <c r="F646" s="343" t="s">
        <v>240</v>
      </c>
      <c r="G646" s="343" t="s">
        <v>101</v>
      </c>
    </row>
    <row r="647" spans="1:7">
      <c r="A647" s="343">
        <v>20261006</v>
      </c>
      <c r="B647" s="343">
        <v>44753.2</v>
      </c>
      <c r="C647" s="343">
        <v>149</v>
      </c>
      <c r="D647" s="343">
        <v>322</v>
      </c>
      <c r="E647" s="384">
        <v>46301</v>
      </c>
      <c r="F647" s="343" t="s">
        <v>241</v>
      </c>
      <c r="G647" s="343" t="s">
        <v>101</v>
      </c>
    </row>
    <row r="648" spans="1:7">
      <c r="A648" s="343">
        <v>20261007</v>
      </c>
      <c r="B648" s="343">
        <v>71770.899999999994</v>
      </c>
      <c r="C648" s="343">
        <v>223</v>
      </c>
      <c r="D648" s="343">
        <v>503</v>
      </c>
      <c r="E648" s="384">
        <v>46302</v>
      </c>
      <c r="F648" s="343" t="s">
        <v>242</v>
      </c>
      <c r="G648" s="343" t="s">
        <v>101</v>
      </c>
    </row>
    <row r="649" spans="1:7">
      <c r="A649" s="343">
        <v>20261008</v>
      </c>
      <c r="B649" s="343">
        <v>80807.55</v>
      </c>
      <c r="C649" s="343">
        <v>279</v>
      </c>
      <c r="D649" s="343">
        <v>619</v>
      </c>
      <c r="E649" s="384">
        <v>46303</v>
      </c>
      <c r="F649" s="343" t="s">
        <v>243</v>
      </c>
      <c r="G649" s="343" t="s">
        <v>101</v>
      </c>
    </row>
    <row r="650" spans="1:7">
      <c r="A650" s="343">
        <v>20261009</v>
      </c>
      <c r="B650" s="343">
        <v>98243.65</v>
      </c>
      <c r="C650" s="343">
        <v>383</v>
      </c>
      <c r="D650" s="343">
        <v>822</v>
      </c>
      <c r="E650" s="384">
        <v>46304</v>
      </c>
      <c r="F650" s="343" t="s">
        <v>244</v>
      </c>
      <c r="G650" s="343" t="s">
        <v>101</v>
      </c>
    </row>
    <row r="651" spans="1:7">
      <c r="A651" s="343">
        <v>20261010</v>
      </c>
      <c r="B651" s="343">
        <v>126342.7</v>
      </c>
      <c r="C651" s="343">
        <v>429</v>
      </c>
      <c r="D651" s="343">
        <v>1014</v>
      </c>
      <c r="E651" s="384">
        <v>46305</v>
      </c>
      <c r="F651" s="343" t="s">
        <v>252</v>
      </c>
      <c r="G651" s="343" t="s">
        <v>101</v>
      </c>
    </row>
    <row r="652" spans="1:7">
      <c r="A652" s="343">
        <v>20261011</v>
      </c>
      <c r="B652" s="343">
        <v>70877.850000000006</v>
      </c>
      <c r="C652" s="343">
        <v>246</v>
      </c>
      <c r="D652" s="343">
        <v>589</v>
      </c>
      <c r="E652" s="384">
        <v>46306</v>
      </c>
      <c r="F652" s="343" t="s">
        <v>253</v>
      </c>
      <c r="G652" s="343" t="s">
        <v>101</v>
      </c>
    </row>
  </sheetData>
  <mergeCells count="1">
    <mergeCell ref="AJ2:AJ19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7"/>
  <sheetViews>
    <sheetView workbookViewId="0">
      <selection activeCell="F8" sqref="F8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274</v>
      </c>
      <c r="AD1" s="343" t="s">
        <v>275</v>
      </c>
      <c r="AE1" s="343" t="s">
        <v>116</v>
      </c>
      <c r="AF1" s="343" t="s">
        <v>276</v>
      </c>
      <c r="AG1" s="343" t="s">
        <v>277</v>
      </c>
      <c r="AH1" s="343" t="s">
        <v>278</v>
      </c>
      <c r="AI1" s="343" t="s">
        <v>279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241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240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240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345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242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241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241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301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243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242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242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244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243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243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297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252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244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244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293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242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252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252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291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243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241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241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289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244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242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243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287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252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243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244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285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241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244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252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295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242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252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253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345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243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253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240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244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241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241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297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252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242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242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293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241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243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243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291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242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244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244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289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243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252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252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287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244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253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253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285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252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241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241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301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241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242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242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295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242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243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243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345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243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244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244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343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244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252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252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252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241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240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297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241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242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241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293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242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243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242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291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243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244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243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289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244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252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244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287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252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242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252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285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241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243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241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301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242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244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242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295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243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252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243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345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244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253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244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301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252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241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252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241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242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253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297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242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243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240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293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243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244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242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291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244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252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243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289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252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253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244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287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241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241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252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285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242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242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253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295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243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243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241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345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244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244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242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252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252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243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297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241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240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244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293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242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241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252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291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243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242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240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289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244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243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241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287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252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244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242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285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241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252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243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295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242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241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244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345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243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242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252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244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243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240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297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252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244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241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293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241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252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242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291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242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253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243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289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243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240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244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287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244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241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252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285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252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242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240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295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241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243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241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345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242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244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242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243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252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243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297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244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240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244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293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252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241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252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291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241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242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240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289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242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243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241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287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243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244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242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285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244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252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243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295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252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241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244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345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241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242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252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242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243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240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297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243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244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241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293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244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252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242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291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252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253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243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289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241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241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244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287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242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242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252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285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243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243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253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301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244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244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241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295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252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252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242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345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241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242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243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242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243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244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297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243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244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252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293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244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252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240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291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252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241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242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289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240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242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243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287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241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243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244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285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242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244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252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295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243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252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241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345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244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241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242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343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252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242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243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241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243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244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297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242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244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252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293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243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252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241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291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244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240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242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289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252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241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243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287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241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242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244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285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242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243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252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295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243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244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240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345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244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252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241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252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253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242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297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241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240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243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293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242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241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244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291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243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242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252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289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244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243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253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287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252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244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240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285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241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252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241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301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242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242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242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295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243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243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243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345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244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244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244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301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252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252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252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241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241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240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297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242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242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242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293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243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243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243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291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244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244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244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289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252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252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252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287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241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253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240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285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242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242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241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295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243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243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242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345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244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244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243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301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252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252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244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241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242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252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297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243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243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253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293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244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244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241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291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252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252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242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289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240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242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243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287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241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243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244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285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242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244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252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295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243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252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241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345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244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242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242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343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252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243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243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241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244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244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297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242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252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252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293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243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242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242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291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244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243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243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289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252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244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244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287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241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252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252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285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242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242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241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295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243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243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242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345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244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244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243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252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252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244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297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241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242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252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293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242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243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242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291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243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244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243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289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244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252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244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287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252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242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252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285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241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243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240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301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242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244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242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295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243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252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243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345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244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241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244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252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242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252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297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241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243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240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293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242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244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242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291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243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252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243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289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244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242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244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287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252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243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252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285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241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244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242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301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242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252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243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295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243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242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244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345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244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243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252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252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244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241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297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241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252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242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293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242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242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243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291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243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243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244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289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244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244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252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287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252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252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242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285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241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242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243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295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242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243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244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345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243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244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252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244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252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241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297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252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242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242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293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241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243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243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291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242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244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244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289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243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252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252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287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244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242</v>
      </c>
      <c r="O175" s="343" t="s">
        <v>173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241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285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252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243</v>
      </c>
      <c r="O176" s="343" t="s">
        <v>173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242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301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241</v>
      </c>
      <c r="G177" s="343" t="s">
        <v>173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244</v>
      </c>
      <c r="O177" s="343" t="s">
        <v>173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243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295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242</v>
      </c>
      <c r="G178" s="343" t="s">
        <v>173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252</v>
      </c>
      <c r="O178" s="343" t="s">
        <v>173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244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345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243</v>
      </c>
      <c r="G179" s="343" t="s">
        <v>173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253</v>
      </c>
      <c r="O179" s="343" t="s">
        <v>173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252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301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244</v>
      </c>
      <c r="G180" s="343" t="s">
        <v>173</v>
      </c>
      <c r="I180" s="343">
        <v>20260909</v>
      </c>
      <c r="J180" s="343">
        <v>4213</v>
      </c>
      <c r="K180" s="343">
        <v>39</v>
      </c>
      <c r="L180" s="343">
        <v>63</v>
      </c>
      <c r="M180" s="384">
        <v>46274</v>
      </c>
      <c r="N180" s="343" t="s">
        <v>242</v>
      </c>
      <c r="O180" s="343" t="s">
        <v>174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242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252</v>
      </c>
      <c r="G181" s="343" t="s">
        <v>173</v>
      </c>
      <c r="I181" s="343">
        <v>20260910</v>
      </c>
      <c r="J181" s="343">
        <v>5673</v>
      </c>
      <c r="K181" s="343">
        <v>30</v>
      </c>
      <c r="L181" s="343">
        <v>93</v>
      </c>
      <c r="M181" s="384">
        <v>46275</v>
      </c>
      <c r="N181" s="343" t="s">
        <v>243</v>
      </c>
      <c r="O181" s="343" t="s">
        <v>174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243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297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A182" s="343">
        <v>20260908</v>
      </c>
      <c r="B182" s="343">
        <v>1592</v>
      </c>
      <c r="C182" s="343">
        <v>4</v>
      </c>
      <c r="D182" s="343">
        <v>8</v>
      </c>
      <c r="E182" s="384">
        <v>46273</v>
      </c>
      <c r="F182" s="343" t="s">
        <v>241</v>
      </c>
      <c r="G182" s="343" t="s">
        <v>174</v>
      </c>
      <c r="I182" s="343">
        <v>20260911</v>
      </c>
      <c r="J182" s="343">
        <v>11720</v>
      </c>
      <c r="K182" s="343">
        <v>70</v>
      </c>
      <c r="L182" s="343">
        <v>114</v>
      </c>
      <c r="M182" s="384">
        <v>46276</v>
      </c>
      <c r="N182" s="343" t="s">
        <v>244</v>
      </c>
      <c r="O182" s="343" t="s">
        <v>174</v>
      </c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244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293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A183" s="343">
        <v>20260909</v>
      </c>
      <c r="B183" s="343">
        <v>818</v>
      </c>
      <c r="C183" s="343">
        <v>2</v>
      </c>
      <c r="D183" s="343">
        <v>4</v>
      </c>
      <c r="E183" s="384">
        <v>46274</v>
      </c>
      <c r="F183" s="343" t="s">
        <v>242</v>
      </c>
      <c r="G183" s="343" t="s">
        <v>174</v>
      </c>
      <c r="I183" s="343">
        <v>20260912</v>
      </c>
      <c r="J183" s="343">
        <v>10919.23</v>
      </c>
      <c r="K183" s="343">
        <v>46</v>
      </c>
      <c r="L183" s="343">
        <v>106</v>
      </c>
      <c r="M183" s="384">
        <v>46277</v>
      </c>
      <c r="N183" s="343" t="s">
        <v>252</v>
      </c>
      <c r="O183" s="343" t="s">
        <v>174</v>
      </c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252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291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A184" s="343">
        <v>20260910</v>
      </c>
      <c r="B184" s="343">
        <v>842</v>
      </c>
      <c r="C184" s="343">
        <v>3</v>
      </c>
      <c r="D184" s="343">
        <v>8</v>
      </c>
      <c r="E184" s="384">
        <v>46275</v>
      </c>
      <c r="F184" s="343" t="s">
        <v>243</v>
      </c>
      <c r="G184" s="343" t="s">
        <v>174</v>
      </c>
      <c r="I184" s="343">
        <v>20260916</v>
      </c>
      <c r="J184" s="343">
        <v>7970.5</v>
      </c>
      <c r="K184" s="343">
        <v>50</v>
      </c>
      <c r="L184" s="343">
        <v>75</v>
      </c>
      <c r="M184" s="384">
        <v>46281</v>
      </c>
      <c r="N184" s="343" t="s">
        <v>242</v>
      </c>
      <c r="O184" s="343" t="s">
        <v>175</v>
      </c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242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289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A185" s="343">
        <v>20260911</v>
      </c>
      <c r="B185" s="343">
        <v>3908</v>
      </c>
      <c r="C185" s="343">
        <v>4</v>
      </c>
      <c r="D185" s="343">
        <v>13</v>
      </c>
      <c r="E185" s="384">
        <v>46276</v>
      </c>
      <c r="F185" s="343" t="s">
        <v>244</v>
      </c>
      <c r="G185" s="343" t="s">
        <v>174</v>
      </c>
      <c r="I185" s="343">
        <v>20260917</v>
      </c>
      <c r="J185" s="343">
        <v>5907</v>
      </c>
      <c r="K185" s="343">
        <v>50</v>
      </c>
      <c r="L185" s="343">
        <v>278</v>
      </c>
      <c r="M185" s="384">
        <v>46282</v>
      </c>
      <c r="N185" s="343" t="s">
        <v>243</v>
      </c>
      <c r="O185" s="343" t="s">
        <v>175</v>
      </c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243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287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A186" s="343">
        <v>20260912</v>
      </c>
      <c r="B186" s="343">
        <v>8226</v>
      </c>
      <c r="C186" s="343">
        <v>14</v>
      </c>
      <c r="D186" s="343">
        <v>23</v>
      </c>
      <c r="E186" s="384">
        <v>46277</v>
      </c>
      <c r="F186" s="343" t="s">
        <v>252</v>
      </c>
      <c r="G186" s="343" t="s">
        <v>174</v>
      </c>
      <c r="I186" s="343">
        <v>20260918</v>
      </c>
      <c r="J186" s="343">
        <v>15527.4</v>
      </c>
      <c r="K186" s="343">
        <v>107</v>
      </c>
      <c r="L186" s="343">
        <v>712</v>
      </c>
      <c r="M186" s="384">
        <v>46283</v>
      </c>
      <c r="N186" s="343" t="s">
        <v>244</v>
      </c>
      <c r="O186" s="343" t="s">
        <v>175</v>
      </c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244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285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A187" s="343">
        <v>20260915</v>
      </c>
      <c r="B187" s="343">
        <v>1186</v>
      </c>
      <c r="C187" s="343">
        <v>3</v>
      </c>
      <c r="D187" s="343">
        <v>6</v>
      </c>
      <c r="E187" s="384">
        <v>46280</v>
      </c>
      <c r="F187" s="343" t="s">
        <v>241</v>
      </c>
      <c r="G187" s="343" t="s">
        <v>175</v>
      </c>
      <c r="I187" s="343">
        <v>20260919</v>
      </c>
      <c r="J187" s="343">
        <v>23466</v>
      </c>
      <c r="K187" s="343">
        <v>126</v>
      </c>
      <c r="L187" s="343">
        <v>232</v>
      </c>
      <c r="M187" s="384">
        <v>46284</v>
      </c>
      <c r="N187" s="343" t="s">
        <v>252</v>
      </c>
      <c r="O187" s="343" t="s">
        <v>175</v>
      </c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252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295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A188" s="343">
        <v>20260916</v>
      </c>
      <c r="B188" s="343">
        <v>3698</v>
      </c>
      <c r="C188" s="343">
        <v>5</v>
      </c>
      <c r="D188" s="343">
        <v>11</v>
      </c>
      <c r="E188" s="384">
        <v>46281</v>
      </c>
      <c r="F188" s="343" t="s">
        <v>242</v>
      </c>
      <c r="G188" s="343" t="s">
        <v>175</v>
      </c>
      <c r="I188" s="343">
        <v>20260923</v>
      </c>
      <c r="J188" s="343">
        <v>6846</v>
      </c>
      <c r="K188" s="343">
        <v>43</v>
      </c>
      <c r="L188" s="343">
        <v>82</v>
      </c>
      <c r="M188" s="384">
        <v>46288</v>
      </c>
      <c r="N188" s="343" t="s">
        <v>242</v>
      </c>
      <c r="O188" s="343" t="s">
        <v>176</v>
      </c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241</v>
      </c>
      <c r="W188" s="343" t="s">
        <v>173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A189" s="343">
        <v>20260917</v>
      </c>
      <c r="B189" s="343">
        <v>2851</v>
      </c>
      <c r="C189" s="343">
        <v>5</v>
      </c>
      <c r="D189" s="343">
        <v>8</v>
      </c>
      <c r="E189" s="384">
        <v>46282</v>
      </c>
      <c r="F189" s="343" t="s">
        <v>243</v>
      </c>
      <c r="G189" s="343" t="s">
        <v>175</v>
      </c>
      <c r="I189" s="343">
        <v>20260924</v>
      </c>
      <c r="J189" s="343">
        <v>8746</v>
      </c>
      <c r="K189" s="343">
        <v>78</v>
      </c>
      <c r="L189" s="343">
        <v>116</v>
      </c>
      <c r="M189" s="384">
        <v>46289</v>
      </c>
      <c r="N189" s="343" t="s">
        <v>243</v>
      </c>
      <c r="O189" s="343" t="s">
        <v>176</v>
      </c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242</v>
      </c>
      <c r="W189" s="343" t="s">
        <v>173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297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A190" s="343">
        <v>20260918</v>
      </c>
      <c r="B190" s="343">
        <v>6840</v>
      </c>
      <c r="C190" s="343">
        <v>10</v>
      </c>
      <c r="D190" s="343">
        <v>22</v>
      </c>
      <c r="E190" s="384">
        <v>46283</v>
      </c>
      <c r="F190" s="343" t="s">
        <v>244</v>
      </c>
      <c r="G190" s="343" t="s">
        <v>175</v>
      </c>
      <c r="I190" s="343">
        <v>20260925</v>
      </c>
      <c r="J190" s="343">
        <v>19329</v>
      </c>
      <c r="K190" s="343">
        <v>80</v>
      </c>
      <c r="L190" s="343">
        <v>161</v>
      </c>
      <c r="M190" s="384">
        <v>46290</v>
      </c>
      <c r="N190" s="343" t="s">
        <v>244</v>
      </c>
      <c r="O190" s="343" t="s">
        <v>176</v>
      </c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243</v>
      </c>
      <c r="W190" s="343" t="s">
        <v>173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293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A191" s="343">
        <v>20260919</v>
      </c>
      <c r="B191" s="343">
        <v>7052</v>
      </c>
      <c r="C191" s="343">
        <v>12</v>
      </c>
      <c r="D191" s="343">
        <v>23</v>
      </c>
      <c r="E191" s="384">
        <v>46284</v>
      </c>
      <c r="F191" s="343" t="s">
        <v>252</v>
      </c>
      <c r="G191" s="343" t="s">
        <v>175</v>
      </c>
      <c r="I191" s="343">
        <v>20260926</v>
      </c>
      <c r="J191" s="343">
        <v>16354</v>
      </c>
      <c r="K191" s="343">
        <v>63</v>
      </c>
      <c r="L191" s="343">
        <v>152</v>
      </c>
      <c r="M191" s="384">
        <v>46291</v>
      </c>
      <c r="N191" s="343" t="s">
        <v>252</v>
      </c>
      <c r="O191" s="343" t="s">
        <v>176</v>
      </c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244</v>
      </c>
      <c r="W191" s="343" t="s">
        <v>173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291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A192" s="343">
        <v>20260922</v>
      </c>
      <c r="B192" s="343">
        <v>518</v>
      </c>
      <c r="C192" s="343">
        <v>1</v>
      </c>
      <c r="D192" s="343">
        <v>2</v>
      </c>
      <c r="E192" s="384">
        <v>46287</v>
      </c>
      <c r="F192" s="343" t="s">
        <v>241</v>
      </c>
      <c r="G192" s="343" t="s">
        <v>176</v>
      </c>
      <c r="I192" s="343">
        <v>20260928</v>
      </c>
      <c r="J192" s="343">
        <v>15904.5</v>
      </c>
      <c r="K192" s="343">
        <v>2</v>
      </c>
      <c r="L192" s="343">
        <v>63</v>
      </c>
      <c r="M192" s="384">
        <v>46293</v>
      </c>
      <c r="N192" s="343" t="s">
        <v>240</v>
      </c>
      <c r="O192" s="343" t="s">
        <v>178</v>
      </c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252</v>
      </c>
      <c r="W192" s="343" t="s">
        <v>173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289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:35">
      <c r="A193" s="343">
        <v>20260923</v>
      </c>
      <c r="B193" s="343">
        <v>1960</v>
      </c>
      <c r="C193" s="343">
        <v>3</v>
      </c>
      <c r="D193" s="343">
        <v>6</v>
      </c>
      <c r="E193" s="384">
        <v>46288</v>
      </c>
      <c r="F193" s="343" t="s">
        <v>242</v>
      </c>
      <c r="G193" s="343" t="s">
        <v>176</v>
      </c>
      <c r="I193" s="343">
        <v>20260930</v>
      </c>
      <c r="J193" s="343">
        <v>20794.55</v>
      </c>
      <c r="K193" s="343">
        <v>52</v>
      </c>
      <c r="L193" s="343">
        <v>152</v>
      </c>
      <c r="M193" s="384">
        <v>46295</v>
      </c>
      <c r="N193" s="343" t="s">
        <v>242</v>
      </c>
      <c r="O193" s="343" t="s">
        <v>178</v>
      </c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253</v>
      </c>
      <c r="W193" s="343" t="s">
        <v>173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287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:35">
      <c r="A194" s="343">
        <v>20260924</v>
      </c>
      <c r="B194" s="343">
        <v>3516</v>
      </c>
      <c r="C194" s="343">
        <v>6</v>
      </c>
      <c r="D194" s="343">
        <v>10</v>
      </c>
      <c r="E194" s="384">
        <v>46289</v>
      </c>
      <c r="F194" s="343" t="s">
        <v>243</v>
      </c>
      <c r="G194" s="343" t="s">
        <v>176</v>
      </c>
      <c r="I194" s="343">
        <v>20261001</v>
      </c>
      <c r="J194" s="343">
        <v>3909</v>
      </c>
      <c r="K194" s="343">
        <v>19</v>
      </c>
      <c r="L194" s="343">
        <v>51</v>
      </c>
      <c r="M194" s="384">
        <v>46296</v>
      </c>
      <c r="N194" s="343" t="s">
        <v>243</v>
      </c>
      <c r="O194" s="343" t="s">
        <v>178</v>
      </c>
      <c r="Q194" s="343">
        <v>20260909</v>
      </c>
      <c r="R194" s="343">
        <v>3471</v>
      </c>
      <c r="S194" s="343">
        <v>24</v>
      </c>
      <c r="T194" s="343">
        <v>50</v>
      </c>
      <c r="U194" s="384">
        <v>46274</v>
      </c>
      <c r="V194" s="343" t="s">
        <v>242</v>
      </c>
      <c r="W194" s="343" t="s">
        <v>174</v>
      </c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285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:35">
      <c r="A195" s="343">
        <v>20260925</v>
      </c>
      <c r="B195" s="343">
        <v>5950</v>
      </c>
      <c r="C195" s="343">
        <v>10</v>
      </c>
      <c r="D195" s="343">
        <v>23</v>
      </c>
      <c r="E195" s="384">
        <v>46290</v>
      </c>
      <c r="F195" s="343" t="s">
        <v>244</v>
      </c>
      <c r="G195" s="343" t="s">
        <v>176</v>
      </c>
      <c r="I195" s="343">
        <v>20261002</v>
      </c>
      <c r="J195" s="343">
        <v>14275</v>
      </c>
      <c r="K195" s="343">
        <v>113</v>
      </c>
      <c r="L195" s="343">
        <v>240</v>
      </c>
      <c r="M195" s="384">
        <v>46297</v>
      </c>
      <c r="N195" s="343" t="s">
        <v>244</v>
      </c>
      <c r="O195" s="343" t="s">
        <v>178</v>
      </c>
      <c r="Q195" s="343">
        <v>20260910</v>
      </c>
      <c r="R195" s="343">
        <v>33957.800000000003</v>
      </c>
      <c r="S195" s="343">
        <v>141</v>
      </c>
      <c r="T195" s="343">
        <v>233</v>
      </c>
      <c r="U195" s="384">
        <v>46275</v>
      </c>
      <c r="V195" s="343" t="s">
        <v>243</v>
      </c>
      <c r="W195" s="343" t="s">
        <v>174</v>
      </c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345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:35">
      <c r="A196" s="343">
        <v>20260926</v>
      </c>
      <c r="B196" s="343">
        <v>6717</v>
      </c>
      <c r="C196" s="343">
        <v>12</v>
      </c>
      <c r="D196" s="343">
        <v>22</v>
      </c>
      <c r="E196" s="384">
        <v>46291</v>
      </c>
      <c r="F196" s="343" t="s">
        <v>252</v>
      </c>
      <c r="G196" s="343" t="s">
        <v>176</v>
      </c>
      <c r="I196" s="343">
        <v>20261003</v>
      </c>
      <c r="J196" s="343">
        <v>25883.65</v>
      </c>
      <c r="K196" s="343">
        <v>55</v>
      </c>
      <c r="L196" s="343">
        <v>136</v>
      </c>
      <c r="M196" s="384">
        <v>46298</v>
      </c>
      <c r="N196" s="343" t="s">
        <v>252</v>
      </c>
      <c r="O196" s="343" t="s">
        <v>178</v>
      </c>
      <c r="Q196" s="343">
        <v>20260911</v>
      </c>
      <c r="R196" s="343">
        <v>46115</v>
      </c>
      <c r="S196" s="343">
        <v>151</v>
      </c>
      <c r="T196" s="343">
        <v>270</v>
      </c>
      <c r="U196" s="384">
        <v>46276</v>
      </c>
      <c r="V196" s="343" t="s">
        <v>244</v>
      </c>
      <c r="W196" s="343" t="s">
        <v>174</v>
      </c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301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:35">
      <c r="A197" s="343">
        <v>20260928</v>
      </c>
      <c r="B197" s="343">
        <v>8732.85</v>
      </c>
      <c r="C197" s="343">
        <v>3</v>
      </c>
      <c r="D197" s="343">
        <v>20</v>
      </c>
      <c r="E197" s="384">
        <v>46293</v>
      </c>
      <c r="F197" s="343" t="s">
        <v>240</v>
      </c>
      <c r="G197" s="343" t="s">
        <v>178</v>
      </c>
      <c r="I197" s="343">
        <v>20261007</v>
      </c>
      <c r="J197" s="343">
        <v>8486</v>
      </c>
      <c r="K197" s="343">
        <v>54</v>
      </c>
      <c r="L197" s="343">
        <v>84</v>
      </c>
      <c r="M197" s="384">
        <v>46302</v>
      </c>
      <c r="N197" s="343" t="s">
        <v>242</v>
      </c>
      <c r="O197" s="343" t="s">
        <v>101</v>
      </c>
      <c r="Q197" s="343">
        <v>20260912</v>
      </c>
      <c r="R197" s="343">
        <v>30020.9</v>
      </c>
      <c r="S197" s="343">
        <v>143</v>
      </c>
      <c r="T197" s="343">
        <v>230</v>
      </c>
      <c r="U197" s="384">
        <v>46277</v>
      </c>
      <c r="V197" s="343" t="s">
        <v>252</v>
      </c>
      <c r="W197" s="343" t="s">
        <v>174</v>
      </c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295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:35">
      <c r="A198" s="343">
        <v>20260930</v>
      </c>
      <c r="B198" s="343">
        <v>2636</v>
      </c>
      <c r="C198" s="343">
        <v>5</v>
      </c>
      <c r="D198" s="343">
        <v>8</v>
      </c>
      <c r="E198" s="384">
        <v>46295</v>
      </c>
      <c r="F198" s="343" t="s">
        <v>242</v>
      </c>
      <c r="G198" s="343" t="s">
        <v>178</v>
      </c>
      <c r="I198" s="343">
        <v>20261008</v>
      </c>
      <c r="J198" s="343">
        <v>8892</v>
      </c>
      <c r="K198" s="343">
        <v>47</v>
      </c>
      <c r="L198" s="343">
        <v>87</v>
      </c>
      <c r="M198" s="384">
        <v>46303</v>
      </c>
      <c r="N198" s="343" t="s">
        <v>243</v>
      </c>
      <c r="O198" s="343" t="s">
        <v>101</v>
      </c>
      <c r="Q198" s="343">
        <v>20260914</v>
      </c>
      <c r="R198" s="343">
        <v>0</v>
      </c>
      <c r="S198" s="343">
        <v>1</v>
      </c>
      <c r="T198" s="343">
        <v>1</v>
      </c>
      <c r="U198" s="384">
        <v>46279</v>
      </c>
      <c r="V198" s="343" t="s">
        <v>240</v>
      </c>
      <c r="W198" s="343" t="s">
        <v>175</v>
      </c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345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:35">
      <c r="A199" s="343">
        <v>20261001</v>
      </c>
      <c r="B199" s="343">
        <v>1779</v>
      </c>
      <c r="C199" s="343">
        <v>4</v>
      </c>
      <c r="D199" s="343">
        <v>8</v>
      </c>
      <c r="E199" s="384">
        <v>46296</v>
      </c>
      <c r="F199" s="343" t="s">
        <v>243</v>
      </c>
      <c r="G199" s="343" t="s">
        <v>178</v>
      </c>
      <c r="I199" s="343">
        <v>20261009</v>
      </c>
      <c r="J199" s="343">
        <v>11381</v>
      </c>
      <c r="K199" s="343">
        <v>75</v>
      </c>
      <c r="L199" s="343">
        <v>126</v>
      </c>
      <c r="M199" s="384">
        <v>46304</v>
      </c>
      <c r="N199" s="343" t="s">
        <v>244</v>
      </c>
      <c r="O199" s="343" t="s">
        <v>101</v>
      </c>
      <c r="Q199" s="343">
        <v>20260915</v>
      </c>
      <c r="R199" s="343">
        <v>0</v>
      </c>
      <c r="S199" s="343">
        <v>16</v>
      </c>
      <c r="T199" s="343">
        <v>16</v>
      </c>
      <c r="U199" s="384">
        <v>46280</v>
      </c>
      <c r="V199" s="343" t="s">
        <v>241</v>
      </c>
      <c r="W199" s="343" t="s">
        <v>175</v>
      </c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:35">
      <c r="A200" s="343">
        <v>20261002</v>
      </c>
      <c r="B200" s="343">
        <v>7522</v>
      </c>
      <c r="C200" s="343">
        <v>10</v>
      </c>
      <c r="D200" s="343">
        <v>24</v>
      </c>
      <c r="E200" s="384">
        <v>46297</v>
      </c>
      <c r="F200" s="343" t="s">
        <v>244</v>
      </c>
      <c r="G200" s="343" t="s">
        <v>178</v>
      </c>
      <c r="I200" s="343">
        <v>20261010</v>
      </c>
      <c r="J200" s="343">
        <v>26977.200000000001</v>
      </c>
      <c r="K200" s="343">
        <v>111</v>
      </c>
      <c r="L200" s="343">
        <v>216</v>
      </c>
      <c r="M200" s="384">
        <v>46305</v>
      </c>
      <c r="N200" s="343" t="s">
        <v>252</v>
      </c>
      <c r="O200" s="343" t="s">
        <v>101</v>
      </c>
      <c r="Q200" s="343">
        <v>20260916</v>
      </c>
      <c r="R200" s="343">
        <v>5666</v>
      </c>
      <c r="S200" s="343">
        <v>30</v>
      </c>
      <c r="T200" s="343">
        <v>946</v>
      </c>
      <c r="U200" s="384">
        <v>46281</v>
      </c>
      <c r="V200" s="343" t="s">
        <v>242</v>
      </c>
      <c r="W200" s="343" t="s">
        <v>175</v>
      </c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297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:35">
      <c r="A201" s="343">
        <v>20261003</v>
      </c>
      <c r="B201" s="343">
        <v>5840</v>
      </c>
      <c r="C201" s="343">
        <v>9</v>
      </c>
      <c r="D201" s="343">
        <v>23</v>
      </c>
      <c r="E201" s="384">
        <v>46298</v>
      </c>
      <c r="F201" s="343" t="s">
        <v>252</v>
      </c>
      <c r="G201" s="343" t="s">
        <v>178</v>
      </c>
      <c r="I201" s="343">
        <v>20261011</v>
      </c>
      <c r="J201" s="343">
        <v>5539</v>
      </c>
      <c r="K201" s="343">
        <v>13</v>
      </c>
      <c r="L201" s="343">
        <v>43</v>
      </c>
      <c r="M201" s="384">
        <v>46306</v>
      </c>
      <c r="N201" s="343" t="s">
        <v>253</v>
      </c>
      <c r="O201" s="343" t="s">
        <v>101</v>
      </c>
      <c r="Q201" s="343">
        <v>20260917</v>
      </c>
      <c r="R201" s="343">
        <v>46306.6</v>
      </c>
      <c r="S201" s="343">
        <v>177</v>
      </c>
      <c r="T201" s="343">
        <v>270</v>
      </c>
      <c r="U201" s="384">
        <v>46282</v>
      </c>
      <c r="V201" s="343" t="s">
        <v>243</v>
      </c>
      <c r="W201" s="343" t="s">
        <v>175</v>
      </c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293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:35">
      <c r="A202" s="343">
        <v>20261006</v>
      </c>
      <c r="B202" s="343">
        <v>1795</v>
      </c>
      <c r="C202" s="343">
        <v>3</v>
      </c>
      <c r="D202" s="343">
        <v>6</v>
      </c>
      <c r="E202" s="384">
        <v>46301</v>
      </c>
      <c r="F202" s="343" t="s">
        <v>241</v>
      </c>
      <c r="G202" s="343" t="s">
        <v>101</v>
      </c>
      <c r="Q202" s="343">
        <v>20260918</v>
      </c>
      <c r="R202" s="343">
        <v>71365.95</v>
      </c>
      <c r="S202" s="343">
        <v>207</v>
      </c>
      <c r="T202" s="343">
        <v>394</v>
      </c>
      <c r="U202" s="384">
        <v>46283</v>
      </c>
      <c r="V202" s="343" t="s">
        <v>244</v>
      </c>
      <c r="W202" s="343" t="s">
        <v>175</v>
      </c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291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:35">
      <c r="A203" s="343">
        <v>20261007</v>
      </c>
      <c r="B203" s="343">
        <v>576</v>
      </c>
      <c r="C203" s="343">
        <v>2</v>
      </c>
      <c r="D203" s="343">
        <v>4</v>
      </c>
      <c r="E203" s="384">
        <v>46302</v>
      </c>
      <c r="F203" s="343" t="s">
        <v>242</v>
      </c>
      <c r="G203" s="343" t="s">
        <v>101</v>
      </c>
      <c r="Q203" s="343">
        <v>20260919</v>
      </c>
      <c r="R203" s="343">
        <v>81048.100000000006</v>
      </c>
      <c r="S203" s="343">
        <v>316</v>
      </c>
      <c r="T203" s="343">
        <v>505</v>
      </c>
      <c r="U203" s="384">
        <v>46284</v>
      </c>
      <c r="V203" s="343" t="s">
        <v>252</v>
      </c>
      <c r="W203" s="343" t="s">
        <v>175</v>
      </c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289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:35">
      <c r="A204" s="343">
        <v>20261008</v>
      </c>
      <c r="B204" s="343">
        <v>1317</v>
      </c>
      <c r="C204" s="343">
        <v>1</v>
      </c>
      <c r="D204" s="343">
        <v>3</v>
      </c>
      <c r="E204" s="384">
        <v>46303</v>
      </c>
      <c r="F204" s="343" t="s">
        <v>243</v>
      </c>
      <c r="G204" s="343" t="s">
        <v>101</v>
      </c>
      <c r="Q204" s="343">
        <v>20260921</v>
      </c>
      <c r="R204" s="343">
        <v>0</v>
      </c>
      <c r="S204" s="343">
        <v>1</v>
      </c>
      <c r="T204" s="343">
        <v>1</v>
      </c>
      <c r="U204" s="384">
        <v>46286</v>
      </c>
      <c r="V204" s="343" t="s">
        <v>240</v>
      </c>
      <c r="W204" s="343" t="s">
        <v>176</v>
      </c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287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:35">
      <c r="A205" s="343">
        <v>20261009</v>
      </c>
      <c r="B205" s="343">
        <v>3524</v>
      </c>
      <c r="C205" s="343">
        <v>7</v>
      </c>
      <c r="D205" s="343">
        <v>14</v>
      </c>
      <c r="E205" s="384">
        <v>46304</v>
      </c>
      <c r="F205" s="343" t="s">
        <v>244</v>
      </c>
      <c r="G205" s="343" t="s">
        <v>101</v>
      </c>
      <c r="Q205" s="343">
        <v>20260923</v>
      </c>
      <c r="R205" s="343">
        <v>9173.4</v>
      </c>
      <c r="S205" s="343">
        <v>30</v>
      </c>
      <c r="T205" s="343">
        <v>63</v>
      </c>
      <c r="U205" s="384">
        <v>46288</v>
      </c>
      <c r="V205" s="343" t="s">
        <v>242</v>
      </c>
      <c r="W205" s="343" t="s">
        <v>176</v>
      </c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285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:35">
      <c r="A206" s="343">
        <v>20261010</v>
      </c>
      <c r="B206" s="343">
        <v>7292</v>
      </c>
      <c r="C206" s="343">
        <v>10</v>
      </c>
      <c r="D206" s="343">
        <v>22</v>
      </c>
      <c r="E206" s="384">
        <v>46305</v>
      </c>
      <c r="F206" s="343" t="s">
        <v>252</v>
      </c>
      <c r="G206" s="343" t="s">
        <v>101</v>
      </c>
      <c r="Q206" s="343">
        <v>20260924</v>
      </c>
      <c r="R206" s="343">
        <v>53251</v>
      </c>
      <c r="S206" s="343">
        <v>198</v>
      </c>
      <c r="T206" s="343">
        <v>304</v>
      </c>
      <c r="U206" s="384">
        <v>46289</v>
      </c>
      <c r="V206" s="343" t="s">
        <v>243</v>
      </c>
      <c r="W206" s="343" t="s">
        <v>176</v>
      </c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301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:35">
      <c r="Q207" s="343">
        <v>20260925</v>
      </c>
      <c r="R207" s="343">
        <v>61122.2</v>
      </c>
      <c r="S207" s="343">
        <v>166</v>
      </c>
      <c r="T207" s="343">
        <v>324</v>
      </c>
      <c r="U207" s="384">
        <v>46290</v>
      </c>
      <c r="V207" s="343" t="s">
        <v>244</v>
      </c>
      <c r="W207" s="343" t="s">
        <v>176</v>
      </c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295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:35">
      <c r="Q208" s="343">
        <v>20260926</v>
      </c>
      <c r="R208" s="343">
        <v>74099</v>
      </c>
      <c r="S208" s="343">
        <v>265</v>
      </c>
      <c r="T208" s="343">
        <v>442</v>
      </c>
      <c r="U208" s="384">
        <v>46291</v>
      </c>
      <c r="V208" s="343" t="s">
        <v>252</v>
      </c>
      <c r="W208" s="343" t="s">
        <v>176</v>
      </c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345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17:35">
      <c r="Q209" s="343">
        <v>20260928</v>
      </c>
      <c r="R209" s="343">
        <v>30802</v>
      </c>
      <c r="S209" s="343">
        <v>29</v>
      </c>
      <c r="T209" s="343">
        <v>143</v>
      </c>
      <c r="U209" s="384">
        <v>46293</v>
      </c>
      <c r="V209" s="343" t="s">
        <v>240</v>
      </c>
      <c r="W209" s="343" t="s">
        <v>178</v>
      </c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17:35">
      <c r="Q210" s="343">
        <v>20260929</v>
      </c>
      <c r="R210" s="343">
        <v>702.4</v>
      </c>
      <c r="S210" s="343">
        <v>1</v>
      </c>
      <c r="T210" s="343">
        <v>0</v>
      </c>
      <c r="U210" s="384">
        <v>46294</v>
      </c>
      <c r="V210" s="343" t="s">
        <v>241</v>
      </c>
      <c r="W210" s="343" t="s">
        <v>178</v>
      </c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297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17:35">
      <c r="Q211" s="343">
        <v>20260930</v>
      </c>
      <c r="R211" s="343">
        <v>23726.080000000002</v>
      </c>
      <c r="S211" s="343">
        <v>96</v>
      </c>
      <c r="T211" s="343">
        <v>172</v>
      </c>
      <c r="U211" s="384">
        <v>46295</v>
      </c>
      <c r="V211" s="343" t="s">
        <v>242</v>
      </c>
      <c r="W211" s="343" t="s">
        <v>178</v>
      </c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293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17:35">
      <c r="Q212" s="343">
        <v>20261001</v>
      </c>
      <c r="R212" s="343">
        <v>35470.6</v>
      </c>
      <c r="S212" s="343">
        <v>150</v>
      </c>
      <c r="T212" s="343">
        <v>256</v>
      </c>
      <c r="U212" s="384">
        <v>46296</v>
      </c>
      <c r="V212" s="343" t="s">
        <v>243</v>
      </c>
      <c r="W212" s="343" t="s">
        <v>178</v>
      </c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291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17:35">
      <c r="Q213" s="343">
        <v>20261002</v>
      </c>
      <c r="R213" s="343">
        <v>73030.600000000006</v>
      </c>
      <c r="S213" s="343">
        <v>256</v>
      </c>
      <c r="T213" s="343">
        <v>394</v>
      </c>
      <c r="U213" s="384">
        <v>46297</v>
      </c>
      <c r="V213" s="343" t="s">
        <v>244</v>
      </c>
      <c r="W213" s="343" t="s">
        <v>178</v>
      </c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289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17:35">
      <c r="Q214" s="343">
        <v>20261003</v>
      </c>
      <c r="R214" s="343">
        <v>70805.8</v>
      </c>
      <c r="S214" s="343">
        <v>242</v>
      </c>
      <c r="T214" s="343">
        <v>423</v>
      </c>
      <c r="U214" s="384">
        <v>46298</v>
      </c>
      <c r="V214" s="343" t="s">
        <v>252</v>
      </c>
      <c r="W214" s="343" t="s">
        <v>178</v>
      </c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287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17:35">
      <c r="Q215" s="343">
        <v>20261006</v>
      </c>
      <c r="R215" s="343">
        <v>19085.849999999999</v>
      </c>
      <c r="S215" s="343">
        <v>41</v>
      </c>
      <c r="T215" s="343">
        <v>96</v>
      </c>
      <c r="U215" s="384">
        <v>46301</v>
      </c>
      <c r="V215" s="343" t="s">
        <v>241</v>
      </c>
      <c r="W215" s="343" t="s">
        <v>101</v>
      </c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285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17:35">
      <c r="Q216" s="343">
        <v>20261007</v>
      </c>
      <c r="R216" s="343">
        <v>6542.05</v>
      </c>
      <c r="S216" s="343">
        <v>24</v>
      </c>
      <c r="T216" s="343">
        <v>53</v>
      </c>
      <c r="U216" s="384">
        <v>46302</v>
      </c>
      <c r="V216" s="343" t="s">
        <v>242</v>
      </c>
      <c r="W216" s="343" t="s">
        <v>101</v>
      </c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301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17:35">
      <c r="Q217" s="343">
        <v>20261008</v>
      </c>
      <c r="R217" s="343">
        <v>55226.400000000001</v>
      </c>
      <c r="S217" s="343">
        <v>160</v>
      </c>
      <c r="T217" s="343">
        <v>269</v>
      </c>
      <c r="U217" s="384">
        <v>46303</v>
      </c>
      <c r="V217" s="343" t="s">
        <v>243</v>
      </c>
      <c r="W217" s="343" t="s">
        <v>101</v>
      </c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295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17:35">
      <c r="Q218" s="343">
        <v>20261009</v>
      </c>
      <c r="R218" s="343">
        <v>54983</v>
      </c>
      <c r="S218" s="343">
        <v>250</v>
      </c>
      <c r="T218" s="343">
        <v>393</v>
      </c>
      <c r="U218" s="384">
        <v>46304</v>
      </c>
      <c r="V218" s="343" t="s">
        <v>244</v>
      </c>
      <c r="W218" s="343" t="s">
        <v>101</v>
      </c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345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17:35">
      <c r="Q219" s="343">
        <v>20261010</v>
      </c>
      <c r="R219" s="343">
        <v>113342.05</v>
      </c>
      <c r="S219" s="343">
        <v>174</v>
      </c>
      <c r="T219" s="343">
        <v>400</v>
      </c>
      <c r="U219" s="384">
        <v>46305</v>
      </c>
      <c r="V219" s="343" t="s">
        <v>252</v>
      </c>
      <c r="W219" s="343" t="s">
        <v>101</v>
      </c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17:35">
      <c r="Q220" s="343">
        <v>20261011</v>
      </c>
      <c r="R220" s="343">
        <v>8895</v>
      </c>
      <c r="S220" s="343">
        <v>33</v>
      </c>
      <c r="T220" s="343">
        <v>79</v>
      </c>
      <c r="U220" s="384">
        <v>46306</v>
      </c>
      <c r="V220" s="343" t="s">
        <v>253</v>
      </c>
      <c r="W220" s="343" t="s">
        <v>101</v>
      </c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297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17:35"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293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17:35"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291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17:35"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289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17:35"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287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25:35"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285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25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301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25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295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25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345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25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301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25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25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297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25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293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25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291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25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289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25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287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25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285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25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295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25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345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25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25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297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293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291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289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287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285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301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295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345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343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297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293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291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289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287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285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301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295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345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293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291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289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287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285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301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295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297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345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297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293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291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289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287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285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301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295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287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345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297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293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291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289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285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301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295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345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297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293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291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289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287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285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301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295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345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297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293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291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289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287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285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301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295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173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  <row r="313" spans="25:35">
      <c r="Y313" s="343" t="s">
        <v>171</v>
      </c>
      <c r="Z313" s="343" t="s">
        <v>174</v>
      </c>
      <c r="AA313" s="384">
        <v>46272</v>
      </c>
      <c r="AB313" s="384">
        <v>46278</v>
      </c>
      <c r="AC313" s="343" t="s">
        <v>106</v>
      </c>
      <c r="AD313" s="343">
        <v>2</v>
      </c>
      <c r="AE313" s="343">
        <v>165.9</v>
      </c>
      <c r="AF313" s="343">
        <v>0</v>
      </c>
      <c r="AG313" s="343">
        <v>0</v>
      </c>
      <c r="AH313" s="343">
        <v>165.9</v>
      </c>
      <c r="AI313" s="343">
        <v>0</v>
      </c>
    </row>
    <row r="314" spans="25:35">
      <c r="Y314" s="343" t="s">
        <v>171</v>
      </c>
      <c r="Z314" s="343" t="s">
        <v>175</v>
      </c>
      <c r="AA314" s="384">
        <v>46279</v>
      </c>
      <c r="AB314" s="384">
        <v>46285</v>
      </c>
      <c r="AC314" s="343" t="s">
        <v>106</v>
      </c>
      <c r="AD314" s="343">
        <v>2</v>
      </c>
      <c r="AE314" s="343">
        <v>198.55</v>
      </c>
      <c r="AF314" s="343">
        <v>0</v>
      </c>
      <c r="AG314" s="343">
        <v>0</v>
      </c>
      <c r="AH314" s="343">
        <v>198.55</v>
      </c>
      <c r="AI314" s="343">
        <v>0</v>
      </c>
    </row>
    <row r="315" spans="25:35">
      <c r="Y315" s="343" t="s">
        <v>171</v>
      </c>
      <c r="Z315" s="343" t="s">
        <v>176</v>
      </c>
      <c r="AA315" s="384">
        <v>46286</v>
      </c>
      <c r="AB315" s="384">
        <v>46292</v>
      </c>
      <c r="AC315" s="343" t="s">
        <v>106</v>
      </c>
      <c r="AD315" s="343">
        <v>0</v>
      </c>
      <c r="AE315" s="343">
        <v>0</v>
      </c>
      <c r="AF315" s="343">
        <v>0</v>
      </c>
      <c r="AG315" s="343">
        <v>0</v>
      </c>
      <c r="AH315" s="343">
        <v>0</v>
      </c>
      <c r="AI315" s="343">
        <v>0</v>
      </c>
    </row>
    <row r="316" spans="25:35">
      <c r="Y316" s="343" t="s">
        <v>76</v>
      </c>
      <c r="Z316" s="343" t="s">
        <v>178</v>
      </c>
      <c r="AA316" s="384">
        <v>46293</v>
      </c>
      <c r="AB316" s="384">
        <v>46299</v>
      </c>
      <c r="AC316" s="343" t="s">
        <v>106</v>
      </c>
      <c r="AD316" s="343">
        <v>8</v>
      </c>
      <c r="AE316" s="343">
        <v>4231.75</v>
      </c>
      <c r="AF316" s="343">
        <v>0</v>
      </c>
      <c r="AG316" s="343">
        <v>0</v>
      </c>
      <c r="AH316" s="343">
        <v>4231.75</v>
      </c>
      <c r="AI316" s="343">
        <v>0</v>
      </c>
    </row>
    <row r="317" spans="25:35">
      <c r="Y317" s="343" t="s">
        <v>76</v>
      </c>
      <c r="Z317" s="343" t="s">
        <v>101</v>
      </c>
      <c r="AA317" s="384">
        <v>46300</v>
      </c>
      <c r="AB317" s="384">
        <v>46306</v>
      </c>
      <c r="AC317" s="343" t="s">
        <v>106</v>
      </c>
      <c r="AD317" s="343">
        <v>3</v>
      </c>
      <c r="AE317" s="343">
        <v>3562.95</v>
      </c>
      <c r="AF317" s="343">
        <v>0</v>
      </c>
      <c r="AG317" s="343">
        <v>0</v>
      </c>
      <c r="AH317" s="343">
        <v>3562.95</v>
      </c>
      <c r="AI317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322"/>
  <sheetViews>
    <sheetView topLeftCell="K1" workbookViewId="0">
      <selection activeCell="N1" sqref="N1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274</v>
      </c>
      <c r="AD1" s="343" t="s">
        <v>275</v>
      </c>
      <c r="AE1" s="343" t="s">
        <v>116</v>
      </c>
      <c r="AF1" s="343" t="s">
        <v>276</v>
      </c>
      <c r="AG1" s="343" t="s">
        <v>277</v>
      </c>
      <c r="AH1" s="343" t="s">
        <v>278</v>
      </c>
      <c r="AI1" s="343" t="s">
        <v>279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240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252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242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287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241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253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243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301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242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252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244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243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253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252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346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244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252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241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293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252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253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242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289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253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253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243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347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240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252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244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285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241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253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252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301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242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252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242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243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253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243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287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244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252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244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293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252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253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252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253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252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242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347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240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253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243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285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241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252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244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287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242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253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252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343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243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252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242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301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244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253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243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252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252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244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293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253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253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252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289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240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252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241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347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241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253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242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285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242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252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243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243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253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244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346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244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252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252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287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252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253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253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293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253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252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241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289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240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253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242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347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241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252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243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285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242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253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244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301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243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252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252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244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253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240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346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252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252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242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287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253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253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243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293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240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252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244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289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241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253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252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347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242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252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253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285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243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253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242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348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244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243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243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287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252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252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244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343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253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253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252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240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252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242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346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241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253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243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293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242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252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244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289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243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253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252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347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244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252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240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285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252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253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242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287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253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252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243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301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240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253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244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241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252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252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346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242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253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242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293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243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252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243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289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244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253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244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347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252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252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252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285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253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253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240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348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240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252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241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287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241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253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242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343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242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252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243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301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243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253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244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244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252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252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346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252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253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242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293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253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252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243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289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240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253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244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347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241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252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252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285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242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253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240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343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243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252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241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301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244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253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242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252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252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243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346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253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253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244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287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240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252</v>
      </c>
      <c r="O72" s="343" t="s">
        <v>173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252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293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241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253</v>
      </c>
      <c r="O73" s="343" t="s">
        <v>173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242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289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242</v>
      </c>
      <c r="G74" s="343" t="s">
        <v>136</v>
      </c>
      <c r="I74" s="343">
        <v>20260912</v>
      </c>
      <c r="J74" s="343">
        <v>10163.299999999999</v>
      </c>
      <c r="K74" s="343">
        <v>60</v>
      </c>
      <c r="L74" s="343">
        <v>173</v>
      </c>
      <c r="M74" s="384">
        <v>46277</v>
      </c>
      <c r="N74" s="343" t="s">
        <v>252</v>
      </c>
      <c r="O74" s="343" t="s">
        <v>174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243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347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243</v>
      </c>
      <c r="G75" s="343" t="s">
        <v>136</v>
      </c>
      <c r="I75" s="343">
        <v>20260913</v>
      </c>
      <c r="J75" s="343">
        <v>11613.5</v>
      </c>
      <c r="K75" s="343">
        <v>64</v>
      </c>
      <c r="L75" s="343">
        <v>168</v>
      </c>
      <c r="M75" s="384">
        <v>46278</v>
      </c>
      <c r="N75" s="343" t="s">
        <v>253</v>
      </c>
      <c r="O75" s="343" t="s">
        <v>174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244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285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244</v>
      </c>
      <c r="G76" s="343" t="s">
        <v>136</v>
      </c>
      <c r="I76" s="343">
        <v>20260919</v>
      </c>
      <c r="J76" s="343">
        <v>10742.8</v>
      </c>
      <c r="K76" s="343">
        <v>61</v>
      </c>
      <c r="L76" s="343">
        <v>155</v>
      </c>
      <c r="M76" s="384">
        <v>46284</v>
      </c>
      <c r="N76" s="343" t="s">
        <v>252</v>
      </c>
      <c r="O76" s="343" t="s">
        <v>175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252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343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252</v>
      </c>
      <c r="G77" s="343" t="s">
        <v>136</v>
      </c>
      <c r="I77" s="343">
        <v>20260920</v>
      </c>
      <c r="J77" s="343">
        <v>9466.2000000000007</v>
      </c>
      <c r="K77" s="343">
        <v>55</v>
      </c>
      <c r="L77" s="343">
        <v>153</v>
      </c>
      <c r="M77" s="384">
        <v>46285</v>
      </c>
      <c r="N77" s="343" t="s">
        <v>253</v>
      </c>
      <c r="O77" s="343" t="s">
        <v>175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241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301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253</v>
      </c>
      <c r="G78" s="343" t="s">
        <v>136</v>
      </c>
      <c r="I78" s="343">
        <v>20260926</v>
      </c>
      <c r="J78" s="343">
        <v>10240</v>
      </c>
      <c r="K78" s="343">
        <v>70</v>
      </c>
      <c r="L78" s="343">
        <v>147</v>
      </c>
      <c r="M78" s="384">
        <v>46291</v>
      </c>
      <c r="N78" s="343" t="s">
        <v>252</v>
      </c>
      <c r="O78" s="343" t="s">
        <v>176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242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240</v>
      </c>
      <c r="G79" s="343" t="s">
        <v>137</v>
      </c>
      <c r="I79" s="343">
        <v>20260927</v>
      </c>
      <c r="J79" s="343">
        <v>15938.25</v>
      </c>
      <c r="K79" s="343">
        <v>76</v>
      </c>
      <c r="L79" s="343">
        <v>189</v>
      </c>
      <c r="M79" s="384">
        <v>46292</v>
      </c>
      <c r="N79" s="343" t="s">
        <v>253</v>
      </c>
      <c r="O79" s="343" t="s">
        <v>176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243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346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241</v>
      </c>
      <c r="G80" s="343" t="s">
        <v>137</v>
      </c>
      <c r="I80" s="343">
        <v>20261003</v>
      </c>
      <c r="J80" s="343">
        <v>8679.5</v>
      </c>
      <c r="K80" s="343">
        <v>46</v>
      </c>
      <c r="L80" s="343">
        <v>124</v>
      </c>
      <c r="M80" s="384">
        <v>46298</v>
      </c>
      <c r="N80" s="343" t="s">
        <v>252</v>
      </c>
      <c r="O80" s="343" t="s">
        <v>178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244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287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242</v>
      </c>
      <c r="G81" s="343" t="s">
        <v>137</v>
      </c>
      <c r="I81" s="343">
        <v>20261004</v>
      </c>
      <c r="J81" s="343">
        <v>11203</v>
      </c>
      <c r="K81" s="343">
        <v>63</v>
      </c>
      <c r="L81" s="343">
        <v>164</v>
      </c>
      <c r="M81" s="384">
        <v>46299</v>
      </c>
      <c r="N81" s="343" t="s">
        <v>253</v>
      </c>
      <c r="O81" s="343" t="s">
        <v>178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252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293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243</v>
      </c>
      <c r="G82" s="343" t="s">
        <v>137</v>
      </c>
      <c r="I82" s="343">
        <v>20261010</v>
      </c>
      <c r="J82" s="343">
        <v>57605.5</v>
      </c>
      <c r="K82" s="343">
        <v>31</v>
      </c>
      <c r="L82" s="343">
        <v>297</v>
      </c>
      <c r="M82" s="384">
        <v>46305</v>
      </c>
      <c r="N82" s="343" t="s">
        <v>252</v>
      </c>
      <c r="O82" s="343" t="s">
        <v>101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242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289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244</v>
      </c>
      <c r="G83" s="343" t="s">
        <v>137</v>
      </c>
      <c r="I83" s="343">
        <v>20261011</v>
      </c>
      <c r="J83" s="343">
        <v>11935</v>
      </c>
      <c r="K83" s="343">
        <v>69</v>
      </c>
      <c r="L83" s="343">
        <v>163</v>
      </c>
      <c r="M83" s="384">
        <v>46306</v>
      </c>
      <c r="N83" s="343" t="s">
        <v>253</v>
      </c>
      <c r="O83" s="343" t="s">
        <v>101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243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347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252</v>
      </c>
      <c r="G84" s="343" t="s">
        <v>137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244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285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253</v>
      </c>
      <c r="G85" s="343" t="s">
        <v>137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252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301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240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241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241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242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287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242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243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293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243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244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289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244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252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347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252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253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285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253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240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301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240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242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241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243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346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242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244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287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243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252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293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244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240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289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252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242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347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253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243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285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240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244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348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241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252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287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242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242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301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243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243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244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244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293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252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252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289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253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243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347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240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244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285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241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252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242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242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287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243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243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293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244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244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289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252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252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347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253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240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301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240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242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285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241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243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287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242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244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343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243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252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301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244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242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252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243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346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253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244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293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240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252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289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241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242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347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242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243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285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243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244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348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244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252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252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253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346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253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240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287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240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242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293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241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243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289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242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244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347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243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252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285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244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242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252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243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346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253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244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287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240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252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293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241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253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289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242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241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347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243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242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285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244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243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348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252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244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343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253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252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240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241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346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241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242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287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242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243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293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243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244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289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244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252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347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252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240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285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253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242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348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240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243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287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241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244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301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242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252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243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241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346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244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242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293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252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243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289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253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244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347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240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252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285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241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242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348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242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243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343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243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244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301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244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252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252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242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346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253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243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287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240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244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293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241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252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289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242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241</v>
      </c>
      <c r="W165" s="343" t="s">
        <v>173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347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243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242</v>
      </c>
      <c r="W166" s="343" t="s">
        <v>173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285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244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243</v>
      </c>
      <c r="W167" s="343" t="s">
        <v>173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348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252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244</v>
      </c>
      <c r="W168" s="343" t="s">
        <v>173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287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253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252</v>
      </c>
      <c r="W169" s="343" t="s">
        <v>173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343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240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253</v>
      </c>
      <c r="W170" s="343" t="s">
        <v>173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241</v>
      </c>
      <c r="G171" s="343" t="s">
        <v>156</v>
      </c>
      <c r="Q171" s="343">
        <v>20260909</v>
      </c>
      <c r="R171" s="343">
        <v>5250</v>
      </c>
      <c r="S171" s="343">
        <v>2</v>
      </c>
      <c r="T171" s="343">
        <v>4</v>
      </c>
      <c r="U171" s="384">
        <v>46274</v>
      </c>
      <c r="V171" s="343" t="s">
        <v>242</v>
      </c>
      <c r="W171" s="343" t="s">
        <v>174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346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242</v>
      </c>
      <c r="G172" s="343" t="s">
        <v>156</v>
      </c>
      <c r="Q172" s="343">
        <v>20260910</v>
      </c>
      <c r="R172" s="343">
        <v>4382.3999999999996</v>
      </c>
      <c r="S172" s="343">
        <v>30</v>
      </c>
      <c r="T172" s="343">
        <v>43</v>
      </c>
      <c r="U172" s="384">
        <v>46275</v>
      </c>
      <c r="V172" s="343" t="s">
        <v>243</v>
      </c>
      <c r="W172" s="343" t="s">
        <v>174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293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243</v>
      </c>
      <c r="G173" s="343" t="s">
        <v>156</v>
      </c>
      <c r="Q173" s="343">
        <v>20260911</v>
      </c>
      <c r="R173" s="343">
        <v>7122</v>
      </c>
      <c r="S173" s="343">
        <v>66</v>
      </c>
      <c r="T173" s="343">
        <v>93</v>
      </c>
      <c r="U173" s="384">
        <v>46276</v>
      </c>
      <c r="V173" s="343" t="s">
        <v>244</v>
      </c>
      <c r="W173" s="343" t="s">
        <v>174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289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244</v>
      </c>
      <c r="G174" s="343" t="s">
        <v>156</v>
      </c>
      <c r="Q174" s="343">
        <v>20260912</v>
      </c>
      <c r="R174" s="343">
        <v>15188.69</v>
      </c>
      <c r="S174" s="343">
        <v>79</v>
      </c>
      <c r="T174" s="343">
        <v>153</v>
      </c>
      <c r="U174" s="384">
        <v>46277</v>
      </c>
      <c r="V174" s="343" t="s">
        <v>252</v>
      </c>
      <c r="W174" s="343" t="s">
        <v>174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347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252</v>
      </c>
      <c r="G175" s="343" t="s">
        <v>156</v>
      </c>
      <c r="Q175" s="343">
        <v>20260915</v>
      </c>
      <c r="R175" s="343">
        <v>0</v>
      </c>
      <c r="S175" s="343">
        <v>1</v>
      </c>
      <c r="T175" s="343">
        <v>1</v>
      </c>
      <c r="U175" s="384">
        <v>46280</v>
      </c>
      <c r="V175" s="343" t="s">
        <v>241</v>
      </c>
      <c r="W175" s="343" t="s">
        <v>175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285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253</v>
      </c>
      <c r="G176" s="343" t="s">
        <v>156</v>
      </c>
      <c r="Q176" s="343">
        <v>20260916</v>
      </c>
      <c r="R176" s="343">
        <v>2457.8000000000002</v>
      </c>
      <c r="S176" s="343">
        <v>16</v>
      </c>
      <c r="T176" s="343">
        <v>23</v>
      </c>
      <c r="U176" s="384">
        <v>46281</v>
      </c>
      <c r="V176" s="343" t="s">
        <v>242</v>
      </c>
      <c r="W176" s="343" t="s">
        <v>175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287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240</v>
      </c>
      <c r="G177" s="343" t="s">
        <v>157</v>
      </c>
      <c r="Q177" s="343">
        <v>20260917</v>
      </c>
      <c r="R177" s="343">
        <v>4332.5</v>
      </c>
      <c r="S177" s="343">
        <v>20</v>
      </c>
      <c r="T177" s="343">
        <v>31</v>
      </c>
      <c r="U177" s="384">
        <v>46282</v>
      </c>
      <c r="V177" s="343" t="s">
        <v>243</v>
      </c>
      <c r="W177" s="343" t="s">
        <v>175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301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241</v>
      </c>
      <c r="G178" s="343" t="s">
        <v>157</v>
      </c>
      <c r="Q178" s="343">
        <v>20260918</v>
      </c>
      <c r="R178" s="343">
        <v>9713.35</v>
      </c>
      <c r="S178" s="343">
        <v>59</v>
      </c>
      <c r="T178" s="343">
        <v>105</v>
      </c>
      <c r="U178" s="384">
        <v>46283</v>
      </c>
      <c r="V178" s="343" t="s">
        <v>244</v>
      </c>
      <c r="W178" s="343" t="s">
        <v>175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242</v>
      </c>
      <c r="G179" s="343" t="s">
        <v>157</v>
      </c>
      <c r="Q179" s="343">
        <v>20260919</v>
      </c>
      <c r="R179" s="343">
        <v>5696</v>
      </c>
      <c r="S179" s="343">
        <v>52</v>
      </c>
      <c r="T179" s="343">
        <v>79</v>
      </c>
      <c r="U179" s="384">
        <v>46284</v>
      </c>
      <c r="V179" s="343" t="s">
        <v>252</v>
      </c>
      <c r="W179" s="343" t="s">
        <v>175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346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243</v>
      </c>
      <c r="G180" s="343" t="s">
        <v>157</v>
      </c>
      <c r="Q180" s="343">
        <v>20260922</v>
      </c>
      <c r="R180" s="343">
        <v>4202.1000000000004</v>
      </c>
      <c r="S180" s="343">
        <v>1</v>
      </c>
      <c r="T180" s="343">
        <v>29</v>
      </c>
      <c r="U180" s="384">
        <v>46287</v>
      </c>
      <c r="V180" s="343" t="s">
        <v>241</v>
      </c>
      <c r="W180" s="343" t="s">
        <v>176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293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244</v>
      </c>
      <c r="G181" s="343" t="s">
        <v>157</v>
      </c>
      <c r="Q181" s="343">
        <v>20260923</v>
      </c>
      <c r="R181" s="343">
        <v>7260.45</v>
      </c>
      <c r="S181" s="343">
        <v>10</v>
      </c>
      <c r="T181" s="343">
        <v>14</v>
      </c>
      <c r="U181" s="384">
        <v>46288</v>
      </c>
      <c r="V181" s="343" t="s">
        <v>242</v>
      </c>
      <c r="W181" s="343" t="s">
        <v>176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289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252</v>
      </c>
      <c r="G182" s="343" t="s">
        <v>157</v>
      </c>
      <c r="Q182" s="343">
        <v>20260924</v>
      </c>
      <c r="R182" s="343">
        <v>10921.7</v>
      </c>
      <c r="S182" s="343">
        <v>32</v>
      </c>
      <c r="T182" s="343">
        <v>65</v>
      </c>
      <c r="U182" s="384">
        <v>46289</v>
      </c>
      <c r="V182" s="343" t="s">
        <v>243</v>
      </c>
      <c r="W182" s="343" t="s">
        <v>176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347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253</v>
      </c>
      <c r="G183" s="343" t="s">
        <v>157</v>
      </c>
      <c r="Q183" s="343">
        <v>20260925</v>
      </c>
      <c r="R183" s="343">
        <v>15376.5</v>
      </c>
      <c r="S183" s="343">
        <v>69</v>
      </c>
      <c r="T183" s="343">
        <v>89</v>
      </c>
      <c r="U183" s="384">
        <v>46290</v>
      </c>
      <c r="V183" s="343" t="s">
        <v>244</v>
      </c>
      <c r="W183" s="343" t="s">
        <v>176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285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240</v>
      </c>
      <c r="G184" s="343" t="s">
        <v>160</v>
      </c>
      <c r="Q184" s="343">
        <v>20260926</v>
      </c>
      <c r="R184" s="343">
        <v>9954.5</v>
      </c>
      <c r="S184" s="343">
        <v>78</v>
      </c>
      <c r="T184" s="343">
        <v>109</v>
      </c>
      <c r="U184" s="384">
        <v>46291</v>
      </c>
      <c r="V184" s="343" t="s">
        <v>252</v>
      </c>
      <c r="W184" s="343" t="s">
        <v>176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348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241</v>
      </c>
      <c r="G185" s="343" t="s">
        <v>160</v>
      </c>
      <c r="Q185" s="343">
        <v>20260930</v>
      </c>
      <c r="R185" s="343">
        <v>423</v>
      </c>
      <c r="S185" s="343">
        <v>9</v>
      </c>
      <c r="T185" s="343">
        <v>27</v>
      </c>
      <c r="U185" s="384">
        <v>46295</v>
      </c>
      <c r="V185" s="343" t="s">
        <v>242</v>
      </c>
      <c r="W185" s="343" t="s">
        <v>178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301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242</v>
      </c>
      <c r="G186" s="343" t="s">
        <v>160</v>
      </c>
      <c r="Q186" s="343">
        <v>20261001</v>
      </c>
      <c r="R186" s="343">
        <v>13142.12</v>
      </c>
      <c r="S186" s="343">
        <v>21</v>
      </c>
      <c r="T186" s="343">
        <v>81</v>
      </c>
      <c r="U186" s="384">
        <v>46296</v>
      </c>
      <c r="V186" s="343" t="s">
        <v>243</v>
      </c>
      <c r="W186" s="343" t="s">
        <v>178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243</v>
      </c>
      <c r="G187" s="343" t="s">
        <v>160</v>
      </c>
      <c r="Q187" s="343">
        <v>20261002</v>
      </c>
      <c r="R187" s="343">
        <v>23199.55</v>
      </c>
      <c r="S187" s="343">
        <v>12</v>
      </c>
      <c r="T187" s="343">
        <v>91</v>
      </c>
      <c r="U187" s="384">
        <v>46297</v>
      </c>
      <c r="V187" s="343" t="s">
        <v>244</v>
      </c>
      <c r="W187" s="343" t="s">
        <v>178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287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244</v>
      </c>
      <c r="G188" s="343" t="s">
        <v>160</v>
      </c>
      <c r="Q188" s="343">
        <v>20261003</v>
      </c>
      <c r="R188" s="343">
        <v>6610</v>
      </c>
      <c r="S188" s="343">
        <v>45</v>
      </c>
      <c r="T188" s="343">
        <v>67</v>
      </c>
      <c r="U188" s="384">
        <v>46298</v>
      </c>
      <c r="V188" s="343" t="s">
        <v>252</v>
      </c>
      <c r="W188" s="343" t="s">
        <v>178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293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252</v>
      </c>
      <c r="G189" s="343" t="s">
        <v>160</v>
      </c>
      <c r="Q189" s="343">
        <v>20261004</v>
      </c>
      <c r="R189" s="343">
        <v>5691</v>
      </c>
      <c r="S189" s="343">
        <v>1</v>
      </c>
      <c r="T189" s="343">
        <v>1</v>
      </c>
      <c r="U189" s="384">
        <v>46299</v>
      </c>
      <c r="V189" s="343" t="s">
        <v>253</v>
      </c>
      <c r="W189" s="343" t="s">
        <v>178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289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253</v>
      </c>
      <c r="G190" s="343" t="s">
        <v>160</v>
      </c>
      <c r="Q190" s="343">
        <v>20261006</v>
      </c>
      <c r="R190" s="343">
        <v>0</v>
      </c>
      <c r="S190" s="343">
        <v>3</v>
      </c>
      <c r="T190" s="343">
        <v>3</v>
      </c>
      <c r="U190" s="384">
        <v>46301</v>
      </c>
      <c r="V190" s="343" t="s">
        <v>241</v>
      </c>
      <c r="W190" s="343" t="s">
        <v>101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347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240</v>
      </c>
      <c r="G191" s="343" t="s">
        <v>161</v>
      </c>
      <c r="Q191" s="343">
        <v>20261007</v>
      </c>
      <c r="R191" s="343">
        <v>2916</v>
      </c>
      <c r="S191" s="343">
        <v>10</v>
      </c>
      <c r="T191" s="343">
        <v>16</v>
      </c>
      <c r="U191" s="384">
        <v>46302</v>
      </c>
      <c r="V191" s="343" t="s">
        <v>242</v>
      </c>
      <c r="W191" s="343" t="s">
        <v>101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285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241</v>
      </c>
      <c r="G192" s="343" t="s">
        <v>161</v>
      </c>
      <c r="Q192" s="343">
        <v>20261008</v>
      </c>
      <c r="R192" s="343">
        <v>7662.5</v>
      </c>
      <c r="S192" s="343">
        <v>92</v>
      </c>
      <c r="T192" s="343">
        <v>96</v>
      </c>
      <c r="U192" s="384">
        <v>46303</v>
      </c>
      <c r="V192" s="343" t="s">
        <v>243</v>
      </c>
      <c r="W192" s="343" t="s">
        <v>101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301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242</v>
      </c>
      <c r="G193" s="343" t="s">
        <v>161</v>
      </c>
      <c r="Q193" s="343">
        <v>20261009</v>
      </c>
      <c r="R193" s="343">
        <v>5445.4</v>
      </c>
      <c r="S193" s="343">
        <v>46</v>
      </c>
      <c r="T193" s="343">
        <v>68</v>
      </c>
      <c r="U193" s="384">
        <v>46304</v>
      </c>
      <c r="V193" s="343" t="s">
        <v>244</v>
      </c>
      <c r="W193" s="343" t="s">
        <v>101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243</v>
      </c>
      <c r="G194" s="343" t="s">
        <v>161</v>
      </c>
      <c r="Q194" s="343">
        <v>20261010</v>
      </c>
      <c r="R194" s="343">
        <v>5312</v>
      </c>
      <c r="S194" s="343">
        <v>3</v>
      </c>
      <c r="T194" s="343">
        <v>3</v>
      </c>
      <c r="U194" s="384">
        <v>46305</v>
      </c>
      <c r="V194" s="343" t="s">
        <v>252</v>
      </c>
      <c r="W194" s="343" t="s">
        <v>101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346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244</v>
      </c>
      <c r="G195" s="343" t="s">
        <v>161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287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252</v>
      </c>
      <c r="G196" s="343" t="s">
        <v>161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293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253</v>
      </c>
      <c r="G197" s="343" t="s">
        <v>161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289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240</v>
      </c>
      <c r="G198" s="343" t="s">
        <v>162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347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241</v>
      </c>
      <c r="G199" s="343" t="s">
        <v>162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285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242</v>
      </c>
      <c r="G200" s="343" t="s">
        <v>162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343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243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244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346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252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287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253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293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240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289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241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347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242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301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243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285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244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301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252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253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346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240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287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241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293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242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289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243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347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244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285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252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348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253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287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240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301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241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242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293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243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289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244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347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252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301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253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240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301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241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242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243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301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244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285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252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287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253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240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293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241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289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242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347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243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301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244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252</v>
      </c>
      <c r="G238" s="343" t="s">
        <v>169</v>
      </c>
      <c r="Y238" s="343" t="s">
        <v>165</v>
      </c>
      <c r="Z238" s="343" t="s">
        <v>167</v>
      </c>
      <c r="AA238" s="384">
        <v>46237</v>
      </c>
      <c r="AB238" s="384">
        <v>46243</v>
      </c>
      <c r="AC238" s="343" t="s">
        <v>349</v>
      </c>
      <c r="AD238" s="343">
        <v>1</v>
      </c>
      <c r="AE238" s="343">
        <v>364.19</v>
      </c>
      <c r="AF238" s="343">
        <v>0</v>
      </c>
      <c r="AG238" s="343">
        <v>0</v>
      </c>
      <c r="AH238" s="343">
        <v>364.19</v>
      </c>
      <c r="AI238" s="343">
        <v>23.67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253</v>
      </c>
      <c r="G239" s="343" t="s">
        <v>169</v>
      </c>
      <c r="Y239" s="343" t="s">
        <v>165</v>
      </c>
      <c r="Z239" s="343" t="s">
        <v>167</v>
      </c>
      <c r="AA239" s="384">
        <v>46237</v>
      </c>
      <c r="AB239" s="384">
        <v>46243</v>
      </c>
      <c r="AC239" s="343" t="s">
        <v>301</v>
      </c>
      <c r="AD239" s="343">
        <v>3</v>
      </c>
      <c r="AE239" s="343">
        <v>63.5</v>
      </c>
      <c r="AF239" s="343">
        <v>0</v>
      </c>
      <c r="AG239" s="343">
        <v>0</v>
      </c>
      <c r="AH239" s="343">
        <v>63.5</v>
      </c>
      <c r="AI239" s="343">
        <v>4.1399999999999997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240</v>
      </c>
      <c r="G240" s="343" t="s">
        <v>172</v>
      </c>
      <c r="Y240" s="343" t="s">
        <v>165</v>
      </c>
      <c r="Z240" s="343" t="s">
        <v>167</v>
      </c>
      <c r="AA240" s="384">
        <v>46237</v>
      </c>
      <c r="AB240" s="384">
        <v>46243</v>
      </c>
      <c r="AC240" s="343" t="s">
        <v>346</v>
      </c>
      <c r="AD240" s="343">
        <v>4</v>
      </c>
      <c r="AE240" s="343">
        <v>330</v>
      </c>
      <c r="AF240" s="343">
        <v>0</v>
      </c>
      <c r="AG240" s="343">
        <v>0</v>
      </c>
      <c r="AH240" s="343">
        <v>330</v>
      </c>
      <c r="AI240" s="343">
        <v>21.45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241</v>
      </c>
      <c r="G241" s="343" t="s">
        <v>172</v>
      </c>
      <c r="Y241" s="343" t="s">
        <v>165</v>
      </c>
      <c r="Z241" s="343" t="s">
        <v>167</v>
      </c>
      <c r="AA241" s="384">
        <v>46237</v>
      </c>
      <c r="AB241" s="384">
        <v>46243</v>
      </c>
      <c r="AC241" s="343" t="s">
        <v>348</v>
      </c>
      <c r="AD241" s="343">
        <v>1</v>
      </c>
      <c r="AE241" s="343">
        <v>68.489999999999995</v>
      </c>
      <c r="AF241" s="343">
        <v>0</v>
      </c>
      <c r="AG241" s="343">
        <v>0</v>
      </c>
      <c r="AH241" s="343">
        <v>68.489999999999995</v>
      </c>
      <c r="AI241" s="343">
        <v>4.45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242</v>
      </c>
      <c r="G242" s="343" t="s">
        <v>172</v>
      </c>
      <c r="Y242" s="343" t="s">
        <v>165</v>
      </c>
      <c r="Z242" s="343" t="s">
        <v>167</v>
      </c>
      <c r="AA242" s="384">
        <v>46237</v>
      </c>
      <c r="AB242" s="384">
        <v>46243</v>
      </c>
      <c r="AC242" s="343" t="s">
        <v>287</v>
      </c>
      <c r="AD242" s="343">
        <v>161</v>
      </c>
      <c r="AE242" s="343">
        <v>1575</v>
      </c>
      <c r="AF242" s="343">
        <v>9.5</v>
      </c>
      <c r="AG242" s="343">
        <v>0</v>
      </c>
      <c r="AH242" s="343">
        <v>1584.5</v>
      </c>
      <c r="AI242" s="343">
        <v>91.64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243</v>
      </c>
      <c r="G243" s="343" t="s">
        <v>172</v>
      </c>
      <c r="Y243" s="343" t="s">
        <v>165</v>
      </c>
      <c r="Z243" s="343" t="s">
        <v>167</v>
      </c>
      <c r="AA243" s="384">
        <v>46237</v>
      </c>
      <c r="AB243" s="384">
        <v>46243</v>
      </c>
      <c r="AC243" s="343" t="s">
        <v>293</v>
      </c>
      <c r="AD243" s="343">
        <v>5623</v>
      </c>
      <c r="AE243" s="343">
        <v>144924.19</v>
      </c>
      <c r="AF243" s="343">
        <v>2700.5</v>
      </c>
      <c r="AG243" s="343">
        <v>0</v>
      </c>
      <c r="AH243" s="343">
        <v>147624.69</v>
      </c>
      <c r="AI243" s="343">
        <v>9296.15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244</v>
      </c>
      <c r="G244" s="343" t="s">
        <v>172</v>
      </c>
      <c r="Y244" s="343" t="s">
        <v>165</v>
      </c>
      <c r="Z244" s="343" t="s">
        <v>167</v>
      </c>
      <c r="AA244" s="384">
        <v>46237</v>
      </c>
      <c r="AB244" s="384">
        <v>46243</v>
      </c>
      <c r="AC244" s="343" t="s">
        <v>289</v>
      </c>
      <c r="AD244" s="343">
        <v>2346</v>
      </c>
      <c r="AE244" s="343">
        <v>44351.49</v>
      </c>
      <c r="AF244" s="343">
        <v>628</v>
      </c>
      <c r="AG244" s="343">
        <v>0</v>
      </c>
      <c r="AH244" s="343">
        <v>44979.49</v>
      </c>
      <c r="AI244" s="343">
        <v>2878.84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252</v>
      </c>
      <c r="G245" s="343" t="s">
        <v>172</v>
      </c>
      <c r="Y245" s="343" t="s">
        <v>165</v>
      </c>
      <c r="Z245" s="343" t="s">
        <v>167</v>
      </c>
      <c r="AA245" s="384">
        <v>46237</v>
      </c>
      <c r="AB245" s="384">
        <v>46243</v>
      </c>
      <c r="AC245" s="343" t="s">
        <v>347</v>
      </c>
      <c r="AD245" s="343">
        <v>1023</v>
      </c>
      <c r="AE245" s="343">
        <v>8237.8700000000008</v>
      </c>
      <c r="AF245" s="343">
        <v>106.5</v>
      </c>
      <c r="AG245" s="343">
        <v>0</v>
      </c>
      <c r="AH245" s="343">
        <v>8344.3700000000008</v>
      </c>
      <c r="AI245" s="343">
        <v>534.22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253</v>
      </c>
      <c r="G246" s="343" t="s">
        <v>172</v>
      </c>
      <c r="Y246" s="343" t="s">
        <v>165</v>
      </c>
      <c r="Z246" s="343" t="s">
        <v>167</v>
      </c>
      <c r="AA246" s="384">
        <v>46237</v>
      </c>
      <c r="AB246" s="384">
        <v>46243</v>
      </c>
      <c r="AC246" s="343" t="s">
        <v>285</v>
      </c>
      <c r="AD246" s="343">
        <v>802</v>
      </c>
      <c r="AE246" s="343">
        <v>20041.37</v>
      </c>
      <c r="AF246" s="343">
        <v>1342</v>
      </c>
      <c r="AG246" s="343">
        <v>0</v>
      </c>
      <c r="AH246" s="343">
        <v>21383.37</v>
      </c>
      <c r="AI246" s="343">
        <v>1301.3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240</v>
      </c>
      <c r="G247" s="343" t="s">
        <v>173</v>
      </c>
      <c r="Y247" s="343" t="s">
        <v>165</v>
      </c>
      <c r="Z247" s="343" t="s">
        <v>168</v>
      </c>
      <c r="AA247" s="384">
        <v>46244</v>
      </c>
      <c r="AB247" s="384">
        <v>46250</v>
      </c>
      <c r="AC247" s="343" t="s">
        <v>106</v>
      </c>
      <c r="AD247" s="343">
        <v>6</v>
      </c>
      <c r="AE247" s="343">
        <v>877.03</v>
      </c>
      <c r="AF247" s="343">
        <v>0</v>
      </c>
      <c r="AG247" s="343">
        <v>0</v>
      </c>
      <c r="AH247" s="343">
        <v>877.03</v>
      </c>
      <c r="AI247" s="343">
        <v>0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241</v>
      </c>
      <c r="G248" s="343" t="s">
        <v>173</v>
      </c>
      <c r="Y248" s="343" t="s">
        <v>165</v>
      </c>
      <c r="Z248" s="343" t="s">
        <v>168</v>
      </c>
      <c r="AA248" s="384">
        <v>46244</v>
      </c>
      <c r="AB248" s="384">
        <v>46250</v>
      </c>
      <c r="AC248" s="343" t="s">
        <v>301</v>
      </c>
      <c r="AD248" s="343">
        <v>4</v>
      </c>
      <c r="AE248" s="343">
        <v>184</v>
      </c>
      <c r="AF248" s="343">
        <v>0</v>
      </c>
      <c r="AG248" s="343">
        <v>0</v>
      </c>
      <c r="AH248" s="343">
        <v>184</v>
      </c>
      <c r="AI248" s="343">
        <v>11.97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242</v>
      </c>
      <c r="G249" s="343" t="s">
        <v>173</v>
      </c>
      <c r="Y249" s="343" t="s">
        <v>165</v>
      </c>
      <c r="Z249" s="343" t="s">
        <v>168</v>
      </c>
      <c r="AA249" s="384">
        <v>46244</v>
      </c>
      <c r="AB249" s="384">
        <v>46250</v>
      </c>
      <c r="AC249" s="343" t="s">
        <v>348</v>
      </c>
      <c r="AD249" s="343">
        <v>2</v>
      </c>
      <c r="AE249" s="343">
        <v>734</v>
      </c>
      <c r="AF249" s="343">
        <v>0</v>
      </c>
      <c r="AG249" s="343">
        <v>0</v>
      </c>
      <c r="AH249" s="343">
        <v>734</v>
      </c>
      <c r="AI249" s="343">
        <v>47.71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243</v>
      </c>
      <c r="G250" s="343" t="s">
        <v>173</v>
      </c>
      <c r="Y250" s="343" t="s">
        <v>165</v>
      </c>
      <c r="Z250" s="343" t="s">
        <v>168</v>
      </c>
      <c r="AA250" s="384">
        <v>46244</v>
      </c>
      <c r="AB250" s="384">
        <v>46250</v>
      </c>
      <c r="AC250" s="343" t="s">
        <v>287</v>
      </c>
      <c r="AD250" s="343">
        <v>174</v>
      </c>
      <c r="AE250" s="343">
        <v>1696.16</v>
      </c>
      <c r="AF250" s="343">
        <v>19</v>
      </c>
      <c r="AG250" s="343">
        <v>0</v>
      </c>
      <c r="AH250" s="343">
        <v>1715.16</v>
      </c>
      <c r="AI250" s="343">
        <v>110.68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244</v>
      </c>
      <c r="G251" s="343" t="s">
        <v>173</v>
      </c>
      <c r="Y251" s="343" t="s">
        <v>165</v>
      </c>
      <c r="Z251" s="343" t="s">
        <v>168</v>
      </c>
      <c r="AA251" s="384">
        <v>46244</v>
      </c>
      <c r="AB251" s="384">
        <v>46250</v>
      </c>
      <c r="AC251" s="343" t="s">
        <v>293</v>
      </c>
      <c r="AD251" s="343">
        <v>6317.2</v>
      </c>
      <c r="AE251" s="343">
        <v>145428.14000000001</v>
      </c>
      <c r="AF251" s="343">
        <v>3674.39</v>
      </c>
      <c r="AG251" s="343">
        <v>0</v>
      </c>
      <c r="AH251" s="343">
        <v>149102.53</v>
      </c>
      <c r="AI251" s="343">
        <v>9460.51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252</v>
      </c>
      <c r="G252" s="343" t="s">
        <v>173</v>
      </c>
      <c r="Y252" s="343" t="s">
        <v>165</v>
      </c>
      <c r="Z252" s="343" t="s">
        <v>168</v>
      </c>
      <c r="AA252" s="384">
        <v>46244</v>
      </c>
      <c r="AB252" s="384">
        <v>46250</v>
      </c>
      <c r="AC252" s="343" t="s">
        <v>289</v>
      </c>
      <c r="AD252" s="343">
        <v>2477</v>
      </c>
      <c r="AE252" s="343">
        <v>47749.86</v>
      </c>
      <c r="AF252" s="343">
        <v>1031</v>
      </c>
      <c r="AG252" s="343">
        <v>0</v>
      </c>
      <c r="AH252" s="343">
        <v>48780.86</v>
      </c>
      <c r="AI252" s="343">
        <v>3108.95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253</v>
      </c>
      <c r="G253" s="343" t="s">
        <v>173</v>
      </c>
      <c r="Y253" s="343" t="s">
        <v>165</v>
      </c>
      <c r="Z253" s="343" t="s">
        <v>168</v>
      </c>
      <c r="AA253" s="384">
        <v>46244</v>
      </c>
      <c r="AB253" s="384">
        <v>46250</v>
      </c>
      <c r="AC253" s="343" t="s">
        <v>347</v>
      </c>
      <c r="AD253" s="343">
        <v>942</v>
      </c>
      <c r="AE253" s="343">
        <v>7584.3</v>
      </c>
      <c r="AF253" s="343">
        <v>147</v>
      </c>
      <c r="AG253" s="343">
        <v>0</v>
      </c>
      <c r="AH253" s="343">
        <v>7731.3</v>
      </c>
      <c r="AI253" s="343">
        <v>495.11</v>
      </c>
    </row>
    <row r="254" spans="1:35">
      <c r="A254" s="343">
        <v>20260907</v>
      </c>
      <c r="B254" s="343">
        <v>21072.6</v>
      </c>
      <c r="C254" s="343">
        <v>107</v>
      </c>
      <c r="D254" s="343">
        <v>245</v>
      </c>
      <c r="E254" s="384">
        <v>46272</v>
      </c>
      <c r="F254" s="343" t="s">
        <v>240</v>
      </c>
      <c r="G254" s="343" t="s">
        <v>174</v>
      </c>
      <c r="Y254" s="343" t="s">
        <v>165</v>
      </c>
      <c r="Z254" s="343" t="s">
        <v>168</v>
      </c>
      <c r="AA254" s="384">
        <v>46244</v>
      </c>
      <c r="AB254" s="384">
        <v>46250</v>
      </c>
      <c r="AC254" s="343" t="s">
        <v>346</v>
      </c>
      <c r="AD254" s="343">
        <v>1</v>
      </c>
      <c r="AE254" s="343">
        <v>38</v>
      </c>
      <c r="AF254" s="343">
        <v>4</v>
      </c>
      <c r="AG254" s="343">
        <v>0</v>
      </c>
      <c r="AH254" s="343">
        <v>42</v>
      </c>
      <c r="AI254" s="343">
        <v>2.4700000000000002</v>
      </c>
    </row>
    <row r="255" spans="1:35">
      <c r="A255" s="343">
        <v>20260908</v>
      </c>
      <c r="B255" s="343">
        <v>22917</v>
      </c>
      <c r="C255" s="343">
        <v>94</v>
      </c>
      <c r="D255" s="343">
        <v>212</v>
      </c>
      <c r="E255" s="384">
        <v>46273</v>
      </c>
      <c r="F255" s="343" t="s">
        <v>241</v>
      </c>
      <c r="G255" s="343" t="s">
        <v>174</v>
      </c>
      <c r="Y255" s="343" t="s">
        <v>165</v>
      </c>
      <c r="Z255" s="343" t="s">
        <v>168</v>
      </c>
      <c r="AA255" s="384">
        <v>46244</v>
      </c>
      <c r="AB255" s="384">
        <v>46250</v>
      </c>
      <c r="AC255" s="343" t="s">
        <v>285</v>
      </c>
      <c r="AD255" s="343">
        <v>874</v>
      </c>
      <c r="AE255" s="343">
        <v>29168.46</v>
      </c>
      <c r="AF255" s="343">
        <v>846</v>
      </c>
      <c r="AG255" s="343">
        <v>0</v>
      </c>
      <c r="AH255" s="343">
        <v>30014.46</v>
      </c>
      <c r="AI255" s="343">
        <v>1897.28</v>
      </c>
    </row>
    <row r="256" spans="1:35">
      <c r="A256" s="343">
        <v>20260909</v>
      </c>
      <c r="B256" s="343">
        <v>24193.59</v>
      </c>
      <c r="C256" s="343">
        <v>118</v>
      </c>
      <c r="D256" s="343">
        <v>251</v>
      </c>
      <c r="E256" s="384">
        <v>46274</v>
      </c>
      <c r="F256" s="343" t="s">
        <v>242</v>
      </c>
      <c r="G256" s="343" t="s">
        <v>174</v>
      </c>
      <c r="Y256" s="343" t="s">
        <v>165</v>
      </c>
      <c r="Z256" s="343" t="s">
        <v>169</v>
      </c>
      <c r="AA256" s="384">
        <v>46251</v>
      </c>
      <c r="AB256" s="384">
        <v>46257</v>
      </c>
      <c r="AC256" s="343" t="s">
        <v>106</v>
      </c>
      <c r="AD256" s="343">
        <v>7</v>
      </c>
      <c r="AE256" s="343">
        <v>745.53</v>
      </c>
      <c r="AF256" s="343">
        <v>0</v>
      </c>
      <c r="AG256" s="343">
        <v>0</v>
      </c>
      <c r="AH256" s="343">
        <v>745.53</v>
      </c>
      <c r="AI256" s="343">
        <v>0</v>
      </c>
    </row>
    <row r="257" spans="1:35">
      <c r="A257" s="343">
        <v>20260910</v>
      </c>
      <c r="B257" s="343">
        <v>26434.6</v>
      </c>
      <c r="C257" s="343">
        <v>126</v>
      </c>
      <c r="D257" s="343">
        <v>246</v>
      </c>
      <c r="E257" s="384">
        <v>46275</v>
      </c>
      <c r="F257" s="343" t="s">
        <v>243</v>
      </c>
      <c r="G257" s="343" t="s">
        <v>174</v>
      </c>
      <c r="Y257" s="343" t="s">
        <v>165</v>
      </c>
      <c r="Z257" s="343" t="s">
        <v>169</v>
      </c>
      <c r="AA257" s="384">
        <v>46251</v>
      </c>
      <c r="AB257" s="384">
        <v>46257</v>
      </c>
      <c r="AC257" s="343" t="s">
        <v>349</v>
      </c>
      <c r="AD257" s="343">
        <v>4</v>
      </c>
      <c r="AE257" s="343">
        <v>1314.54</v>
      </c>
      <c r="AF257" s="343">
        <v>0</v>
      </c>
      <c r="AG257" s="343">
        <v>0</v>
      </c>
      <c r="AH257" s="343">
        <v>1314.54</v>
      </c>
      <c r="AI257" s="343">
        <v>85.46</v>
      </c>
    </row>
    <row r="258" spans="1:35">
      <c r="A258" s="343">
        <v>20260911</v>
      </c>
      <c r="B258" s="343">
        <v>36772.5</v>
      </c>
      <c r="C258" s="343">
        <v>200</v>
      </c>
      <c r="D258" s="343">
        <v>399</v>
      </c>
      <c r="E258" s="384">
        <v>46276</v>
      </c>
      <c r="F258" s="343" t="s">
        <v>244</v>
      </c>
      <c r="G258" s="343" t="s">
        <v>174</v>
      </c>
      <c r="Y258" s="343" t="s">
        <v>165</v>
      </c>
      <c r="Z258" s="343" t="s">
        <v>169</v>
      </c>
      <c r="AA258" s="384">
        <v>46251</v>
      </c>
      <c r="AB258" s="384">
        <v>46257</v>
      </c>
      <c r="AC258" s="343" t="s">
        <v>301</v>
      </c>
      <c r="AD258" s="343">
        <v>16</v>
      </c>
      <c r="AE258" s="343">
        <v>423</v>
      </c>
      <c r="AF258" s="343">
        <v>0</v>
      </c>
      <c r="AG258" s="343">
        <v>0</v>
      </c>
      <c r="AH258" s="343">
        <v>423</v>
      </c>
      <c r="AI258" s="343">
        <v>27.52</v>
      </c>
    </row>
    <row r="259" spans="1:35">
      <c r="A259" s="343">
        <v>20260912</v>
      </c>
      <c r="B259" s="343">
        <v>42010.48</v>
      </c>
      <c r="C259" s="343">
        <v>236</v>
      </c>
      <c r="D259" s="343">
        <v>461</v>
      </c>
      <c r="E259" s="384">
        <v>46277</v>
      </c>
      <c r="F259" s="343" t="s">
        <v>252</v>
      </c>
      <c r="G259" s="343" t="s">
        <v>174</v>
      </c>
      <c r="Y259" s="343" t="s">
        <v>165</v>
      </c>
      <c r="Z259" s="343" t="s">
        <v>169</v>
      </c>
      <c r="AA259" s="384">
        <v>46251</v>
      </c>
      <c r="AB259" s="384">
        <v>46257</v>
      </c>
      <c r="AC259" s="343" t="s">
        <v>346</v>
      </c>
      <c r="AD259" s="343">
        <v>1</v>
      </c>
      <c r="AE259" s="343">
        <v>10</v>
      </c>
      <c r="AF259" s="343">
        <v>0</v>
      </c>
      <c r="AG259" s="343">
        <v>0</v>
      </c>
      <c r="AH259" s="343">
        <v>10</v>
      </c>
      <c r="AI259" s="343">
        <v>0.65</v>
      </c>
    </row>
    <row r="260" spans="1:35">
      <c r="A260" s="343">
        <v>20260913</v>
      </c>
      <c r="B260" s="343">
        <v>19503</v>
      </c>
      <c r="C260" s="343">
        <v>112</v>
      </c>
      <c r="D260" s="343">
        <v>233</v>
      </c>
      <c r="E260" s="384">
        <v>46278</v>
      </c>
      <c r="F260" s="343" t="s">
        <v>253</v>
      </c>
      <c r="G260" s="343" t="s">
        <v>174</v>
      </c>
      <c r="Y260" s="343" t="s">
        <v>165</v>
      </c>
      <c r="Z260" s="343" t="s">
        <v>169</v>
      </c>
      <c r="AA260" s="384">
        <v>46251</v>
      </c>
      <c r="AB260" s="384">
        <v>46257</v>
      </c>
      <c r="AC260" s="343" t="s">
        <v>287</v>
      </c>
      <c r="AD260" s="343">
        <v>227</v>
      </c>
      <c r="AE260" s="343">
        <v>2254.5</v>
      </c>
      <c r="AF260" s="343">
        <v>28.5</v>
      </c>
      <c r="AG260" s="343">
        <v>0</v>
      </c>
      <c r="AH260" s="343">
        <v>2283</v>
      </c>
      <c r="AI260" s="343">
        <v>147.12</v>
      </c>
    </row>
    <row r="261" spans="1:35">
      <c r="A261" s="343">
        <v>20260914</v>
      </c>
      <c r="B261" s="343">
        <v>13876.98</v>
      </c>
      <c r="C261" s="343">
        <v>58</v>
      </c>
      <c r="D261" s="343">
        <v>141</v>
      </c>
      <c r="E261" s="384">
        <v>46279</v>
      </c>
      <c r="F261" s="343" t="s">
        <v>240</v>
      </c>
      <c r="G261" s="343" t="s">
        <v>175</v>
      </c>
      <c r="Y261" s="343" t="s">
        <v>165</v>
      </c>
      <c r="Z261" s="343" t="s">
        <v>169</v>
      </c>
      <c r="AA261" s="384">
        <v>46251</v>
      </c>
      <c r="AB261" s="384">
        <v>46257</v>
      </c>
      <c r="AC261" s="343" t="s">
        <v>293</v>
      </c>
      <c r="AD261" s="343">
        <v>7398</v>
      </c>
      <c r="AE261" s="343">
        <v>169003.3</v>
      </c>
      <c r="AF261" s="343">
        <v>4114</v>
      </c>
      <c r="AG261" s="343">
        <v>0</v>
      </c>
      <c r="AH261" s="343">
        <v>173117.3</v>
      </c>
      <c r="AI261" s="343">
        <v>10993.61</v>
      </c>
    </row>
    <row r="262" spans="1:35">
      <c r="A262" s="343">
        <v>20260915</v>
      </c>
      <c r="B262" s="343">
        <v>26680.28</v>
      </c>
      <c r="C262" s="343">
        <v>96</v>
      </c>
      <c r="D262" s="343">
        <v>230</v>
      </c>
      <c r="E262" s="384">
        <v>46280</v>
      </c>
      <c r="F262" s="343" t="s">
        <v>241</v>
      </c>
      <c r="G262" s="343" t="s">
        <v>175</v>
      </c>
      <c r="Y262" s="343" t="s">
        <v>165</v>
      </c>
      <c r="Z262" s="343" t="s">
        <v>169</v>
      </c>
      <c r="AA262" s="384">
        <v>46251</v>
      </c>
      <c r="AB262" s="384">
        <v>46257</v>
      </c>
      <c r="AC262" s="343" t="s">
        <v>289</v>
      </c>
      <c r="AD262" s="343">
        <v>2754</v>
      </c>
      <c r="AE262" s="343">
        <v>52579.18</v>
      </c>
      <c r="AF262" s="343">
        <v>705</v>
      </c>
      <c r="AG262" s="343">
        <v>0</v>
      </c>
      <c r="AH262" s="343">
        <v>53284.18</v>
      </c>
      <c r="AI262" s="343">
        <v>3423.39</v>
      </c>
    </row>
    <row r="263" spans="1:35">
      <c r="A263" s="343">
        <v>20260916</v>
      </c>
      <c r="B263" s="343">
        <v>22207</v>
      </c>
      <c r="C263" s="343">
        <v>124</v>
      </c>
      <c r="D263" s="343">
        <v>234</v>
      </c>
      <c r="E263" s="384">
        <v>46281</v>
      </c>
      <c r="F263" s="343" t="s">
        <v>242</v>
      </c>
      <c r="G263" s="343" t="s">
        <v>175</v>
      </c>
      <c r="Y263" s="343" t="s">
        <v>165</v>
      </c>
      <c r="Z263" s="343" t="s">
        <v>169</v>
      </c>
      <c r="AA263" s="384">
        <v>46251</v>
      </c>
      <c r="AB263" s="384">
        <v>46257</v>
      </c>
      <c r="AC263" s="343" t="s">
        <v>347</v>
      </c>
      <c r="AD263" s="343">
        <v>1066</v>
      </c>
      <c r="AE263" s="343">
        <v>8678.7199999999993</v>
      </c>
      <c r="AF263" s="343">
        <v>201</v>
      </c>
      <c r="AG263" s="343">
        <v>0</v>
      </c>
      <c r="AH263" s="343">
        <v>8879.7199999999993</v>
      </c>
      <c r="AI263" s="343">
        <v>566.36</v>
      </c>
    </row>
    <row r="264" spans="1:35">
      <c r="A264" s="343">
        <v>20260917</v>
      </c>
      <c r="B264" s="343">
        <v>24362</v>
      </c>
      <c r="C264" s="343">
        <v>117</v>
      </c>
      <c r="D264" s="343">
        <v>227</v>
      </c>
      <c r="E264" s="384">
        <v>46282</v>
      </c>
      <c r="F264" s="343" t="s">
        <v>243</v>
      </c>
      <c r="G264" s="343" t="s">
        <v>175</v>
      </c>
      <c r="Y264" s="343" t="s">
        <v>165</v>
      </c>
      <c r="Z264" s="343" t="s">
        <v>169</v>
      </c>
      <c r="AA264" s="384">
        <v>46251</v>
      </c>
      <c r="AB264" s="384">
        <v>46257</v>
      </c>
      <c r="AC264" s="343" t="s">
        <v>285</v>
      </c>
      <c r="AD264" s="343">
        <v>975</v>
      </c>
      <c r="AE264" s="343">
        <v>28377</v>
      </c>
      <c r="AF264" s="343">
        <v>904</v>
      </c>
      <c r="AG264" s="343">
        <v>0</v>
      </c>
      <c r="AH264" s="343">
        <v>29281</v>
      </c>
      <c r="AI264" s="343">
        <v>1846.02</v>
      </c>
    </row>
    <row r="265" spans="1:35">
      <c r="A265" s="343">
        <v>20260918</v>
      </c>
      <c r="B265" s="343">
        <v>39318.5</v>
      </c>
      <c r="C265" s="343">
        <v>199</v>
      </c>
      <c r="D265" s="343">
        <v>416</v>
      </c>
      <c r="E265" s="384">
        <v>46283</v>
      </c>
      <c r="F265" s="343" t="s">
        <v>244</v>
      </c>
      <c r="G265" s="343" t="s">
        <v>175</v>
      </c>
      <c r="Y265" s="343" t="s">
        <v>171</v>
      </c>
      <c r="Z265" s="343" t="s">
        <v>172</v>
      </c>
      <c r="AA265" s="384">
        <v>46258</v>
      </c>
      <c r="AB265" s="384">
        <v>46264</v>
      </c>
      <c r="AC265" s="343" t="s">
        <v>106</v>
      </c>
      <c r="AD265" s="343">
        <v>5</v>
      </c>
      <c r="AE265" s="343">
        <v>548.70000000000005</v>
      </c>
      <c r="AF265" s="343">
        <v>0</v>
      </c>
      <c r="AG265" s="343">
        <v>0</v>
      </c>
      <c r="AH265" s="343">
        <v>548.70000000000005</v>
      </c>
      <c r="AI265" s="343">
        <v>0</v>
      </c>
    </row>
    <row r="266" spans="1:35">
      <c r="A266" s="343">
        <v>20260919</v>
      </c>
      <c r="B266" s="343">
        <v>41585</v>
      </c>
      <c r="C266" s="343">
        <v>220</v>
      </c>
      <c r="D266" s="343">
        <v>460</v>
      </c>
      <c r="E266" s="384">
        <v>46284</v>
      </c>
      <c r="F266" s="343" t="s">
        <v>252</v>
      </c>
      <c r="G266" s="343" t="s">
        <v>175</v>
      </c>
      <c r="Y266" s="343" t="s">
        <v>171</v>
      </c>
      <c r="Z266" s="343" t="s">
        <v>172</v>
      </c>
      <c r="AA266" s="384">
        <v>46258</v>
      </c>
      <c r="AB266" s="384">
        <v>46264</v>
      </c>
      <c r="AC266" s="343" t="s">
        <v>287</v>
      </c>
      <c r="AD266" s="343">
        <v>161</v>
      </c>
      <c r="AE266" s="343">
        <v>1601</v>
      </c>
      <c r="AF266" s="343">
        <v>0</v>
      </c>
      <c r="AG266" s="343">
        <v>0</v>
      </c>
      <c r="AH266" s="343">
        <v>1601</v>
      </c>
      <c r="AI266" s="343">
        <v>104.49</v>
      </c>
    </row>
    <row r="267" spans="1:35">
      <c r="A267" s="343">
        <v>20260920</v>
      </c>
      <c r="B267" s="343">
        <v>25368.5</v>
      </c>
      <c r="C267" s="343">
        <v>121</v>
      </c>
      <c r="D267" s="343">
        <v>276</v>
      </c>
      <c r="E267" s="384">
        <v>46285</v>
      </c>
      <c r="F267" s="343" t="s">
        <v>253</v>
      </c>
      <c r="G267" s="343" t="s">
        <v>175</v>
      </c>
      <c r="Y267" s="343" t="s">
        <v>171</v>
      </c>
      <c r="Z267" s="343" t="s">
        <v>172</v>
      </c>
      <c r="AA267" s="384">
        <v>46258</v>
      </c>
      <c r="AB267" s="384">
        <v>46264</v>
      </c>
      <c r="AC267" s="343" t="s">
        <v>301</v>
      </c>
      <c r="AD267" s="343">
        <v>10</v>
      </c>
      <c r="AE267" s="343">
        <v>224</v>
      </c>
      <c r="AF267" s="343">
        <v>0</v>
      </c>
      <c r="AG267" s="343">
        <v>0</v>
      </c>
      <c r="AH267" s="343">
        <v>224</v>
      </c>
      <c r="AI267" s="343">
        <v>14.58</v>
      </c>
    </row>
    <row r="268" spans="1:35">
      <c r="A268" s="343">
        <v>20260921</v>
      </c>
      <c r="B268" s="343">
        <v>18789</v>
      </c>
      <c r="C268" s="343">
        <v>100</v>
      </c>
      <c r="D268" s="343">
        <v>199</v>
      </c>
      <c r="E268" s="384">
        <v>46286</v>
      </c>
      <c r="F268" s="343" t="s">
        <v>240</v>
      </c>
      <c r="G268" s="343" t="s">
        <v>176</v>
      </c>
      <c r="Y268" s="343" t="s">
        <v>171</v>
      </c>
      <c r="Z268" s="343" t="s">
        <v>172</v>
      </c>
      <c r="AA268" s="384">
        <v>46258</v>
      </c>
      <c r="AB268" s="384">
        <v>46264</v>
      </c>
      <c r="AC268" s="343" t="s">
        <v>346</v>
      </c>
      <c r="AD268" s="343">
        <v>4</v>
      </c>
      <c r="AE268" s="343">
        <v>626</v>
      </c>
      <c r="AF268" s="343">
        <v>0</v>
      </c>
      <c r="AG268" s="343">
        <v>0</v>
      </c>
      <c r="AH268" s="343">
        <v>626</v>
      </c>
      <c r="AI268" s="343">
        <v>40.69</v>
      </c>
    </row>
    <row r="269" spans="1:35">
      <c r="A269" s="343">
        <v>20260922</v>
      </c>
      <c r="B269" s="343">
        <v>21324.17</v>
      </c>
      <c r="C269" s="343">
        <v>103</v>
      </c>
      <c r="D269" s="343">
        <v>220</v>
      </c>
      <c r="E269" s="384">
        <v>46287</v>
      </c>
      <c r="F269" s="343" t="s">
        <v>241</v>
      </c>
      <c r="G269" s="343" t="s">
        <v>176</v>
      </c>
      <c r="Y269" s="343" t="s">
        <v>171</v>
      </c>
      <c r="Z269" s="343" t="s">
        <v>172</v>
      </c>
      <c r="AA269" s="384">
        <v>46258</v>
      </c>
      <c r="AB269" s="384">
        <v>46264</v>
      </c>
      <c r="AC269" s="343" t="s">
        <v>293</v>
      </c>
      <c r="AD269" s="343">
        <v>7227</v>
      </c>
      <c r="AE269" s="343">
        <v>160096.69</v>
      </c>
      <c r="AF269" s="343">
        <v>2979.03</v>
      </c>
      <c r="AG269" s="343">
        <v>0</v>
      </c>
      <c r="AH269" s="343">
        <v>163075.72</v>
      </c>
      <c r="AI269" s="343">
        <v>10414.31</v>
      </c>
    </row>
    <row r="270" spans="1:35">
      <c r="A270" s="343">
        <v>20260923</v>
      </c>
      <c r="B270" s="343">
        <v>28202.58</v>
      </c>
      <c r="C270" s="343">
        <v>135</v>
      </c>
      <c r="D270" s="343">
        <v>267</v>
      </c>
      <c r="E270" s="384">
        <v>46288</v>
      </c>
      <c r="F270" s="343" t="s">
        <v>242</v>
      </c>
      <c r="G270" s="343" t="s">
        <v>176</v>
      </c>
      <c r="Y270" s="343" t="s">
        <v>171</v>
      </c>
      <c r="Z270" s="343" t="s">
        <v>172</v>
      </c>
      <c r="AA270" s="384">
        <v>46258</v>
      </c>
      <c r="AB270" s="384">
        <v>46264</v>
      </c>
      <c r="AC270" s="343" t="s">
        <v>289</v>
      </c>
      <c r="AD270" s="343">
        <v>2720</v>
      </c>
      <c r="AE270" s="343">
        <v>51000.74</v>
      </c>
      <c r="AF270" s="343">
        <v>609</v>
      </c>
      <c r="AG270" s="343">
        <v>0</v>
      </c>
      <c r="AH270" s="343">
        <v>51609.74</v>
      </c>
      <c r="AI270" s="343">
        <v>3321.5</v>
      </c>
    </row>
    <row r="271" spans="1:35">
      <c r="A271" s="343">
        <v>20260924</v>
      </c>
      <c r="B271" s="343">
        <v>26578</v>
      </c>
      <c r="C271" s="343">
        <v>149</v>
      </c>
      <c r="D271" s="343">
        <v>274</v>
      </c>
      <c r="E271" s="384">
        <v>46289</v>
      </c>
      <c r="F271" s="343" t="s">
        <v>243</v>
      </c>
      <c r="G271" s="343" t="s">
        <v>176</v>
      </c>
      <c r="Y271" s="343" t="s">
        <v>171</v>
      </c>
      <c r="Z271" s="343" t="s">
        <v>172</v>
      </c>
      <c r="AA271" s="384">
        <v>46258</v>
      </c>
      <c r="AB271" s="384">
        <v>46264</v>
      </c>
      <c r="AC271" s="343" t="s">
        <v>347</v>
      </c>
      <c r="AD271" s="343">
        <v>977</v>
      </c>
      <c r="AE271" s="343">
        <v>7718.45</v>
      </c>
      <c r="AF271" s="343">
        <v>200</v>
      </c>
      <c r="AG271" s="343">
        <v>0</v>
      </c>
      <c r="AH271" s="343">
        <v>7918.45</v>
      </c>
      <c r="AI271" s="343">
        <v>503.74</v>
      </c>
    </row>
    <row r="272" spans="1:35">
      <c r="A272" s="343">
        <v>20260925</v>
      </c>
      <c r="B272" s="343">
        <v>39559.5</v>
      </c>
      <c r="C272" s="343">
        <v>217</v>
      </c>
      <c r="D272" s="343">
        <v>422</v>
      </c>
      <c r="E272" s="384">
        <v>46290</v>
      </c>
      <c r="F272" s="343" t="s">
        <v>244</v>
      </c>
      <c r="G272" s="343" t="s">
        <v>176</v>
      </c>
      <c r="Y272" s="343" t="s">
        <v>171</v>
      </c>
      <c r="Z272" s="343" t="s">
        <v>172</v>
      </c>
      <c r="AA272" s="384">
        <v>46258</v>
      </c>
      <c r="AB272" s="384">
        <v>46264</v>
      </c>
      <c r="AC272" s="343" t="s">
        <v>285</v>
      </c>
      <c r="AD272" s="343">
        <v>898</v>
      </c>
      <c r="AE272" s="343">
        <v>24138.400000000001</v>
      </c>
      <c r="AF272" s="343">
        <v>738</v>
      </c>
      <c r="AG272" s="343">
        <v>0</v>
      </c>
      <c r="AH272" s="343">
        <v>24876.400000000001</v>
      </c>
      <c r="AI272" s="343">
        <v>1569.92</v>
      </c>
    </row>
    <row r="273" spans="1:35">
      <c r="A273" s="343">
        <v>20260926</v>
      </c>
      <c r="B273" s="343">
        <v>42082.5</v>
      </c>
      <c r="C273" s="343">
        <v>223</v>
      </c>
      <c r="D273" s="343">
        <v>453</v>
      </c>
      <c r="E273" s="384">
        <v>46291</v>
      </c>
      <c r="F273" s="343" t="s">
        <v>252</v>
      </c>
      <c r="G273" s="343" t="s">
        <v>176</v>
      </c>
      <c r="Y273" s="343" t="s">
        <v>171</v>
      </c>
      <c r="Z273" s="343" t="s">
        <v>173</v>
      </c>
      <c r="AA273" s="384">
        <v>46265</v>
      </c>
      <c r="AB273" s="384">
        <v>46271</v>
      </c>
      <c r="AC273" s="343" t="s">
        <v>106</v>
      </c>
      <c r="AD273" s="343">
        <v>6</v>
      </c>
      <c r="AE273" s="343">
        <v>429.37</v>
      </c>
      <c r="AF273" s="343">
        <v>0</v>
      </c>
      <c r="AG273" s="343">
        <v>0</v>
      </c>
      <c r="AH273" s="343">
        <v>429.37</v>
      </c>
      <c r="AI273" s="343">
        <v>0</v>
      </c>
    </row>
    <row r="274" spans="1:35">
      <c r="A274" s="343">
        <v>20260927</v>
      </c>
      <c r="B274" s="343">
        <v>24625</v>
      </c>
      <c r="C274" s="343">
        <v>132</v>
      </c>
      <c r="D274" s="343">
        <v>288</v>
      </c>
      <c r="E274" s="384">
        <v>46292</v>
      </c>
      <c r="F274" s="343" t="s">
        <v>253</v>
      </c>
      <c r="G274" s="343" t="s">
        <v>176</v>
      </c>
      <c r="Y274" s="343" t="s">
        <v>171</v>
      </c>
      <c r="Z274" s="343" t="s">
        <v>173</v>
      </c>
      <c r="AA274" s="384">
        <v>46265</v>
      </c>
      <c r="AB274" s="384">
        <v>46271</v>
      </c>
      <c r="AC274" s="343" t="s">
        <v>301</v>
      </c>
      <c r="AD274" s="343">
        <v>6</v>
      </c>
      <c r="AE274" s="343">
        <v>225</v>
      </c>
      <c r="AF274" s="343">
        <v>0</v>
      </c>
      <c r="AG274" s="343">
        <v>0</v>
      </c>
      <c r="AH274" s="343">
        <v>225</v>
      </c>
      <c r="AI274" s="343">
        <v>14.63</v>
      </c>
    </row>
    <row r="275" spans="1:35">
      <c r="A275" s="343">
        <v>20260928</v>
      </c>
      <c r="B275" s="343">
        <v>17910</v>
      </c>
      <c r="C275" s="343">
        <v>86</v>
      </c>
      <c r="D275" s="343">
        <v>188</v>
      </c>
      <c r="E275" s="384">
        <v>46293</v>
      </c>
      <c r="F275" s="343" t="s">
        <v>240</v>
      </c>
      <c r="G275" s="343" t="s">
        <v>178</v>
      </c>
      <c r="Y275" s="343" t="s">
        <v>171</v>
      </c>
      <c r="Z275" s="343" t="s">
        <v>173</v>
      </c>
      <c r="AA275" s="384">
        <v>46265</v>
      </c>
      <c r="AB275" s="384">
        <v>46271</v>
      </c>
      <c r="AC275" s="343" t="s">
        <v>346</v>
      </c>
      <c r="AD275" s="343">
        <v>3</v>
      </c>
      <c r="AE275" s="343">
        <v>369</v>
      </c>
      <c r="AF275" s="343">
        <v>0</v>
      </c>
      <c r="AG275" s="343">
        <v>0</v>
      </c>
      <c r="AH275" s="343">
        <v>369</v>
      </c>
      <c r="AI275" s="343">
        <v>23.99</v>
      </c>
    </row>
    <row r="276" spans="1:35">
      <c r="A276" s="343">
        <v>20260929</v>
      </c>
      <c r="B276" s="343">
        <v>20685.400000000001</v>
      </c>
      <c r="C276" s="343">
        <v>106</v>
      </c>
      <c r="D276" s="343">
        <v>206</v>
      </c>
      <c r="E276" s="384">
        <v>46294</v>
      </c>
      <c r="F276" s="343" t="s">
        <v>241</v>
      </c>
      <c r="G276" s="343" t="s">
        <v>178</v>
      </c>
      <c r="Y276" s="343" t="s">
        <v>171</v>
      </c>
      <c r="Z276" s="343" t="s">
        <v>173</v>
      </c>
      <c r="AA276" s="384">
        <v>46265</v>
      </c>
      <c r="AB276" s="384">
        <v>46271</v>
      </c>
      <c r="AC276" s="343" t="s">
        <v>348</v>
      </c>
      <c r="AD276" s="343">
        <v>2</v>
      </c>
      <c r="AE276" s="343">
        <v>283.79000000000002</v>
      </c>
      <c r="AF276" s="343">
        <v>0</v>
      </c>
      <c r="AG276" s="343">
        <v>0</v>
      </c>
      <c r="AH276" s="343">
        <v>283.79000000000002</v>
      </c>
      <c r="AI276" s="343">
        <v>18.45</v>
      </c>
    </row>
    <row r="277" spans="1:35">
      <c r="A277" s="343">
        <v>20260930</v>
      </c>
      <c r="B277" s="343">
        <v>26896.51</v>
      </c>
      <c r="C277" s="343">
        <v>141</v>
      </c>
      <c r="D277" s="343">
        <v>283</v>
      </c>
      <c r="E277" s="384">
        <v>46295</v>
      </c>
      <c r="F277" s="343" t="s">
        <v>242</v>
      </c>
      <c r="G277" s="343" t="s">
        <v>178</v>
      </c>
      <c r="Y277" s="343" t="s">
        <v>171</v>
      </c>
      <c r="Z277" s="343" t="s">
        <v>173</v>
      </c>
      <c r="AA277" s="384">
        <v>46265</v>
      </c>
      <c r="AB277" s="384">
        <v>46271</v>
      </c>
      <c r="AC277" s="343" t="s">
        <v>287</v>
      </c>
      <c r="AD277" s="343">
        <v>184</v>
      </c>
      <c r="AE277" s="343">
        <v>1762.5</v>
      </c>
      <c r="AF277" s="343">
        <v>57</v>
      </c>
      <c r="AG277" s="343">
        <v>0</v>
      </c>
      <c r="AH277" s="343">
        <v>1819.5</v>
      </c>
      <c r="AI277" s="343">
        <v>115.01</v>
      </c>
    </row>
    <row r="278" spans="1:35">
      <c r="A278" s="343">
        <v>20261001</v>
      </c>
      <c r="B278" s="343">
        <v>23441.88</v>
      </c>
      <c r="C278" s="343">
        <v>112</v>
      </c>
      <c r="D278" s="343">
        <v>217</v>
      </c>
      <c r="E278" s="384">
        <v>46296</v>
      </c>
      <c r="F278" s="343" t="s">
        <v>243</v>
      </c>
      <c r="G278" s="343" t="s">
        <v>178</v>
      </c>
      <c r="Y278" s="343" t="s">
        <v>171</v>
      </c>
      <c r="Z278" s="343" t="s">
        <v>173</v>
      </c>
      <c r="AA278" s="384">
        <v>46265</v>
      </c>
      <c r="AB278" s="384">
        <v>46271</v>
      </c>
      <c r="AC278" s="343" t="s">
        <v>293</v>
      </c>
      <c r="AD278" s="343">
        <v>7420</v>
      </c>
      <c r="AE278" s="343">
        <v>160503.15</v>
      </c>
      <c r="AF278" s="343">
        <v>3467.75</v>
      </c>
      <c r="AG278" s="343">
        <v>0</v>
      </c>
      <c r="AH278" s="343">
        <v>163970.9</v>
      </c>
      <c r="AI278" s="343">
        <v>10440.629999999999</v>
      </c>
    </row>
    <row r="279" spans="1:35">
      <c r="A279" s="343">
        <v>20261002</v>
      </c>
      <c r="B279" s="343">
        <v>30044.400000000001</v>
      </c>
      <c r="C279" s="343">
        <v>162</v>
      </c>
      <c r="D279" s="343">
        <v>319</v>
      </c>
      <c r="E279" s="384">
        <v>46297</v>
      </c>
      <c r="F279" s="343" t="s">
        <v>244</v>
      </c>
      <c r="G279" s="343" t="s">
        <v>178</v>
      </c>
      <c r="Y279" s="343" t="s">
        <v>171</v>
      </c>
      <c r="Z279" s="343" t="s">
        <v>173</v>
      </c>
      <c r="AA279" s="384">
        <v>46265</v>
      </c>
      <c r="AB279" s="384">
        <v>46271</v>
      </c>
      <c r="AC279" s="343" t="s">
        <v>289</v>
      </c>
      <c r="AD279" s="343">
        <v>2588</v>
      </c>
      <c r="AE279" s="343">
        <v>50240</v>
      </c>
      <c r="AF279" s="343">
        <v>763</v>
      </c>
      <c r="AG279" s="343">
        <v>0</v>
      </c>
      <c r="AH279" s="343">
        <v>51003</v>
      </c>
      <c r="AI279" s="343">
        <v>3272.15</v>
      </c>
    </row>
    <row r="280" spans="1:35">
      <c r="A280" s="343">
        <v>20261003</v>
      </c>
      <c r="B280" s="343">
        <v>38149.5</v>
      </c>
      <c r="C280" s="343">
        <v>200</v>
      </c>
      <c r="D280" s="343">
        <v>402</v>
      </c>
      <c r="E280" s="384">
        <v>46298</v>
      </c>
      <c r="F280" s="343" t="s">
        <v>252</v>
      </c>
      <c r="G280" s="343" t="s">
        <v>178</v>
      </c>
      <c r="Y280" s="343" t="s">
        <v>171</v>
      </c>
      <c r="Z280" s="343" t="s">
        <v>173</v>
      </c>
      <c r="AA280" s="384">
        <v>46265</v>
      </c>
      <c r="AB280" s="384">
        <v>46271</v>
      </c>
      <c r="AC280" s="343" t="s">
        <v>347</v>
      </c>
      <c r="AD280" s="343">
        <v>898</v>
      </c>
      <c r="AE280" s="343">
        <v>7160</v>
      </c>
      <c r="AF280" s="343">
        <v>159</v>
      </c>
      <c r="AG280" s="343">
        <v>0</v>
      </c>
      <c r="AH280" s="343">
        <v>7319</v>
      </c>
      <c r="AI280" s="343">
        <v>467.27</v>
      </c>
    </row>
    <row r="281" spans="1:35">
      <c r="A281" s="343">
        <v>20261004</v>
      </c>
      <c r="B281" s="343">
        <v>18648</v>
      </c>
      <c r="C281" s="343">
        <v>95</v>
      </c>
      <c r="D281" s="343">
        <v>199</v>
      </c>
      <c r="E281" s="384">
        <v>46299</v>
      </c>
      <c r="F281" s="343" t="s">
        <v>253</v>
      </c>
      <c r="G281" s="343" t="s">
        <v>178</v>
      </c>
      <c r="Y281" s="343" t="s">
        <v>171</v>
      </c>
      <c r="Z281" s="343" t="s">
        <v>173</v>
      </c>
      <c r="AA281" s="384">
        <v>46265</v>
      </c>
      <c r="AB281" s="384">
        <v>46271</v>
      </c>
      <c r="AC281" s="343" t="s">
        <v>285</v>
      </c>
      <c r="AD281" s="343">
        <v>856</v>
      </c>
      <c r="AE281" s="343">
        <v>24517.119999999999</v>
      </c>
      <c r="AF281" s="343">
        <v>649</v>
      </c>
      <c r="AG281" s="343">
        <v>0</v>
      </c>
      <c r="AH281" s="343">
        <v>25166.12</v>
      </c>
      <c r="AI281" s="343">
        <v>1594.71</v>
      </c>
    </row>
    <row r="282" spans="1:35">
      <c r="A282" s="343">
        <v>20261005</v>
      </c>
      <c r="B282" s="343">
        <v>21000</v>
      </c>
      <c r="C282" s="343">
        <v>6</v>
      </c>
      <c r="D282" s="343">
        <v>26</v>
      </c>
      <c r="E282" s="384">
        <v>46300</v>
      </c>
      <c r="F282" s="343" t="s">
        <v>240</v>
      </c>
      <c r="G282" s="343" t="s">
        <v>101</v>
      </c>
      <c r="Y282" s="343" t="s">
        <v>171</v>
      </c>
      <c r="Z282" s="343" t="s">
        <v>174</v>
      </c>
      <c r="AA282" s="384">
        <v>46272</v>
      </c>
      <c r="AB282" s="384">
        <v>46278</v>
      </c>
      <c r="AC282" s="343" t="s">
        <v>106</v>
      </c>
      <c r="AD282" s="343">
        <v>9</v>
      </c>
      <c r="AE282" s="343">
        <v>884.29</v>
      </c>
      <c r="AF282" s="343">
        <v>0</v>
      </c>
      <c r="AG282" s="343">
        <v>0</v>
      </c>
      <c r="AH282" s="343">
        <v>884.29</v>
      </c>
      <c r="AI282" s="343">
        <v>0</v>
      </c>
    </row>
    <row r="283" spans="1:35">
      <c r="A283" s="343">
        <v>20261006</v>
      </c>
      <c r="B283" s="343">
        <v>18253.7</v>
      </c>
      <c r="C283" s="343">
        <v>68</v>
      </c>
      <c r="D283" s="343">
        <v>161</v>
      </c>
      <c r="E283" s="384">
        <v>46301</v>
      </c>
      <c r="F283" s="343" t="s">
        <v>241</v>
      </c>
      <c r="G283" s="343" t="s">
        <v>101</v>
      </c>
      <c r="Y283" s="343" t="s">
        <v>171</v>
      </c>
      <c r="Z283" s="343" t="s">
        <v>174</v>
      </c>
      <c r="AA283" s="384">
        <v>46272</v>
      </c>
      <c r="AB283" s="384">
        <v>46278</v>
      </c>
      <c r="AC283" s="343" t="s">
        <v>301</v>
      </c>
      <c r="AD283" s="343">
        <v>12</v>
      </c>
      <c r="AE283" s="343">
        <v>266.5</v>
      </c>
      <c r="AF283" s="343">
        <v>0</v>
      </c>
      <c r="AG283" s="343">
        <v>0</v>
      </c>
      <c r="AH283" s="343">
        <v>266.5</v>
      </c>
      <c r="AI283" s="343">
        <v>17.36</v>
      </c>
    </row>
    <row r="284" spans="1:35">
      <c r="A284" s="343">
        <v>20261007</v>
      </c>
      <c r="B284" s="343">
        <v>12199</v>
      </c>
      <c r="C284" s="343">
        <v>58</v>
      </c>
      <c r="D284" s="343">
        <v>113</v>
      </c>
      <c r="E284" s="384">
        <v>46302</v>
      </c>
      <c r="F284" s="343" t="s">
        <v>242</v>
      </c>
      <c r="G284" s="343" t="s">
        <v>101</v>
      </c>
      <c r="Y284" s="343" t="s">
        <v>171</v>
      </c>
      <c r="Z284" s="343" t="s">
        <v>174</v>
      </c>
      <c r="AA284" s="384">
        <v>46272</v>
      </c>
      <c r="AB284" s="384">
        <v>46278</v>
      </c>
      <c r="AC284" s="343" t="s">
        <v>348</v>
      </c>
      <c r="AD284" s="343">
        <v>1</v>
      </c>
      <c r="AE284" s="343">
        <v>495.5</v>
      </c>
      <c r="AF284" s="343">
        <v>0</v>
      </c>
      <c r="AG284" s="343">
        <v>0</v>
      </c>
      <c r="AH284" s="343">
        <v>495.5</v>
      </c>
      <c r="AI284" s="343">
        <v>32.21</v>
      </c>
    </row>
    <row r="285" spans="1:35">
      <c r="A285" s="343">
        <v>20261008</v>
      </c>
      <c r="B285" s="343">
        <v>22456.43</v>
      </c>
      <c r="C285" s="343">
        <v>120</v>
      </c>
      <c r="D285" s="343">
        <v>223</v>
      </c>
      <c r="E285" s="384">
        <v>46303</v>
      </c>
      <c r="F285" s="343" t="s">
        <v>243</v>
      </c>
      <c r="G285" s="343" t="s">
        <v>101</v>
      </c>
      <c r="Y285" s="343" t="s">
        <v>171</v>
      </c>
      <c r="Z285" s="343" t="s">
        <v>174</v>
      </c>
      <c r="AA285" s="384">
        <v>46272</v>
      </c>
      <c r="AB285" s="384">
        <v>46278</v>
      </c>
      <c r="AC285" s="343" t="s">
        <v>287</v>
      </c>
      <c r="AD285" s="343">
        <v>151</v>
      </c>
      <c r="AE285" s="343">
        <v>1468.4</v>
      </c>
      <c r="AF285" s="343">
        <v>19</v>
      </c>
      <c r="AG285" s="343">
        <v>0</v>
      </c>
      <c r="AH285" s="343">
        <v>1487.4</v>
      </c>
      <c r="AI285" s="343">
        <v>95.86</v>
      </c>
    </row>
    <row r="286" spans="1:35">
      <c r="A286" s="343">
        <v>20261009</v>
      </c>
      <c r="B286" s="343">
        <v>28138.3</v>
      </c>
      <c r="C286" s="343">
        <v>157</v>
      </c>
      <c r="D286" s="343">
        <v>288</v>
      </c>
      <c r="E286" s="384">
        <v>46304</v>
      </c>
      <c r="F286" s="343" t="s">
        <v>244</v>
      </c>
      <c r="G286" s="343" t="s">
        <v>101</v>
      </c>
      <c r="Y286" s="343" t="s">
        <v>171</v>
      </c>
      <c r="Z286" s="343" t="s">
        <v>174</v>
      </c>
      <c r="AA286" s="384">
        <v>46272</v>
      </c>
      <c r="AB286" s="384">
        <v>46278</v>
      </c>
      <c r="AC286" s="343" t="s">
        <v>293</v>
      </c>
      <c r="AD286" s="343">
        <v>7490</v>
      </c>
      <c r="AE286" s="343">
        <v>163899.76999999999</v>
      </c>
      <c r="AF286" s="343">
        <v>2502.25</v>
      </c>
      <c r="AG286" s="343">
        <v>0</v>
      </c>
      <c r="AH286" s="343">
        <v>166402.01999999999</v>
      </c>
      <c r="AI286" s="343">
        <v>10661.53</v>
      </c>
    </row>
    <row r="287" spans="1:35">
      <c r="A287" s="343">
        <v>20261010</v>
      </c>
      <c r="B287" s="343">
        <v>108</v>
      </c>
      <c r="C287" s="343">
        <v>3</v>
      </c>
      <c r="D287" s="343">
        <v>3</v>
      </c>
      <c r="E287" s="384">
        <v>46305</v>
      </c>
      <c r="F287" s="343" t="s">
        <v>252</v>
      </c>
      <c r="G287" s="343" t="s">
        <v>101</v>
      </c>
      <c r="Y287" s="343" t="s">
        <v>171</v>
      </c>
      <c r="Z287" s="343" t="s">
        <v>174</v>
      </c>
      <c r="AA287" s="384">
        <v>46272</v>
      </c>
      <c r="AB287" s="384">
        <v>46278</v>
      </c>
      <c r="AC287" s="343" t="s">
        <v>289</v>
      </c>
      <c r="AD287" s="343">
        <v>2526</v>
      </c>
      <c r="AE287" s="343">
        <v>47958.82</v>
      </c>
      <c r="AF287" s="343">
        <v>812</v>
      </c>
      <c r="AG287" s="343">
        <v>0</v>
      </c>
      <c r="AH287" s="343">
        <v>48770.82</v>
      </c>
      <c r="AI287" s="343">
        <v>3123.65</v>
      </c>
    </row>
    <row r="288" spans="1:35">
      <c r="A288" s="343">
        <v>20261011</v>
      </c>
      <c r="B288" s="343">
        <v>27219.5</v>
      </c>
      <c r="C288" s="343">
        <v>122</v>
      </c>
      <c r="D288" s="343">
        <v>276</v>
      </c>
      <c r="E288" s="384">
        <v>46306</v>
      </c>
      <c r="F288" s="343" t="s">
        <v>253</v>
      </c>
      <c r="G288" s="343" t="s">
        <v>101</v>
      </c>
      <c r="Y288" s="343" t="s">
        <v>171</v>
      </c>
      <c r="Z288" s="343" t="s">
        <v>174</v>
      </c>
      <c r="AA288" s="384">
        <v>46272</v>
      </c>
      <c r="AB288" s="384">
        <v>46278</v>
      </c>
      <c r="AC288" s="343" t="s">
        <v>347</v>
      </c>
      <c r="AD288" s="343">
        <v>1011</v>
      </c>
      <c r="AE288" s="343">
        <v>8156</v>
      </c>
      <c r="AF288" s="343">
        <v>114</v>
      </c>
      <c r="AG288" s="343">
        <v>0</v>
      </c>
      <c r="AH288" s="343">
        <v>8270</v>
      </c>
      <c r="AI288" s="343">
        <v>532.12</v>
      </c>
    </row>
    <row r="289" spans="25:35">
      <c r="Y289" s="343" t="s">
        <v>171</v>
      </c>
      <c r="Z289" s="343" t="s">
        <v>174</v>
      </c>
      <c r="AA289" s="384">
        <v>46272</v>
      </c>
      <c r="AB289" s="384">
        <v>46278</v>
      </c>
      <c r="AC289" s="343" t="s">
        <v>346</v>
      </c>
      <c r="AD289" s="343">
        <v>2</v>
      </c>
      <c r="AE289" s="343">
        <v>104.98</v>
      </c>
      <c r="AF289" s="343">
        <v>9.75</v>
      </c>
      <c r="AG289" s="343">
        <v>0</v>
      </c>
      <c r="AH289" s="343">
        <v>114.73</v>
      </c>
      <c r="AI289" s="343">
        <v>6.83</v>
      </c>
    </row>
    <row r="290" spans="25:35">
      <c r="Y290" s="343" t="s">
        <v>171</v>
      </c>
      <c r="Z290" s="343" t="s">
        <v>174</v>
      </c>
      <c r="AA290" s="384">
        <v>46272</v>
      </c>
      <c r="AB290" s="384">
        <v>46278</v>
      </c>
      <c r="AC290" s="343" t="s">
        <v>285</v>
      </c>
      <c r="AD290" s="343">
        <v>948</v>
      </c>
      <c r="AE290" s="343">
        <v>23389.4</v>
      </c>
      <c r="AF290" s="343">
        <v>1288</v>
      </c>
      <c r="AG290" s="343">
        <v>0</v>
      </c>
      <c r="AH290" s="343">
        <v>24677.4</v>
      </c>
      <c r="AI290" s="343">
        <v>1521.58</v>
      </c>
    </row>
    <row r="291" spans="25:35">
      <c r="Y291" s="343" t="s">
        <v>171</v>
      </c>
      <c r="Z291" s="343" t="s">
        <v>175</v>
      </c>
      <c r="AA291" s="384">
        <v>46279</v>
      </c>
      <c r="AB291" s="384">
        <v>46285</v>
      </c>
      <c r="AC291" s="343" t="s">
        <v>106</v>
      </c>
      <c r="AD291" s="343">
        <v>4</v>
      </c>
      <c r="AE291" s="343">
        <v>474.43</v>
      </c>
      <c r="AF291" s="343">
        <v>0</v>
      </c>
      <c r="AG291" s="343">
        <v>0</v>
      </c>
      <c r="AH291" s="343">
        <v>474.43</v>
      </c>
      <c r="AI291" s="343">
        <v>0</v>
      </c>
    </row>
    <row r="292" spans="25:35">
      <c r="Y292" s="343" t="s">
        <v>171</v>
      </c>
      <c r="Z292" s="343" t="s">
        <v>175</v>
      </c>
      <c r="AA292" s="384">
        <v>46279</v>
      </c>
      <c r="AB292" s="384">
        <v>46285</v>
      </c>
      <c r="AC292" s="343" t="s">
        <v>301</v>
      </c>
      <c r="AD292" s="343">
        <v>10</v>
      </c>
      <c r="AE292" s="343">
        <v>1596</v>
      </c>
      <c r="AF292" s="343">
        <v>0</v>
      </c>
      <c r="AG292" s="343">
        <v>0</v>
      </c>
      <c r="AH292" s="343">
        <v>1596</v>
      </c>
      <c r="AI292" s="343">
        <v>103.76</v>
      </c>
    </row>
    <row r="293" spans="25:35">
      <c r="Y293" s="343" t="s">
        <v>171</v>
      </c>
      <c r="Z293" s="343" t="s">
        <v>175</v>
      </c>
      <c r="AA293" s="384">
        <v>46279</v>
      </c>
      <c r="AB293" s="384">
        <v>46285</v>
      </c>
      <c r="AC293" s="343" t="s">
        <v>287</v>
      </c>
      <c r="AD293" s="343">
        <v>178</v>
      </c>
      <c r="AE293" s="343">
        <v>1749</v>
      </c>
      <c r="AF293" s="343">
        <v>19</v>
      </c>
      <c r="AG293" s="343">
        <v>0</v>
      </c>
      <c r="AH293" s="343">
        <v>1768</v>
      </c>
      <c r="AI293" s="343">
        <v>114.1</v>
      </c>
    </row>
    <row r="294" spans="25:35">
      <c r="Y294" s="343" t="s">
        <v>171</v>
      </c>
      <c r="Z294" s="343" t="s">
        <v>175</v>
      </c>
      <c r="AA294" s="384">
        <v>46279</v>
      </c>
      <c r="AB294" s="384">
        <v>46285</v>
      </c>
      <c r="AC294" s="343" t="s">
        <v>293</v>
      </c>
      <c r="AD294" s="343">
        <v>7086</v>
      </c>
      <c r="AE294" s="343">
        <v>156032.57999999999</v>
      </c>
      <c r="AF294" s="343">
        <v>2159.5</v>
      </c>
      <c r="AG294" s="343">
        <v>0</v>
      </c>
      <c r="AH294" s="343">
        <v>158192.07999999999</v>
      </c>
      <c r="AI294" s="343">
        <v>10135.620000000001</v>
      </c>
    </row>
    <row r="295" spans="25:35">
      <c r="Y295" s="343" t="s">
        <v>171</v>
      </c>
      <c r="Z295" s="343" t="s">
        <v>175</v>
      </c>
      <c r="AA295" s="384">
        <v>46279</v>
      </c>
      <c r="AB295" s="384">
        <v>46285</v>
      </c>
      <c r="AC295" s="343" t="s">
        <v>289</v>
      </c>
      <c r="AD295" s="343">
        <v>2471</v>
      </c>
      <c r="AE295" s="343">
        <v>45803.7</v>
      </c>
      <c r="AF295" s="343">
        <v>610</v>
      </c>
      <c r="AG295" s="343">
        <v>0</v>
      </c>
      <c r="AH295" s="343">
        <v>46413.7</v>
      </c>
      <c r="AI295" s="343">
        <v>2977.54</v>
      </c>
    </row>
    <row r="296" spans="25:35">
      <c r="Y296" s="343" t="s">
        <v>171</v>
      </c>
      <c r="Z296" s="343" t="s">
        <v>175</v>
      </c>
      <c r="AA296" s="384">
        <v>46279</v>
      </c>
      <c r="AB296" s="384">
        <v>46285</v>
      </c>
      <c r="AC296" s="343" t="s">
        <v>347</v>
      </c>
      <c r="AD296" s="343">
        <v>945</v>
      </c>
      <c r="AE296" s="343">
        <v>7415.2</v>
      </c>
      <c r="AF296" s="343">
        <v>77</v>
      </c>
      <c r="AG296" s="343">
        <v>0</v>
      </c>
      <c r="AH296" s="343">
        <v>7492.2</v>
      </c>
      <c r="AI296" s="343">
        <v>483.59</v>
      </c>
    </row>
    <row r="297" spans="25:35">
      <c r="Y297" s="343" t="s">
        <v>171</v>
      </c>
      <c r="Z297" s="343" t="s">
        <v>175</v>
      </c>
      <c r="AA297" s="384">
        <v>46279</v>
      </c>
      <c r="AB297" s="384">
        <v>46285</v>
      </c>
      <c r="AC297" s="343" t="s">
        <v>285</v>
      </c>
      <c r="AD297" s="343">
        <v>874</v>
      </c>
      <c r="AE297" s="343">
        <v>22736</v>
      </c>
      <c r="AF297" s="343">
        <v>997</v>
      </c>
      <c r="AG297" s="343">
        <v>0</v>
      </c>
      <c r="AH297" s="343">
        <v>23733</v>
      </c>
      <c r="AI297" s="343">
        <v>1478.91</v>
      </c>
    </row>
    <row r="298" spans="25:35">
      <c r="Y298" s="343" t="s">
        <v>171</v>
      </c>
      <c r="Z298" s="343" t="s">
        <v>176</v>
      </c>
      <c r="AA298" s="384">
        <v>46286</v>
      </c>
      <c r="AB298" s="384">
        <v>46292</v>
      </c>
      <c r="AC298" s="343" t="s">
        <v>106</v>
      </c>
      <c r="AD298" s="343">
        <v>14</v>
      </c>
      <c r="AE298" s="343">
        <v>1089.05</v>
      </c>
      <c r="AF298" s="343">
        <v>0</v>
      </c>
      <c r="AG298" s="343">
        <v>0</v>
      </c>
      <c r="AH298" s="343">
        <v>1089.05</v>
      </c>
      <c r="AI298" s="343">
        <v>0</v>
      </c>
    </row>
    <row r="299" spans="25:35">
      <c r="Y299" s="343" t="s">
        <v>171</v>
      </c>
      <c r="Z299" s="343" t="s">
        <v>176</v>
      </c>
      <c r="AA299" s="384">
        <v>46286</v>
      </c>
      <c r="AB299" s="384">
        <v>46292</v>
      </c>
      <c r="AC299" s="343" t="s">
        <v>287</v>
      </c>
      <c r="AD299" s="343">
        <v>174</v>
      </c>
      <c r="AE299" s="343">
        <v>1785</v>
      </c>
      <c r="AF299" s="343">
        <v>0</v>
      </c>
      <c r="AG299" s="343">
        <v>0</v>
      </c>
      <c r="AH299" s="343">
        <v>1785</v>
      </c>
      <c r="AI299" s="343">
        <v>116.51</v>
      </c>
    </row>
    <row r="300" spans="25:35">
      <c r="Y300" s="343" t="s">
        <v>171</v>
      </c>
      <c r="Z300" s="343" t="s">
        <v>176</v>
      </c>
      <c r="AA300" s="384">
        <v>46286</v>
      </c>
      <c r="AB300" s="384">
        <v>46292</v>
      </c>
      <c r="AC300" s="343" t="s">
        <v>301</v>
      </c>
      <c r="AD300" s="343">
        <v>16</v>
      </c>
      <c r="AE300" s="343">
        <v>393</v>
      </c>
      <c r="AF300" s="343">
        <v>0</v>
      </c>
      <c r="AG300" s="343">
        <v>0</v>
      </c>
      <c r="AH300" s="343">
        <v>393</v>
      </c>
      <c r="AI300" s="343">
        <v>25.57</v>
      </c>
    </row>
    <row r="301" spans="25:35">
      <c r="Y301" s="343" t="s">
        <v>171</v>
      </c>
      <c r="Z301" s="343" t="s">
        <v>176</v>
      </c>
      <c r="AA301" s="384">
        <v>46286</v>
      </c>
      <c r="AB301" s="384">
        <v>46292</v>
      </c>
      <c r="AC301" s="343" t="s">
        <v>346</v>
      </c>
      <c r="AD301" s="343">
        <v>4</v>
      </c>
      <c r="AE301" s="343">
        <v>617</v>
      </c>
      <c r="AF301" s="343">
        <v>0</v>
      </c>
      <c r="AG301" s="343">
        <v>0</v>
      </c>
      <c r="AH301" s="343">
        <v>617</v>
      </c>
      <c r="AI301" s="343">
        <v>40.11</v>
      </c>
    </row>
    <row r="302" spans="25:35">
      <c r="Y302" s="343" t="s">
        <v>171</v>
      </c>
      <c r="Z302" s="343" t="s">
        <v>176</v>
      </c>
      <c r="AA302" s="384">
        <v>46286</v>
      </c>
      <c r="AB302" s="384">
        <v>46292</v>
      </c>
      <c r="AC302" s="343" t="s">
        <v>348</v>
      </c>
      <c r="AD302" s="343">
        <v>2</v>
      </c>
      <c r="AE302" s="343">
        <v>2624</v>
      </c>
      <c r="AF302" s="343">
        <v>0</v>
      </c>
      <c r="AG302" s="343">
        <v>0</v>
      </c>
      <c r="AH302" s="343">
        <v>2624</v>
      </c>
      <c r="AI302" s="343">
        <v>170.56</v>
      </c>
    </row>
    <row r="303" spans="25:35">
      <c r="Y303" s="343" t="s">
        <v>171</v>
      </c>
      <c r="Z303" s="343" t="s">
        <v>176</v>
      </c>
      <c r="AA303" s="384">
        <v>46286</v>
      </c>
      <c r="AB303" s="384">
        <v>46292</v>
      </c>
      <c r="AC303" s="343" t="s">
        <v>293</v>
      </c>
      <c r="AD303" s="343">
        <v>8082</v>
      </c>
      <c r="AE303" s="343">
        <v>173352.93</v>
      </c>
      <c r="AF303" s="343">
        <v>3536</v>
      </c>
      <c r="AG303" s="343">
        <v>0</v>
      </c>
      <c r="AH303" s="343">
        <v>176888.93</v>
      </c>
      <c r="AI303" s="343">
        <v>11277.58</v>
      </c>
    </row>
    <row r="304" spans="25:35">
      <c r="Y304" s="343" t="s">
        <v>171</v>
      </c>
      <c r="Z304" s="343" t="s">
        <v>176</v>
      </c>
      <c r="AA304" s="384">
        <v>46286</v>
      </c>
      <c r="AB304" s="384">
        <v>46292</v>
      </c>
      <c r="AC304" s="343" t="s">
        <v>289</v>
      </c>
      <c r="AD304" s="343">
        <v>2930</v>
      </c>
      <c r="AE304" s="343">
        <v>60645.77</v>
      </c>
      <c r="AF304" s="343">
        <v>843</v>
      </c>
      <c r="AG304" s="343">
        <v>0</v>
      </c>
      <c r="AH304" s="343">
        <v>61488.77</v>
      </c>
      <c r="AI304" s="343">
        <v>3949.13</v>
      </c>
    </row>
    <row r="305" spans="25:35">
      <c r="Y305" s="343" t="s">
        <v>171</v>
      </c>
      <c r="Z305" s="343" t="s">
        <v>176</v>
      </c>
      <c r="AA305" s="384">
        <v>46286</v>
      </c>
      <c r="AB305" s="384">
        <v>46292</v>
      </c>
      <c r="AC305" s="343" t="s">
        <v>347</v>
      </c>
      <c r="AD305" s="343">
        <v>943.5</v>
      </c>
      <c r="AE305" s="343">
        <v>8143.5</v>
      </c>
      <c r="AF305" s="343">
        <v>149</v>
      </c>
      <c r="AG305" s="343">
        <v>0</v>
      </c>
      <c r="AH305" s="343">
        <v>8292.5</v>
      </c>
      <c r="AI305" s="343">
        <v>530.4</v>
      </c>
    </row>
    <row r="306" spans="25:35">
      <c r="Y306" s="343" t="s">
        <v>171</v>
      </c>
      <c r="Z306" s="343" t="s">
        <v>176</v>
      </c>
      <c r="AA306" s="384">
        <v>46286</v>
      </c>
      <c r="AB306" s="384">
        <v>46292</v>
      </c>
      <c r="AC306" s="343" t="s">
        <v>285</v>
      </c>
      <c r="AD306" s="343">
        <v>993</v>
      </c>
      <c r="AE306" s="343">
        <v>26404</v>
      </c>
      <c r="AF306" s="343">
        <v>726</v>
      </c>
      <c r="AG306" s="343">
        <v>0</v>
      </c>
      <c r="AH306" s="343">
        <v>27130</v>
      </c>
      <c r="AI306" s="343">
        <v>1717.49</v>
      </c>
    </row>
    <row r="307" spans="25:35">
      <c r="Y307" s="343" t="s">
        <v>76</v>
      </c>
      <c r="Z307" s="343" t="s">
        <v>178</v>
      </c>
      <c r="AA307" s="384">
        <v>46293</v>
      </c>
      <c r="AB307" s="384">
        <v>46299</v>
      </c>
      <c r="AC307" s="343" t="s">
        <v>106</v>
      </c>
      <c r="AD307" s="343">
        <v>6</v>
      </c>
      <c r="AE307" s="343">
        <v>1936.64</v>
      </c>
      <c r="AF307" s="343">
        <v>0</v>
      </c>
      <c r="AG307" s="343">
        <v>0</v>
      </c>
      <c r="AH307" s="343">
        <v>1936.64</v>
      </c>
      <c r="AI307" s="343">
        <v>0</v>
      </c>
    </row>
    <row r="308" spans="25:35">
      <c r="Y308" s="343" t="s">
        <v>76</v>
      </c>
      <c r="Z308" s="343" t="s">
        <v>178</v>
      </c>
      <c r="AA308" s="384">
        <v>46293</v>
      </c>
      <c r="AB308" s="384">
        <v>46299</v>
      </c>
      <c r="AC308" s="343" t="s">
        <v>301</v>
      </c>
      <c r="AD308" s="343">
        <v>1</v>
      </c>
      <c r="AE308" s="343">
        <v>20</v>
      </c>
      <c r="AF308" s="343">
        <v>0</v>
      </c>
      <c r="AG308" s="343">
        <v>0</v>
      </c>
      <c r="AH308" s="343">
        <v>20</v>
      </c>
      <c r="AI308" s="343">
        <v>1.3</v>
      </c>
    </row>
    <row r="309" spans="25:35">
      <c r="Y309" s="343" t="s">
        <v>76</v>
      </c>
      <c r="Z309" s="343" t="s">
        <v>178</v>
      </c>
      <c r="AA309" s="384">
        <v>46293</v>
      </c>
      <c r="AB309" s="384">
        <v>46299</v>
      </c>
      <c r="AC309" s="343" t="s">
        <v>287</v>
      </c>
      <c r="AD309" s="343">
        <v>159</v>
      </c>
      <c r="AE309" s="343">
        <v>1565.7</v>
      </c>
      <c r="AF309" s="343">
        <v>9.5</v>
      </c>
      <c r="AG309" s="343">
        <v>0</v>
      </c>
      <c r="AH309" s="343">
        <v>1575.2</v>
      </c>
      <c r="AI309" s="343">
        <v>102.17</v>
      </c>
    </row>
    <row r="310" spans="25:35">
      <c r="Y310" s="343" t="s">
        <v>76</v>
      </c>
      <c r="Z310" s="343" t="s">
        <v>178</v>
      </c>
      <c r="AA310" s="384">
        <v>46293</v>
      </c>
      <c r="AB310" s="384">
        <v>46299</v>
      </c>
      <c r="AC310" s="343" t="s">
        <v>293</v>
      </c>
      <c r="AD310" s="343">
        <v>6247</v>
      </c>
      <c r="AE310" s="343">
        <v>150198.42000000001</v>
      </c>
      <c r="AF310" s="343">
        <v>1930.25</v>
      </c>
      <c r="AG310" s="343">
        <v>0</v>
      </c>
      <c r="AH310" s="343">
        <v>152128.67000000001</v>
      </c>
      <c r="AI310" s="343">
        <v>9772.24</v>
      </c>
    </row>
    <row r="311" spans="25:35">
      <c r="Y311" s="343" t="s">
        <v>76</v>
      </c>
      <c r="Z311" s="343" t="s">
        <v>178</v>
      </c>
      <c r="AA311" s="384">
        <v>46293</v>
      </c>
      <c r="AB311" s="384">
        <v>46299</v>
      </c>
      <c r="AC311" s="343" t="s">
        <v>289</v>
      </c>
      <c r="AD311" s="343">
        <v>2503</v>
      </c>
      <c r="AE311" s="343">
        <v>56745.1</v>
      </c>
      <c r="AF311" s="343">
        <v>586.25</v>
      </c>
      <c r="AG311" s="343">
        <v>0</v>
      </c>
      <c r="AH311" s="343">
        <v>57331.35</v>
      </c>
      <c r="AI311" s="343">
        <v>3692.12</v>
      </c>
    </row>
    <row r="312" spans="25:35">
      <c r="Y312" s="343" t="s">
        <v>76</v>
      </c>
      <c r="Z312" s="343" t="s">
        <v>178</v>
      </c>
      <c r="AA312" s="384">
        <v>46293</v>
      </c>
      <c r="AB312" s="384">
        <v>46299</v>
      </c>
      <c r="AC312" s="343" t="s">
        <v>347</v>
      </c>
      <c r="AD312" s="343">
        <v>880</v>
      </c>
      <c r="AE312" s="343">
        <v>7569</v>
      </c>
      <c r="AF312" s="343">
        <v>109</v>
      </c>
      <c r="AG312" s="343">
        <v>0</v>
      </c>
      <c r="AH312" s="343">
        <v>7678</v>
      </c>
      <c r="AI312" s="343">
        <v>493.51</v>
      </c>
    </row>
    <row r="313" spans="25:35">
      <c r="Y313" s="343" t="s">
        <v>76</v>
      </c>
      <c r="Z313" s="343" t="s">
        <v>178</v>
      </c>
      <c r="AA313" s="384">
        <v>46293</v>
      </c>
      <c r="AB313" s="384">
        <v>46299</v>
      </c>
      <c r="AC313" s="343" t="s">
        <v>285</v>
      </c>
      <c r="AD313" s="343">
        <v>874</v>
      </c>
      <c r="AE313" s="343">
        <v>26689</v>
      </c>
      <c r="AF313" s="343">
        <v>528</v>
      </c>
      <c r="AG313" s="343">
        <v>0</v>
      </c>
      <c r="AH313" s="343">
        <v>27217</v>
      </c>
      <c r="AI313" s="343">
        <v>1735.93</v>
      </c>
    </row>
    <row r="314" spans="25:35">
      <c r="Y314" s="343" t="s">
        <v>76</v>
      </c>
      <c r="Z314" s="343" t="s">
        <v>101</v>
      </c>
      <c r="AA314" s="384">
        <v>46300</v>
      </c>
      <c r="AB314" s="384">
        <v>46306</v>
      </c>
      <c r="AC314" s="343" t="s">
        <v>106</v>
      </c>
      <c r="AD314" s="343">
        <v>6</v>
      </c>
      <c r="AE314" s="343">
        <v>4066.88</v>
      </c>
      <c r="AF314" s="343">
        <v>0</v>
      </c>
      <c r="AG314" s="343">
        <v>0</v>
      </c>
      <c r="AH314" s="343">
        <v>4066.88</v>
      </c>
      <c r="AI314" s="343">
        <v>0</v>
      </c>
    </row>
    <row r="315" spans="25:35">
      <c r="Y315" s="343" t="s">
        <v>76</v>
      </c>
      <c r="Z315" s="343" t="s">
        <v>101</v>
      </c>
      <c r="AA315" s="384">
        <v>46300</v>
      </c>
      <c r="AB315" s="384">
        <v>46306</v>
      </c>
      <c r="AC315" s="343" t="s">
        <v>287</v>
      </c>
      <c r="AD315" s="343">
        <v>131</v>
      </c>
      <c r="AE315" s="343">
        <v>1277.5</v>
      </c>
      <c r="AF315" s="343">
        <v>0</v>
      </c>
      <c r="AG315" s="343">
        <v>0</v>
      </c>
      <c r="AH315" s="343">
        <v>1277.5</v>
      </c>
      <c r="AI315" s="343">
        <v>83.36</v>
      </c>
    </row>
    <row r="316" spans="25:35">
      <c r="Y316" s="343" t="s">
        <v>76</v>
      </c>
      <c r="Z316" s="343" t="s">
        <v>101</v>
      </c>
      <c r="AA316" s="384">
        <v>46300</v>
      </c>
      <c r="AB316" s="384">
        <v>46306</v>
      </c>
      <c r="AC316" s="343" t="s">
        <v>301</v>
      </c>
      <c r="AD316" s="343">
        <v>11</v>
      </c>
      <c r="AE316" s="343">
        <v>285</v>
      </c>
      <c r="AF316" s="343">
        <v>0</v>
      </c>
      <c r="AG316" s="343">
        <v>0</v>
      </c>
      <c r="AH316" s="343">
        <v>285</v>
      </c>
      <c r="AI316" s="343">
        <v>18.57</v>
      </c>
    </row>
    <row r="317" spans="25:35">
      <c r="Y317" s="343" t="s">
        <v>76</v>
      </c>
      <c r="Z317" s="343" t="s">
        <v>101</v>
      </c>
      <c r="AA317" s="384">
        <v>46300</v>
      </c>
      <c r="AB317" s="384">
        <v>46306</v>
      </c>
      <c r="AC317" s="343" t="s">
        <v>346</v>
      </c>
      <c r="AD317" s="343">
        <v>4</v>
      </c>
      <c r="AE317" s="343">
        <v>18040</v>
      </c>
      <c r="AF317" s="343">
        <v>0</v>
      </c>
      <c r="AG317" s="343">
        <v>0</v>
      </c>
      <c r="AH317" s="343">
        <v>18040</v>
      </c>
      <c r="AI317" s="343">
        <v>1172.6199999999999</v>
      </c>
    </row>
    <row r="318" spans="25:35">
      <c r="Y318" s="343" t="s">
        <v>76</v>
      </c>
      <c r="Z318" s="343" t="s">
        <v>101</v>
      </c>
      <c r="AA318" s="384">
        <v>46300</v>
      </c>
      <c r="AB318" s="384">
        <v>46306</v>
      </c>
      <c r="AC318" s="343" t="s">
        <v>348</v>
      </c>
      <c r="AD318" s="343">
        <v>1</v>
      </c>
      <c r="AE318" s="343">
        <v>2627.5</v>
      </c>
      <c r="AF318" s="343">
        <v>0</v>
      </c>
      <c r="AG318" s="343">
        <v>0</v>
      </c>
      <c r="AH318" s="343">
        <v>2627.5</v>
      </c>
      <c r="AI318" s="343">
        <v>170.79</v>
      </c>
    </row>
    <row r="319" spans="25:35">
      <c r="Y319" s="343" t="s">
        <v>76</v>
      </c>
      <c r="Z319" s="343" t="s">
        <v>101</v>
      </c>
      <c r="AA319" s="384">
        <v>46300</v>
      </c>
      <c r="AB319" s="384">
        <v>46306</v>
      </c>
      <c r="AC319" s="343" t="s">
        <v>293</v>
      </c>
      <c r="AD319" s="343">
        <v>4509</v>
      </c>
      <c r="AE319" s="343">
        <v>119594.24000000001</v>
      </c>
      <c r="AF319" s="343">
        <v>1821.68</v>
      </c>
      <c r="AG319" s="343">
        <v>0</v>
      </c>
      <c r="AH319" s="343">
        <v>121415.92</v>
      </c>
      <c r="AI319" s="343">
        <v>7780.24</v>
      </c>
    </row>
    <row r="320" spans="25:35">
      <c r="Y320" s="343" t="s">
        <v>76</v>
      </c>
      <c r="Z320" s="343" t="s">
        <v>101</v>
      </c>
      <c r="AA320" s="384">
        <v>46300</v>
      </c>
      <c r="AB320" s="384">
        <v>46306</v>
      </c>
      <c r="AC320" s="343" t="s">
        <v>289</v>
      </c>
      <c r="AD320" s="343">
        <v>1792</v>
      </c>
      <c r="AE320" s="343">
        <v>37696.199999999997</v>
      </c>
      <c r="AF320" s="343">
        <v>483</v>
      </c>
      <c r="AG320" s="343">
        <v>0</v>
      </c>
      <c r="AH320" s="343">
        <v>38179.199999999997</v>
      </c>
      <c r="AI320" s="343">
        <v>2452.37</v>
      </c>
    </row>
    <row r="321" spans="25:35">
      <c r="Y321" s="343" t="s">
        <v>76</v>
      </c>
      <c r="Z321" s="343" t="s">
        <v>101</v>
      </c>
      <c r="AA321" s="384">
        <v>46300</v>
      </c>
      <c r="AB321" s="384">
        <v>46306</v>
      </c>
      <c r="AC321" s="343" t="s">
        <v>347</v>
      </c>
      <c r="AD321" s="343">
        <v>837</v>
      </c>
      <c r="AE321" s="343">
        <v>7051</v>
      </c>
      <c r="AF321" s="343">
        <v>31</v>
      </c>
      <c r="AG321" s="343">
        <v>0</v>
      </c>
      <c r="AH321" s="343">
        <v>7082</v>
      </c>
      <c r="AI321" s="343">
        <v>459.99</v>
      </c>
    </row>
    <row r="322" spans="25:35">
      <c r="Y322" s="343" t="s">
        <v>76</v>
      </c>
      <c r="Z322" s="343" t="s">
        <v>101</v>
      </c>
      <c r="AA322" s="384">
        <v>46300</v>
      </c>
      <c r="AB322" s="384">
        <v>46306</v>
      </c>
      <c r="AC322" s="343" t="s">
        <v>285</v>
      </c>
      <c r="AD322" s="343">
        <v>738</v>
      </c>
      <c r="AE322" s="343">
        <v>29613.01</v>
      </c>
      <c r="AF322" s="343">
        <v>403</v>
      </c>
      <c r="AG322" s="343">
        <v>0</v>
      </c>
      <c r="AH322" s="343">
        <v>30016.01</v>
      </c>
      <c r="AI322" s="343">
        <v>1925.64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94"/>
  <sheetViews>
    <sheetView topLeftCell="A259" workbookViewId="0">
      <selection activeCell="Q291" sqref="Q291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240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252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241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253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242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252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243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253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244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252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252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253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253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252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241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253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242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252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243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253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244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252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252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253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253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252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240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253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241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252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242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253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243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252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244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253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252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241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253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243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241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252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242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253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243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241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244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252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252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253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253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242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240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243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241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244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242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252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243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253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244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242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252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243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253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252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240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253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241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240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242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241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243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243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244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252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252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253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253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240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240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243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241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252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242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253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243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242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244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243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252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252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253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253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241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241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242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243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243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244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244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252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252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253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253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241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240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244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241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252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242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253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243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240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244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241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252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244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253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252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240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253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241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240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242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252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243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253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244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243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253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252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241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253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242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240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243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241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244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242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252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243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253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252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240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253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241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244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242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252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243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253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244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241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252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242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253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243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240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244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241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252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242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253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243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243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244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244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252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252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253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253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240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240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241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241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242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242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243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244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244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252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252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253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253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252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240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253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241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243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242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244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243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252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244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253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252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241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253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252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240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253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241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240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242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244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243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252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244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253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252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244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253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252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240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253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241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242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242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244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243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252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244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253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252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240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253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242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241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243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242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244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243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252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244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253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252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240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253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244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241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252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242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253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243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244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244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252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252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253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253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241</v>
      </c>
      <c r="O127" s="343" t="s">
        <v>173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240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243</v>
      </c>
      <c r="O128" s="343" t="s">
        <v>173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241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244</v>
      </c>
      <c r="O129" s="343" t="s">
        <v>173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242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252</v>
      </c>
      <c r="O130" s="343" t="s">
        <v>173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243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253</v>
      </c>
      <c r="O131" s="343" t="s">
        <v>173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244</v>
      </c>
      <c r="G132" s="343" t="s">
        <v>149</v>
      </c>
      <c r="I132" s="343">
        <v>20260907</v>
      </c>
      <c r="J132" s="343">
        <v>9819</v>
      </c>
      <c r="K132" s="343">
        <v>40</v>
      </c>
      <c r="L132" s="343">
        <v>108</v>
      </c>
      <c r="M132" s="384">
        <v>46272</v>
      </c>
      <c r="N132" s="343" t="s">
        <v>240</v>
      </c>
      <c r="O132" s="343" t="s">
        <v>174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252</v>
      </c>
      <c r="G133" s="343" t="s">
        <v>149</v>
      </c>
      <c r="I133" s="343">
        <v>20260911</v>
      </c>
      <c r="J133" s="343">
        <v>0</v>
      </c>
      <c r="K133" s="343">
        <v>2</v>
      </c>
      <c r="L133" s="343">
        <v>2</v>
      </c>
      <c r="M133" s="384">
        <v>46276</v>
      </c>
      <c r="N133" s="343" t="s">
        <v>244</v>
      </c>
      <c r="O133" s="343" t="s">
        <v>174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253</v>
      </c>
      <c r="G134" s="343" t="s">
        <v>149</v>
      </c>
      <c r="I134" s="343">
        <v>20260912</v>
      </c>
      <c r="J134" s="343">
        <v>15894.75</v>
      </c>
      <c r="K134" s="343">
        <v>84</v>
      </c>
      <c r="L134" s="343">
        <v>170</v>
      </c>
      <c r="M134" s="384">
        <v>46277</v>
      </c>
      <c r="N134" s="343" t="s">
        <v>252</v>
      </c>
      <c r="O134" s="343" t="s">
        <v>174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240</v>
      </c>
      <c r="G135" s="343" t="s">
        <v>150</v>
      </c>
      <c r="I135" s="343">
        <v>20260913</v>
      </c>
      <c r="J135" s="343">
        <v>36360.6</v>
      </c>
      <c r="K135" s="343">
        <v>149</v>
      </c>
      <c r="L135" s="343">
        <v>355</v>
      </c>
      <c r="M135" s="384">
        <v>46278</v>
      </c>
      <c r="N135" s="343" t="s">
        <v>253</v>
      </c>
      <c r="O135" s="343" t="s">
        <v>174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241</v>
      </c>
      <c r="G136" s="343" t="s">
        <v>150</v>
      </c>
      <c r="I136" s="343">
        <v>20260914</v>
      </c>
      <c r="J136" s="343">
        <v>0</v>
      </c>
      <c r="K136" s="343">
        <v>6</v>
      </c>
      <c r="L136" s="343">
        <v>6</v>
      </c>
      <c r="M136" s="384">
        <v>46279</v>
      </c>
      <c r="N136" s="343" t="s">
        <v>240</v>
      </c>
      <c r="O136" s="343" t="s">
        <v>175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242</v>
      </c>
      <c r="G137" s="343" t="s">
        <v>150</v>
      </c>
      <c r="I137" s="343">
        <v>20260915</v>
      </c>
      <c r="J137" s="343">
        <v>0</v>
      </c>
      <c r="K137" s="343">
        <v>1</v>
      </c>
      <c r="L137" s="343">
        <v>1</v>
      </c>
      <c r="M137" s="384">
        <v>46280</v>
      </c>
      <c r="N137" s="343" t="s">
        <v>241</v>
      </c>
      <c r="O137" s="343" t="s">
        <v>175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243</v>
      </c>
      <c r="G138" s="343" t="s">
        <v>150</v>
      </c>
      <c r="I138" s="343">
        <v>20260916</v>
      </c>
      <c r="J138" s="343">
        <v>0</v>
      </c>
      <c r="K138" s="343">
        <v>1</v>
      </c>
      <c r="L138" s="343">
        <v>1</v>
      </c>
      <c r="M138" s="384">
        <v>46281</v>
      </c>
      <c r="N138" s="343" t="s">
        <v>242</v>
      </c>
      <c r="O138" s="343" t="s">
        <v>175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244</v>
      </c>
      <c r="G139" s="343" t="s">
        <v>150</v>
      </c>
      <c r="I139" s="343">
        <v>20260917</v>
      </c>
      <c r="J139" s="343">
        <v>0</v>
      </c>
      <c r="K139" s="343">
        <v>1</v>
      </c>
      <c r="L139" s="343">
        <v>3</v>
      </c>
      <c r="M139" s="384">
        <v>46282</v>
      </c>
      <c r="N139" s="343" t="s">
        <v>243</v>
      </c>
      <c r="O139" s="343" t="s">
        <v>175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252</v>
      </c>
      <c r="G140" s="343" t="s">
        <v>150</v>
      </c>
      <c r="I140" s="343">
        <v>20260919</v>
      </c>
      <c r="J140" s="343">
        <v>34339.25</v>
      </c>
      <c r="K140" s="343">
        <v>61</v>
      </c>
      <c r="L140" s="343">
        <v>202</v>
      </c>
      <c r="M140" s="384">
        <v>46284</v>
      </c>
      <c r="N140" s="343" t="s">
        <v>252</v>
      </c>
      <c r="O140" s="343" t="s">
        <v>175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253</v>
      </c>
      <c r="G141" s="343" t="s">
        <v>150</v>
      </c>
      <c r="I141" s="343">
        <v>20260920</v>
      </c>
      <c r="J141" s="343">
        <v>53241.95</v>
      </c>
      <c r="K141" s="343">
        <v>162</v>
      </c>
      <c r="L141" s="343">
        <v>441</v>
      </c>
      <c r="M141" s="384">
        <v>46285</v>
      </c>
      <c r="N141" s="343" t="s">
        <v>253</v>
      </c>
      <c r="O141" s="343" t="s">
        <v>175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240</v>
      </c>
      <c r="G142" s="343" t="s">
        <v>153</v>
      </c>
      <c r="I142" s="343">
        <v>20260924</v>
      </c>
      <c r="J142" s="343">
        <v>1550.69</v>
      </c>
      <c r="K142" s="343">
        <v>1</v>
      </c>
      <c r="L142" s="343">
        <v>0</v>
      </c>
      <c r="M142" s="384">
        <v>46289</v>
      </c>
      <c r="N142" s="343" t="s">
        <v>243</v>
      </c>
      <c r="O142" s="343" t="s">
        <v>176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241</v>
      </c>
      <c r="G143" s="343" t="s">
        <v>153</v>
      </c>
      <c r="I143" s="343">
        <v>20260926</v>
      </c>
      <c r="J143" s="343">
        <v>34516.85</v>
      </c>
      <c r="K143" s="343">
        <v>87</v>
      </c>
      <c r="L143" s="343">
        <v>270</v>
      </c>
      <c r="M143" s="384">
        <v>46291</v>
      </c>
      <c r="N143" s="343" t="s">
        <v>252</v>
      </c>
      <c r="O143" s="343" t="s">
        <v>176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242</v>
      </c>
      <c r="G144" s="343" t="s">
        <v>153</v>
      </c>
      <c r="I144" s="343">
        <v>20260927</v>
      </c>
      <c r="J144" s="343">
        <v>45811</v>
      </c>
      <c r="K144" s="343">
        <v>134</v>
      </c>
      <c r="L144" s="343">
        <v>380</v>
      </c>
      <c r="M144" s="384">
        <v>46292</v>
      </c>
      <c r="N144" s="343" t="s">
        <v>253</v>
      </c>
      <c r="O144" s="343" t="s">
        <v>176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243</v>
      </c>
      <c r="G145" s="343" t="s">
        <v>153</v>
      </c>
      <c r="I145" s="343">
        <v>20261003</v>
      </c>
      <c r="J145" s="343">
        <v>32701.05</v>
      </c>
      <c r="K145" s="343">
        <v>97</v>
      </c>
      <c r="L145" s="343">
        <v>307</v>
      </c>
      <c r="M145" s="384">
        <v>46298</v>
      </c>
      <c r="N145" s="343" t="s">
        <v>252</v>
      </c>
      <c r="O145" s="343" t="s">
        <v>178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244</v>
      </c>
      <c r="G146" s="343" t="s">
        <v>153</v>
      </c>
      <c r="I146" s="343">
        <v>20261004</v>
      </c>
      <c r="J146" s="343">
        <v>48665</v>
      </c>
      <c r="K146" s="343">
        <v>137</v>
      </c>
      <c r="L146" s="343">
        <v>359</v>
      </c>
      <c r="M146" s="384">
        <v>46299</v>
      </c>
      <c r="N146" s="343" t="s">
        <v>253</v>
      </c>
      <c r="O146" s="343" t="s">
        <v>178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252</v>
      </c>
      <c r="G147" s="343" t="s">
        <v>153</v>
      </c>
      <c r="I147" s="343">
        <v>20261006</v>
      </c>
      <c r="J147" s="343">
        <v>0</v>
      </c>
      <c r="K147" s="343">
        <v>5</v>
      </c>
      <c r="L147" s="343">
        <v>5</v>
      </c>
      <c r="M147" s="384">
        <v>46301</v>
      </c>
      <c r="N147" s="343" t="s">
        <v>241</v>
      </c>
      <c r="O147" s="343" t="s">
        <v>101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253</v>
      </c>
      <c r="G148" s="343" t="s">
        <v>153</v>
      </c>
      <c r="I148" s="343">
        <v>20261007</v>
      </c>
      <c r="J148" s="343">
        <v>0</v>
      </c>
      <c r="K148" s="343">
        <v>1</v>
      </c>
      <c r="L148" s="343">
        <v>1</v>
      </c>
      <c r="M148" s="384">
        <v>46302</v>
      </c>
      <c r="N148" s="343" t="s">
        <v>242</v>
      </c>
      <c r="O148" s="343" t="s">
        <v>101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241</v>
      </c>
      <c r="G149" s="343" t="s">
        <v>154</v>
      </c>
      <c r="I149" s="343">
        <v>20261008</v>
      </c>
      <c r="J149" s="343">
        <v>0</v>
      </c>
      <c r="K149" s="343">
        <v>1</v>
      </c>
      <c r="L149" s="343">
        <v>1</v>
      </c>
      <c r="M149" s="384">
        <v>46303</v>
      </c>
      <c r="N149" s="343" t="s">
        <v>243</v>
      </c>
      <c r="O149" s="343" t="s">
        <v>101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242</v>
      </c>
      <c r="G150" s="343" t="s">
        <v>154</v>
      </c>
      <c r="I150" s="343">
        <v>20261009</v>
      </c>
      <c r="J150" s="343">
        <v>0</v>
      </c>
      <c r="K150" s="343">
        <v>7</v>
      </c>
      <c r="L150" s="343">
        <v>6</v>
      </c>
      <c r="M150" s="384">
        <v>46304</v>
      </c>
      <c r="N150" s="343" t="s">
        <v>244</v>
      </c>
      <c r="O150" s="343" t="s">
        <v>101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243</v>
      </c>
      <c r="G151" s="343" t="s">
        <v>154</v>
      </c>
      <c r="I151" s="343">
        <v>20261010</v>
      </c>
      <c r="J151" s="343">
        <v>72347.45</v>
      </c>
      <c r="K151" s="343">
        <v>91</v>
      </c>
      <c r="L151" s="343">
        <v>277</v>
      </c>
      <c r="M151" s="384">
        <v>46305</v>
      </c>
      <c r="N151" s="343" t="s">
        <v>252</v>
      </c>
      <c r="O151" s="343" t="s">
        <v>101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244</v>
      </c>
      <c r="G152" s="343" t="s">
        <v>154</v>
      </c>
      <c r="I152" s="343">
        <v>20261011</v>
      </c>
      <c r="J152" s="343">
        <v>51612.5</v>
      </c>
      <c r="K152" s="343">
        <v>118</v>
      </c>
      <c r="L152" s="343">
        <v>341</v>
      </c>
      <c r="M152" s="384">
        <v>46306</v>
      </c>
      <c r="N152" s="343" t="s">
        <v>253</v>
      </c>
      <c r="O152" s="343" t="s">
        <v>101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252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253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240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241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242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243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244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252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253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240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241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351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242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243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352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244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293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252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347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253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289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240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287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241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285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242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350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243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351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244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252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352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253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293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240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347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241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289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242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287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243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285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244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350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252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343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253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351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240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241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352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242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293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243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347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244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289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252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253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285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241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350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242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351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243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244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352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252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293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253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347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241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289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242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287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243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285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244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350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252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351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253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301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241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242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352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243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293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244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347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252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289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253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287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241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285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242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350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243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351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244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301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252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253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352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240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293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241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347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242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289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243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287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244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285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252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350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253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351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240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241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353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242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352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243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293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244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347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252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289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253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287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240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285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241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350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242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351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243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244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353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252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352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253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293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240</v>
      </c>
      <c r="G235" s="343" t="s">
        <v>173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347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241</v>
      </c>
      <c r="G236" s="343" t="s">
        <v>173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289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242</v>
      </c>
      <c r="G237" s="343" t="s">
        <v>173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287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243</v>
      </c>
      <c r="G238" s="343" t="s">
        <v>173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285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244</v>
      </c>
      <c r="G239" s="343" t="s">
        <v>173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350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252</v>
      </c>
      <c r="G240" s="343" t="s">
        <v>173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351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253</v>
      </c>
      <c r="G241" s="343" t="s">
        <v>173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A242" s="343">
        <v>20260907</v>
      </c>
      <c r="B242" s="343">
        <v>55511.99</v>
      </c>
      <c r="C242" s="343">
        <v>198</v>
      </c>
      <c r="D242" s="343">
        <v>399</v>
      </c>
      <c r="E242" s="384">
        <v>46272</v>
      </c>
      <c r="F242" s="343" t="s">
        <v>240</v>
      </c>
      <c r="G242" s="343" t="s">
        <v>174</v>
      </c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353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A243" s="343">
        <v>20260908</v>
      </c>
      <c r="B243" s="343">
        <v>14930</v>
      </c>
      <c r="C243" s="343">
        <v>49</v>
      </c>
      <c r="D243" s="343">
        <v>123</v>
      </c>
      <c r="E243" s="384">
        <v>46273</v>
      </c>
      <c r="F243" s="343" t="s">
        <v>241</v>
      </c>
      <c r="G243" s="343" t="s">
        <v>174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352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A244" s="343">
        <v>20260909</v>
      </c>
      <c r="B244" s="343">
        <v>18129</v>
      </c>
      <c r="C244" s="343">
        <v>57</v>
      </c>
      <c r="D244" s="343">
        <v>118</v>
      </c>
      <c r="E244" s="384">
        <v>46274</v>
      </c>
      <c r="F244" s="343" t="s">
        <v>242</v>
      </c>
      <c r="G244" s="343" t="s">
        <v>174</v>
      </c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A245" s="343">
        <v>20260910</v>
      </c>
      <c r="B245" s="343">
        <v>30342.67</v>
      </c>
      <c r="C245" s="343">
        <v>107</v>
      </c>
      <c r="D245" s="343">
        <v>222</v>
      </c>
      <c r="E245" s="384">
        <v>46275</v>
      </c>
      <c r="F245" s="343" t="s">
        <v>243</v>
      </c>
      <c r="G245" s="343" t="s">
        <v>174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347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A246" s="343">
        <v>20260911</v>
      </c>
      <c r="B246" s="343">
        <v>45422.19</v>
      </c>
      <c r="C246" s="343">
        <v>127</v>
      </c>
      <c r="D246" s="343">
        <v>307</v>
      </c>
      <c r="E246" s="384">
        <v>46276</v>
      </c>
      <c r="F246" s="343" t="s">
        <v>244</v>
      </c>
      <c r="G246" s="343" t="s">
        <v>174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289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A247" s="343">
        <v>20260912</v>
      </c>
      <c r="B247" s="343">
        <v>98024.15</v>
      </c>
      <c r="C247" s="343">
        <v>296</v>
      </c>
      <c r="D247" s="343">
        <v>726</v>
      </c>
      <c r="E247" s="384">
        <v>46277</v>
      </c>
      <c r="F247" s="343" t="s">
        <v>252</v>
      </c>
      <c r="G247" s="343" t="s">
        <v>174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287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A248" s="343">
        <v>20260913</v>
      </c>
      <c r="B248" s="343">
        <v>95094.96</v>
      </c>
      <c r="C248" s="343">
        <v>285</v>
      </c>
      <c r="D248" s="343">
        <v>551</v>
      </c>
      <c r="E248" s="384">
        <v>46278</v>
      </c>
      <c r="F248" s="343" t="s">
        <v>253</v>
      </c>
      <c r="G248" s="343" t="s">
        <v>174</v>
      </c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285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A249" s="343">
        <v>20260914</v>
      </c>
      <c r="B249" s="343">
        <v>0</v>
      </c>
      <c r="C249" s="343">
        <v>6</v>
      </c>
      <c r="D249" s="343">
        <v>6</v>
      </c>
      <c r="E249" s="384">
        <v>46279</v>
      </c>
      <c r="F249" s="343" t="s">
        <v>240</v>
      </c>
      <c r="G249" s="343" t="s">
        <v>175</v>
      </c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350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A250" s="343">
        <v>20260915</v>
      </c>
      <c r="B250" s="343">
        <v>21311.75</v>
      </c>
      <c r="C250" s="343">
        <v>66</v>
      </c>
      <c r="D250" s="343">
        <v>188</v>
      </c>
      <c r="E250" s="384">
        <v>46280</v>
      </c>
      <c r="F250" s="343" t="s">
        <v>241</v>
      </c>
      <c r="G250" s="343" t="s">
        <v>175</v>
      </c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351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A251" s="343">
        <v>20260916</v>
      </c>
      <c r="B251" s="343">
        <v>23235</v>
      </c>
      <c r="C251" s="343">
        <v>86</v>
      </c>
      <c r="D251" s="343">
        <v>159</v>
      </c>
      <c r="E251" s="384">
        <v>46281</v>
      </c>
      <c r="F251" s="343" t="s">
        <v>242</v>
      </c>
      <c r="G251" s="343" t="s">
        <v>175</v>
      </c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301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A252" s="343">
        <v>20260917</v>
      </c>
      <c r="B252" s="343">
        <v>38128.71</v>
      </c>
      <c r="C252" s="343">
        <v>114</v>
      </c>
      <c r="D252" s="343">
        <v>275</v>
      </c>
      <c r="E252" s="384">
        <v>46282</v>
      </c>
      <c r="F252" s="343" t="s">
        <v>243</v>
      </c>
      <c r="G252" s="343" t="s">
        <v>175</v>
      </c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A253" s="343">
        <v>20260918</v>
      </c>
      <c r="B253" s="343">
        <v>57129.4</v>
      </c>
      <c r="C253" s="343">
        <v>177</v>
      </c>
      <c r="D253" s="343">
        <v>423</v>
      </c>
      <c r="E253" s="384">
        <v>46283</v>
      </c>
      <c r="F253" s="343" t="s">
        <v>244</v>
      </c>
      <c r="G253" s="343" t="s">
        <v>175</v>
      </c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352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A254" s="343">
        <v>20260919</v>
      </c>
      <c r="B254" s="343">
        <v>98503</v>
      </c>
      <c r="C254" s="343">
        <v>371</v>
      </c>
      <c r="D254" s="343">
        <v>758</v>
      </c>
      <c r="E254" s="384">
        <v>46284</v>
      </c>
      <c r="F254" s="343" t="s">
        <v>252</v>
      </c>
      <c r="G254" s="343" t="s">
        <v>175</v>
      </c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A255" s="343">
        <v>20260920</v>
      </c>
      <c r="B255" s="343">
        <v>81810.5</v>
      </c>
      <c r="C255" s="343">
        <v>306</v>
      </c>
      <c r="D255" s="343">
        <v>565</v>
      </c>
      <c r="E255" s="384">
        <v>46285</v>
      </c>
      <c r="F255" s="343" t="s">
        <v>253</v>
      </c>
      <c r="G255" s="343" t="s">
        <v>175</v>
      </c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347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A256" s="343">
        <v>20260921</v>
      </c>
      <c r="B256" s="343">
        <v>0</v>
      </c>
      <c r="C256" s="343">
        <v>1</v>
      </c>
      <c r="D256" s="343">
        <v>1</v>
      </c>
      <c r="E256" s="384">
        <v>46286</v>
      </c>
      <c r="F256" s="343" t="s">
        <v>240</v>
      </c>
      <c r="G256" s="343" t="s">
        <v>176</v>
      </c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289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:27">
      <c r="A257" s="343">
        <v>20260922</v>
      </c>
      <c r="B257" s="343">
        <v>52237.55</v>
      </c>
      <c r="C257" s="343">
        <v>69</v>
      </c>
      <c r="D257" s="343">
        <v>215</v>
      </c>
      <c r="E257" s="384">
        <v>46287</v>
      </c>
      <c r="F257" s="343" t="s">
        <v>241</v>
      </c>
      <c r="G257" s="343" t="s">
        <v>176</v>
      </c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287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:27">
      <c r="A258" s="343">
        <v>20260923</v>
      </c>
      <c r="B258" s="343">
        <v>27883.9</v>
      </c>
      <c r="C258" s="343">
        <v>87</v>
      </c>
      <c r="D258" s="343">
        <v>227</v>
      </c>
      <c r="E258" s="384">
        <v>46288</v>
      </c>
      <c r="F258" s="343" t="s">
        <v>242</v>
      </c>
      <c r="G258" s="343" t="s">
        <v>176</v>
      </c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285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:27">
      <c r="A259" s="343">
        <v>20260924</v>
      </c>
      <c r="B259" s="343">
        <v>49915.45</v>
      </c>
      <c r="C259" s="343">
        <v>141</v>
      </c>
      <c r="D259" s="343">
        <v>353</v>
      </c>
      <c r="E259" s="384">
        <v>46289</v>
      </c>
      <c r="F259" s="343" t="s">
        <v>243</v>
      </c>
      <c r="G259" s="343" t="s">
        <v>176</v>
      </c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350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:27">
      <c r="A260" s="343">
        <v>20260925</v>
      </c>
      <c r="B260" s="343">
        <v>78070.55</v>
      </c>
      <c r="C260" s="343">
        <v>259</v>
      </c>
      <c r="D260" s="343">
        <v>679</v>
      </c>
      <c r="E260" s="384">
        <v>46290</v>
      </c>
      <c r="F260" s="343" t="s">
        <v>244</v>
      </c>
      <c r="G260" s="343" t="s">
        <v>176</v>
      </c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343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:27">
      <c r="A261" s="343">
        <v>20260926</v>
      </c>
      <c r="B261" s="343">
        <v>97377.4</v>
      </c>
      <c r="C261" s="343">
        <v>299</v>
      </c>
      <c r="D261" s="343">
        <v>680</v>
      </c>
      <c r="E261" s="384">
        <v>46291</v>
      </c>
      <c r="F261" s="343" t="s">
        <v>252</v>
      </c>
      <c r="G261" s="343" t="s">
        <v>176</v>
      </c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351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:27">
      <c r="A262" s="343">
        <v>20260927</v>
      </c>
      <c r="B262" s="343">
        <v>76289</v>
      </c>
      <c r="C262" s="343">
        <v>326</v>
      </c>
      <c r="D262" s="343">
        <v>570</v>
      </c>
      <c r="E262" s="384">
        <v>46292</v>
      </c>
      <c r="F262" s="343" t="s">
        <v>253</v>
      </c>
      <c r="G262" s="343" t="s">
        <v>176</v>
      </c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301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:27">
      <c r="A263" s="343">
        <v>20260928</v>
      </c>
      <c r="B263" s="343">
        <v>0</v>
      </c>
      <c r="C263" s="343">
        <v>3</v>
      </c>
      <c r="D263" s="343">
        <v>3</v>
      </c>
      <c r="E263" s="384">
        <v>46293</v>
      </c>
      <c r="F263" s="343" t="s">
        <v>240</v>
      </c>
      <c r="G263" s="343" t="s">
        <v>178</v>
      </c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:27">
      <c r="A264" s="343">
        <v>20260929</v>
      </c>
      <c r="B264" s="343">
        <v>52446.3</v>
      </c>
      <c r="C264" s="343">
        <v>84</v>
      </c>
      <c r="D264" s="343">
        <v>274</v>
      </c>
      <c r="E264" s="384">
        <v>46294</v>
      </c>
      <c r="F264" s="343" t="s">
        <v>241</v>
      </c>
      <c r="G264" s="343" t="s">
        <v>178</v>
      </c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353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:27">
      <c r="A265" s="343">
        <v>20260930</v>
      </c>
      <c r="B265" s="343">
        <v>20956.849999999999</v>
      </c>
      <c r="C265" s="343">
        <v>94</v>
      </c>
      <c r="D265" s="343">
        <v>199</v>
      </c>
      <c r="E265" s="384">
        <v>46295</v>
      </c>
      <c r="F265" s="343" t="s">
        <v>242</v>
      </c>
      <c r="G265" s="343" t="s">
        <v>178</v>
      </c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352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:27">
      <c r="A266" s="343">
        <v>20261001</v>
      </c>
      <c r="B266" s="343">
        <v>37100.25</v>
      </c>
      <c r="C266" s="343">
        <v>102</v>
      </c>
      <c r="D266" s="343">
        <v>328</v>
      </c>
      <c r="E266" s="384">
        <v>46296</v>
      </c>
      <c r="F266" s="343" t="s">
        <v>243</v>
      </c>
      <c r="G266" s="343" t="s">
        <v>178</v>
      </c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293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:27">
      <c r="A267" s="343">
        <v>20261002</v>
      </c>
      <c r="B267" s="343">
        <v>51703.05</v>
      </c>
      <c r="C267" s="343">
        <v>219</v>
      </c>
      <c r="D267" s="343">
        <v>451</v>
      </c>
      <c r="E267" s="384">
        <v>46297</v>
      </c>
      <c r="F267" s="343" t="s">
        <v>244</v>
      </c>
      <c r="G267" s="343" t="s">
        <v>178</v>
      </c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347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:27">
      <c r="A268" s="343">
        <v>20261003</v>
      </c>
      <c r="B268" s="343">
        <v>114047.2</v>
      </c>
      <c r="C268" s="343">
        <v>377</v>
      </c>
      <c r="D268" s="343">
        <v>763</v>
      </c>
      <c r="E268" s="384">
        <v>46298</v>
      </c>
      <c r="F268" s="343" t="s">
        <v>252</v>
      </c>
      <c r="G268" s="343" t="s">
        <v>178</v>
      </c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289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:27">
      <c r="A269" s="343">
        <v>20261004</v>
      </c>
      <c r="B269" s="343">
        <v>101304.58</v>
      </c>
      <c r="C269" s="343">
        <v>315</v>
      </c>
      <c r="D269" s="343">
        <v>593</v>
      </c>
      <c r="E269" s="384">
        <v>46299</v>
      </c>
      <c r="F269" s="343" t="s">
        <v>253</v>
      </c>
      <c r="G269" s="343" t="s">
        <v>178</v>
      </c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287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:27">
      <c r="A270" s="343">
        <v>20261005</v>
      </c>
      <c r="B270" s="343">
        <v>2348.21</v>
      </c>
      <c r="C270" s="343">
        <v>7</v>
      </c>
      <c r="D270" s="343">
        <v>5</v>
      </c>
      <c r="E270" s="384">
        <v>46300</v>
      </c>
      <c r="F270" s="343" t="s">
        <v>240</v>
      </c>
      <c r="G270" s="343" t="s">
        <v>101</v>
      </c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285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:27">
      <c r="A271" s="343">
        <v>20261006</v>
      </c>
      <c r="B271" s="343">
        <v>11265.4</v>
      </c>
      <c r="C271" s="343">
        <v>63</v>
      </c>
      <c r="D271" s="343">
        <v>113</v>
      </c>
      <c r="E271" s="384">
        <v>46301</v>
      </c>
      <c r="F271" s="343" t="s">
        <v>241</v>
      </c>
      <c r="G271" s="343" t="s">
        <v>101</v>
      </c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350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:27">
      <c r="A272" s="343">
        <v>20261007</v>
      </c>
      <c r="B272" s="343">
        <v>27140.5</v>
      </c>
      <c r="C272" s="343">
        <v>65</v>
      </c>
      <c r="D272" s="343">
        <v>163</v>
      </c>
      <c r="E272" s="384">
        <v>46302</v>
      </c>
      <c r="F272" s="343" t="s">
        <v>242</v>
      </c>
      <c r="G272" s="343" t="s">
        <v>101</v>
      </c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351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:27">
      <c r="A273" s="343">
        <v>20261008</v>
      </c>
      <c r="B273" s="343">
        <v>35995</v>
      </c>
      <c r="C273" s="343">
        <v>200</v>
      </c>
      <c r="D273" s="343">
        <v>828</v>
      </c>
      <c r="E273" s="384">
        <v>46303</v>
      </c>
      <c r="F273" s="343" t="s">
        <v>243</v>
      </c>
      <c r="G273" s="343" t="s">
        <v>101</v>
      </c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301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:27">
      <c r="A274" s="343">
        <v>20261009</v>
      </c>
      <c r="B274" s="343">
        <v>64725</v>
      </c>
      <c r="C274" s="343">
        <v>212</v>
      </c>
      <c r="D274" s="343">
        <v>497</v>
      </c>
      <c r="E274" s="384">
        <v>46304</v>
      </c>
      <c r="F274" s="343" t="s">
        <v>244</v>
      </c>
      <c r="G274" s="343" t="s">
        <v>101</v>
      </c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:27">
      <c r="A275" s="343">
        <v>20261010</v>
      </c>
      <c r="B275" s="343">
        <v>186998.6</v>
      </c>
      <c r="C275" s="343">
        <v>563</v>
      </c>
      <c r="D275" s="343">
        <v>1064</v>
      </c>
      <c r="E275" s="384">
        <v>46305</v>
      </c>
      <c r="F275" s="343" t="s">
        <v>252</v>
      </c>
      <c r="G275" s="343" t="s">
        <v>101</v>
      </c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352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:27">
      <c r="A276" s="343">
        <v>20261011</v>
      </c>
      <c r="B276" s="343">
        <v>155385.44</v>
      </c>
      <c r="C276" s="343">
        <v>506</v>
      </c>
      <c r="D276" s="343">
        <v>1596</v>
      </c>
      <c r="E276" s="384">
        <v>46306</v>
      </c>
      <c r="F276" s="343" t="s">
        <v>253</v>
      </c>
      <c r="G276" s="343" t="s">
        <v>101</v>
      </c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293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:27"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347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:27"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289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:27"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287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:27"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285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:27"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350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:27"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301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:27"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353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352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173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  <row r="290" spans="17:27">
      <c r="Q290" s="343" t="s">
        <v>171</v>
      </c>
      <c r="R290" s="343" t="s">
        <v>174</v>
      </c>
      <c r="S290" s="384">
        <v>46272</v>
      </c>
      <c r="T290" s="384">
        <v>46278</v>
      </c>
      <c r="U290" s="343" t="s">
        <v>106</v>
      </c>
      <c r="V290" s="343">
        <v>9</v>
      </c>
      <c r="W290" s="343">
        <v>1559.3</v>
      </c>
      <c r="X290" s="343">
        <v>0</v>
      </c>
      <c r="Y290" s="343">
        <v>0</v>
      </c>
      <c r="Z290" s="343">
        <v>1559.3</v>
      </c>
      <c r="AA290" s="343">
        <v>0</v>
      </c>
    </row>
    <row r="291" spans="17:27">
      <c r="Q291" s="343" t="s">
        <v>171</v>
      </c>
      <c r="R291" s="343" t="s">
        <v>175</v>
      </c>
      <c r="S291" s="384">
        <v>46279</v>
      </c>
      <c r="T291" s="384">
        <v>46285</v>
      </c>
      <c r="U291" s="343" t="s">
        <v>106</v>
      </c>
      <c r="V291" s="343">
        <v>6</v>
      </c>
      <c r="W291" s="343">
        <v>1005.6</v>
      </c>
      <c r="X291" s="343">
        <v>0</v>
      </c>
      <c r="Y291" s="343">
        <v>0</v>
      </c>
      <c r="Z291" s="343">
        <v>1005.6</v>
      </c>
      <c r="AA291" s="343">
        <v>0</v>
      </c>
    </row>
    <row r="292" spans="17:27">
      <c r="Q292" s="343" t="s">
        <v>171</v>
      </c>
      <c r="R292" s="343" t="s">
        <v>176</v>
      </c>
      <c r="S292" s="384">
        <v>46286</v>
      </c>
      <c r="T292" s="384">
        <v>46292</v>
      </c>
      <c r="U292" s="343" t="s">
        <v>106</v>
      </c>
      <c r="V292" s="343">
        <v>10</v>
      </c>
      <c r="W292" s="343">
        <v>2663.2</v>
      </c>
      <c r="X292" s="343">
        <v>0</v>
      </c>
      <c r="Y292" s="343">
        <v>0</v>
      </c>
      <c r="Z292" s="343">
        <v>2663.2</v>
      </c>
      <c r="AA292" s="343">
        <v>0</v>
      </c>
    </row>
    <row r="293" spans="17:27">
      <c r="Q293" s="343" t="s">
        <v>76</v>
      </c>
      <c r="R293" s="343" t="s">
        <v>178</v>
      </c>
      <c r="S293" s="384">
        <v>46293</v>
      </c>
      <c r="T293" s="384">
        <v>46299</v>
      </c>
      <c r="U293" s="343" t="s">
        <v>106</v>
      </c>
      <c r="V293" s="343">
        <v>7</v>
      </c>
      <c r="W293" s="343">
        <v>2478.1999999999998</v>
      </c>
      <c r="X293" s="343">
        <v>0</v>
      </c>
      <c r="Y293" s="343">
        <v>0</v>
      </c>
      <c r="Z293" s="343">
        <v>2478.1999999999998</v>
      </c>
      <c r="AA293" s="343">
        <v>0</v>
      </c>
    </row>
    <row r="294" spans="17:27">
      <c r="Q294" s="343" t="s">
        <v>76</v>
      </c>
      <c r="R294" s="343" t="s">
        <v>101</v>
      </c>
      <c r="S294" s="384">
        <v>46300</v>
      </c>
      <c r="T294" s="384">
        <v>46306</v>
      </c>
      <c r="U294" s="343" t="s">
        <v>106</v>
      </c>
      <c r="V294" s="343">
        <v>8</v>
      </c>
      <c r="W294" s="343">
        <v>1180.4000000000001</v>
      </c>
      <c r="X294" s="343">
        <v>0</v>
      </c>
      <c r="Y294" s="343">
        <v>0</v>
      </c>
      <c r="Z294" s="343">
        <v>1180.4000000000001</v>
      </c>
      <c r="AA294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606"/>
  <sheetViews>
    <sheetView topLeftCell="A576" workbookViewId="0">
      <selection activeCell="D268" sqref="D268:D269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242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240</v>
      </c>
      <c r="O2" s="343" t="s">
        <v>290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244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241</v>
      </c>
      <c r="O3" s="343" t="s">
        <v>290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252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242</v>
      </c>
      <c r="O4" s="343" t="s">
        <v>290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242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243</v>
      </c>
      <c r="O5" s="343" t="s">
        <v>290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243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244</v>
      </c>
      <c r="O6" s="343" t="s">
        <v>290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244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252</v>
      </c>
      <c r="O7" s="343" t="s">
        <v>290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252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253</v>
      </c>
      <c r="O8" s="343" t="s">
        <v>290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242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241</v>
      </c>
      <c r="O9" s="343" t="s">
        <v>292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243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242</v>
      </c>
      <c r="O10" s="343" t="s">
        <v>292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244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243</v>
      </c>
      <c r="O11" s="343" t="s">
        <v>292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252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244</v>
      </c>
      <c r="O12" s="343" t="s">
        <v>292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243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252</v>
      </c>
      <c r="O13" s="343" t="s">
        <v>292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244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253</v>
      </c>
      <c r="O14" s="343" t="s">
        <v>292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252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241</v>
      </c>
      <c r="O15" s="343" t="s">
        <v>294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242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242</v>
      </c>
      <c r="O16" s="343" t="s">
        <v>294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243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243</v>
      </c>
      <c r="O17" s="343" t="s">
        <v>294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244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244</v>
      </c>
      <c r="O18" s="343" t="s">
        <v>294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252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252</v>
      </c>
      <c r="O19" s="343" t="s">
        <v>294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242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253</v>
      </c>
      <c r="O20" s="343" t="s">
        <v>294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243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241</v>
      </c>
      <c r="O21" s="343" t="s">
        <v>296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244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242</v>
      </c>
      <c r="O22" s="343" t="s">
        <v>296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252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243</v>
      </c>
      <c r="O23" s="343" t="s">
        <v>296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242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244</v>
      </c>
      <c r="O24" s="343" t="s">
        <v>296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243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252</v>
      </c>
      <c r="O25" s="343" t="s">
        <v>296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244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253</v>
      </c>
      <c r="O26" s="343" t="s">
        <v>296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252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240</v>
      </c>
      <c r="O27" s="343" t="s">
        <v>298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242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241</v>
      </c>
      <c r="O28" s="343" t="s">
        <v>298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243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242</v>
      </c>
      <c r="O29" s="343" t="s">
        <v>298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244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243</v>
      </c>
      <c r="O30" s="343" t="s">
        <v>298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242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244</v>
      </c>
      <c r="O31" s="343" t="s">
        <v>298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243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252</v>
      </c>
      <c r="O32" s="343" t="s">
        <v>298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244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253</v>
      </c>
      <c r="O33" s="343" t="s">
        <v>298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253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240</v>
      </c>
      <c r="O34" s="343" t="s">
        <v>300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241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242</v>
      </c>
      <c r="O35" s="343" t="s">
        <v>300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242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243</v>
      </c>
      <c r="O36" s="343" t="s">
        <v>300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243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244</v>
      </c>
      <c r="O37" s="343" t="s">
        <v>300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244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252</v>
      </c>
      <c r="O38" s="343" t="s">
        <v>300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252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253</v>
      </c>
      <c r="O39" s="343" t="s">
        <v>300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240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241</v>
      </c>
      <c r="O40" s="343" t="s">
        <v>302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241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242</v>
      </c>
      <c r="O41" s="343" t="s">
        <v>302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242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243</v>
      </c>
      <c r="O42" s="343" t="s">
        <v>302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243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244</v>
      </c>
      <c r="O43" s="343" t="s">
        <v>302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244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252</v>
      </c>
      <c r="O44" s="343" t="s">
        <v>302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252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253</v>
      </c>
      <c r="O45" s="343" t="s">
        <v>302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240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241</v>
      </c>
      <c r="O46" s="343" t="s">
        <v>303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241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242</v>
      </c>
      <c r="O47" s="343" t="s">
        <v>303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242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243</v>
      </c>
      <c r="O48" s="343" t="s">
        <v>303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243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244</v>
      </c>
      <c r="O49" s="343" t="s">
        <v>303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244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252</v>
      </c>
      <c r="O50" s="343" t="s">
        <v>303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240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253</v>
      </c>
      <c r="O51" s="343" t="s">
        <v>303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241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240</v>
      </c>
      <c r="O52" s="343" t="s">
        <v>304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242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242</v>
      </c>
      <c r="O53" s="343" t="s">
        <v>304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243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243</v>
      </c>
      <c r="O54" s="343" t="s">
        <v>304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244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244</v>
      </c>
      <c r="O55" s="343" t="s">
        <v>304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252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252</v>
      </c>
      <c r="O56" s="343" t="s">
        <v>304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240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253</v>
      </c>
      <c r="O57" s="343" t="s">
        <v>304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241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240</v>
      </c>
      <c r="O58" s="343" t="s">
        <v>305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242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241</v>
      </c>
      <c r="O59" s="343" t="s">
        <v>305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243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242</v>
      </c>
      <c r="O60" s="343" t="s">
        <v>305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244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243</v>
      </c>
      <c r="O61" s="343" t="s">
        <v>305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240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244</v>
      </c>
      <c r="O62" s="343" t="s">
        <v>305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241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252</v>
      </c>
      <c r="O63" s="343" t="s">
        <v>305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242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253</v>
      </c>
      <c r="O64" s="343" t="s">
        <v>305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243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240</v>
      </c>
      <c r="O65" s="343" t="s">
        <v>306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244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241</v>
      </c>
      <c r="O66" s="343" t="s">
        <v>306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289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252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242</v>
      </c>
      <c r="O67" s="343" t="s">
        <v>306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293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253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243</v>
      </c>
      <c r="O68" s="343" t="s">
        <v>306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347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240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244</v>
      </c>
      <c r="O69" s="343" t="s">
        <v>306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289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241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252</v>
      </c>
      <c r="O70" s="343" t="s">
        <v>306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285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242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253</v>
      </c>
      <c r="O71" s="343" t="s">
        <v>306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293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243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240</v>
      </c>
      <c r="O72" s="343" t="s">
        <v>307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347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244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241</v>
      </c>
      <c r="O73" s="343" t="s">
        <v>307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289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240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242</v>
      </c>
      <c r="O74" s="343" t="s">
        <v>307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287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241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243</v>
      </c>
      <c r="O75" s="343" t="s">
        <v>307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295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242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244</v>
      </c>
      <c r="O76" s="343" t="s">
        <v>307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293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243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252</v>
      </c>
      <c r="O77" s="343" t="s">
        <v>307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347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244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240</v>
      </c>
      <c r="O78" s="343" t="s">
        <v>308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289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253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242</v>
      </c>
      <c r="O79" s="343" t="s">
        <v>308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285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240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243</v>
      </c>
      <c r="O80" s="343" t="s">
        <v>308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295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241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244</v>
      </c>
      <c r="O81" s="343" t="s">
        <v>308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293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242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252</v>
      </c>
      <c r="O82" s="343" t="s">
        <v>308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347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243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253</v>
      </c>
      <c r="O83" s="343" t="s">
        <v>308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289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244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240</v>
      </c>
      <c r="O84" s="343" t="s">
        <v>309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295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252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241</v>
      </c>
      <c r="O85" s="343" t="s">
        <v>309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293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253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242</v>
      </c>
      <c r="O86" s="343" t="s">
        <v>309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347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240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243</v>
      </c>
      <c r="O87" s="343" t="s">
        <v>309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289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241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244</v>
      </c>
      <c r="O88" s="343" t="s">
        <v>309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287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242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252</v>
      </c>
      <c r="O89" s="343" t="s">
        <v>309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285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243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253</v>
      </c>
      <c r="O90" s="343" t="s">
        <v>309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295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244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240</v>
      </c>
      <c r="O91" s="343" t="s">
        <v>310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293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253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241</v>
      </c>
      <c r="O92" s="343" t="s">
        <v>310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347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240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242</v>
      </c>
      <c r="O93" s="343" t="s">
        <v>310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287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241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243</v>
      </c>
      <c r="O94" s="343" t="s">
        <v>310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295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242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244</v>
      </c>
      <c r="O95" s="343" t="s">
        <v>310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293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243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252</v>
      </c>
      <c r="O96" s="343" t="s">
        <v>310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347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244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240</v>
      </c>
      <c r="O97" s="343" t="s">
        <v>311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289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253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241</v>
      </c>
      <c r="O98" s="343" t="s">
        <v>311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285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240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242</v>
      </c>
      <c r="O99" s="343" t="s">
        <v>311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295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241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243</v>
      </c>
      <c r="O100" s="343" t="s">
        <v>311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293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242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244</v>
      </c>
      <c r="O101" s="343" t="s">
        <v>311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347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243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252</v>
      </c>
      <c r="O102" s="343" t="s">
        <v>311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289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244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253</v>
      </c>
      <c r="O103" s="343" t="s">
        <v>311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295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240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240</v>
      </c>
      <c r="O104" s="343" t="s">
        <v>312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293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241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241</v>
      </c>
      <c r="O105" s="343" t="s">
        <v>312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347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242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242</v>
      </c>
      <c r="O106" s="343" t="s">
        <v>312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289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243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243</v>
      </c>
      <c r="O107" s="343" t="s">
        <v>312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295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244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244</v>
      </c>
      <c r="O108" s="343" t="s">
        <v>312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293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252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252</v>
      </c>
      <c r="O109" s="343" t="s">
        <v>312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347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253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240</v>
      </c>
      <c r="O110" s="343" t="s">
        <v>313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289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240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241</v>
      </c>
      <c r="O111" s="343" t="s">
        <v>313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287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241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242</v>
      </c>
      <c r="O112" s="343" t="s">
        <v>313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285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242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243</v>
      </c>
      <c r="O113" s="343" t="s">
        <v>313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295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243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244</v>
      </c>
      <c r="O114" s="343" t="s">
        <v>313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293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244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252</v>
      </c>
      <c r="O115" s="343" t="s">
        <v>313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347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252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253</v>
      </c>
      <c r="O116" s="343" t="s">
        <v>313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289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240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240</v>
      </c>
      <c r="O117" s="343" t="s">
        <v>314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285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241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241</v>
      </c>
      <c r="O118" s="343" t="s">
        <v>314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295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242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242</v>
      </c>
      <c r="O119" s="343" t="s">
        <v>314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293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243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243</v>
      </c>
      <c r="O120" s="343" t="s">
        <v>314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347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244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244</v>
      </c>
      <c r="O121" s="343" t="s">
        <v>314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289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253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252</v>
      </c>
      <c r="O122" s="343" t="s">
        <v>314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240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253</v>
      </c>
      <c r="O123" s="343" t="s">
        <v>314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285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241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240</v>
      </c>
      <c r="O124" s="343" t="s">
        <v>315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295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242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241</v>
      </c>
      <c r="O125" s="343" t="s">
        <v>315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295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243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242</v>
      </c>
      <c r="O126" s="343" t="s">
        <v>315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293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244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243</v>
      </c>
      <c r="O127" s="343" t="s">
        <v>315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347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252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244</v>
      </c>
      <c r="O128" s="343" t="s">
        <v>315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289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253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252</v>
      </c>
      <c r="O129" s="343" t="s">
        <v>315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287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240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253</v>
      </c>
      <c r="O130" s="343" t="s">
        <v>315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295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241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240</v>
      </c>
      <c r="O131" s="343" t="s">
        <v>316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293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242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241</v>
      </c>
      <c r="O132" s="343" t="s">
        <v>316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347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243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242</v>
      </c>
      <c r="O133" s="343" t="s">
        <v>316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289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244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243</v>
      </c>
      <c r="O134" s="343" t="s">
        <v>316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287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252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244</v>
      </c>
      <c r="O135" s="343" t="s">
        <v>316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285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240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252</v>
      </c>
      <c r="O136" s="343" t="s">
        <v>316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295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241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253</v>
      </c>
      <c r="O137" s="343" t="s">
        <v>316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293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242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240</v>
      </c>
      <c r="O138" s="343" t="s">
        <v>317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347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243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241</v>
      </c>
      <c r="O139" s="343" t="s">
        <v>317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289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244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242</v>
      </c>
      <c r="O140" s="343" t="s">
        <v>317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285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252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243</v>
      </c>
      <c r="O141" s="343" t="s">
        <v>317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295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240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244</v>
      </c>
      <c r="O142" s="343" t="s">
        <v>317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293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241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252</v>
      </c>
      <c r="O143" s="343" t="s">
        <v>317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347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242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253</v>
      </c>
      <c r="O144" s="343" t="s">
        <v>317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289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243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240</v>
      </c>
      <c r="O145" s="343" t="s">
        <v>318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285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244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241</v>
      </c>
      <c r="O146" s="343" t="s">
        <v>318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295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240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242</v>
      </c>
      <c r="O147" s="343" t="s">
        <v>318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293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241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243</v>
      </c>
      <c r="O148" s="343" t="s">
        <v>318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347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242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244</v>
      </c>
      <c r="O149" s="343" t="s">
        <v>318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289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243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252</v>
      </c>
      <c r="O150" s="343" t="s">
        <v>318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285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244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253</v>
      </c>
      <c r="O151" s="343" t="s">
        <v>318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295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252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240</v>
      </c>
      <c r="O152" s="343" t="s">
        <v>319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293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240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241</v>
      </c>
      <c r="O153" s="343" t="s">
        <v>319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347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241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242</v>
      </c>
      <c r="O154" s="343" t="s">
        <v>319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289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242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243</v>
      </c>
      <c r="O155" s="343" t="s">
        <v>319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295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243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244</v>
      </c>
      <c r="O156" s="343" t="s">
        <v>319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293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244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252</v>
      </c>
      <c r="O157" s="343" t="s">
        <v>319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347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252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253</v>
      </c>
      <c r="O158" s="343" t="s">
        <v>319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289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240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240</v>
      </c>
      <c r="O159" s="343" t="s">
        <v>320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285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241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241</v>
      </c>
      <c r="O160" s="343" t="s">
        <v>320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295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242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242</v>
      </c>
      <c r="O161" s="343" t="s">
        <v>320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293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243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243</v>
      </c>
      <c r="O162" s="343" t="s">
        <v>320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347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244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244</v>
      </c>
      <c r="O163" s="343" t="s">
        <v>320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289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240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252</v>
      </c>
      <c r="O164" s="343" t="s">
        <v>320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287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241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253</v>
      </c>
      <c r="O165" s="343" t="s">
        <v>320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295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242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240</v>
      </c>
      <c r="O166" s="343" t="s">
        <v>321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293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243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241</v>
      </c>
      <c r="O167" s="343" t="s">
        <v>321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347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244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242</v>
      </c>
      <c r="O168" s="343" t="s">
        <v>321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289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252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243</v>
      </c>
      <c r="O169" s="343" t="s">
        <v>321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285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240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244</v>
      </c>
      <c r="O170" s="343" t="s">
        <v>321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295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241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252</v>
      </c>
      <c r="O171" s="343" t="s">
        <v>321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293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242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253</v>
      </c>
      <c r="O172" s="343" t="s">
        <v>321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347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243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240</v>
      </c>
      <c r="O173" s="343" t="s">
        <v>322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289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244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241</v>
      </c>
      <c r="O174" s="343" t="s">
        <v>322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285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252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242</v>
      </c>
      <c r="O175" s="343" t="s">
        <v>322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295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253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243</v>
      </c>
      <c r="O176" s="343" t="s">
        <v>322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293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240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244</v>
      </c>
      <c r="O177" s="343" t="s">
        <v>322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347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241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252</v>
      </c>
      <c r="O178" s="343" t="s">
        <v>322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289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242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253</v>
      </c>
      <c r="O179" s="343" t="s">
        <v>322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285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243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240</v>
      </c>
      <c r="O180" s="343" t="s">
        <v>323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295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244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241</v>
      </c>
      <c r="O181" s="343" t="s">
        <v>323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293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252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242</v>
      </c>
      <c r="O182" s="343" t="s">
        <v>323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347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240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243</v>
      </c>
      <c r="O183" s="343" t="s">
        <v>323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289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241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244</v>
      </c>
      <c r="O184" s="343" t="s">
        <v>323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285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242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252</v>
      </c>
      <c r="O185" s="343" t="s">
        <v>323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295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243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253</v>
      </c>
      <c r="O186" s="343" t="s">
        <v>323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285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244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240</v>
      </c>
      <c r="O187" s="343" t="s">
        <v>324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350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253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241</v>
      </c>
      <c r="O188" s="343" t="s">
        <v>324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240</v>
      </c>
      <c r="G189" s="343" t="s">
        <v>173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242</v>
      </c>
      <c r="O189" s="343" t="s">
        <v>324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287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241</v>
      </c>
      <c r="G190" s="343" t="s">
        <v>173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243</v>
      </c>
      <c r="O190" s="343" t="s">
        <v>324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350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242</v>
      </c>
      <c r="G191" s="343" t="s">
        <v>173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244</v>
      </c>
      <c r="O191" s="343" t="s">
        <v>324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243</v>
      </c>
      <c r="G192" s="343" t="s">
        <v>173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252</v>
      </c>
      <c r="O192" s="343" t="s">
        <v>324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287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244</v>
      </c>
      <c r="G193" s="343" t="s">
        <v>173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253</v>
      </c>
      <c r="O193" s="343" t="s">
        <v>324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285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252</v>
      </c>
      <c r="G194" s="343" t="s">
        <v>173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240</v>
      </c>
      <c r="O194" s="343" t="s">
        <v>325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350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253</v>
      </c>
      <c r="G195" s="343" t="s">
        <v>173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241</v>
      </c>
      <c r="O195" s="343" t="s">
        <v>325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A196" s="343">
        <v>20260907</v>
      </c>
      <c r="B196" s="343">
        <v>6685</v>
      </c>
      <c r="C196" s="343">
        <v>36</v>
      </c>
      <c r="D196" s="343">
        <v>156</v>
      </c>
      <c r="E196" s="384">
        <v>46272</v>
      </c>
      <c r="F196" s="343" t="s">
        <v>240</v>
      </c>
      <c r="G196" s="343" t="s">
        <v>174</v>
      </c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242</v>
      </c>
      <c r="O196" s="343" t="s">
        <v>325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A197" s="343">
        <v>20260908</v>
      </c>
      <c r="B197" s="343">
        <v>3154.85</v>
      </c>
      <c r="C197" s="343">
        <v>10</v>
      </c>
      <c r="D197" s="343">
        <v>31</v>
      </c>
      <c r="E197" s="384">
        <v>46273</v>
      </c>
      <c r="F197" s="343" t="s">
        <v>241</v>
      </c>
      <c r="G197" s="343" t="s">
        <v>174</v>
      </c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243</v>
      </c>
      <c r="O197" s="343" t="s">
        <v>325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285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A198" s="343">
        <v>20260909</v>
      </c>
      <c r="B198" s="343">
        <v>4522</v>
      </c>
      <c r="C198" s="343">
        <v>28</v>
      </c>
      <c r="D198" s="343">
        <v>71</v>
      </c>
      <c r="E198" s="384">
        <v>46274</v>
      </c>
      <c r="F198" s="343" t="s">
        <v>242</v>
      </c>
      <c r="G198" s="343" t="s">
        <v>174</v>
      </c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244</v>
      </c>
      <c r="O198" s="343" t="s">
        <v>325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350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A199" s="343">
        <v>20260910</v>
      </c>
      <c r="B199" s="343">
        <v>14473.45</v>
      </c>
      <c r="C199" s="343">
        <v>34</v>
      </c>
      <c r="D199" s="343">
        <v>124</v>
      </c>
      <c r="E199" s="384">
        <v>46275</v>
      </c>
      <c r="F199" s="343" t="s">
        <v>243</v>
      </c>
      <c r="G199" s="343" t="s">
        <v>174</v>
      </c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252</v>
      </c>
      <c r="O199" s="343" t="s">
        <v>325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343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A200" s="343">
        <v>20260911</v>
      </c>
      <c r="B200" s="343">
        <v>8454.65</v>
      </c>
      <c r="C200" s="343">
        <v>35</v>
      </c>
      <c r="D200" s="343">
        <v>92</v>
      </c>
      <c r="E200" s="384">
        <v>46276</v>
      </c>
      <c r="F200" s="343" t="s">
        <v>244</v>
      </c>
      <c r="G200" s="343" t="s">
        <v>174</v>
      </c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253</v>
      </c>
      <c r="O200" s="343" t="s">
        <v>325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A201" s="343">
        <v>20260912</v>
      </c>
      <c r="B201" s="343">
        <v>0</v>
      </c>
      <c r="C201" s="343">
        <v>1</v>
      </c>
      <c r="D201" s="343">
        <v>1</v>
      </c>
      <c r="E201" s="384">
        <v>46277</v>
      </c>
      <c r="F201" s="343" t="s">
        <v>252</v>
      </c>
      <c r="G201" s="343" t="s">
        <v>174</v>
      </c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240</v>
      </c>
      <c r="O201" s="343" t="s">
        <v>326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287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A202" s="343">
        <v>20260914</v>
      </c>
      <c r="B202" s="343">
        <v>12492.7</v>
      </c>
      <c r="C202" s="343">
        <v>17</v>
      </c>
      <c r="D202" s="343">
        <v>82</v>
      </c>
      <c r="E202" s="384">
        <v>46279</v>
      </c>
      <c r="F202" s="343" t="s">
        <v>240</v>
      </c>
      <c r="G202" s="343" t="s">
        <v>175</v>
      </c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241</v>
      </c>
      <c r="O202" s="343" t="s">
        <v>326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350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A203" s="343">
        <v>20260915</v>
      </c>
      <c r="B203" s="343">
        <v>8664</v>
      </c>
      <c r="C203" s="343">
        <v>27</v>
      </c>
      <c r="D203" s="343">
        <v>77</v>
      </c>
      <c r="E203" s="384">
        <v>46280</v>
      </c>
      <c r="F203" s="343" t="s">
        <v>241</v>
      </c>
      <c r="G203" s="343" t="s">
        <v>175</v>
      </c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242</v>
      </c>
      <c r="O203" s="343" t="s">
        <v>326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A204" s="343">
        <v>20260916</v>
      </c>
      <c r="B204" s="343">
        <v>10450.06</v>
      </c>
      <c r="C204" s="343">
        <v>37</v>
      </c>
      <c r="D204" s="343">
        <v>131</v>
      </c>
      <c r="E204" s="384">
        <v>46281</v>
      </c>
      <c r="F204" s="343" t="s">
        <v>242</v>
      </c>
      <c r="G204" s="343" t="s">
        <v>175</v>
      </c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243</v>
      </c>
      <c r="O204" s="343" t="s">
        <v>326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287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A205" s="343">
        <v>20260917</v>
      </c>
      <c r="B205" s="343">
        <v>21443.25</v>
      </c>
      <c r="C205" s="343">
        <v>39</v>
      </c>
      <c r="D205" s="343">
        <v>165</v>
      </c>
      <c r="E205" s="384">
        <v>46282</v>
      </c>
      <c r="F205" s="343" t="s">
        <v>243</v>
      </c>
      <c r="G205" s="343" t="s">
        <v>175</v>
      </c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244</v>
      </c>
      <c r="O205" s="343" t="s">
        <v>326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285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A206" s="343">
        <v>20260918</v>
      </c>
      <c r="B206" s="343">
        <v>9904.35</v>
      </c>
      <c r="C206" s="343">
        <v>34</v>
      </c>
      <c r="D206" s="343">
        <v>99</v>
      </c>
      <c r="E206" s="384">
        <v>46283</v>
      </c>
      <c r="F206" s="343" t="s">
        <v>244</v>
      </c>
      <c r="G206" s="343" t="s">
        <v>175</v>
      </c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252</v>
      </c>
      <c r="O206" s="343" t="s">
        <v>326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350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A207" s="343">
        <v>20260919</v>
      </c>
      <c r="B207" s="343">
        <v>0</v>
      </c>
      <c r="C207" s="343">
        <v>2</v>
      </c>
      <c r="D207" s="343">
        <v>1</v>
      </c>
      <c r="E207" s="384">
        <v>46284</v>
      </c>
      <c r="F207" s="343" t="s">
        <v>252</v>
      </c>
      <c r="G207" s="343" t="s">
        <v>175</v>
      </c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253</v>
      </c>
      <c r="O207" s="343" t="s">
        <v>326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A208" s="343">
        <v>20260921</v>
      </c>
      <c r="B208" s="343">
        <v>10103.700000000001</v>
      </c>
      <c r="C208" s="343">
        <v>30</v>
      </c>
      <c r="D208" s="343">
        <v>117</v>
      </c>
      <c r="E208" s="384">
        <v>46286</v>
      </c>
      <c r="F208" s="343" t="s">
        <v>240</v>
      </c>
      <c r="G208" s="343" t="s">
        <v>176</v>
      </c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240</v>
      </c>
      <c r="O208" s="343" t="s">
        <v>327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287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1:27">
      <c r="A209" s="343">
        <v>20260922</v>
      </c>
      <c r="B209" s="343">
        <v>15491.64</v>
      </c>
      <c r="C209" s="343">
        <v>24</v>
      </c>
      <c r="D209" s="343">
        <v>132</v>
      </c>
      <c r="E209" s="384">
        <v>46287</v>
      </c>
      <c r="F209" s="343" t="s">
        <v>241</v>
      </c>
      <c r="G209" s="343" t="s">
        <v>176</v>
      </c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241</v>
      </c>
      <c r="O209" s="343" t="s">
        <v>327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285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1:27">
      <c r="A210" s="343">
        <v>20260923</v>
      </c>
      <c r="B210" s="343">
        <v>10385.85</v>
      </c>
      <c r="C210" s="343">
        <v>27</v>
      </c>
      <c r="D210" s="343">
        <v>154</v>
      </c>
      <c r="E210" s="384">
        <v>46288</v>
      </c>
      <c r="F210" s="343" t="s">
        <v>242</v>
      </c>
      <c r="G210" s="343" t="s">
        <v>176</v>
      </c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242</v>
      </c>
      <c r="O210" s="343" t="s">
        <v>327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350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1:27">
      <c r="A211" s="343">
        <v>20260924</v>
      </c>
      <c r="B211" s="343">
        <v>7318.57</v>
      </c>
      <c r="C211" s="343">
        <v>18</v>
      </c>
      <c r="D211" s="343">
        <v>65</v>
      </c>
      <c r="E211" s="384">
        <v>46289</v>
      </c>
      <c r="F211" s="343" t="s">
        <v>243</v>
      </c>
      <c r="G211" s="343" t="s">
        <v>176</v>
      </c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243</v>
      </c>
      <c r="O211" s="343" t="s">
        <v>327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1:27">
      <c r="A212" s="343">
        <v>20260925</v>
      </c>
      <c r="B212" s="343">
        <v>6823</v>
      </c>
      <c r="C212" s="343">
        <v>33</v>
      </c>
      <c r="D212" s="343">
        <v>97</v>
      </c>
      <c r="E212" s="384">
        <v>46290</v>
      </c>
      <c r="F212" s="343" t="s">
        <v>244</v>
      </c>
      <c r="G212" s="343" t="s">
        <v>176</v>
      </c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244</v>
      </c>
      <c r="O212" s="343" t="s">
        <v>327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350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1:27">
      <c r="A213" s="343">
        <v>20260926</v>
      </c>
      <c r="B213" s="343">
        <v>0</v>
      </c>
      <c r="C213" s="343">
        <v>6</v>
      </c>
      <c r="D213" s="343">
        <v>22</v>
      </c>
      <c r="E213" s="384">
        <v>46291</v>
      </c>
      <c r="F213" s="343" t="s">
        <v>252</v>
      </c>
      <c r="G213" s="343" t="s">
        <v>176</v>
      </c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252</v>
      </c>
      <c r="O213" s="343" t="s">
        <v>327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1:27">
      <c r="A214" s="343">
        <v>20260927</v>
      </c>
      <c r="B214" s="343">
        <v>0</v>
      </c>
      <c r="C214" s="343">
        <v>1</v>
      </c>
      <c r="D214" s="343">
        <v>0</v>
      </c>
      <c r="E214" s="384">
        <v>46292</v>
      </c>
      <c r="F214" s="343" t="s">
        <v>253</v>
      </c>
      <c r="G214" s="343" t="s">
        <v>176</v>
      </c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253</v>
      </c>
      <c r="O214" s="343" t="s">
        <v>327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287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1:27">
      <c r="A215" s="343">
        <v>20260928</v>
      </c>
      <c r="B215" s="343">
        <v>5520.7</v>
      </c>
      <c r="C215" s="343">
        <v>29</v>
      </c>
      <c r="D215" s="343">
        <v>91</v>
      </c>
      <c r="E215" s="384">
        <v>46293</v>
      </c>
      <c r="F215" s="343" t="s">
        <v>240</v>
      </c>
      <c r="G215" s="343" t="s">
        <v>178</v>
      </c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240</v>
      </c>
      <c r="O215" s="343" t="s">
        <v>328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350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1:27">
      <c r="A216" s="343">
        <v>20260929</v>
      </c>
      <c r="B216" s="343">
        <v>16937.55</v>
      </c>
      <c r="C216" s="343">
        <v>4</v>
      </c>
      <c r="D216" s="343">
        <v>100</v>
      </c>
      <c r="E216" s="384">
        <v>46294</v>
      </c>
      <c r="F216" s="343" t="s">
        <v>241</v>
      </c>
      <c r="G216" s="343" t="s">
        <v>178</v>
      </c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241</v>
      </c>
      <c r="O216" s="343" t="s">
        <v>328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1:27">
      <c r="A217" s="343">
        <v>20260930</v>
      </c>
      <c r="B217" s="343">
        <v>7930.65</v>
      </c>
      <c r="C217" s="343">
        <v>26</v>
      </c>
      <c r="D217" s="343">
        <v>77</v>
      </c>
      <c r="E217" s="384">
        <v>46295</v>
      </c>
      <c r="F217" s="343" t="s">
        <v>242</v>
      </c>
      <c r="G217" s="343" t="s">
        <v>178</v>
      </c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242</v>
      </c>
      <c r="O217" s="343" t="s">
        <v>328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350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1:27">
      <c r="A218" s="343">
        <v>20261001</v>
      </c>
      <c r="B218" s="343">
        <v>4764.6000000000004</v>
      </c>
      <c r="C218" s="343">
        <v>21</v>
      </c>
      <c r="D218" s="343">
        <v>64</v>
      </c>
      <c r="E218" s="384">
        <v>46296</v>
      </c>
      <c r="F218" s="343" t="s">
        <v>243</v>
      </c>
      <c r="G218" s="343" t="s">
        <v>178</v>
      </c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243</v>
      </c>
      <c r="O218" s="343" t="s">
        <v>328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1:27">
      <c r="A219" s="343">
        <v>20261002</v>
      </c>
      <c r="B219" s="343">
        <v>12711.45</v>
      </c>
      <c r="C219" s="343">
        <v>39</v>
      </c>
      <c r="D219" s="343">
        <v>127</v>
      </c>
      <c r="E219" s="384">
        <v>46297</v>
      </c>
      <c r="F219" s="343" t="s">
        <v>244</v>
      </c>
      <c r="G219" s="343" t="s">
        <v>178</v>
      </c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244</v>
      </c>
      <c r="O219" s="343" t="s">
        <v>328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287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1:27">
      <c r="A220" s="343">
        <v>20261003</v>
      </c>
      <c r="B220" s="343">
        <v>1794.45</v>
      </c>
      <c r="C220" s="343">
        <v>1</v>
      </c>
      <c r="D220" s="343">
        <v>17</v>
      </c>
      <c r="E220" s="384">
        <v>46298</v>
      </c>
      <c r="F220" s="343" t="s">
        <v>252</v>
      </c>
      <c r="G220" s="343" t="s">
        <v>178</v>
      </c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252</v>
      </c>
      <c r="O220" s="343" t="s">
        <v>328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350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1:27">
      <c r="A221" s="343">
        <v>20261005</v>
      </c>
      <c r="B221" s="343">
        <v>4145.3500000000004</v>
      </c>
      <c r="C221" s="343">
        <v>13</v>
      </c>
      <c r="D221" s="343">
        <v>50</v>
      </c>
      <c r="E221" s="384">
        <v>46300</v>
      </c>
      <c r="F221" s="343" t="s">
        <v>240</v>
      </c>
      <c r="G221" s="343" t="s">
        <v>101</v>
      </c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253</v>
      </c>
      <c r="O221" s="343" t="s">
        <v>328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343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1:27">
      <c r="A222" s="343">
        <v>20261006</v>
      </c>
      <c r="B222" s="343">
        <v>11302.28</v>
      </c>
      <c r="C222" s="343">
        <v>22</v>
      </c>
      <c r="D222" s="343">
        <v>77</v>
      </c>
      <c r="E222" s="384">
        <v>46301</v>
      </c>
      <c r="F222" s="343" t="s">
        <v>241</v>
      </c>
      <c r="G222" s="343" t="s">
        <v>101</v>
      </c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240</v>
      </c>
      <c r="O222" s="343" t="s">
        <v>329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1:27">
      <c r="A223" s="343">
        <v>20261007</v>
      </c>
      <c r="B223" s="343">
        <v>13213.45</v>
      </c>
      <c r="C223" s="343">
        <v>29</v>
      </c>
      <c r="D223" s="343">
        <v>100</v>
      </c>
      <c r="E223" s="384">
        <v>46302</v>
      </c>
      <c r="F223" s="343" t="s">
        <v>242</v>
      </c>
      <c r="G223" s="343" t="s">
        <v>101</v>
      </c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241</v>
      </c>
      <c r="O223" s="343" t="s">
        <v>329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285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1:27">
      <c r="A224" s="343">
        <v>20261008</v>
      </c>
      <c r="B224" s="343">
        <v>9361.65</v>
      </c>
      <c r="C224" s="343">
        <v>18</v>
      </c>
      <c r="D224" s="343">
        <v>53</v>
      </c>
      <c r="E224" s="384">
        <v>46303</v>
      </c>
      <c r="F224" s="343" t="s">
        <v>243</v>
      </c>
      <c r="G224" s="343" t="s">
        <v>101</v>
      </c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242</v>
      </c>
      <c r="O224" s="343" t="s">
        <v>329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350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1:27">
      <c r="A225" s="343">
        <v>20261009</v>
      </c>
      <c r="B225" s="343">
        <v>5828.95</v>
      </c>
      <c r="C225" s="343">
        <v>36</v>
      </c>
      <c r="D225" s="343">
        <v>74</v>
      </c>
      <c r="E225" s="384">
        <v>46304</v>
      </c>
      <c r="F225" s="343" t="s">
        <v>244</v>
      </c>
      <c r="G225" s="343" t="s">
        <v>101</v>
      </c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243</v>
      </c>
      <c r="O225" s="343" t="s">
        <v>329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1:27">
      <c r="A226" s="343">
        <v>20261010</v>
      </c>
      <c r="B226" s="343">
        <v>0</v>
      </c>
      <c r="C226" s="343">
        <v>1</v>
      </c>
      <c r="D226" s="343">
        <v>1</v>
      </c>
      <c r="E226" s="384">
        <v>46305</v>
      </c>
      <c r="F226" s="343" t="s">
        <v>252</v>
      </c>
      <c r="G226" s="343" t="s">
        <v>101</v>
      </c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244</v>
      </c>
      <c r="O226" s="343" t="s">
        <v>329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350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1:27"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252</v>
      </c>
      <c r="O227" s="343" t="s">
        <v>329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1:27"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253</v>
      </c>
      <c r="O228" s="343" t="s">
        <v>329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287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1:27"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240</v>
      </c>
      <c r="O229" s="343" t="s">
        <v>330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350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1:27"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241</v>
      </c>
      <c r="O230" s="343" t="s">
        <v>330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1:27"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242</v>
      </c>
      <c r="O231" s="343" t="s">
        <v>330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287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1:27"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243</v>
      </c>
      <c r="O232" s="343" t="s">
        <v>330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350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1:27"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244</v>
      </c>
      <c r="O233" s="343" t="s">
        <v>330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343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1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252</v>
      </c>
      <c r="O234" s="343" t="s">
        <v>330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1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253</v>
      </c>
      <c r="O235" s="343" t="s">
        <v>330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287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1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240</v>
      </c>
      <c r="O236" s="343" t="s">
        <v>331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350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1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241</v>
      </c>
      <c r="O237" s="343" t="s">
        <v>331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1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242</v>
      </c>
      <c r="O238" s="343" t="s">
        <v>331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287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1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243</v>
      </c>
      <c r="O239" s="343" t="s">
        <v>331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285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1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244</v>
      </c>
      <c r="O240" s="343" t="s">
        <v>331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252</v>
      </c>
      <c r="O241" s="343" t="s">
        <v>331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287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253</v>
      </c>
      <c r="O242" s="343" t="s">
        <v>331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240</v>
      </c>
      <c r="O243" s="343" t="s">
        <v>332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285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241</v>
      </c>
      <c r="O244" s="343" t="s">
        <v>332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350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242</v>
      </c>
      <c r="O245" s="343" t="s">
        <v>332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287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243</v>
      </c>
      <c r="O246" s="343" t="s">
        <v>332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350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244</v>
      </c>
      <c r="O247" s="343" t="s">
        <v>332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252</v>
      </c>
      <c r="O248" s="343" t="s">
        <v>332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287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253</v>
      </c>
      <c r="O249" s="343" t="s">
        <v>332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240</v>
      </c>
      <c r="O250" s="343" t="s">
        <v>333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287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241</v>
      </c>
      <c r="O251" s="343" t="s">
        <v>333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350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242</v>
      </c>
      <c r="O252" s="343" t="s">
        <v>333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243</v>
      </c>
      <c r="O253" s="343" t="s">
        <v>333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287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244</v>
      </c>
      <c r="O254" s="343" t="s">
        <v>333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350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252</v>
      </c>
      <c r="O255" s="343" t="s">
        <v>333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253</v>
      </c>
      <c r="O256" s="343" t="s">
        <v>333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240</v>
      </c>
      <c r="O257" s="343" t="s">
        <v>334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241</v>
      </c>
      <c r="O258" s="343" t="s">
        <v>334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242</v>
      </c>
      <c r="O259" s="343" t="s">
        <v>334</v>
      </c>
      <c r="Q259" s="343" t="s">
        <v>171</v>
      </c>
      <c r="R259" s="343" t="s">
        <v>173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243</v>
      </c>
      <c r="O260" s="343" t="s">
        <v>334</v>
      </c>
      <c r="Q260" s="343" t="s">
        <v>171</v>
      </c>
      <c r="R260" s="343" t="s">
        <v>174</v>
      </c>
      <c r="S260" s="384">
        <v>46272</v>
      </c>
      <c r="T260" s="384">
        <v>46278</v>
      </c>
      <c r="U260" s="343" t="s">
        <v>106</v>
      </c>
      <c r="V260" s="343">
        <v>3</v>
      </c>
      <c r="W260" s="343">
        <v>781.95</v>
      </c>
      <c r="X260" s="343">
        <v>0</v>
      </c>
      <c r="Y260" s="343">
        <v>0</v>
      </c>
      <c r="Z260" s="343">
        <v>781.95</v>
      </c>
      <c r="AA260" s="343">
        <v>0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244</v>
      </c>
      <c r="O261" s="343" t="s">
        <v>334</v>
      </c>
      <c r="Q261" s="343" t="s">
        <v>171</v>
      </c>
      <c r="R261" s="343" t="s">
        <v>175</v>
      </c>
      <c r="S261" s="384">
        <v>46279</v>
      </c>
      <c r="T261" s="384">
        <v>46285</v>
      </c>
      <c r="U261" s="343" t="s">
        <v>106</v>
      </c>
      <c r="V261" s="343">
        <v>7</v>
      </c>
      <c r="W261" s="343">
        <v>1795.11</v>
      </c>
      <c r="X261" s="343">
        <v>0</v>
      </c>
      <c r="Y261" s="343">
        <v>0</v>
      </c>
      <c r="Z261" s="343">
        <v>1795.11</v>
      </c>
      <c r="AA261" s="343">
        <v>0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252</v>
      </c>
      <c r="O262" s="343" t="s">
        <v>334</v>
      </c>
      <c r="Q262" s="343" t="s">
        <v>171</v>
      </c>
      <c r="R262" s="343" t="s">
        <v>176</v>
      </c>
      <c r="S262" s="384">
        <v>46286</v>
      </c>
      <c r="T262" s="384">
        <v>46292</v>
      </c>
      <c r="U262" s="343" t="s">
        <v>106</v>
      </c>
      <c r="V262" s="343">
        <v>11</v>
      </c>
      <c r="W262" s="343">
        <v>2073.54</v>
      </c>
      <c r="X262" s="343">
        <v>0</v>
      </c>
      <c r="Y262" s="343">
        <v>0</v>
      </c>
      <c r="Z262" s="343">
        <v>2073.54</v>
      </c>
      <c r="AA262" s="343">
        <v>0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253</v>
      </c>
      <c r="O263" s="343" t="s">
        <v>334</v>
      </c>
      <c r="Q263" s="343" t="s">
        <v>76</v>
      </c>
      <c r="R263" s="343" t="s">
        <v>178</v>
      </c>
      <c r="S263" s="384">
        <v>46293</v>
      </c>
      <c r="T263" s="384">
        <v>46299</v>
      </c>
      <c r="U263" s="343" t="s">
        <v>106</v>
      </c>
      <c r="V263" s="343">
        <v>10</v>
      </c>
      <c r="W263" s="343">
        <v>4126.8900000000003</v>
      </c>
      <c r="X263" s="343">
        <v>0</v>
      </c>
      <c r="Y263" s="343">
        <v>0</v>
      </c>
      <c r="Z263" s="343">
        <v>4126.8900000000003</v>
      </c>
      <c r="AA263" s="343">
        <v>0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240</v>
      </c>
      <c r="O264" s="343" t="s">
        <v>335</v>
      </c>
      <c r="Q264" s="343" t="s">
        <v>76</v>
      </c>
      <c r="R264" s="343" t="s">
        <v>101</v>
      </c>
      <c r="S264" s="384">
        <v>46300</v>
      </c>
      <c r="T264" s="384">
        <v>46306</v>
      </c>
      <c r="U264" s="343" t="s">
        <v>106</v>
      </c>
      <c r="V264" s="343">
        <v>6</v>
      </c>
      <c r="W264" s="343">
        <v>1303.68</v>
      </c>
      <c r="X264" s="343">
        <v>0</v>
      </c>
      <c r="Y264" s="343">
        <v>0</v>
      </c>
      <c r="Z264" s="343">
        <v>1303.68</v>
      </c>
      <c r="AA264" s="343">
        <v>0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241</v>
      </c>
      <c r="O265" s="343" t="s">
        <v>335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242</v>
      </c>
      <c r="O266" s="343" t="s">
        <v>335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243</v>
      </c>
      <c r="O267" s="343" t="s">
        <v>335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244</v>
      </c>
      <c r="O268" s="343" t="s">
        <v>335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252</v>
      </c>
      <c r="O269" s="343" t="s">
        <v>335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253</v>
      </c>
      <c r="O270" s="343" t="s">
        <v>335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240</v>
      </c>
      <c r="O271" s="343" t="s">
        <v>336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241</v>
      </c>
      <c r="O272" s="343" t="s">
        <v>336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242</v>
      </c>
      <c r="O273" s="343" t="s">
        <v>336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243</v>
      </c>
      <c r="O274" s="343" t="s">
        <v>336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244</v>
      </c>
      <c r="O275" s="343" t="s">
        <v>336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252</v>
      </c>
      <c r="O276" s="343" t="s">
        <v>336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253</v>
      </c>
      <c r="O277" s="343" t="s">
        <v>336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240</v>
      </c>
      <c r="O278" s="343" t="s">
        <v>337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241</v>
      </c>
      <c r="O279" s="343" t="s">
        <v>337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242</v>
      </c>
      <c r="O280" s="343" t="s">
        <v>337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243</v>
      </c>
      <c r="O281" s="343" t="s">
        <v>337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244</v>
      </c>
      <c r="O282" s="343" t="s">
        <v>337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252</v>
      </c>
      <c r="O283" s="343" t="s">
        <v>337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253</v>
      </c>
      <c r="O284" s="343" t="s">
        <v>337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240</v>
      </c>
      <c r="O285" s="343" t="s">
        <v>338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241</v>
      </c>
      <c r="O286" s="343" t="s">
        <v>338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242</v>
      </c>
      <c r="O287" s="343" t="s">
        <v>338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243</v>
      </c>
      <c r="O288" s="343" t="s">
        <v>338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244</v>
      </c>
      <c r="O289" s="343" t="s">
        <v>338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252</v>
      </c>
      <c r="O290" s="343" t="s">
        <v>338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253</v>
      </c>
      <c r="O291" s="343" t="s">
        <v>338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240</v>
      </c>
      <c r="O292" s="343" t="s">
        <v>339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241</v>
      </c>
      <c r="O293" s="343" t="s">
        <v>339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242</v>
      </c>
      <c r="O294" s="343" t="s">
        <v>339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243</v>
      </c>
      <c r="O295" s="343" t="s">
        <v>339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244</v>
      </c>
      <c r="O296" s="343" t="s">
        <v>339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252</v>
      </c>
      <c r="O297" s="343" t="s">
        <v>339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253</v>
      </c>
      <c r="O298" s="343" t="s">
        <v>339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240</v>
      </c>
      <c r="O299" s="343" t="s">
        <v>340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241</v>
      </c>
      <c r="O300" s="343" t="s">
        <v>340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242</v>
      </c>
      <c r="O301" s="343" t="s">
        <v>340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243</v>
      </c>
      <c r="O302" s="343" t="s">
        <v>340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244</v>
      </c>
      <c r="O303" s="343" t="s">
        <v>340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252</v>
      </c>
      <c r="O304" s="343" t="s">
        <v>340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253</v>
      </c>
      <c r="O305" s="343" t="s">
        <v>340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240</v>
      </c>
      <c r="O306" s="343" t="s">
        <v>341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241</v>
      </c>
      <c r="O307" s="343" t="s">
        <v>341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242</v>
      </c>
      <c r="O308" s="343" t="s">
        <v>341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243</v>
      </c>
      <c r="O309" s="343" t="s">
        <v>341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244</v>
      </c>
      <c r="O310" s="343" t="s">
        <v>341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252</v>
      </c>
      <c r="O311" s="343" t="s">
        <v>341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253</v>
      </c>
      <c r="O312" s="343" t="s">
        <v>341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240</v>
      </c>
      <c r="O313" s="343" t="s">
        <v>342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241</v>
      </c>
      <c r="O314" s="343" t="s">
        <v>342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242</v>
      </c>
      <c r="O315" s="343" t="s">
        <v>342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243</v>
      </c>
      <c r="O316" s="343" t="s">
        <v>342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244</v>
      </c>
      <c r="O317" s="343" t="s">
        <v>342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252</v>
      </c>
      <c r="O318" s="343" t="s">
        <v>342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253</v>
      </c>
      <c r="O319" s="343" t="s">
        <v>342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240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241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242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243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244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252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253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240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241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242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243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244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252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253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240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241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242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243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244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252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253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240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241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242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243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244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252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253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240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241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242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243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244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252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253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240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241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242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243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244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252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253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240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241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242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243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244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252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253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240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241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242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243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244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252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253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240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241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242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243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244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252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253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240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241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242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243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244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252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253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240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241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242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243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244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252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253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240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241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242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243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244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252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253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240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241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242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243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244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252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253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240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241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242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243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244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252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253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240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241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242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243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244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252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253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240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241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242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243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244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252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253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240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241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242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243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244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252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253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240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241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242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243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244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252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253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240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241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242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243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244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252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253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240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241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242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243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244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252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253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240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241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242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243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244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252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253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240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241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242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243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244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252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253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240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241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242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243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244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252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253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240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241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242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243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244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252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253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240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241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242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243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244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252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253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240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241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242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243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244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252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253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240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241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242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243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244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252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253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240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241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242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243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244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252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253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240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241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242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243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244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252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253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240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241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242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243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244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252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253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240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241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242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243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244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252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253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240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241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242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243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244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252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253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240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241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242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243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244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252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253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240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241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242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243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244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252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253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240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241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242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243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244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252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253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240</v>
      </c>
      <c r="O565" s="343" t="s">
        <v>173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241</v>
      </c>
      <c r="O566" s="343" t="s">
        <v>173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242</v>
      </c>
      <c r="O567" s="343" t="s">
        <v>173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243</v>
      </c>
      <c r="O568" s="343" t="s">
        <v>173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244</v>
      </c>
      <c r="O569" s="343" t="s">
        <v>173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252</v>
      </c>
      <c r="O570" s="343" t="s">
        <v>173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253</v>
      </c>
      <c r="O571" s="343" t="s">
        <v>173</v>
      </c>
    </row>
    <row r="572" spans="9:15">
      <c r="I572" s="343">
        <v>20260907</v>
      </c>
      <c r="J572" s="343">
        <v>17499</v>
      </c>
      <c r="K572" s="343">
        <v>62</v>
      </c>
      <c r="L572" s="343">
        <v>161</v>
      </c>
      <c r="M572" s="384">
        <v>46272</v>
      </c>
      <c r="N572" s="343" t="s">
        <v>240</v>
      </c>
      <c r="O572" s="343" t="s">
        <v>174</v>
      </c>
    </row>
    <row r="573" spans="9:15">
      <c r="I573" s="343">
        <v>20260908</v>
      </c>
      <c r="J573" s="343">
        <v>18332.25</v>
      </c>
      <c r="K573" s="343">
        <v>56</v>
      </c>
      <c r="L573" s="343">
        <v>139</v>
      </c>
      <c r="M573" s="384">
        <v>46273</v>
      </c>
      <c r="N573" s="343" t="s">
        <v>241</v>
      </c>
      <c r="O573" s="343" t="s">
        <v>174</v>
      </c>
    </row>
    <row r="574" spans="9:15">
      <c r="I574" s="343">
        <v>20260909</v>
      </c>
      <c r="J574" s="343">
        <v>25762.75</v>
      </c>
      <c r="K574" s="343">
        <v>78</v>
      </c>
      <c r="L574" s="343">
        <v>202</v>
      </c>
      <c r="M574" s="384">
        <v>46274</v>
      </c>
      <c r="N574" s="343" t="s">
        <v>242</v>
      </c>
      <c r="O574" s="343" t="s">
        <v>174</v>
      </c>
    </row>
    <row r="575" spans="9:15">
      <c r="I575" s="343">
        <v>20260910</v>
      </c>
      <c r="J575" s="343">
        <v>23491.16</v>
      </c>
      <c r="K575" s="343">
        <v>98</v>
      </c>
      <c r="L575" s="343">
        <v>222</v>
      </c>
      <c r="M575" s="384">
        <v>46275</v>
      </c>
      <c r="N575" s="343" t="s">
        <v>243</v>
      </c>
      <c r="O575" s="343" t="s">
        <v>174</v>
      </c>
    </row>
    <row r="576" spans="9:15">
      <c r="I576" s="343">
        <v>20260911</v>
      </c>
      <c r="J576" s="343">
        <v>45822</v>
      </c>
      <c r="K576" s="343">
        <v>169</v>
      </c>
      <c r="L576" s="343">
        <v>371</v>
      </c>
      <c r="M576" s="384">
        <v>46276</v>
      </c>
      <c r="N576" s="343" t="s">
        <v>244</v>
      </c>
      <c r="O576" s="343" t="s">
        <v>174</v>
      </c>
    </row>
    <row r="577" spans="9:15">
      <c r="I577" s="343">
        <v>20260912</v>
      </c>
      <c r="J577" s="343">
        <v>59069.74</v>
      </c>
      <c r="K577" s="343">
        <v>219</v>
      </c>
      <c r="L577" s="343">
        <v>719</v>
      </c>
      <c r="M577" s="384">
        <v>46277</v>
      </c>
      <c r="N577" s="343" t="s">
        <v>252</v>
      </c>
      <c r="O577" s="343" t="s">
        <v>174</v>
      </c>
    </row>
    <row r="578" spans="9:15">
      <c r="I578" s="343">
        <v>20260913</v>
      </c>
      <c r="J578" s="343">
        <v>17525.75</v>
      </c>
      <c r="K578" s="343">
        <v>55</v>
      </c>
      <c r="L578" s="343">
        <v>161</v>
      </c>
      <c r="M578" s="384">
        <v>46278</v>
      </c>
      <c r="N578" s="343" t="s">
        <v>253</v>
      </c>
      <c r="O578" s="343" t="s">
        <v>174</v>
      </c>
    </row>
    <row r="579" spans="9:15">
      <c r="I579" s="343">
        <v>20260914</v>
      </c>
      <c r="J579" s="343">
        <v>22945.75</v>
      </c>
      <c r="K579" s="343">
        <v>73</v>
      </c>
      <c r="L579" s="343">
        <v>204</v>
      </c>
      <c r="M579" s="384">
        <v>46279</v>
      </c>
      <c r="N579" s="343" t="s">
        <v>240</v>
      </c>
      <c r="O579" s="343" t="s">
        <v>175</v>
      </c>
    </row>
    <row r="580" spans="9:15">
      <c r="I580" s="343">
        <v>20260915</v>
      </c>
      <c r="J580" s="343">
        <v>20371.75</v>
      </c>
      <c r="K580" s="343">
        <v>80</v>
      </c>
      <c r="L580" s="343">
        <v>184</v>
      </c>
      <c r="M580" s="384">
        <v>46280</v>
      </c>
      <c r="N580" s="343" t="s">
        <v>241</v>
      </c>
      <c r="O580" s="343" t="s">
        <v>175</v>
      </c>
    </row>
    <row r="581" spans="9:15">
      <c r="I581" s="343">
        <v>20260916</v>
      </c>
      <c r="J581" s="343">
        <v>26911.25</v>
      </c>
      <c r="K581" s="343">
        <v>94</v>
      </c>
      <c r="L581" s="343">
        <v>247</v>
      </c>
      <c r="M581" s="384">
        <v>46281</v>
      </c>
      <c r="N581" s="343" t="s">
        <v>242</v>
      </c>
      <c r="O581" s="343" t="s">
        <v>175</v>
      </c>
    </row>
    <row r="582" spans="9:15">
      <c r="I582" s="343">
        <v>20260917</v>
      </c>
      <c r="J582" s="343">
        <v>30880</v>
      </c>
      <c r="K582" s="343">
        <v>114</v>
      </c>
      <c r="L582" s="343">
        <v>268</v>
      </c>
      <c r="M582" s="384">
        <v>46282</v>
      </c>
      <c r="N582" s="343" t="s">
        <v>243</v>
      </c>
      <c r="O582" s="343" t="s">
        <v>175</v>
      </c>
    </row>
    <row r="583" spans="9:15">
      <c r="I583" s="343">
        <v>20260918</v>
      </c>
      <c r="J583" s="343">
        <v>57627.5</v>
      </c>
      <c r="K583" s="343">
        <v>235</v>
      </c>
      <c r="L583" s="343">
        <v>535</v>
      </c>
      <c r="M583" s="384">
        <v>46283</v>
      </c>
      <c r="N583" s="343" t="s">
        <v>244</v>
      </c>
      <c r="O583" s="343" t="s">
        <v>175</v>
      </c>
    </row>
    <row r="584" spans="9:15">
      <c r="I584" s="343">
        <v>20260919</v>
      </c>
      <c r="J584" s="343">
        <v>62440</v>
      </c>
      <c r="K584" s="343">
        <v>209</v>
      </c>
      <c r="L584" s="343">
        <v>560</v>
      </c>
      <c r="M584" s="384">
        <v>46284</v>
      </c>
      <c r="N584" s="343" t="s">
        <v>252</v>
      </c>
      <c r="O584" s="343" t="s">
        <v>175</v>
      </c>
    </row>
    <row r="585" spans="9:15">
      <c r="I585" s="343">
        <v>20260920</v>
      </c>
      <c r="J585" s="343">
        <v>16685</v>
      </c>
      <c r="K585" s="343">
        <v>54</v>
      </c>
      <c r="L585" s="343">
        <v>153</v>
      </c>
      <c r="M585" s="384">
        <v>46285</v>
      </c>
      <c r="N585" s="343" t="s">
        <v>253</v>
      </c>
      <c r="O585" s="343" t="s">
        <v>175</v>
      </c>
    </row>
    <row r="586" spans="9:15">
      <c r="I586" s="343">
        <v>20260921</v>
      </c>
      <c r="J586" s="343">
        <v>20570.25</v>
      </c>
      <c r="K586" s="343">
        <v>66</v>
      </c>
      <c r="L586" s="343">
        <v>155</v>
      </c>
      <c r="M586" s="384">
        <v>46286</v>
      </c>
      <c r="N586" s="343" t="s">
        <v>240</v>
      </c>
      <c r="O586" s="343" t="s">
        <v>176</v>
      </c>
    </row>
    <row r="587" spans="9:15">
      <c r="I587" s="343">
        <v>20260922</v>
      </c>
      <c r="J587" s="343">
        <v>27439</v>
      </c>
      <c r="K587" s="343">
        <v>80</v>
      </c>
      <c r="L587" s="343">
        <v>202</v>
      </c>
      <c r="M587" s="384">
        <v>46287</v>
      </c>
      <c r="N587" s="343" t="s">
        <v>241</v>
      </c>
      <c r="O587" s="343" t="s">
        <v>176</v>
      </c>
    </row>
    <row r="588" spans="9:15">
      <c r="I588" s="343">
        <v>20260923</v>
      </c>
      <c r="J588" s="343">
        <v>28863.15</v>
      </c>
      <c r="K588" s="343">
        <v>112</v>
      </c>
      <c r="L588" s="343">
        <v>262</v>
      </c>
      <c r="M588" s="384">
        <v>46288</v>
      </c>
      <c r="N588" s="343" t="s">
        <v>242</v>
      </c>
      <c r="O588" s="343" t="s">
        <v>176</v>
      </c>
    </row>
    <row r="589" spans="9:15">
      <c r="I589" s="343">
        <v>20260924</v>
      </c>
      <c r="J589" s="343">
        <v>48546.879999999997</v>
      </c>
      <c r="K589" s="343">
        <v>133</v>
      </c>
      <c r="L589" s="343">
        <v>345</v>
      </c>
      <c r="M589" s="384">
        <v>46289</v>
      </c>
      <c r="N589" s="343" t="s">
        <v>243</v>
      </c>
      <c r="O589" s="343" t="s">
        <v>176</v>
      </c>
    </row>
    <row r="590" spans="9:15">
      <c r="I590" s="343">
        <v>20260925</v>
      </c>
      <c r="J590" s="343">
        <v>60252</v>
      </c>
      <c r="K590" s="343">
        <v>238</v>
      </c>
      <c r="L590" s="343">
        <v>537</v>
      </c>
      <c r="M590" s="384">
        <v>46290</v>
      </c>
      <c r="N590" s="343" t="s">
        <v>244</v>
      </c>
      <c r="O590" s="343" t="s">
        <v>176</v>
      </c>
    </row>
    <row r="591" spans="9:15">
      <c r="I591" s="343">
        <v>20260926</v>
      </c>
      <c r="J591" s="343">
        <v>66186</v>
      </c>
      <c r="K591" s="343">
        <v>243</v>
      </c>
      <c r="L591" s="343">
        <v>1431</v>
      </c>
      <c r="M591" s="384">
        <v>46291</v>
      </c>
      <c r="N591" s="343" t="s">
        <v>252</v>
      </c>
      <c r="O591" s="343" t="s">
        <v>176</v>
      </c>
    </row>
    <row r="592" spans="9:15">
      <c r="I592" s="343">
        <v>20260927</v>
      </c>
      <c r="J592" s="343">
        <v>18098.5</v>
      </c>
      <c r="K592" s="343">
        <v>62</v>
      </c>
      <c r="L592" s="343">
        <v>157</v>
      </c>
      <c r="M592" s="384">
        <v>46292</v>
      </c>
      <c r="N592" s="343" t="s">
        <v>253</v>
      </c>
      <c r="O592" s="343" t="s">
        <v>176</v>
      </c>
    </row>
    <row r="593" spans="9:15">
      <c r="I593" s="343">
        <v>20260928</v>
      </c>
      <c r="J593" s="343">
        <v>45380.75</v>
      </c>
      <c r="K593" s="343">
        <v>69</v>
      </c>
      <c r="L593" s="343">
        <v>235</v>
      </c>
      <c r="M593" s="384">
        <v>46293</v>
      </c>
      <c r="N593" s="343" t="s">
        <v>240</v>
      </c>
      <c r="O593" s="343" t="s">
        <v>178</v>
      </c>
    </row>
    <row r="594" spans="9:15">
      <c r="I594" s="343">
        <v>20260929</v>
      </c>
      <c r="J594" s="343">
        <v>19778</v>
      </c>
      <c r="K594" s="343">
        <v>66</v>
      </c>
      <c r="L594" s="343">
        <v>143</v>
      </c>
      <c r="M594" s="384">
        <v>46294</v>
      </c>
      <c r="N594" s="343" t="s">
        <v>241</v>
      </c>
      <c r="O594" s="343" t="s">
        <v>178</v>
      </c>
    </row>
    <row r="595" spans="9:15">
      <c r="I595" s="343">
        <v>20260930</v>
      </c>
      <c r="J595" s="343">
        <v>22482.5</v>
      </c>
      <c r="K595" s="343">
        <v>72</v>
      </c>
      <c r="L595" s="343">
        <v>181</v>
      </c>
      <c r="M595" s="384">
        <v>46295</v>
      </c>
      <c r="N595" s="343" t="s">
        <v>242</v>
      </c>
      <c r="O595" s="343" t="s">
        <v>178</v>
      </c>
    </row>
    <row r="596" spans="9:15">
      <c r="I596" s="343">
        <v>20261001</v>
      </c>
      <c r="J596" s="343">
        <v>67998.09</v>
      </c>
      <c r="K596" s="343">
        <v>70</v>
      </c>
      <c r="L596" s="343">
        <v>276</v>
      </c>
      <c r="M596" s="384">
        <v>46296</v>
      </c>
      <c r="N596" s="343" t="s">
        <v>243</v>
      </c>
      <c r="O596" s="343" t="s">
        <v>178</v>
      </c>
    </row>
    <row r="597" spans="9:15">
      <c r="I597" s="343">
        <v>20261002</v>
      </c>
      <c r="J597" s="343">
        <v>55495.6</v>
      </c>
      <c r="K597" s="343">
        <v>194</v>
      </c>
      <c r="L597" s="343">
        <v>447</v>
      </c>
      <c r="M597" s="384">
        <v>46297</v>
      </c>
      <c r="N597" s="343" t="s">
        <v>244</v>
      </c>
      <c r="O597" s="343" t="s">
        <v>178</v>
      </c>
    </row>
    <row r="598" spans="9:15">
      <c r="I598" s="343">
        <v>20261003</v>
      </c>
      <c r="J598" s="343">
        <v>69573.91</v>
      </c>
      <c r="K598" s="343">
        <v>242</v>
      </c>
      <c r="L598" s="343">
        <v>554</v>
      </c>
      <c r="M598" s="384">
        <v>46298</v>
      </c>
      <c r="N598" s="343" t="s">
        <v>252</v>
      </c>
      <c r="O598" s="343" t="s">
        <v>178</v>
      </c>
    </row>
    <row r="599" spans="9:15">
      <c r="I599" s="343">
        <v>20261004</v>
      </c>
      <c r="J599" s="343">
        <v>15404.5</v>
      </c>
      <c r="K599" s="343">
        <v>45</v>
      </c>
      <c r="L599" s="343">
        <v>111</v>
      </c>
      <c r="M599" s="384">
        <v>46299</v>
      </c>
      <c r="N599" s="343" t="s">
        <v>253</v>
      </c>
      <c r="O599" s="343" t="s">
        <v>178</v>
      </c>
    </row>
    <row r="600" spans="9:15">
      <c r="I600" s="343">
        <v>20261005</v>
      </c>
      <c r="J600" s="343">
        <v>22427.25</v>
      </c>
      <c r="K600" s="343">
        <v>76</v>
      </c>
      <c r="L600" s="343">
        <v>191</v>
      </c>
      <c r="M600" s="384">
        <v>46300</v>
      </c>
      <c r="N600" s="343" t="s">
        <v>240</v>
      </c>
      <c r="O600" s="343" t="s">
        <v>101</v>
      </c>
    </row>
    <row r="601" spans="9:15">
      <c r="I601" s="343">
        <v>20261006</v>
      </c>
      <c r="J601" s="343">
        <v>21517</v>
      </c>
      <c r="K601" s="343">
        <v>66</v>
      </c>
      <c r="L601" s="343">
        <v>851</v>
      </c>
      <c r="M601" s="384">
        <v>46301</v>
      </c>
      <c r="N601" s="343" t="s">
        <v>241</v>
      </c>
      <c r="O601" s="343" t="s">
        <v>101</v>
      </c>
    </row>
    <row r="602" spans="9:15">
      <c r="I602" s="343">
        <v>20261007</v>
      </c>
      <c r="J602" s="343">
        <v>23486.5</v>
      </c>
      <c r="K602" s="343">
        <v>77</v>
      </c>
      <c r="L602" s="343">
        <v>182</v>
      </c>
      <c r="M602" s="384">
        <v>46302</v>
      </c>
      <c r="N602" s="343" t="s">
        <v>242</v>
      </c>
      <c r="O602" s="343" t="s">
        <v>101</v>
      </c>
    </row>
    <row r="603" spans="9:15">
      <c r="I603" s="343">
        <v>20261008</v>
      </c>
      <c r="J603" s="343">
        <v>31654.25</v>
      </c>
      <c r="K603" s="343">
        <v>121</v>
      </c>
      <c r="L603" s="343">
        <v>290</v>
      </c>
      <c r="M603" s="384">
        <v>46303</v>
      </c>
      <c r="N603" s="343" t="s">
        <v>243</v>
      </c>
      <c r="O603" s="343" t="s">
        <v>101</v>
      </c>
    </row>
    <row r="604" spans="9:15">
      <c r="I604" s="343">
        <v>20261009</v>
      </c>
      <c r="J604" s="343">
        <v>53569.75</v>
      </c>
      <c r="K604" s="343">
        <v>193</v>
      </c>
      <c r="L604" s="343">
        <v>503</v>
      </c>
      <c r="M604" s="384">
        <v>46304</v>
      </c>
      <c r="N604" s="343" t="s">
        <v>244</v>
      </c>
      <c r="O604" s="343" t="s">
        <v>101</v>
      </c>
    </row>
    <row r="605" spans="9:15">
      <c r="I605" s="343">
        <v>20261010</v>
      </c>
      <c r="J605" s="343">
        <v>60789</v>
      </c>
      <c r="K605" s="343">
        <v>230</v>
      </c>
      <c r="L605" s="343">
        <v>547</v>
      </c>
      <c r="M605" s="384">
        <v>46305</v>
      </c>
      <c r="N605" s="343" t="s">
        <v>252</v>
      </c>
      <c r="O605" s="343" t="s">
        <v>101</v>
      </c>
    </row>
    <row r="606" spans="9:15">
      <c r="I606" s="343">
        <v>20261011</v>
      </c>
      <c r="J606" s="343">
        <v>29222</v>
      </c>
      <c r="K606" s="343">
        <v>92</v>
      </c>
      <c r="L606" s="343">
        <v>238</v>
      </c>
      <c r="M606" s="384">
        <v>46306</v>
      </c>
      <c r="N606" s="343" t="s">
        <v>253</v>
      </c>
      <c r="O606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80"/>
  <sheetViews>
    <sheetView topLeftCell="A74" workbookViewId="0">
      <selection activeCell="L75" sqref="L7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240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252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241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253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242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252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243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253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244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252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252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253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253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252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240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253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242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252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243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253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244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252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252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253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253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252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241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253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242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252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243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253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244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252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252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253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253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252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240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253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241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252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242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253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243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252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244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253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252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240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253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252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240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253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241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252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242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253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243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252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244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253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252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252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253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253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240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252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241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253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242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252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243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253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244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252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252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253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253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252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240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253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241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252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242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253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243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252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244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253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252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252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253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253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242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252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243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253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244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252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252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253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253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252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241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253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242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252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243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253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244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240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252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252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253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253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240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252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241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253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242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252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243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253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244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252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252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253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253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252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240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253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241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252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242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253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243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252</v>
      </c>
      <c r="O70" s="343" t="s">
        <v>173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244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253</v>
      </c>
      <c r="O71" s="343" t="s">
        <v>173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252</v>
      </c>
      <c r="G72" s="343" t="s">
        <v>136</v>
      </c>
      <c r="I72" s="343">
        <v>20260912</v>
      </c>
      <c r="J72" s="343">
        <v>9652.23</v>
      </c>
      <c r="K72" s="343">
        <v>39</v>
      </c>
      <c r="L72" s="343">
        <v>118</v>
      </c>
      <c r="M72" s="384">
        <v>46277</v>
      </c>
      <c r="N72" s="343" t="s">
        <v>252</v>
      </c>
      <c r="O72" s="343" t="s">
        <v>174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253</v>
      </c>
      <c r="G73" s="343" t="s">
        <v>136</v>
      </c>
      <c r="I73" s="343">
        <v>20260913</v>
      </c>
      <c r="J73" s="343">
        <v>15844.89</v>
      </c>
      <c r="K73" s="343">
        <v>64</v>
      </c>
      <c r="L73" s="343">
        <v>202</v>
      </c>
      <c r="M73" s="384">
        <v>46278</v>
      </c>
      <c r="N73" s="343" t="s">
        <v>253</v>
      </c>
      <c r="O73" s="343" t="s">
        <v>174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240</v>
      </c>
      <c r="G74" s="343" t="s">
        <v>137</v>
      </c>
      <c r="I74" s="343">
        <v>20260919</v>
      </c>
      <c r="J74" s="343">
        <v>20274.39</v>
      </c>
      <c r="K74" s="343">
        <v>57</v>
      </c>
      <c r="L74" s="343">
        <v>210</v>
      </c>
      <c r="M74" s="384">
        <v>46284</v>
      </c>
      <c r="N74" s="343" t="s">
        <v>252</v>
      </c>
      <c r="O74" s="343" t="s">
        <v>175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241</v>
      </c>
      <c r="G75" s="343" t="s">
        <v>137</v>
      </c>
      <c r="I75" s="343">
        <v>20260920</v>
      </c>
      <c r="J75" s="343">
        <v>18741.05</v>
      </c>
      <c r="K75" s="343">
        <v>76</v>
      </c>
      <c r="L75" s="343">
        <v>231</v>
      </c>
      <c r="M75" s="384">
        <v>46285</v>
      </c>
      <c r="N75" s="343" t="s">
        <v>253</v>
      </c>
      <c r="O75" s="343" t="s">
        <v>175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242</v>
      </c>
      <c r="G76" s="343" t="s">
        <v>137</v>
      </c>
      <c r="I76" s="343">
        <v>20260926</v>
      </c>
      <c r="J76" s="343">
        <v>23721.56</v>
      </c>
      <c r="K76" s="343">
        <v>47</v>
      </c>
      <c r="L76" s="343">
        <v>185</v>
      </c>
      <c r="M76" s="384">
        <v>46291</v>
      </c>
      <c r="N76" s="343" t="s">
        <v>252</v>
      </c>
      <c r="O76" s="343" t="s">
        <v>176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243</v>
      </c>
      <c r="G77" s="343" t="s">
        <v>137</v>
      </c>
      <c r="I77" s="343">
        <v>20260927</v>
      </c>
      <c r="J77" s="343">
        <v>18748.34</v>
      </c>
      <c r="K77" s="343">
        <v>74</v>
      </c>
      <c r="L77" s="343">
        <v>219</v>
      </c>
      <c r="M77" s="384">
        <v>46292</v>
      </c>
      <c r="N77" s="343" t="s">
        <v>253</v>
      </c>
      <c r="O77" s="343" t="s">
        <v>176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244</v>
      </c>
      <c r="G78" s="343" t="s">
        <v>137</v>
      </c>
      <c r="I78" s="343">
        <v>20261003</v>
      </c>
      <c r="J78" s="343">
        <v>19227.97</v>
      </c>
      <c r="K78" s="343">
        <v>46</v>
      </c>
      <c r="L78" s="343">
        <v>212</v>
      </c>
      <c r="M78" s="384">
        <v>46298</v>
      </c>
      <c r="N78" s="343" t="s">
        <v>252</v>
      </c>
      <c r="O78" s="343" t="s">
        <v>178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252</v>
      </c>
      <c r="G79" s="343" t="s">
        <v>137</v>
      </c>
      <c r="I79" s="343">
        <v>20261004</v>
      </c>
      <c r="J79" s="343">
        <v>17492.75</v>
      </c>
      <c r="K79" s="343">
        <v>60</v>
      </c>
      <c r="L79" s="343">
        <v>220</v>
      </c>
      <c r="M79" s="384">
        <v>46299</v>
      </c>
      <c r="N79" s="343" t="s">
        <v>253</v>
      </c>
      <c r="O79" s="343" t="s">
        <v>178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253</v>
      </c>
      <c r="G80" s="343" t="s">
        <v>137</v>
      </c>
      <c r="I80" s="343">
        <v>20261010</v>
      </c>
      <c r="J80" s="343">
        <v>6349.8</v>
      </c>
      <c r="K80" s="343">
        <v>32</v>
      </c>
      <c r="L80" s="343">
        <v>90</v>
      </c>
      <c r="M80" s="384">
        <v>46305</v>
      </c>
      <c r="N80" s="343" t="s">
        <v>252</v>
      </c>
      <c r="O80" s="343" t="s">
        <v>101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240</v>
      </c>
      <c r="G81" s="343" t="s">
        <v>138</v>
      </c>
      <c r="I81" s="343">
        <v>20261011</v>
      </c>
      <c r="J81" s="343">
        <v>19500.18</v>
      </c>
      <c r="K81" s="343">
        <v>63</v>
      </c>
      <c r="L81" s="343">
        <v>242</v>
      </c>
      <c r="M81" s="384">
        <v>46306</v>
      </c>
      <c r="N81" s="343" t="s">
        <v>253</v>
      </c>
      <c r="O81" s="343" t="s">
        <v>101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242</v>
      </c>
      <c r="G82" s="343" t="s">
        <v>138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243</v>
      </c>
      <c r="G83" s="343" t="s">
        <v>138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244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252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253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240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241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242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243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244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252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253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242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243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244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252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253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240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241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242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243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244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252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253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240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241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242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243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244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252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253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240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241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242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243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244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252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253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240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241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242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243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244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252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253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240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241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242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243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244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252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253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240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241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242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243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244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252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253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240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241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242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243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244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252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253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240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241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242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243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244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252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253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240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241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242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243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244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252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253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240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241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242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295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243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293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244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347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252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289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253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287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240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285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241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350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242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343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243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244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295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252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293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253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347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240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289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241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287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242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285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243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350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244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252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295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253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293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240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347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241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289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242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287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243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285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244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252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295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253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293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240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347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241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289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242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287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243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285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350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252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253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295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240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293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241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347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242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289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243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287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244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285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252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350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253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240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295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241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293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242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347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243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289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244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287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252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285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253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350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240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241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295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242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293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243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347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244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289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252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287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253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285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240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350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241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242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295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243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293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244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347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252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289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253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287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240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285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241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350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242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243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295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244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293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252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347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253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289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240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287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241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285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242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350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243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244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295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252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293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253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347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240</v>
      </c>
      <c r="G239" s="343" t="s">
        <v>173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289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241</v>
      </c>
      <c r="G240" s="343" t="s">
        <v>173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287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242</v>
      </c>
      <c r="G241" s="343" t="s">
        <v>173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285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243</v>
      </c>
      <c r="G242" s="343" t="s">
        <v>173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343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244</v>
      </c>
      <c r="G243" s="343" t="s">
        <v>173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252</v>
      </c>
      <c r="G244" s="343" t="s">
        <v>173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295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253</v>
      </c>
      <c r="G245" s="343" t="s">
        <v>173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293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A246" s="343">
        <v>20260907</v>
      </c>
      <c r="B246" s="343">
        <v>11652.13</v>
      </c>
      <c r="C246" s="343">
        <v>40</v>
      </c>
      <c r="D246" s="343">
        <v>99</v>
      </c>
      <c r="E246" s="384">
        <v>46272</v>
      </c>
      <c r="F246" s="343" t="s">
        <v>240</v>
      </c>
      <c r="G246" s="343" t="s">
        <v>174</v>
      </c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347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A247" s="343">
        <v>20260908</v>
      </c>
      <c r="B247" s="343">
        <v>14514.14</v>
      </c>
      <c r="C247" s="343">
        <v>55</v>
      </c>
      <c r="D247" s="343">
        <v>125</v>
      </c>
      <c r="E247" s="384">
        <v>46273</v>
      </c>
      <c r="F247" s="343" t="s">
        <v>241</v>
      </c>
      <c r="G247" s="343" t="s">
        <v>174</v>
      </c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289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A248" s="343">
        <v>20260909</v>
      </c>
      <c r="B248" s="343">
        <v>10113.209999999999</v>
      </c>
      <c r="C248" s="343">
        <v>78</v>
      </c>
      <c r="D248" s="343">
        <v>175</v>
      </c>
      <c r="E248" s="384">
        <v>46274</v>
      </c>
      <c r="F248" s="343" t="s">
        <v>242</v>
      </c>
      <c r="G248" s="343" t="s">
        <v>174</v>
      </c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287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A249" s="343">
        <v>20260910</v>
      </c>
      <c r="B249" s="343">
        <v>16842.099999999999</v>
      </c>
      <c r="C249" s="343">
        <v>52</v>
      </c>
      <c r="D249" s="343">
        <v>137</v>
      </c>
      <c r="E249" s="384">
        <v>46275</v>
      </c>
      <c r="F249" s="343" t="s">
        <v>243</v>
      </c>
      <c r="G249" s="343" t="s">
        <v>174</v>
      </c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285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A250" s="343">
        <v>20260911</v>
      </c>
      <c r="B250" s="343">
        <v>38139.75</v>
      </c>
      <c r="C250" s="343">
        <v>151</v>
      </c>
      <c r="D250" s="343">
        <v>377</v>
      </c>
      <c r="E250" s="384">
        <v>46276</v>
      </c>
      <c r="F250" s="343" t="s">
        <v>244</v>
      </c>
      <c r="G250" s="343" t="s">
        <v>174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350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A251" s="343">
        <v>20260912</v>
      </c>
      <c r="B251" s="343">
        <v>41470.65</v>
      </c>
      <c r="C251" s="343">
        <v>140</v>
      </c>
      <c r="D251" s="343">
        <v>384</v>
      </c>
      <c r="E251" s="384">
        <v>46277</v>
      </c>
      <c r="F251" s="343" t="s">
        <v>252</v>
      </c>
      <c r="G251" s="343" t="s">
        <v>174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343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A252" s="343">
        <v>20260913</v>
      </c>
      <c r="B252" s="343">
        <v>7933.52</v>
      </c>
      <c r="C252" s="343">
        <v>31</v>
      </c>
      <c r="D252" s="343">
        <v>73</v>
      </c>
      <c r="E252" s="384">
        <v>46278</v>
      </c>
      <c r="F252" s="343" t="s">
        <v>253</v>
      </c>
      <c r="G252" s="343" t="s">
        <v>174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A253" s="343">
        <v>20260914</v>
      </c>
      <c r="B253" s="343">
        <v>11957.59</v>
      </c>
      <c r="C253" s="343">
        <v>32</v>
      </c>
      <c r="D253" s="343">
        <v>100</v>
      </c>
      <c r="E253" s="384">
        <v>46279</v>
      </c>
      <c r="F253" s="343" t="s">
        <v>240</v>
      </c>
      <c r="G253" s="343" t="s">
        <v>175</v>
      </c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295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A254" s="343">
        <v>20260915</v>
      </c>
      <c r="B254" s="343">
        <v>13979.74</v>
      </c>
      <c r="C254" s="343">
        <v>46</v>
      </c>
      <c r="D254" s="343">
        <v>125</v>
      </c>
      <c r="E254" s="384">
        <v>46280</v>
      </c>
      <c r="F254" s="343" t="s">
        <v>241</v>
      </c>
      <c r="G254" s="343" t="s">
        <v>175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293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A255" s="343">
        <v>20260916</v>
      </c>
      <c r="B255" s="343">
        <v>17678.689999999999</v>
      </c>
      <c r="C255" s="343">
        <v>65</v>
      </c>
      <c r="D255" s="343">
        <v>167</v>
      </c>
      <c r="E255" s="384">
        <v>46281</v>
      </c>
      <c r="F255" s="343" t="s">
        <v>242</v>
      </c>
      <c r="G255" s="343" t="s">
        <v>175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347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A256" s="343">
        <v>20260917</v>
      </c>
      <c r="B256" s="343">
        <v>20639.580000000002</v>
      </c>
      <c r="C256" s="343">
        <v>178</v>
      </c>
      <c r="D256" s="343">
        <v>387</v>
      </c>
      <c r="E256" s="384">
        <v>46282</v>
      </c>
      <c r="F256" s="343" t="s">
        <v>243</v>
      </c>
      <c r="G256" s="343" t="s">
        <v>175</v>
      </c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289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:27">
      <c r="A257" s="343">
        <v>20260918</v>
      </c>
      <c r="B257" s="343">
        <v>40181.449999999997</v>
      </c>
      <c r="C257" s="343">
        <v>150</v>
      </c>
      <c r="D257" s="343">
        <v>388</v>
      </c>
      <c r="E257" s="384">
        <v>46283</v>
      </c>
      <c r="F257" s="343" t="s">
        <v>244</v>
      </c>
      <c r="G257" s="343" t="s">
        <v>175</v>
      </c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287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:27">
      <c r="A258" s="343">
        <v>20260919</v>
      </c>
      <c r="B258" s="343">
        <v>45441.599999999999</v>
      </c>
      <c r="C258" s="343">
        <v>163</v>
      </c>
      <c r="D258" s="343">
        <v>410</v>
      </c>
      <c r="E258" s="384">
        <v>46284</v>
      </c>
      <c r="F258" s="343" t="s">
        <v>252</v>
      </c>
      <c r="G258" s="343" t="s">
        <v>175</v>
      </c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285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:27">
      <c r="A259" s="343">
        <v>20260920</v>
      </c>
      <c r="B259" s="343">
        <v>12778.69</v>
      </c>
      <c r="C259" s="343">
        <v>49</v>
      </c>
      <c r="D259" s="343">
        <v>122</v>
      </c>
      <c r="E259" s="384">
        <v>46285</v>
      </c>
      <c r="F259" s="343" t="s">
        <v>253</v>
      </c>
      <c r="G259" s="343" t="s">
        <v>175</v>
      </c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350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:27">
      <c r="A260" s="343">
        <v>20260921</v>
      </c>
      <c r="B260" s="343">
        <v>12424.88</v>
      </c>
      <c r="C260" s="343">
        <v>52</v>
      </c>
      <c r="D260" s="343">
        <v>154</v>
      </c>
      <c r="E260" s="384">
        <v>46286</v>
      </c>
      <c r="F260" s="343" t="s">
        <v>240</v>
      </c>
      <c r="G260" s="343" t="s">
        <v>176</v>
      </c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:27">
      <c r="A261" s="343">
        <v>20260922</v>
      </c>
      <c r="B261" s="343">
        <v>11652.21</v>
      </c>
      <c r="C261" s="343">
        <v>50</v>
      </c>
      <c r="D261" s="343">
        <v>121</v>
      </c>
      <c r="E261" s="384">
        <v>46287</v>
      </c>
      <c r="F261" s="343" t="s">
        <v>241</v>
      </c>
      <c r="G261" s="343" t="s">
        <v>176</v>
      </c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295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:27">
      <c r="A262" s="343">
        <v>20260923</v>
      </c>
      <c r="B262" s="343">
        <v>16417.82</v>
      </c>
      <c r="C262" s="343">
        <v>71</v>
      </c>
      <c r="D262" s="343">
        <v>266</v>
      </c>
      <c r="E262" s="384">
        <v>46288</v>
      </c>
      <c r="F262" s="343" t="s">
        <v>242</v>
      </c>
      <c r="G262" s="343" t="s">
        <v>176</v>
      </c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:27">
      <c r="A263" s="343">
        <v>20260924</v>
      </c>
      <c r="B263" s="343">
        <v>31349.01</v>
      </c>
      <c r="C263" s="343">
        <v>137</v>
      </c>
      <c r="D263" s="343">
        <v>300</v>
      </c>
      <c r="E263" s="384">
        <v>46289</v>
      </c>
      <c r="F263" s="343" t="s">
        <v>243</v>
      </c>
      <c r="G263" s="343" t="s">
        <v>176</v>
      </c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:27">
      <c r="A264" s="343">
        <v>20260925</v>
      </c>
      <c r="B264" s="343">
        <v>53480.25</v>
      </c>
      <c r="C264" s="343">
        <v>178</v>
      </c>
      <c r="D264" s="343">
        <v>684</v>
      </c>
      <c r="E264" s="384">
        <v>46290</v>
      </c>
      <c r="F264" s="343" t="s">
        <v>244</v>
      </c>
      <c r="G264" s="343" t="s">
        <v>176</v>
      </c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:27">
      <c r="A265" s="343">
        <v>20260926</v>
      </c>
      <c r="B265" s="343">
        <v>49344.04</v>
      </c>
      <c r="C265" s="343">
        <v>176</v>
      </c>
      <c r="D265" s="343">
        <v>417</v>
      </c>
      <c r="E265" s="384">
        <v>46291</v>
      </c>
      <c r="F265" s="343" t="s">
        <v>252</v>
      </c>
      <c r="G265" s="343" t="s">
        <v>176</v>
      </c>
      <c r="Q265" s="343" t="s">
        <v>171</v>
      </c>
      <c r="R265" s="343" t="s">
        <v>173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  <row r="266" spans="1:27">
      <c r="A266" s="343">
        <v>20260927</v>
      </c>
      <c r="B266" s="343">
        <v>12823.27</v>
      </c>
      <c r="C266" s="343">
        <v>46</v>
      </c>
      <c r="D266" s="343">
        <v>134</v>
      </c>
      <c r="E266" s="384">
        <v>46292</v>
      </c>
      <c r="F266" s="343" t="s">
        <v>253</v>
      </c>
      <c r="G266" s="343" t="s">
        <v>176</v>
      </c>
      <c r="Q266" s="343" t="s">
        <v>171</v>
      </c>
      <c r="R266" s="343" t="s">
        <v>174</v>
      </c>
      <c r="S266" s="384">
        <v>46272</v>
      </c>
      <c r="T266" s="384">
        <v>46278</v>
      </c>
      <c r="U266" s="343" t="s">
        <v>106</v>
      </c>
      <c r="V266" s="343">
        <v>6</v>
      </c>
      <c r="W266" s="343">
        <v>559.04999999999995</v>
      </c>
      <c r="X266" s="343">
        <v>0</v>
      </c>
      <c r="Y266" s="343">
        <v>0</v>
      </c>
      <c r="Z266" s="343">
        <v>559.04999999999995</v>
      </c>
      <c r="AA266" s="343">
        <v>0</v>
      </c>
    </row>
    <row r="267" spans="1:27">
      <c r="A267" s="343">
        <v>20260928</v>
      </c>
      <c r="B267" s="343">
        <v>8437.7999999999993</v>
      </c>
      <c r="C267" s="343">
        <v>30</v>
      </c>
      <c r="D267" s="343">
        <v>88</v>
      </c>
      <c r="E267" s="384">
        <v>46293</v>
      </c>
      <c r="F267" s="343" t="s">
        <v>240</v>
      </c>
      <c r="G267" s="343" t="s">
        <v>178</v>
      </c>
      <c r="Q267" s="343" t="s">
        <v>171</v>
      </c>
      <c r="R267" s="343" t="s">
        <v>175</v>
      </c>
      <c r="S267" s="384">
        <v>46279</v>
      </c>
      <c r="T267" s="384">
        <v>46285</v>
      </c>
      <c r="U267" s="343" t="s">
        <v>106</v>
      </c>
      <c r="V267" s="343">
        <v>4</v>
      </c>
      <c r="W267" s="343">
        <v>345.97</v>
      </c>
      <c r="X267" s="343">
        <v>0</v>
      </c>
      <c r="Y267" s="343">
        <v>0</v>
      </c>
      <c r="Z267" s="343">
        <v>345.97</v>
      </c>
      <c r="AA267" s="343">
        <v>0</v>
      </c>
    </row>
    <row r="268" spans="1:27">
      <c r="A268" s="343">
        <v>20260929</v>
      </c>
      <c r="B268" s="343">
        <v>13676.63</v>
      </c>
      <c r="C268" s="343">
        <v>35</v>
      </c>
      <c r="D268" s="343">
        <v>121</v>
      </c>
      <c r="E268" s="384">
        <v>46294</v>
      </c>
      <c r="F268" s="343" t="s">
        <v>241</v>
      </c>
      <c r="G268" s="343" t="s">
        <v>178</v>
      </c>
      <c r="Q268" s="343" t="s">
        <v>171</v>
      </c>
      <c r="R268" s="343" t="s">
        <v>176</v>
      </c>
      <c r="S268" s="384">
        <v>46286</v>
      </c>
      <c r="T268" s="384">
        <v>46292</v>
      </c>
      <c r="U268" s="343" t="s">
        <v>106</v>
      </c>
      <c r="V268" s="343">
        <v>10</v>
      </c>
      <c r="W268" s="343">
        <v>1481.05</v>
      </c>
      <c r="X268" s="343">
        <v>0</v>
      </c>
      <c r="Y268" s="343">
        <v>0</v>
      </c>
      <c r="Z268" s="343">
        <v>1481.05</v>
      </c>
      <c r="AA268" s="343">
        <v>0</v>
      </c>
    </row>
    <row r="269" spans="1:27">
      <c r="A269" s="343">
        <v>20260930</v>
      </c>
      <c r="B269" s="343">
        <v>12858.63</v>
      </c>
      <c r="C269" s="343">
        <v>44</v>
      </c>
      <c r="D269" s="343">
        <v>108</v>
      </c>
      <c r="E269" s="384">
        <v>46295</v>
      </c>
      <c r="F269" s="343" t="s">
        <v>242</v>
      </c>
      <c r="G269" s="343" t="s">
        <v>178</v>
      </c>
      <c r="Q269" s="343" t="s">
        <v>76</v>
      </c>
      <c r="R269" s="343" t="s">
        <v>178</v>
      </c>
      <c r="S269" s="384">
        <v>46293</v>
      </c>
      <c r="T269" s="384">
        <v>46299</v>
      </c>
      <c r="U269" s="343" t="s">
        <v>106</v>
      </c>
      <c r="V269" s="343">
        <v>8</v>
      </c>
      <c r="W269" s="343">
        <v>991.58</v>
      </c>
      <c r="X269" s="343">
        <v>0</v>
      </c>
      <c r="Y269" s="343">
        <v>0</v>
      </c>
      <c r="Z269" s="343">
        <v>991.58</v>
      </c>
      <c r="AA269" s="343">
        <v>0</v>
      </c>
    </row>
    <row r="270" spans="1:27">
      <c r="A270" s="343">
        <v>20261001</v>
      </c>
      <c r="B270" s="343">
        <v>14503.48</v>
      </c>
      <c r="C270" s="343">
        <v>56</v>
      </c>
      <c r="D270" s="343">
        <v>156</v>
      </c>
      <c r="E270" s="384">
        <v>46296</v>
      </c>
      <c r="F270" s="343" t="s">
        <v>243</v>
      </c>
      <c r="G270" s="343" t="s">
        <v>178</v>
      </c>
      <c r="Q270" s="343" t="s">
        <v>76</v>
      </c>
      <c r="R270" s="343" t="s">
        <v>101</v>
      </c>
      <c r="S270" s="384">
        <v>46300</v>
      </c>
      <c r="T270" s="384">
        <v>46306</v>
      </c>
      <c r="U270" s="343" t="s">
        <v>106</v>
      </c>
      <c r="V270" s="343">
        <v>6</v>
      </c>
      <c r="W270" s="343">
        <v>2623.45</v>
      </c>
      <c r="X270" s="343">
        <v>0</v>
      </c>
      <c r="Y270" s="343">
        <v>0</v>
      </c>
      <c r="Z270" s="343">
        <v>2623.45</v>
      </c>
      <c r="AA270" s="343">
        <v>0</v>
      </c>
    </row>
    <row r="271" spans="1:27">
      <c r="A271" s="343">
        <v>20261002</v>
      </c>
      <c r="B271" s="343">
        <v>41645.14</v>
      </c>
      <c r="C271" s="343">
        <v>122</v>
      </c>
      <c r="D271" s="343">
        <v>356</v>
      </c>
      <c r="E271" s="384">
        <v>46297</v>
      </c>
      <c r="F271" s="343" t="s">
        <v>244</v>
      </c>
      <c r="G271" s="343" t="s">
        <v>178</v>
      </c>
    </row>
    <row r="272" spans="1:27">
      <c r="A272" s="343">
        <v>20261003</v>
      </c>
      <c r="B272" s="343">
        <v>37018.89</v>
      </c>
      <c r="C272" s="343">
        <v>130</v>
      </c>
      <c r="D272" s="343">
        <v>306</v>
      </c>
      <c r="E272" s="384">
        <v>46298</v>
      </c>
      <c r="F272" s="343" t="s">
        <v>252</v>
      </c>
      <c r="G272" s="343" t="s">
        <v>178</v>
      </c>
    </row>
    <row r="273" spans="1:7">
      <c r="A273" s="343">
        <v>20261004</v>
      </c>
      <c r="B273" s="343">
        <v>9138</v>
      </c>
      <c r="C273" s="343">
        <v>37</v>
      </c>
      <c r="D273" s="343">
        <v>87</v>
      </c>
      <c r="E273" s="384">
        <v>46299</v>
      </c>
      <c r="F273" s="343" t="s">
        <v>253</v>
      </c>
      <c r="G273" s="343" t="s">
        <v>178</v>
      </c>
    </row>
    <row r="274" spans="1:7">
      <c r="A274" s="343">
        <v>20261005</v>
      </c>
      <c r="B274" s="343">
        <v>15889.48</v>
      </c>
      <c r="C274" s="343">
        <v>59</v>
      </c>
      <c r="D274" s="343">
        <v>170</v>
      </c>
      <c r="E274" s="384">
        <v>46300</v>
      </c>
      <c r="F274" s="343" t="s">
        <v>240</v>
      </c>
      <c r="G274" s="343" t="s">
        <v>101</v>
      </c>
    </row>
    <row r="275" spans="1:7">
      <c r="A275" s="343">
        <v>20261006</v>
      </c>
      <c r="B275" s="343">
        <v>14501.87</v>
      </c>
      <c r="C275" s="343">
        <v>41</v>
      </c>
      <c r="D275" s="343">
        <v>124</v>
      </c>
      <c r="E275" s="384">
        <v>46301</v>
      </c>
      <c r="F275" s="343" t="s">
        <v>241</v>
      </c>
      <c r="G275" s="343" t="s">
        <v>101</v>
      </c>
    </row>
    <row r="276" spans="1:7">
      <c r="A276" s="343">
        <v>20261007</v>
      </c>
      <c r="B276" s="343">
        <v>16690.13</v>
      </c>
      <c r="C276" s="343">
        <v>44</v>
      </c>
      <c r="D276" s="343">
        <v>139</v>
      </c>
      <c r="E276" s="384">
        <v>46302</v>
      </c>
      <c r="F276" s="343" t="s">
        <v>242</v>
      </c>
      <c r="G276" s="343" t="s">
        <v>101</v>
      </c>
    </row>
    <row r="277" spans="1:7">
      <c r="A277" s="343">
        <v>20261008</v>
      </c>
      <c r="B277" s="343">
        <v>35679.19</v>
      </c>
      <c r="C277" s="343">
        <v>85</v>
      </c>
      <c r="D277" s="343">
        <v>260</v>
      </c>
      <c r="E277" s="384">
        <v>46303</v>
      </c>
      <c r="F277" s="343" t="s">
        <v>243</v>
      </c>
      <c r="G277" s="343" t="s">
        <v>101</v>
      </c>
    </row>
    <row r="278" spans="1:7">
      <c r="A278" s="343">
        <v>20261009</v>
      </c>
      <c r="B278" s="343">
        <v>56776.85</v>
      </c>
      <c r="C278" s="343">
        <v>97</v>
      </c>
      <c r="D278" s="343">
        <v>360</v>
      </c>
      <c r="E278" s="384">
        <v>46304</v>
      </c>
      <c r="F278" s="343" t="s">
        <v>244</v>
      </c>
      <c r="G278" s="343" t="s">
        <v>101</v>
      </c>
    </row>
    <row r="279" spans="1:7">
      <c r="A279" s="343">
        <v>20261010</v>
      </c>
      <c r="B279" s="343">
        <v>35422.71</v>
      </c>
      <c r="C279" s="343">
        <v>149</v>
      </c>
      <c r="D279" s="343">
        <v>349</v>
      </c>
      <c r="E279" s="384">
        <v>46305</v>
      </c>
      <c r="F279" s="343" t="s">
        <v>252</v>
      </c>
      <c r="G279" s="343" t="s">
        <v>101</v>
      </c>
    </row>
    <row r="280" spans="1:7">
      <c r="A280" s="343">
        <v>20261011</v>
      </c>
      <c r="B280" s="343">
        <v>18493.169999999998</v>
      </c>
      <c r="C280" s="343">
        <v>59</v>
      </c>
      <c r="D280" s="343">
        <v>163</v>
      </c>
      <c r="E280" s="384">
        <v>46306</v>
      </c>
      <c r="F280" s="343" t="s">
        <v>253</v>
      </c>
      <c r="G280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84"/>
  <sheetViews>
    <sheetView workbookViewId="0">
      <selection activeCell="F17" sqref="F17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8.28515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241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243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242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244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243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253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244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243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253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244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243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252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244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253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252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243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253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244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240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252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242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253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243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243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244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244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252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252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253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253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240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243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243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244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244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252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252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253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253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243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242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244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243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252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244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253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252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243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253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244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242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252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243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253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244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243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252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244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253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252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241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253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243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243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244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244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252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252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253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253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240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243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241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244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243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252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244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253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252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243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253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244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242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252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243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253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244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243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252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244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253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252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241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253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243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243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244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244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252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252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253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253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240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243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243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244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244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252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252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253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253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243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243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244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244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252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252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253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253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243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241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244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243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252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244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253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252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243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253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244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241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252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242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253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243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243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244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244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252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252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253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253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240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243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241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244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243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252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244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253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252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244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253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252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242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253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243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243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244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244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252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252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253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253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240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243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241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244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242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252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243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253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244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243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252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244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253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252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243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243</v>
      </c>
      <c r="O91" s="343" t="s">
        <v>173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244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244</v>
      </c>
      <c r="O92" s="343" t="s">
        <v>173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252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252</v>
      </c>
      <c r="O93" s="343" t="s">
        <v>173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253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253</v>
      </c>
      <c r="O94" s="343" t="s">
        <v>173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240</v>
      </c>
      <c r="G95" s="343" t="s">
        <v>161</v>
      </c>
      <c r="I95" s="343">
        <v>20260910</v>
      </c>
      <c r="J95" s="343">
        <v>1209</v>
      </c>
      <c r="K95" s="343">
        <v>6</v>
      </c>
      <c r="L95" s="343">
        <v>10</v>
      </c>
      <c r="M95" s="384">
        <v>46275</v>
      </c>
      <c r="N95" s="343" t="s">
        <v>243</v>
      </c>
      <c r="O95" s="343" t="s">
        <v>174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242</v>
      </c>
      <c r="G96" s="343" t="s">
        <v>161</v>
      </c>
      <c r="I96" s="343">
        <v>20260911</v>
      </c>
      <c r="J96" s="343">
        <v>5869</v>
      </c>
      <c r="K96" s="343">
        <v>22</v>
      </c>
      <c r="L96" s="343">
        <v>52</v>
      </c>
      <c r="M96" s="384">
        <v>46276</v>
      </c>
      <c r="N96" s="343" t="s">
        <v>244</v>
      </c>
      <c r="O96" s="343" t="s">
        <v>174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243</v>
      </c>
      <c r="G97" s="343" t="s">
        <v>161</v>
      </c>
      <c r="I97" s="343">
        <v>20260912</v>
      </c>
      <c r="J97" s="343">
        <v>13116</v>
      </c>
      <c r="K97" s="343">
        <v>65</v>
      </c>
      <c r="L97" s="343">
        <v>117</v>
      </c>
      <c r="M97" s="384">
        <v>46277</v>
      </c>
      <c r="N97" s="343" t="s">
        <v>252</v>
      </c>
      <c r="O97" s="343" t="s">
        <v>174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244</v>
      </c>
      <c r="G98" s="343" t="s">
        <v>161</v>
      </c>
      <c r="I98" s="343">
        <v>20260913</v>
      </c>
      <c r="J98" s="343">
        <v>0</v>
      </c>
      <c r="K98" s="343">
        <v>3</v>
      </c>
      <c r="L98" s="343">
        <v>10</v>
      </c>
      <c r="M98" s="384">
        <v>46278</v>
      </c>
      <c r="N98" s="343" t="s">
        <v>253</v>
      </c>
      <c r="O98" s="343" t="s">
        <v>174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252</v>
      </c>
      <c r="G99" s="343" t="s">
        <v>161</v>
      </c>
      <c r="I99" s="343">
        <v>20260917</v>
      </c>
      <c r="J99" s="343">
        <v>6060.6</v>
      </c>
      <c r="K99" s="343">
        <v>3</v>
      </c>
      <c r="L99" s="343">
        <v>3</v>
      </c>
      <c r="M99" s="384">
        <v>46282</v>
      </c>
      <c r="N99" s="343" t="s">
        <v>243</v>
      </c>
      <c r="O99" s="343" t="s">
        <v>175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253</v>
      </c>
      <c r="G100" s="343" t="s">
        <v>161</v>
      </c>
      <c r="I100" s="343">
        <v>20260918</v>
      </c>
      <c r="J100" s="343">
        <v>14505</v>
      </c>
      <c r="K100" s="343">
        <v>74</v>
      </c>
      <c r="L100" s="343">
        <v>140</v>
      </c>
      <c r="M100" s="384">
        <v>46283</v>
      </c>
      <c r="N100" s="343" t="s">
        <v>244</v>
      </c>
      <c r="O100" s="343" t="s">
        <v>175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242</v>
      </c>
      <c r="G101" s="343" t="s">
        <v>162</v>
      </c>
      <c r="I101" s="343">
        <v>20260919</v>
      </c>
      <c r="J101" s="343">
        <v>15499</v>
      </c>
      <c r="K101" s="343">
        <v>75</v>
      </c>
      <c r="L101" s="343">
        <v>148</v>
      </c>
      <c r="M101" s="384">
        <v>46284</v>
      </c>
      <c r="N101" s="343" t="s">
        <v>252</v>
      </c>
      <c r="O101" s="343" t="s">
        <v>175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243</v>
      </c>
      <c r="G102" s="343" t="s">
        <v>162</v>
      </c>
      <c r="I102" s="343">
        <v>20260923</v>
      </c>
      <c r="J102" s="343">
        <v>177.22</v>
      </c>
      <c r="K102" s="343">
        <v>1</v>
      </c>
      <c r="L102" s="343">
        <v>0</v>
      </c>
      <c r="M102" s="384">
        <v>46288</v>
      </c>
      <c r="N102" s="343" t="s">
        <v>242</v>
      </c>
      <c r="O102" s="343" t="s">
        <v>176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244</v>
      </c>
      <c r="G103" s="343" t="s">
        <v>162</v>
      </c>
      <c r="I103" s="343">
        <v>20260924</v>
      </c>
      <c r="J103" s="343">
        <v>6283</v>
      </c>
      <c r="K103" s="343">
        <v>37</v>
      </c>
      <c r="L103" s="343">
        <v>48</v>
      </c>
      <c r="M103" s="384">
        <v>46289</v>
      </c>
      <c r="N103" s="343" t="s">
        <v>243</v>
      </c>
      <c r="O103" s="343" t="s">
        <v>176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252</v>
      </c>
      <c r="G104" s="343" t="s">
        <v>162</v>
      </c>
      <c r="I104" s="343">
        <v>20260925</v>
      </c>
      <c r="J104" s="343">
        <v>28904.01</v>
      </c>
      <c r="K104" s="343">
        <v>120</v>
      </c>
      <c r="L104" s="343">
        <v>239</v>
      </c>
      <c r="M104" s="384">
        <v>46290</v>
      </c>
      <c r="N104" s="343" t="s">
        <v>244</v>
      </c>
      <c r="O104" s="343" t="s">
        <v>176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253</v>
      </c>
      <c r="G105" s="343" t="s">
        <v>162</v>
      </c>
      <c r="I105" s="343">
        <v>20260926</v>
      </c>
      <c r="J105" s="343">
        <v>15407</v>
      </c>
      <c r="K105" s="343">
        <v>58</v>
      </c>
      <c r="L105" s="343">
        <v>162</v>
      </c>
      <c r="M105" s="384">
        <v>46291</v>
      </c>
      <c r="N105" s="343" t="s">
        <v>252</v>
      </c>
      <c r="O105" s="343" t="s">
        <v>176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241</v>
      </c>
      <c r="G106" s="343" t="s">
        <v>163</v>
      </c>
      <c r="I106" s="343">
        <v>20260927</v>
      </c>
      <c r="J106" s="343">
        <v>0</v>
      </c>
      <c r="K106" s="343">
        <v>1</v>
      </c>
      <c r="L106" s="343">
        <v>1</v>
      </c>
      <c r="M106" s="384">
        <v>46292</v>
      </c>
      <c r="N106" s="343" t="s">
        <v>253</v>
      </c>
      <c r="O106" s="343" t="s">
        <v>176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242</v>
      </c>
      <c r="G107" s="343" t="s">
        <v>163</v>
      </c>
      <c r="I107" s="343">
        <v>20261001</v>
      </c>
      <c r="J107" s="343">
        <v>0</v>
      </c>
      <c r="K107" s="343">
        <v>1</v>
      </c>
      <c r="L107" s="343">
        <v>0</v>
      </c>
      <c r="M107" s="384">
        <v>46296</v>
      </c>
      <c r="N107" s="343" t="s">
        <v>243</v>
      </c>
      <c r="O107" s="343" t="s">
        <v>178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243</v>
      </c>
      <c r="G108" s="343" t="s">
        <v>163</v>
      </c>
      <c r="I108" s="343">
        <v>20261002</v>
      </c>
      <c r="J108" s="343">
        <v>7606</v>
      </c>
      <c r="K108" s="343">
        <v>21</v>
      </c>
      <c r="L108" s="343">
        <v>82</v>
      </c>
      <c r="M108" s="384">
        <v>46297</v>
      </c>
      <c r="N108" s="343" t="s">
        <v>244</v>
      </c>
      <c r="O108" s="343" t="s">
        <v>178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244</v>
      </c>
      <c r="G109" s="343" t="s">
        <v>163</v>
      </c>
      <c r="I109" s="343">
        <v>20261003</v>
      </c>
      <c r="J109" s="343">
        <v>14457.1</v>
      </c>
      <c r="K109" s="343">
        <v>46</v>
      </c>
      <c r="L109" s="343">
        <v>133</v>
      </c>
      <c r="M109" s="384">
        <v>46298</v>
      </c>
      <c r="N109" s="343" t="s">
        <v>252</v>
      </c>
      <c r="O109" s="343" t="s">
        <v>178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252</v>
      </c>
      <c r="G110" s="343" t="s">
        <v>163</v>
      </c>
      <c r="I110" s="343">
        <v>20261004</v>
      </c>
      <c r="J110" s="343">
        <v>0</v>
      </c>
      <c r="K110" s="343">
        <v>1</v>
      </c>
      <c r="L110" s="343">
        <v>0</v>
      </c>
      <c r="M110" s="384">
        <v>46299</v>
      </c>
      <c r="N110" s="343" t="s">
        <v>253</v>
      </c>
      <c r="O110" s="343" t="s">
        <v>178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253</v>
      </c>
      <c r="G111" s="343" t="s">
        <v>163</v>
      </c>
      <c r="I111" s="343">
        <v>20261008</v>
      </c>
      <c r="J111" s="343">
        <v>6337</v>
      </c>
      <c r="K111" s="343">
        <v>11</v>
      </c>
      <c r="L111" s="343">
        <v>87</v>
      </c>
      <c r="M111" s="384">
        <v>46303</v>
      </c>
      <c r="N111" s="343" t="s">
        <v>243</v>
      </c>
      <c r="O111" s="343" t="s">
        <v>101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240</v>
      </c>
      <c r="G112" s="343" t="s">
        <v>166</v>
      </c>
      <c r="I112" s="343">
        <v>20261009</v>
      </c>
      <c r="J112" s="343">
        <v>0</v>
      </c>
      <c r="K112" s="343">
        <v>1</v>
      </c>
      <c r="L112" s="343">
        <v>2</v>
      </c>
      <c r="M112" s="384">
        <v>46304</v>
      </c>
      <c r="N112" s="343" t="s">
        <v>244</v>
      </c>
      <c r="O112" s="343" t="s">
        <v>101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242</v>
      </c>
      <c r="G113" s="343" t="s">
        <v>166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243</v>
      </c>
      <c r="G114" s="343" t="s">
        <v>166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244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252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253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242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243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244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252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253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241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243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244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252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253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242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243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244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252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253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240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243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244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252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253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241</v>
      </c>
      <c r="G138" s="343" t="s">
        <v>173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243</v>
      </c>
      <c r="G139" s="343" t="s">
        <v>173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244</v>
      </c>
      <c r="G140" s="343" t="s">
        <v>173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252</v>
      </c>
      <c r="G141" s="343" t="s">
        <v>173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253</v>
      </c>
      <c r="G142" s="343" t="s">
        <v>173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20260909</v>
      </c>
      <c r="B143" s="343">
        <v>0</v>
      </c>
      <c r="C143" s="343">
        <v>1</v>
      </c>
      <c r="D143" s="343">
        <v>1</v>
      </c>
      <c r="E143" s="384">
        <v>46274</v>
      </c>
      <c r="F143" s="343" t="s">
        <v>242</v>
      </c>
      <c r="G143" s="343" t="s">
        <v>174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20260910</v>
      </c>
      <c r="B144" s="343">
        <v>5743</v>
      </c>
      <c r="C144" s="343">
        <v>39</v>
      </c>
      <c r="D144" s="343">
        <v>69</v>
      </c>
      <c r="E144" s="384">
        <v>46275</v>
      </c>
      <c r="F144" s="343" t="s">
        <v>243</v>
      </c>
      <c r="G144" s="343" t="s">
        <v>174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20260911</v>
      </c>
      <c r="B145" s="343">
        <v>23784</v>
      </c>
      <c r="C145" s="343">
        <v>138</v>
      </c>
      <c r="D145" s="343">
        <v>211</v>
      </c>
      <c r="E145" s="384">
        <v>46276</v>
      </c>
      <c r="F145" s="343" t="s">
        <v>244</v>
      </c>
      <c r="G145" s="343" t="s">
        <v>174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20260912</v>
      </c>
      <c r="B146" s="343">
        <v>41072</v>
      </c>
      <c r="C146" s="343">
        <v>172</v>
      </c>
      <c r="D146" s="343">
        <v>234</v>
      </c>
      <c r="E146" s="384">
        <v>46277</v>
      </c>
      <c r="F146" s="343" t="s">
        <v>252</v>
      </c>
      <c r="G146" s="343" t="s">
        <v>174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20260913</v>
      </c>
      <c r="B147" s="343">
        <v>18011</v>
      </c>
      <c r="C147" s="343">
        <v>30</v>
      </c>
      <c r="D147" s="343">
        <v>34</v>
      </c>
      <c r="E147" s="384">
        <v>46278</v>
      </c>
      <c r="F147" s="343" t="s">
        <v>253</v>
      </c>
      <c r="G147" s="343" t="s">
        <v>174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20260914</v>
      </c>
      <c r="B148" s="343">
        <v>0</v>
      </c>
      <c r="C148" s="343">
        <v>1</v>
      </c>
      <c r="D148" s="343">
        <v>1</v>
      </c>
      <c r="E148" s="384">
        <v>46279</v>
      </c>
      <c r="F148" s="343" t="s">
        <v>240</v>
      </c>
      <c r="G148" s="343" t="s">
        <v>175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20260915</v>
      </c>
      <c r="B149" s="343">
        <v>0</v>
      </c>
      <c r="C149" s="343">
        <v>1</v>
      </c>
      <c r="D149" s="343">
        <v>1</v>
      </c>
      <c r="E149" s="384">
        <v>46280</v>
      </c>
      <c r="F149" s="343" t="s">
        <v>241</v>
      </c>
      <c r="G149" s="343" t="s">
        <v>175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20260916</v>
      </c>
      <c r="B150" s="343">
        <v>0</v>
      </c>
      <c r="C150" s="343">
        <v>1</v>
      </c>
      <c r="D150" s="343">
        <v>1</v>
      </c>
      <c r="E150" s="384">
        <v>46281</v>
      </c>
      <c r="F150" s="343" t="s">
        <v>242</v>
      </c>
      <c r="G150" s="343" t="s">
        <v>175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20260918</v>
      </c>
      <c r="B151" s="343">
        <v>0</v>
      </c>
      <c r="C151" s="343">
        <v>1</v>
      </c>
      <c r="D151" s="343">
        <v>0</v>
      </c>
      <c r="E151" s="384">
        <v>46283</v>
      </c>
      <c r="F151" s="343" t="s">
        <v>244</v>
      </c>
      <c r="G151" s="343" t="s">
        <v>175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20260919</v>
      </c>
      <c r="B152" s="343">
        <v>0</v>
      </c>
      <c r="C152" s="343">
        <v>2</v>
      </c>
      <c r="D152" s="343">
        <v>2</v>
      </c>
      <c r="E152" s="384">
        <v>46284</v>
      </c>
      <c r="F152" s="343" t="s">
        <v>252</v>
      </c>
      <c r="G152" s="343" t="s">
        <v>175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20260924</v>
      </c>
      <c r="B153" s="343">
        <v>0</v>
      </c>
      <c r="C153" s="343">
        <v>2</v>
      </c>
      <c r="D153" s="343">
        <v>2</v>
      </c>
      <c r="E153" s="384">
        <v>46289</v>
      </c>
      <c r="F153" s="343" t="s">
        <v>243</v>
      </c>
      <c r="G153" s="343" t="s">
        <v>176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20260925</v>
      </c>
      <c r="B154" s="343">
        <v>18725</v>
      </c>
      <c r="C154" s="343">
        <v>133</v>
      </c>
      <c r="D154" s="343">
        <v>181</v>
      </c>
      <c r="E154" s="384">
        <v>46290</v>
      </c>
      <c r="F154" s="343" t="s">
        <v>244</v>
      </c>
      <c r="G154" s="343" t="s">
        <v>176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20260926</v>
      </c>
      <c r="B155" s="343">
        <v>51320</v>
      </c>
      <c r="C155" s="343">
        <v>210</v>
      </c>
      <c r="D155" s="343">
        <v>277</v>
      </c>
      <c r="E155" s="384">
        <v>46291</v>
      </c>
      <c r="F155" s="343" t="s">
        <v>252</v>
      </c>
      <c r="G155" s="343" t="s">
        <v>176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20260927</v>
      </c>
      <c r="B156" s="343">
        <v>10354</v>
      </c>
      <c r="C156" s="343">
        <v>80</v>
      </c>
      <c r="D156" s="343">
        <v>66</v>
      </c>
      <c r="E156" s="384">
        <v>46292</v>
      </c>
      <c r="F156" s="343" t="s">
        <v>253</v>
      </c>
      <c r="G156" s="343" t="s">
        <v>176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20261001</v>
      </c>
      <c r="B157" s="343">
        <v>12969</v>
      </c>
      <c r="C157" s="343">
        <v>104</v>
      </c>
      <c r="D157" s="343">
        <v>104</v>
      </c>
      <c r="E157" s="384">
        <v>46296</v>
      </c>
      <c r="F157" s="343" t="s">
        <v>243</v>
      </c>
      <c r="G157" s="343" t="s">
        <v>178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:27">
      <c r="A158" s="343">
        <v>20261002</v>
      </c>
      <c r="B158" s="343">
        <v>34889</v>
      </c>
      <c r="C158" s="343">
        <v>161</v>
      </c>
      <c r="D158" s="343">
        <v>259</v>
      </c>
      <c r="E158" s="384">
        <v>46297</v>
      </c>
      <c r="F158" s="343" t="s">
        <v>244</v>
      </c>
      <c r="G158" s="343" t="s">
        <v>178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:27">
      <c r="A159" s="343">
        <v>20261003</v>
      </c>
      <c r="B159" s="343">
        <v>42597</v>
      </c>
      <c r="C159" s="343">
        <v>149</v>
      </c>
      <c r="D159" s="343">
        <v>130</v>
      </c>
      <c r="E159" s="384">
        <v>46298</v>
      </c>
      <c r="F159" s="343" t="s">
        <v>252</v>
      </c>
      <c r="G159" s="343" t="s">
        <v>178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:27">
      <c r="A160" s="343">
        <v>20261004</v>
      </c>
      <c r="B160" s="343">
        <v>19897.75</v>
      </c>
      <c r="C160" s="343">
        <v>96</v>
      </c>
      <c r="D160" s="343">
        <v>44</v>
      </c>
      <c r="E160" s="384">
        <v>46299</v>
      </c>
      <c r="F160" s="343" t="s">
        <v>253</v>
      </c>
      <c r="G160" s="343" t="s">
        <v>178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:27">
      <c r="A161" s="343">
        <v>20261006</v>
      </c>
      <c r="B161" s="343">
        <v>0</v>
      </c>
      <c r="C161" s="343">
        <v>5</v>
      </c>
      <c r="D161" s="343">
        <v>5</v>
      </c>
      <c r="E161" s="384">
        <v>46301</v>
      </c>
      <c r="F161" s="343" t="s">
        <v>241</v>
      </c>
      <c r="G161" s="343" t="s">
        <v>101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:27">
      <c r="A162" s="343">
        <v>20261008</v>
      </c>
      <c r="B162" s="343">
        <v>18061</v>
      </c>
      <c r="C162" s="343">
        <v>125</v>
      </c>
      <c r="D162" s="343">
        <v>161</v>
      </c>
      <c r="E162" s="384">
        <v>46303</v>
      </c>
      <c r="F162" s="343" t="s">
        <v>243</v>
      </c>
      <c r="G162" s="343" t="s">
        <v>101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:27">
      <c r="A163" s="343">
        <v>20261009</v>
      </c>
      <c r="B163" s="343">
        <v>32391</v>
      </c>
      <c r="C163" s="343">
        <v>157</v>
      </c>
      <c r="D163" s="343">
        <v>220</v>
      </c>
      <c r="E163" s="384">
        <v>46304</v>
      </c>
      <c r="F163" s="343" t="s">
        <v>244</v>
      </c>
      <c r="G163" s="343" t="s">
        <v>101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301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:27">
      <c r="A164" s="343">
        <v>20261010</v>
      </c>
      <c r="B164" s="343">
        <v>59290</v>
      </c>
      <c r="C164" s="343">
        <v>236</v>
      </c>
      <c r="D164" s="343">
        <v>332</v>
      </c>
      <c r="E164" s="384">
        <v>46305</v>
      </c>
      <c r="F164" s="343" t="s">
        <v>252</v>
      </c>
      <c r="G164" s="343" t="s">
        <v>101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:27">
      <c r="A165" s="343">
        <v>20261011</v>
      </c>
      <c r="B165" s="343">
        <v>20010</v>
      </c>
      <c r="C165" s="343">
        <v>104</v>
      </c>
      <c r="D165" s="343">
        <v>99</v>
      </c>
      <c r="E165" s="384">
        <v>46306</v>
      </c>
      <c r="F165" s="343" t="s">
        <v>253</v>
      </c>
      <c r="G165" s="343" t="s">
        <v>101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352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:27"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293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:27"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347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:27"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289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:27"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287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:27"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285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:27"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350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301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352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293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347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289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287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285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350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343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301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352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293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347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289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285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350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301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352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293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347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289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287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285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350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301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352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293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347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289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287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285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350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301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352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293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347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289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287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285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350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353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352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293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347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289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287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285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350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301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352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293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347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289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287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350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301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352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293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347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289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287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285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350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301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353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352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293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347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289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287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285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350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349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301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352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293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347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289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287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285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350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301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352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293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347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289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287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285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350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349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301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352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173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  <row r="280" spans="17:27">
      <c r="Q280" s="343" t="s">
        <v>171</v>
      </c>
      <c r="R280" s="343" t="s">
        <v>174</v>
      </c>
      <c r="S280" s="384">
        <v>46272</v>
      </c>
      <c r="T280" s="384">
        <v>46278</v>
      </c>
      <c r="U280" s="343" t="s">
        <v>106</v>
      </c>
      <c r="V280" s="343">
        <v>0</v>
      </c>
      <c r="W280" s="343">
        <v>0</v>
      </c>
      <c r="X280" s="343">
        <v>0</v>
      </c>
      <c r="Y280" s="343">
        <v>0</v>
      </c>
      <c r="Z280" s="343">
        <v>0</v>
      </c>
      <c r="AA280" s="343">
        <v>0</v>
      </c>
    </row>
    <row r="281" spans="17:27">
      <c r="Q281" s="343" t="s">
        <v>171</v>
      </c>
      <c r="R281" s="343" t="s">
        <v>175</v>
      </c>
      <c r="S281" s="384">
        <v>46279</v>
      </c>
      <c r="T281" s="384">
        <v>46285</v>
      </c>
      <c r="U281" s="343" t="s">
        <v>106</v>
      </c>
      <c r="V281" s="343">
        <v>1</v>
      </c>
      <c r="W281" s="343">
        <v>288.60000000000002</v>
      </c>
      <c r="X281" s="343">
        <v>0</v>
      </c>
      <c r="Y281" s="343">
        <v>0</v>
      </c>
      <c r="Z281" s="343">
        <v>288.60000000000002</v>
      </c>
      <c r="AA281" s="343">
        <v>0</v>
      </c>
    </row>
    <row r="282" spans="17:27">
      <c r="Q282" s="343" t="s">
        <v>171</v>
      </c>
      <c r="R282" s="343" t="s">
        <v>176</v>
      </c>
      <c r="S282" s="384">
        <v>46286</v>
      </c>
      <c r="T282" s="384">
        <v>46292</v>
      </c>
      <c r="U282" s="343" t="s">
        <v>106</v>
      </c>
      <c r="V282" s="343">
        <v>0</v>
      </c>
      <c r="W282" s="343">
        <v>0</v>
      </c>
      <c r="X282" s="343">
        <v>0</v>
      </c>
      <c r="Y282" s="343">
        <v>0</v>
      </c>
      <c r="Z282" s="343">
        <v>0</v>
      </c>
      <c r="AA282" s="343">
        <v>0</v>
      </c>
    </row>
    <row r="283" spans="17:27">
      <c r="Q283" s="343" t="s">
        <v>76</v>
      </c>
      <c r="R283" s="343" t="s">
        <v>178</v>
      </c>
      <c r="S283" s="384">
        <v>46293</v>
      </c>
      <c r="T283" s="384">
        <v>46299</v>
      </c>
      <c r="U283" s="343" t="s">
        <v>106</v>
      </c>
      <c r="V283" s="343">
        <v>1</v>
      </c>
      <c r="W283" s="343">
        <v>232.1</v>
      </c>
      <c r="X283" s="343">
        <v>0</v>
      </c>
      <c r="Y283" s="343">
        <v>0</v>
      </c>
      <c r="Z283" s="343">
        <v>232.1</v>
      </c>
      <c r="AA283" s="343">
        <v>0</v>
      </c>
    </row>
    <row r="284" spans="17:27">
      <c r="Q284" s="343" t="s">
        <v>76</v>
      </c>
      <c r="R284" s="343" t="s">
        <v>101</v>
      </c>
      <c r="S284" s="384">
        <v>46300</v>
      </c>
      <c r="T284" s="384">
        <v>46306</v>
      </c>
      <c r="U284" s="343" t="s">
        <v>106</v>
      </c>
      <c r="V284" s="343">
        <v>1</v>
      </c>
      <c r="W284" s="343">
        <v>825</v>
      </c>
      <c r="X284" s="343">
        <v>0</v>
      </c>
      <c r="Y284" s="343">
        <v>0</v>
      </c>
      <c r="Z284" s="343">
        <v>825</v>
      </c>
      <c r="AA284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41</v>
      </c>
      <c r="F1" s="5">
        <f>VLOOKUP(D1,Dates!$B$2:$E$53,4,FALSE)</f>
        <v>41</v>
      </c>
      <c r="G1" s="5" t="b">
        <v>1</v>
      </c>
    </row>
    <row r="2" spans="3:16" ht="28.5">
      <c r="D2" s="400" t="str">
        <f>CONCATENATE("HONO",)</f>
        <v>HONO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41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354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355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354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355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354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355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250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354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355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726AEF1-5AEE-4DB3-A0A6-17D2AB65BB00}"/>
</file>

<file path=customXml/itemProps2.xml><?xml version="1.0" encoding="utf-8"?>
<ds:datastoreItem xmlns:ds="http://schemas.openxmlformats.org/officeDocument/2006/customXml" ds:itemID="{944A6476-0776-423A-839F-D0D09769F645}"/>
</file>

<file path=customXml/itemProps3.xml><?xml version="1.0" encoding="utf-8"?>
<ds:datastoreItem xmlns:ds="http://schemas.openxmlformats.org/officeDocument/2006/customXml" ds:itemID="{E9D86580-7F39-4BCB-B1C5-3A041487CB4D}"/>
</file>

<file path=customXml/itemProps4.xml><?xml version="1.0" encoding="utf-8"?>
<ds:datastoreItem xmlns:ds="http://schemas.openxmlformats.org/officeDocument/2006/customXml" ds:itemID="{C2BE4E39-A780-46A7-A66E-6B78029CA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2026-10-12T14:12:51Z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