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tables/table12.xml" ContentType="application/vnd.openxmlformats-officedocument.spreadsheetml.table+xml"/>
  <Override PartName="/xl/queryTables/queryTable9.xml" ContentType="application/vnd.openxmlformats-officedocument.spreadsheetml.queryTable+xml"/>
  <Override PartName="/xl/tables/table13.xml" ContentType="application/vnd.openxmlformats-officedocument.spreadsheetml.table+xml"/>
  <Override PartName="/xl/queryTables/queryTable10.xml" ContentType="application/vnd.openxmlformats-officedocument.spreadsheetml.queryTable+xml"/>
  <Override PartName="/xl/tables/table14.xml" ContentType="application/vnd.openxmlformats-officedocument.spreadsheetml.table+xml"/>
  <Override PartName="/xl/queryTables/queryTable11.xml" ContentType="application/vnd.openxmlformats-officedocument.spreadsheetml.queryTable+xml"/>
  <Override PartName="/xl/tables/table15.xml" ContentType="application/vnd.openxmlformats-officedocument.spreadsheetml.table+xml"/>
  <Override PartName="/xl/queryTables/queryTable12.xml" ContentType="application/vnd.openxmlformats-officedocument.spreadsheetml.queryTable+xml"/>
  <Override PartName="/xl/tables/table16.xml" ContentType="application/vnd.openxmlformats-officedocument.spreadsheetml.table+xml"/>
  <Override PartName="/xl/queryTables/queryTable13.xml" ContentType="application/vnd.openxmlformats-officedocument.spreadsheetml.queryTable+xml"/>
  <Override PartName="/xl/tables/table17.xml" ContentType="application/vnd.openxmlformats-officedocument.spreadsheetml.table+xml"/>
  <Override PartName="/xl/queryTables/queryTable14.xml" ContentType="application/vnd.openxmlformats-officedocument.spreadsheetml.queryTable+xml"/>
  <Override PartName="/xl/tables/table18.xml" ContentType="application/vnd.openxmlformats-officedocument.spreadsheetml.table+xml"/>
  <Override PartName="/xl/queryTables/queryTable15.xml" ContentType="application/vnd.openxmlformats-officedocument.spreadsheetml.queryTable+xml"/>
  <Override PartName="/xl/tables/table19.xml" ContentType="application/vnd.openxmlformats-officedocument.spreadsheetml.table+xml"/>
  <Override PartName="/xl/queryTables/queryTable16.xml" ContentType="application/vnd.openxmlformats-officedocument.spreadsheetml.queryTable+xml"/>
  <Override PartName="/xl/tables/table20.xml" ContentType="application/vnd.openxmlformats-officedocument.spreadsheetml.table+xml"/>
  <Override PartName="/xl/queryTables/queryTable17.xml" ContentType="application/vnd.openxmlformats-officedocument.spreadsheetml.queryTable+xml"/>
  <Override PartName="/xl/tables/table21.xml" ContentType="application/vnd.openxmlformats-officedocument.spreadsheetml.table+xml"/>
  <Override PartName="/xl/queryTables/queryTable18.xml" ContentType="application/vnd.openxmlformats-officedocument.spreadsheetml.queryTable+xml"/>
  <Override PartName="/xl/tables/table22.xml" ContentType="application/vnd.openxmlformats-officedocument.spreadsheetml.table+xml"/>
  <Override PartName="/xl/queryTables/queryTable19.xml" ContentType="application/vnd.openxmlformats-officedocument.spreadsheetml.queryTable+xml"/>
  <Override PartName="/xl/tables/table23.xml" ContentType="application/vnd.openxmlformats-officedocument.spreadsheetml.table+xml"/>
  <Override PartName="/xl/queryTables/queryTable20.xml" ContentType="application/vnd.openxmlformats-officedocument.spreadsheetml.queryTable+xml"/>
  <Override PartName="/xl/tables/table24.xml" ContentType="application/vnd.openxmlformats-officedocument.spreadsheetml.table+xml"/>
  <Override PartName="/xl/queryTables/queryTable21.xml" ContentType="application/vnd.openxmlformats-officedocument.spreadsheetml.queryTable+xml"/>
  <Override PartName="/xl/tables/table25.xml" ContentType="application/vnd.openxmlformats-officedocument.spreadsheetml.table+xml"/>
  <Override PartName="/xl/queryTables/queryTable22.xml" ContentType="application/vnd.openxmlformats-officedocument.spreadsheetml.queryTable+xml"/>
  <Override PartName="/xl/tables/table26.xml" ContentType="application/vnd.openxmlformats-officedocument.spreadsheetml.table+xml"/>
  <Override PartName="/xl/queryTables/queryTable2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vieradininggroup.sharepoint.com/sites/RivieraDiningGroup/Shared Documents/Finance/ACCOUNTING/CONTROLLER/2 - FP&amp;A/1 - FP&amp;A/10 - RDG/10 - Sales/2026/"/>
    </mc:Choice>
  </mc:AlternateContent>
  <xr:revisionPtr revIDLastSave="0" documentId="8_{C89799A6-289E-4904-8DB0-F7DC0EEFC5DC}" xr6:coauthVersionLast="47" xr6:coauthVersionMax="47" xr10:uidLastSave="{00000000-0000-0000-0000-000000000000}"/>
  <bookViews>
    <workbookView xWindow="-120" yWindow="-120" windowWidth="29040" windowHeight="15720" tabRatio="906" firstSheet="35" activeTab="35" xr2:uid="{D4CC23D8-BF93-4411-B589-3EA41D565D6D}"/>
  </bookViews>
  <sheets>
    <sheet name="RDG Weekly" sheetId="80" state="hidden" r:id="rId1"/>
    <sheet name="Reconciliation" sheetId="144" r:id="rId2"/>
    <sheet name="Reference Tab" sheetId="143" r:id="rId3"/>
    <sheet name="Actual - 2026" sheetId="110" r:id="rId4"/>
    <sheet name="Budget - 2026" sheetId="109" r:id="rId5"/>
    <sheet name="Bottle Service Sales" sheetId="124" r:id="rId6"/>
    <sheet name="Summary - Avg Ck" sheetId="122" state="hidden" r:id="rId7"/>
    <sheet name="BTL service" sheetId="140" state="hidden" r:id="rId8"/>
    <sheet name="MILA 2F - Avg Ck" sheetId="134" state="hidden" r:id="rId9"/>
    <sheet name="Legend" sheetId="139" state="hidden" r:id="rId10"/>
    <sheet name="Dates" sheetId="35" state="hidden" r:id="rId11"/>
    <sheet name="RDG Weekly Sales" sheetId="103" r:id="rId12"/>
    <sheet name="MILA 3F - Avg Ck" sheetId="133" state="hidden" r:id="rId13"/>
    <sheet name="MILA Sales - 3F" sheetId="104" r:id="rId14"/>
    <sheet name="MILA Sales - 2F" sheetId="105" r:id="rId15"/>
    <sheet name="AVA WP Sales" sheetId="107" r:id="rId16"/>
    <sheet name="CASA NEOS Sales" sheetId="106" r:id="rId17"/>
    <sheet name="CN Lounge Sales" sheetId="141" r:id="rId18"/>
    <sheet name="CLAUDIE Sales" sheetId="108" r:id="rId19"/>
    <sheet name="AVA CG Sales" sheetId="120" r:id="rId20"/>
    <sheet name="Appendix" sheetId="60" r:id="rId21"/>
    <sheet name="MILA 3F - Overview" sheetId="115" r:id="rId22"/>
    <sheet name="MILA 2F - Overview" sheetId="119" r:id="rId23"/>
    <sheet name="AVA WP - Overview" sheetId="118" r:id="rId24"/>
    <sheet name="CASA NEOS Overview " sheetId="116" r:id="rId25"/>
    <sheet name="CASA NEOS LOUNGE - Overview" sheetId="142" r:id="rId26"/>
    <sheet name="CLAUDIE Overview" sheetId="117" r:id="rId27"/>
    <sheet name="AVA CG - Overview" sheetId="121" r:id="rId28"/>
    <sheet name="Sources--&gt;" sheetId="145" r:id="rId29"/>
    <sheet name="MILA 3F" sheetId="146" r:id="rId30"/>
    <sheet name="MILA II" sheetId="147" r:id="rId31"/>
    <sheet name="AVA WP" sheetId="152" r:id="rId32"/>
    <sheet name="CASA NEOS" sheetId="148" r:id="rId33"/>
    <sheet name="CLAUDIE" sheetId="149" r:id="rId34"/>
    <sheet name="AVA CG" sheetId="150" r:id="rId35"/>
    <sheet name="CN LOUNGE" sheetId="151" r:id="rId36"/>
    <sheet name="HONO Sales" sheetId="112" state="hidden" r:id="rId37"/>
  </sheets>
  <externalReferences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ExternalData_1" localSheetId="34" hidden="1">'AVA CG'!$A$1:$G$231</definedName>
    <definedName name="ExternalData_1" localSheetId="31" hidden="1">'AVA WP'!$A$1:$G$239</definedName>
    <definedName name="ExternalData_1" localSheetId="32" hidden="1">'CASA NEOS'!$A$1:$G$227</definedName>
    <definedName name="ExternalData_1" localSheetId="33" hidden="1">CLAUDIE!$A$1:$G$182</definedName>
    <definedName name="ExternalData_1" localSheetId="35" hidden="1">'CN LOUNGE'!$A$1:$G$132</definedName>
    <definedName name="ExternalData_1" localSheetId="29" hidden="1">'MILA 3F'!$A$1:$G$603</definedName>
    <definedName name="ExternalData_1" localSheetId="30" hidden="1">'MILA II'!$A$1:$G$171</definedName>
    <definedName name="ExternalData_2" localSheetId="34" hidden="1">'AVA CG'!$I$1:$O$67</definedName>
    <definedName name="ExternalData_2" localSheetId="31" hidden="1">'AVA WP'!$I$1:$O$69</definedName>
    <definedName name="ExternalData_2" localSheetId="32" hidden="1">'CASA NEOS'!$I$1:$O$123</definedName>
    <definedName name="ExternalData_2" localSheetId="33" hidden="1">CLAUDIE!$I$1:$O$557</definedName>
    <definedName name="ExternalData_2" localSheetId="35" hidden="1">'CN LOUNGE'!$I$1:$O$87</definedName>
    <definedName name="ExternalData_2" localSheetId="29" hidden="1">'MILA 3F'!$I$1:$O$92</definedName>
    <definedName name="ExternalData_2" localSheetId="30" hidden="1">'MILA II'!$I$1:$O$170</definedName>
    <definedName name="ExternalData_3" localSheetId="34" hidden="1">'AVA CG'!$Q$1:$AA$263</definedName>
    <definedName name="ExternalData_3" localSheetId="31" hidden="1">'AVA WP'!$Q$1:$W$160</definedName>
    <definedName name="ExternalData_3" localSheetId="32" hidden="1">'CASA NEOS'!$Q$1:$AA$287</definedName>
    <definedName name="ExternalData_3" localSheetId="33" hidden="1">CLAUDIE!$Q$1:$AA$257</definedName>
    <definedName name="ExternalData_3" localSheetId="35" hidden="1">'CN LOUNGE'!$Q$1:$AA$277</definedName>
    <definedName name="ExternalData_3" localSheetId="29" hidden="1">'MILA 3F'!$Q$1:$AA$346</definedName>
    <definedName name="ExternalData_3" localSheetId="30" hidden="1">'MILA II'!$Q$1:$W$183</definedName>
    <definedName name="ExternalData_4" localSheetId="31" hidden="1">'AVA WP'!$Y$1:$AI$269</definedName>
    <definedName name="ExternalData_4" localSheetId="30" hidden="1">'MILA II'!$Y$1:$AI$319</definedName>
    <definedName name="_xlnm.Print_Area" localSheetId="27">'AVA CG - Overview'!$D:$U</definedName>
    <definedName name="_xlnm.Print_Area" localSheetId="19">'AVA CG Sales'!$D$2:$P$29</definedName>
    <definedName name="_xlnm.Print_Area" localSheetId="23">'AVA WP - Overview'!$D:$U</definedName>
    <definedName name="_xlnm.Print_Area" localSheetId="15">'AVA WP Sales'!$D$2:$P$29</definedName>
    <definedName name="_xlnm.Print_Area" localSheetId="25">'CASA NEOS LOUNGE - Overview'!$D$2:$R$69</definedName>
    <definedName name="_xlnm.Print_Area" localSheetId="24">'CASA NEOS Overview '!$D:$R</definedName>
    <definedName name="_xlnm.Print_Area" localSheetId="16">'CASA NEOS Sales'!$D$2:$P$35</definedName>
    <definedName name="_xlnm.Print_Area" localSheetId="26">'CLAUDIE Overview'!$D:$R</definedName>
    <definedName name="_xlnm.Print_Area" localSheetId="18">'CLAUDIE Sales'!$D$2:$P$23</definedName>
    <definedName name="_xlnm.Print_Area" localSheetId="17">'CN Lounge Sales'!$D$2:$P$23</definedName>
    <definedName name="_xlnm.Print_Area" localSheetId="36">'HONO Sales'!$D$2:$P$21</definedName>
    <definedName name="_xlnm.Print_Area" localSheetId="22">'MILA 2F - Overview'!$D:$U</definedName>
    <definedName name="_xlnm.Print_Area" localSheetId="21">'MILA 3F - Overview'!$D:$R</definedName>
    <definedName name="_xlnm.Print_Area" localSheetId="14">'MILA Sales - 2F'!$D$2:$P$29</definedName>
    <definedName name="_xlnm.Print_Area" localSheetId="13">'MILA Sales - 3F'!$D$2:$P$23</definedName>
    <definedName name="_xlnm.Print_Area" localSheetId="0">'RDG Weekly'!$D$2:$AI$43</definedName>
    <definedName name="_xlnm.Print_Area" localSheetId="11">'RDG Weekly Sales'!$D$2:$P$53</definedName>
    <definedName name="_xlnm.Print_Area">#N/A</definedName>
    <definedName name="SERVER" localSheetId="27">#REF!</definedName>
    <definedName name="SERVER" localSheetId="19">#REF!</definedName>
    <definedName name="SERVER" localSheetId="23">#REF!</definedName>
    <definedName name="SERVER" localSheetId="15">#REF!</definedName>
    <definedName name="SERVER" localSheetId="24">#REF!</definedName>
    <definedName name="SERVER" localSheetId="16">#REF!</definedName>
    <definedName name="SERVER" localSheetId="26">#REF!</definedName>
    <definedName name="SERVER" localSheetId="18">#REF!</definedName>
    <definedName name="SERVER" localSheetId="36">#REF!</definedName>
    <definedName name="SERVER" localSheetId="22">#REF!</definedName>
    <definedName name="SERVER" localSheetId="21">#REF!</definedName>
    <definedName name="SERVER" localSheetId="14">#REF!</definedName>
    <definedName name="SERVER" localSheetId="13">#REF!</definedName>
    <definedName name="SERVER" localSheetId="0">#REF!</definedName>
    <definedName name="SERVER" localSheetId="11">#REF!</definedName>
    <definedName name="SERVER">'[1]2017 Forecast'!$E$19</definedName>
    <definedName name="spec" localSheetId="27">#REF!</definedName>
    <definedName name="spec" localSheetId="19">#REF!</definedName>
    <definedName name="spec" localSheetId="23">#REF!</definedName>
    <definedName name="spec" localSheetId="15">#REF!</definedName>
    <definedName name="spec" localSheetId="24">#REF!</definedName>
    <definedName name="spec" localSheetId="16">#REF!</definedName>
    <definedName name="spec" localSheetId="26">#REF!</definedName>
    <definedName name="spec" localSheetId="18">#REF!</definedName>
    <definedName name="spec" localSheetId="10">[2]Montreal!#REF!</definedName>
    <definedName name="spec" localSheetId="36">#REF!</definedName>
    <definedName name="spec" localSheetId="22">#REF!</definedName>
    <definedName name="spec" localSheetId="21">#REF!</definedName>
    <definedName name="spec" localSheetId="14">#REF!</definedName>
    <definedName name="spec" localSheetId="13">#REF!</definedName>
    <definedName name="spec" localSheetId="0">#REF!</definedName>
    <definedName name="spec" localSheetId="11">#REF!</definedName>
    <definedName name="spec">[2]Montreal!#REF!</definedName>
    <definedName name="TM1REBUILDOPTION">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unge_30b66825-5074-4496-b02a-8b21d50715d9" name="Lounge" connection="Query - Lounge"/>
          <x15:modelTable id="MM_f0a62b98-4ab3-4b21-9995-3952de08a0c6" name="MM" connection="Query - MM"/>
          <x15:modelTable id="Omakase_80c80ef0-afd4-418b-9d03-e3cd647e3d8e" name="Omakase" connection="Query - Omakase"/>
          <x15:modelTable id="Sales Categories_01e25b6c-2bd5-4f64-a198-3e73481c8aa3" name="Sales Categories" connection="Query - Sales Categories"/>
          <x15:modelTable id="2026 MM Sales_508690ee-d7e8-480c-8eb2-25982112d229" name="2026 MM Sales" connection="Query - 2026 MM Sales"/>
          <x15:modelTable id="_26DinnerSalesACT_663a58a7-84b9-4d87-a3d2-8def74743b59" name="_26DinnerSalesACT" connection="Query - _26DinnerSalesACT"/>
          <x15:modelTable id="_26LunchSalesACT_f07ae179-fc42-4215-9193-74e40c83472c" name="_26LunchSalesACT" connection="Query - _26LunchSalesACT"/>
          <x15:modelTable id="_26MMSalesACT_0384cb1b-0b4c-412a-b9af-3df9593407d8" name="_26MMSalesACT" connection="Query - _26MMSalesACT"/>
          <x15:modelTable id="_2026AVATotalSalesCat_165fd9c4-314d-4746-838b-a061871d049a" name="_2026AVATotalSalesCat" connection="Query - _2026AVATotalSalesCat"/>
          <x15:modelTable id="Brunch_5406fc74-438c-4ab6-9f44-77b627e7a9b1" name="Brunch" connection="Query - Brunch"/>
          <x15:modelTable id="Dinner  2_a6d6fb5d-fbc1-4792-b5f6-8546f250445a" name="Dinner  2" connection="Query - Dinner (2)"/>
          <x15:modelTable id="Sales Categories  2_1245cb4c-118b-4a7c-9398-e5e7a1e1821e" name="Sales Categories  2" connection="Query - Sales Categories (2)"/>
          <x15:modelTable id="Brunch  2_f36acf72-4879-410e-bb8e-d0f7e29ecc19" name="Brunch  2" connection="Query - Brunch (2)"/>
          <x15:modelTable id="Dinner  3_6e9b3cb3-6cce-4ba6-9951-5de8b5098c77" name="Dinner  3" connection="Query - Dinner (3)"/>
          <x15:modelTable id="Sales Categories  3_d069a0bd-14b8-4558-83f1-722660417d4d" name="Sales Categories  3" connection="Query - Sales Categories (3)"/>
          <x15:modelTable id="_2026DinnerSales_f3b40b7d-0722-4872-81dd-834c4f23cd3d" name="_2026DinnerSales" connection="Query - _2026DinnerSales"/>
          <x15:modelTable id="_2026BrunchSales_2f47e1bf-0550-436c-9c41-030d913e34dc" name="_2026BrunchSales" connection="Query - _2026BrunchSales"/>
          <x15:modelTable id="_2026TotalSalesCat_4deeba80-7324-481b-984b-f14af79ecdec" name="_2026TotalSalesCat" connection="Query - _2026TotalSalesCat"/>
          <x15:modelTable id="Lounge  2_8ba9e275-e860-4f2a-91e1-81081dd0db60" name="Lounge  2" connection="Query - Lounge (2)"/>
          <x15:modelTable id="MM  2_890261b1-35d8-4950-b717-3c24d6710a43" name="MM  2" connection="Query - MM (2)"/>
          <x15:modelTable id="Sales Categories  4_733ae725-9cf7-4dec-9265-ec565cc97662" name="Sales Categories  4" connection="Query - Sales Categories (4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38" i="110" l="1" a="1"/>
  <c r="BS38" i="110"/>
  <c r="BQ38" i="110" a="1"/>
  <c r="BP38" i="110"/>
  <c r="BL38" i="110"/>
  <c r="BH38" i="110" a="1"/>
  <c r="BG38" i="110"/>
  <c r="BE38" i="110" a="1"/>
  <c r="BN38" i="110" s="1"/>
  <c r="BD38" i="110"/>
  <c r="AY38" i="110" a="1"/>
  <c r="AX38" i="110" a="1"/>
  <c r="AV38" i="110" a="1"/>
  <c r="AU38" i="110" a="1"/>
  <c r="AP38" i="110" a="1"/>
  <c r="AO38" i="110" a="1"/>
  <c r="AM38" i="110" a="1"/>
  <c r="AL38" i="110" a="1"/>
  <c r="AG38" i="110" a="1"/>
  <c r="AF38" i="110"/>
  <c r="AD38" i="110" a="1"/>
  <c r="AC38" i="110" a="1"/>
  <c r="AA38" i="110" a="1"/>
  <c r="Z38" i="110" a="1"/>
  <c r="U38" i="110" a="1"/>
  <c r="T38" i="110" a="1"/>
  <c r="R38" i="110" a="1"/>
  <c r="Q38" i="110" a="1"/>
  <c r="O38" i="110" a="1"/>
  <c r="X38" i="110" s="1"/>
  <c r="N38" i="110" a="1"/>
  <c r="I38" i="110" a="1"/>
  <c r="H38" i="110" a="1"/>
  <c r="F38" i="110" a="1"/>
  <c r="E38" i="110" a="1"/>
  <c r="L237" i="143"/>
  <c r="L238" i="143"/>
  <c r="L239" i="143"/>
  <c r="L240" i="143"/>
  <c r="L241" i="143"/>
  <c r="L242" i="143"/>
  <c r="L243" i="143"/>
  <c r="BS37" i="110"/>
  <c r="BP37" i="110"/>
  <c r="BG37" i="110"/>
  <c r="BD37" i="110"/>
  <c r="AX37" i="110" a="1"/>
  <c r="AU37" i="110" a="1"/>
  <c r="AO37" i="110" a="1"/>
  <c r="AL37" i="110" a="1"/>
  <c r="AF37" i="110"/>
  <c r="AC37" i="110" a="1"/>
  <c r="Z37" i="110" a="1"/>
  <c r="T37" i="110" a="1"/>
  <c r="Q37" i="110" a="1"/>
  <c r="N37" i="110" a="1"/>
  <c r="H37" i="110" a="1"/>
  <c r="E37" i="110" a="1"/>
  <c r="L230" i="143"/>
  <c r="L231" i="143"/>
  <c r="L232" i="143"/>
  <c r="L233" i="143"/>
  <c r="L234" i="143"/>
  <c r="L235" i="143"/>
  <c r="L236" i="143"/>
  <c r="Z36" i="110" a="1"/>
  <c r="BS36" i="110"/>
  <c r="BP36" i="110"/>
  <c r="BG36" i="110"/>
  <c r="BD36" i="110"/>
  <c r="AX36" i="110" a="1"/>
  <c r="AU36" i="110" a="1"/>
  <c r="AO36" i="110" a="1"/>
  <c r="AL36" i="110" a="1"/>
  <c r="AF36" i="110"/>
  <c r="AC36" i="110" a="1"/>
  <c r="T36" i="110" a="1"/>
  <c r="Q36" i="110" a="1"/>
  <c r="N36" i="110" a="1"/>
  <c r="H36" i="110" a="1"/>
  <c r="E36" i="110" a="1"/>
  <c r="L223" i="143"/>
  <c r="L224" i="143"/>
  <c r="M224" i="143" s="1"/>
  <c r="L225" i="143"/>
  <c r="L226" i="143"/>
  <c r="L227" i="143"/>
  <c r="L228" i="143"/>
  <c r="L229" i="143"/>
  <c r="BS35" i="110"/>
  <c r="BP35" i="110"/>
  <c r="BG35" i="110"/>
  <c r="BD35" i="110"/>
  <c r="AX35" i="110" a="1"/>
  <c r="AU35" i="110" a="1"/>
  <c r="AO35" i="110" a="1"/>
  <c r="AL35" i="110" a="1"/>
  <c r="AF35" i="110"/>
  <c r="AC35" i="110" a="1"/>
  <c r="Z35" i="110" a="1"/>
  <c r="T35" i="110" a="1"/>
  <c r="Q35" i="110" a="1"/>
  <c r="S35" i="110" s="1"/>
  <c r="N35" i="110" a="1"/>
  <c r="H35" i="110" a="1"/>
  <c r="E35" i="110" a="1"/>
  <c r="L216" i="143"/>
  <c r="M216" i="143" s="1"/>
  <c r="L217" i="143"/>
  <c r="L218" i="143"/>
  <c r="L219" i="143"/>
  <c r="L220" i="143"/>
  <c r="L221" i="143"/>
  <c r="L222" i="143"/>
  <c r="M217" i="143"/>
  <c r="M218" i="143"/>
  <c r="M219" i="143"/>
  <c r="M220" i="143"/>
  <c r="M221" i="143"/>
  <c r="M222" i="143"/>
  <c r="BS34" i="110"/>
  <c r="BP34" i="110"/>
  <c r="BG34" i="110"/>
  <c r="BD34" i="110"/>
  <c r="AX34" i="110" a="1"/>
  <c r="AU34" i="110" a="1"/>
  <c r="AO34" i="110" a="1"/>
  <c r="AL34" i="110" a="1"/>
  <c r="AF34" i="110"/>
  <c r="AC34" i="110" a="1"/>
  <c r="Z34" i="110" a="1"/>
  <c r="T34" i="110" a="1"/>
  <c r="Q34" i="110" a="1"/>
  <c r="S34" i="110" s="1"/>
  <c r="N34" i="110" a="1"/>
  <c r="H34" i="110" a="1"/>
  <c r="E34" i="110" a="1"/>
  <c r="L209" i="143"/>
  <c r="L210" i="143"/>
  <c r="L211" i="143"/>
  <c r="L212" i="143"/>
  <c r="L213" i="143"/>
  <c r="L214" i="143"/>
  <c r="L215" i="143"/>
  <c r="BS33" i="110"/>
  <c r="BP33" i="110"/>
  <c r="BG33" i="110"/>
  <c r="BI33" i="110" s="1"/>
  <c r="BD33" i="110"/>
  <c r="AX33" i="110" a="1"/>
  <c r="AU33" i="110" a="1"/>
  <c r="AO33" i="110" a="1"/>
  <c r="AL33" i="110" a="1"/>
  <c r="AF33" i="110"/>
  <c r="AC33" i="110" a="1"/>
  <c r="Z33" i="110" a="1"/>
  <c r="T33" i="110" a="1"/>
  <c r="Q33" i="110" a="1"/>
  <c r="N33" i="110" a="1"/>
  <c r="H33" i="110" a="1"/>
  <c r="E33" i="110" a="1"/>
  <c r="L202" i="143"/>
  <c r="L203" i="143"/>
  <c r="L204" i="143"/>
  <c r="L205" i="143"/>
  <c r="L206" i="143"/>
  <c r="L207" i="143"/>
  <c r="L208" i="143"/>
  <c r="AC32" i="110" a="1"/>
  <c r="BS32" i="110"/>
  <c r="BP32" i="110"/>
  <c r="BG32" i="110"/>
  <c r="BD32" i="110"/>
  <c r="AX32" i="110" a="1"/>
  <c r="AU32" i="110" a="1"/>
  <c r="AO32" i="110" a="1"/>
  <c r="AL32" i="110" a="1"/>
  <c r="AF32" i="110"/>
  <c r="Z32" i="110" a="1"/>
  <c r="T32" i="110" a="1"/>
  <c r="Q32" i="110" a="1"/>
  <c r="N32" i="110" a="1"/>
  <c r="H32" i="110" a="1"/>
  <c r="E32" i="110" a="1"/>
  <c r="D1" i="103"/>
  <c r="D1" i="108" s="1"/>
  <c r="L195" i="143"/>
  <c r="L196" i="143"/>
  <c r="L197" i="143"/>
  <c r="L198" i="143"/>
  <c r="L199" i="143"/>
  <c r="L200" i="143"/>
  <c r="L201" i="143"/>
  <c r="L30" i="110"/>
  <c r="BS31" i="110"/>
  <c r="BP31" i="110"/>
  <c r="BG31" i="110"/>
  <c r="BD31" i="110"/>
  <c r="AX31" i="110" a="1"/>
  <c r="AU31" i="110" a="1"/>
  <c r="AO31" i="110" a="1"/>
  <c r="AL31" i="110" a="1"/>
  <c r="AF31" i="110"/>
  <c r="AC31" i="110"/>
  <c r="Z31" i="110" a="1"/>
  <c r="T31" i="110" a="1"/>
  <c r="Q31" i="110" a="1"/>
  <c r="N31" i="110" a="1"/>
  <c r="H31" i="110" a="1"/>
  <c r="E31" i="110" a="1"/>
  <c r="L188" i="143"/>
  <c r="L189" i="143"/>
  <c r="L190" i="143"/>
  <c r="L191" i="143"/>
  <c r="M191" i="143" s="1"/>
  <c r="L192" i="143"/>
  <c r="M192" i="143" s="1"/>
  <c r="L193" i="143"/>
  <c r="M193" i="143" s="1"/>
  <c r="L194" i="143"/>
  <c r="BS30" i="110"/>
  <c r="BP30" i="110"/>
  <c r="BG30" i="110"/>
  <c r="BD30" i="110"/>
  <c r="AX30" i="110" a="1"/>
  <c r="AU30" i="110" a="1"/>
  <c r="AO30" i="110" a="1"/>
  <c r="AL30" i="110" a="1"/>
  <c r="AF30" i="110"/>
  <c r="AC30" i="110"/>
  <c r="Z30" i="110" a="1"/>
  <c r="T30" i="110" a="1"/>
  <c r="Q30" i="110" a="1"/>
  <c r="N30" i="110" a="1"/>
  <c r="H30" i="110" a="1"/>
  <c r="E30" i="110" a="1"/>
  <c r="L181" i="143"/>
  <c r="L182" i="143"/>
  <c r="L183" i="143"/>
  <c r="L184" i="143"/>
  <c r="L185" i="143"/>
  <c r="L186" i="143"/>
  <c r="L187" i="143"/>
  <c r="M181" i="143"/>
  <c r="M182" i="143"/>
  <c r="M183" i="143"/>
  <c r="M184" i="143"/>
  <c r="M185" i="143"/>
  <c r="M186" i="143"/>
  <c r="M187" i="143"/>
  <c r="L174" i="143"/>
  <c r="L175" i="143"/>
  <c r="L176" i="143"/>
  <c r="L177" i="143"/>
  <c r="L178" i="143"/>
  <c r="L179" i="143"/>
  <c r="L180" i="143"/>
  <c r="BB38" i="110" l="1"/>
  <c r="L38" i="110"/>
  <c r="BW38" i="110"/>
  <c r="AH38" i="110"/>
  <c r="AE38" i="110"/>
  <c r="AJ38" i="110"/>
  <c r="AS38" i="110"/>
  <c r="BU38" i="110"/>
  <c r="BI38" i="110"/>
  <c r="AW38" i="110"/>
  <c r="AN38" i="110"/>
  <c r="V38" i="110"/>
  <c r="S38" i="110"/>
  <c r="J38" i="110"/>
  <c r="BV38" i="110"/>
  <c r="BX38" i="110" s="1"/>
  <c r="BR38" i="110"/>
  <c r="BF38" i="110"/>
  <c r="BM38" i="110"/>
  <c r="BO38" i="110" s="1"/>
  <c r="BA38" i="110"/>
  <c r="AZ38" i="110"/>
  <c r="AR38" i="110"/>
  <c r="AQ38" i="110"/>
  <c r="AI38" i="110"/>
  <c r="AB38" i="110"/>
  <c r="W38" i="110"/>
  <c r="Y38" i="110" s="1"/>
  <c r="P38" i="110"/>
  <c r="K38" i="110"/>
  <c r="G38" i="110"/>
  <c r="M237" i="143"/>
  <c r="M238" i="143"/>
  <c r="M239" i="143"/>
  <c r="M240" i="143"/>
  <c r="M241" i="143"/>
  <c r="M242" i="143"/>
  <c r="M243" i="143"/>
  <c r="M230" i="143"/>
  <c r="M231" i="143"/>
  <c r="M232" i="143"/>
  <c r="M233" i="143"/>
  <c r="M234" i="143"/>
  <c r="M235" i="143"/>
  <c r="M236" i="143"/>
  <c r="M223" i="143"/>
  <c r="M225" i="143"/>
  <c r="M226" i="143"/>
  <c r="M227" i="143"/>
  <c r="M228" i="143"/>
  <c r="M229" i="143"/>
  <c r="M209" i="143"/>
  <c r="M210" i="143"/>
  <c r="M211" i="143"/>
  <c r="M212" i="143"/>
  <c r="M213" i="143"/>
  <c r="M214" i="143"/>
  <c r="M215" i="143"/>
  <c r="M202" i="143"/>
  <c r="M203" i="143"/>
  <c r="M204" i="143"/>
  <c r="M205" i="143"/>
  <c r="M206" i="143"/>
  <c r="M207" i="143"/>
  <c r="M208" i="143"/>
  <c r="M195" i="143"/>
  <c r="M196" i="143"/>
  <c r="M197" i="143"/>
  <c r="M198" i="143"/>
  <c r="M199" i="143"/>
  <c r="M200" i="143"/>
  <c r="M201" i="143"/>
  <c r="M188" i="143"/>
  <c r="M189" i="143"/>
  <c r="M190" i="143"/>
  <c r="M194" i="143"/>
  <c r="M174" i="143"/>
  <c r="M175" i="143"/>
  <c r="M176" i="143"/>
  <c r="M177" i="143"/>
  <c r="M178" i="143"/>
  <c r="M179" i="143"/>
  <c r="M180" i="143"/>
  <c r="U29" i="110"/>
  <c r="R29" i="110"/>
  <c r="BT29" i="110"/>
  <c r="BQ29" i="110"/>
  <c r="AG29" i="110"/>
  <c r="BH29" i="110"/>
  <c r="BE29" i="110"/>
  <c r="AV29" i="110"/>
  <c r="AY29" i="110" s="1"/>
  <c r="AM29" i="110"/>
  <c r="AP29" i="110"/>
  <c r="AD29" i="110"/>
  <c r="AA29" i="110" s="1"/>
  <c r="F29" i="110"/>
  <c r="BS29" i="110"/>
  <c r="BP29" i="110"/>
  <c r="BD29" i="110"/>
  <c r="AX29" i="110"/>
  <c r="AO29" i="110"/>
  <c r="AF29" i="110"/>
  <c r="Z29" i="110"/>
  <c r="T29" i="110"/>
  <c r="Q29" i="110"/>
  <c r="E29" i="110"/>
  <c r="AT38" i="110" l="1"/>
  <c r="AK38" i="110"/>
  <c r="M38" i="110"/>
  <c r="BC38" i="110"/>
  <c r="T28" i="110" a="1"/>
  <c r="Q28" i="110" a="1"/>
  <c r="N28" i="110" a="1"/>
  <c r="Z28" i="110" a="1"/>
  <c r="BT28" i="110"/>
  <c r="BQ28" i="110"/>
  <c r="AG28" i="110"/>
  <c r="U28" i="110"/>
  <c r="R28" i="110"/>
  <c r="H28" i="110" a="1"/>
  <c r="BH28" i="110"/>
  <c r="AO28" i="110" a="1"/>
  <c r="AL28" i="110" a="1"/>
  <c r="AU28" i="110" a="1"/>
  <c r="AY28" i="110"/>
  <c r="AM28" i="110"/>
  <c r="AA28" i="110"/>
  <c r="F28" i="110"/>
  <c r="E28" i="110" a="1"/>
  <c r="AF28" i="110"/>
  <c r="AC28" i="110"/>
  <c r="AX28" i="110" a="1"/>
  <c r="BS28" i="110"/>
  <c r="BP28" i="110"/>
  <c r="BG28" i="110"/>
  <c r="BD28" i="110"/>
  <c r="L167" i="143"/>
  <c r="L168" i="143"/>
  <c r="L169" i="143"/>
  <c r="L170" i="143"/>
  <c r="L171" i="143"/>
  <c r="L172" i="143"/>
  <c r="L173" i="143"/>
  <c r="M167" i="143"/>
  <c r="M168" i="143"/>
  <c r="M169" i="143"/>
  <c r="M170" i="143"/>
  <c r="M171" i="143"/>
  <c r="M172" i="143"/>
  <c r="M173" i="143"/>
  <c r="E26" i="110" a="1"/>
  <c r="E25" i="110" a="1"/>
  <c r="E24" i="110" a="1"/>
  <c r="E27" i="110" a="1"/>
  <c r="AX24" i="110" a="1"/>
  <c r="AX25" i="110" a="1"/>
  <c r="AX26" i="110" a="1"/>
  <c r="AX27" i="110" a="1"/>
  <c r="AU27" i="110"/>
  <c r="BQ27" i="110"/>
  <c r="BT27" i="110"/>
  <c r="R27" i="110"/>
  <c r="U27" i="110"/>
  <c r="AG27" i="110"/>
  <c r="BH27" i="110"/>
  <c r="BE27" i="110"/>
  <c r="AY27" i="110"/>
  <c r="AM27" i="110"/>
  <c r="AP27" i="110" s="1"/>
  <c r="AA27" i="110"/>
  <c r="F27" i="110"/>
  <c r="BS27" i="110"/>
  <c r="BP27" i="110"/>
  <c r="BG27" i="110"/>
  <c r="BD27" i="110"/>
  <c r="AO27" i="110"/>
  <c r="AL27" i="110"/>
  <c r="AF27" i="110"/>
  <c r="AC27" i="110"/>
  <c r="Z27" i="110"/>
  <c r="T27" i="110"/>
  <c r="Q27" i="110"/>
  <c r="N27" i="110"/>
  <c r="H27" i="110"/>
  <c r="L160" i="143"/>
  <c r="L161" i="143"/>
  <c r="L162" i="143"/>
  <c r="L163" i="143"/>
  <c r="L164" i="143"/>
  <c r="L165" i="143"/>
  <c r="L166" i="143"/>
  <c r="BS26" i="110"/>
  <c r="BS25" i="110"/>
  <c r="BS24" i="110"/>
  <c r="BP26" i="110"/>
  <c r="BP25" i="110"/>
  <c r="BP24" i="110"/>
  <c r="BG26" i="110"/>
  <c r="BG25" i="110"/>
  <c r="BG24" i="110"/>
  <c r="BD26" i="110"/>
  <c r="BD25" i="110"/>
  <c r="BD24" i="110"/>
  <c r="AU26" i="110"/>
  <c r="AU25" i="110"/>
  <c r="AU24" i="110"/>
  <c r="AO26" i="110"/>
  <c r="AO25" i="110"/>
  <c r="AO24" i="110"/>
  <c r="AL26" i="110"/>
  <c r="AL25" i="110"/>
  <c r="AL24" i="110"/>
  <c r="AF26" i="110"/>
  <c r="AF25" i="110"/>
  <c r="AF24" i="110"/>
  <c r="AC26" i="110"/>
  <c r="AC25" i="110"/>
  <c r="AC24" i="110"/>
  <c r="Z26" i="110"/>
  <c r="Z25" i="110"/>
  <c r="Z24" i="110"/>
  <c r="T26" i="110"/>
  <c r="T25" i="110"/>
  <c r="T24" i="110"/>
  <c r="Q26" i="110"/>
  <c r="Q25" i="110"/>
  <c r="Q24" i="110"/>
  <c r="N26" i="110"/>
  <c r="N25" i="110"/>
  <c r="N24" i="110"/>
  <c r="H26" i="110"/>
  <c r="H25" i="110"/>
  <c r="H24" i="110"/>
  <c r="F26" i="110"/>
  <c r="L26" i="110" s="1"/>
  <c r="R26" i="110"/>
  <c r="U26" i="110"/>
  <c r="AG26" i="110"/>
  <c r="BT26" i="110"/>
  <c r="BQ26" i="110"/>
  <c r="BH26" i="110"/>
  <c r="BE26" i="110" s="1"/>
  <c r="AY26" i="110"/>
  <c r="AM26" i="110"/>
  <c r="AP26" i="110" s="1"/>
  <c r="AA26" i="110"/>
  <c r="L153" i="143"/>
  <c r="L154" i="143"/>
  <c r="L155" i="143"/>
  <c r="L156" i="143"/>
  <c r="L157" i="143"/>
  <c r="L158" i="143"/>
  <c r="L159" i="143"/>
  <c r="BA36" i="110"/>
  <c r="BE28" i="110" l="1"/>
  <c r="AP28" i="110"/>
  <c r="BA24" i="110"/>
  <c r="M160" i="143"/>
  <c r="M161" i="143"/>
  <c r="M162" i="143"/>
  <c r="M163" i="143"/>
  <c r="M164" i="143"/>
  <c r="M165" i="143"/>
  <c r="M166" i="143"/>
  <c r="M153" i="143"/>
  <c r="M154" i="143"/>
  <c r="M155" i="143"/>
  <c r="M156" i="143"/>
  <c r="M157" i="143"/>
  <c r="M158" i="143"/>
  <c r="M159" i="143"/>
  <c r="U25" i="110"/>
  <c r="R25" i="110"/>
  <c r="AG25" i="110"/>
  <c r="BT25" i="110"/>
  <c r="BQ25" i="110"/>
  <c r="BH25" i="110"/>
  <c r="BE25" i="110" s="1"/>
  <c r="AV25" i="110"/>
  <c r="AY25" i="110" s="1"/>
  <c r="AM25" i="110"/>
  <c r="AP25" i="110" s="1"/>
  <c r="AD25" i="110"/>
  <c r="AA25" i="110" s="1"/>
  <c r="F25" i="110"/>
  <c r="L146" i="143"/>
  <c r="L147" i="143"/>
  <c r="L148" i="143"/>
  <c r="L149" i="143"/>
  <c r="L150" i="143"/>
  <c r="L151" i="143"/>
  <c r="L152" i="143"/>
  <c r="M146" i="143" l="1"/>
  <c r="M147" i="143"/>
  <c r="M148" i="143"/>
  <c r="M149" i="143"/>
  <c r="M150" i="143"/>
  <c r="M151" i="143"/>
  <c r="M152" i="143"/>
  <c r="D1" i="106"/>
  <c r="C3" i="144" a="1"/>
  <c r="BY5" i="109"/>
  <c r="DN56" i="109" l="1"/>
  <c r="DN55" i="109"/>
  <c r="DN54" i="109"/>
  <c r="DN53" i="109"/>
  <c r="DN52" i="109"/>
  <c r="DN51" i="109"/>
  <c r="DN50" i="109"/>
  <c r="DN49" i="109"/>
  <c r="DN48" i="109"/>
  <c r="DN47" i="109"/>
  <c r="DN46" i="109"/>
  <c r="DN45" i="109"/>
  <c r="DN44" i="109"/>
  <c r="DN43" i="109"/>
  <c r="DN42" i="109"/>
  <c r="DN41" i="109"/>
  <c r="DN40" i="109"/>
  <c r="DN39" i="109"/>
  <c r="DN38" i="109"/>
  <c r="DN37" i="109"/>
  <c r="DN36" i="109"/>
  <c r="DN35" i="109"/>
  <c r="DN34" i="109"/>
  <c r="DN33" i="109"/>
  <c r="DN32" i="109"/>
  <c r="DN31" i="109"/>
  <c r="DN30" i="109"/>
  <c r="DN29" i="109"/>
  <c r="DN28" i="109"/>
  <c r="DN27" i="109"/>
  <c r="DN26" i="109"/>
  <c r="DN25" i="109"/>
  <c r="DN24" i="109"/>
  <c r="DN23" i="109"/>
  <c r="DN22" i="109"/>
  <c r="DN21" i="109"/>
  <c r="DN20" i="109"/>
  <c r="DN19" i="109"/>
  <c r="DN18" i="109"/>
  <c r="DN17" i="109"/>
  <c r="DN16" i="109"/>
  <c r="DN15" i="109"/>
  <c r="DN14" i="109"/>
  <c r="DN13" i="109"/>
  <c r="DN12" i="109"/>
  <c r="DN11" i="109"/>
  <c r="DN10" i="109"/>
  <c r="DN9" i="109"/>
  <c r="DN8" i="109"/>
  <c r="DN7" i="109"/>
  <c r="DN6" i="109"/>
  <c r="DF31" i="109"/>
  <c r="DM56" i="109"/>
  <c r="DM53" i="109"/>
  <c r="DF52" i="109"/>
  <c r="DF51" i="109"/>
  <c r="DF50" i="109"/>
  <c r="DF47" i="109"/>
  <c r="DF46" i="109"/>
  <c r="DM45" i="109"/>
  <c r="DM44" i="109"/>
  <c r="DO44" i="109" s="1"/>
  <c r="DM43" i="109"/>
  <c r="DO43" i="109" s="1"/>
  <c r="DF40" i="109"/>
  <c r="DF39" i="109"/>
  <c r="DF38" i="109"/>
  <c r="DF37" i="109"/>
  <c r="DF36" i="109"/>
  <c r="DF35" i="109"/>
  <c r="DF34" i="109"/>
  <c r="DM33" i="109"/>
  <c r="DM32" i="109"/>
  <c r="DM31" i="109"/>
  <c r="DM30" i="109"/>
  <c r="DF28" i="109"/>
  <c r="DF27" i="109"/>
  <c r="DF26" i="109"/>
  <c r="DF25" i="109"/>
  <c r="DF24" i="109"/>
  <c r="DF23" i="109"/>
  <c r="DF22" i="109"/>
  <c r="DM21" i="109"/>
  <c r="DM20" i="109"/>
  <c r="DM19" i="109"/>
  <c r="DM18" i="109"/>
  <c r="DM17" i="109"/>
  <c r="DF16" i="109"/>
  <c r="DF15" i="109"/>
  <c r="DF14" i="109"/>
  <c r="DF13" i="109"/>
  <c r="DF12" i="109"/>
  <c r="DF11" i="109"/>
  <c r="DF10" i="109"/>
  <c r="DM9" i="109"/>
  <c r="DM8" i="109"/>
  <c r="DM7" i="109"/>
  <c r="DM6" i="109"/>
  <c r="DI56" i="109"/>
  <c r="DI55" i="109"/>
  <c r="DI54" i="109"/>
  <c r="DI53" i="109"/>
  <c r="DI52" i="109"/>
  <c r="DI51" i="109"/>
  <c r="DI50" i="109"/>
  <c r="DI49" i="109"/>
  <c r="DI48" i="109"/>
  <c r="DI46" i="109"/>
  <c r="DI45" i="109"/>
  <c r="DI44" i="109"/>
  <c r="DI43" i="109"/>
  <c r="DI42" i="109"/>
  <c r="DI41" i="109"/>
  <c r="DI40" i="109"/>
  <c r="DI39" i="109"/>
  <c r="DI38" i="109"/>
  <c r="DI37" i="109"/>
  <c r="DI36" i="109"/>
  <c r="DI35" i="109"/>
  <c r="DI34" i="109"/>
  <c r="DI33" i="109"/>
  <c r="DI32" i="109"/>
  <c r="DI31" i="109"/>
  <c r="DI30" i="109"/>
  <c r="DI29" i="109"/>
  <c r="DI28" i="109"/>
  <c r="DI27" i="109"/>
  <c r="DI26" i="109"/>
  <c r="DI25" i="109"/>
  <c r="DI24" i="109"/>
  <c r="DI23" i="109"/>
  <c r="DI22" i="109"/>
  <c r="DI21" i="109"/>
  <c r="DI20" i="109"/>
  <c r="DI19" i="109"/>
  <c r="DI18" i="109"/>
  <c r="DI17" i="109"/>
  <c r="DI16" i="109"/>
  <c r="DI15" i="109"/>
  <c r="DI14" i="109"/>
  <c r="DI13" i="109"/>
  <c r="DI12" i="109"/>
  <c r="DI11" i="109"/>
  <c r="DI10" i="109"/>
  <c r="DI9" i="109"/>
  <c r="DI8" i="109"/>
  <c r="DI7" i="109"/>
  <c r="DI6" i="109"/>
  <c r="DI5" i="109"/>
  <c r="DO31" i="109" l="1"/>
  <c r="DO8" i="109"/>
  <c r="DO56" i="109"/>
  <c r="DO45" i="109"/>
  <c r="DO32" i="109"/>
  <c r="DO33" i="109"/>
  <c r="DO7" i="109"/>
  <c r="DO19" i="109"/>
  <c r="DO9" i="109"/>
  <c r="DO21" i="109"/>
  <c r="DO6" i="109"/>
  <c r="DO18" i="109"/>
  <c r="DO20" i="109"/>
  <c r="DO30" i="109"/>
  <c r="DO17" i="109"/>
  <c r="DO53" i="109"/>
  <c r="DM55" i="109"/>
  <c r="DO55" i="109" s="1"/>
  <c r="DF55" i="109"/>
  <c r="DF48" i="109"/>
  <c r="DM48" i="109"/>
  <c r="DO48" i="109" s="1"/>
  <c r="DF49" i="109"/>
  <c r="DM49" i="109"/>
  <c r="DO49" i="109" s="1"/>
  <c r="DM29" i="109"/>
  <c r="DO29" i="109" s="1"/>
  <c r="DM41" i="109"/>
  <c r="DO41" i="109" s="1"/>
  <c r="DI47" i="109"/>
  <c r="DM47" i="109"/>
  <c r="DO47" i="109" s="1"/>
  <c r="DM42" i="109"/>
  <c r="DO42" i="109" s="1"/>
  <c r="DF42" i="109"/>
  <c r="DM54" i="109"/>
  <c r="DO54" i="109" s="1"/>
  <c r="DF54" i="109"/>
  <c r="DF17" i="109"/>
  <c r="DF29" i="109"/>
  <c r="DF41" i="109"/>
  <c r="DF53" i="109"/>
  <c r="DM10" i="109"/>
  <c r="DO10" i="109" s="1"/>
  <c r="DM22" i="109"/>
  <c r="DO22" i="109" s="1"/>
  <c r="DM34" i="109"/>
  <c r="DO34" i="109" s="1"/>
  <c r="DM46" i="109"/>
  <c r="DO46" i="109" s="1"/>
  <c r="DF6" i="109"/>
  <c r="DF18" i="109"/>
  <c r="DF30" i="109"/>
  <c r="DM11" i="109"/>
  <c r="DO11" i="109" s="1"/>
  <c r="DM23" i="109"/>
  <c r="DO23" i="109" s="1"/>
  <c r="DM35" i="109"/>
  <c r="DO35" i="109" s="1"/>
  <c r="DF7" i="109"/>
  <c r="DF19" i="109"/>
  <c r="DF43" i="109"/>
  <c r="DM12" i="109"/>
  <c r="DO12" i="109" s="1"/>
  <c r="DM24" i="109"/>
  <c r="DO24" i="109" s="1"/>
  <c r="DM36" i="109"/>
  <c r="DO36" i="109" s="1"/>
  <c r="DF8" i="109"/>
  <c r="DF20" i="109"/>
  <c r="DF32" i="109"/>
  <c r="DF44" i="109"/>
  <c r="DF56" i="109"/>
  <c r="DM13" i="109"/>
  <c r="DO13" i="109" s="1"/>
  <c r="DM25" i="109"/>
  <c r="DO25" i="109" s="1"/>
  <c r="DM37" i="109"/>
  <c r="DO37" i="109" s="1"/>
  <c r="DF9" i="109"/>
  <c r="DF21" i="109"/>
  <c r="DF33" i="109"/>
  <c r="DF45" i="109"/>
  <c r="DM14" i="109"/>
  <c r="DO14" i="109" s="1"/>
  <c r="DM26" i="109"/>
  <c r="DO26" i="109" s="1"/>
  <c r="DM38" i="109"/>
  <c r="DO38" i="109" s="1"/>
  <c r="DM50" i="109"/>
  <c r="DO50" i="109" s="1"/>
  <c r="DM15" i="109"/>
  <c r="DO15" i="109" s="1"/>
  <c r="DM27" i="109"/>
  <c r="DO27" i="109" s="1"/>
  <c r="DM39" i="109"/>
  <c r="DO39" i="109" s="1"/>
  <c r="DM51" i="109"/>
  <c r="DO51" i="109" s="1"/>
  <c r="DM16" i="109"/>
  <c r="DO16" i="109" s="1"/>
  <c r="DM28" i="109"/>
  <c r="DO28" i="109" s="1"/>
  <c r="DM40" i="109"/>
  <c r="DO40" i="109" s="1"/>
  <c r="DM52" i="109"/>
  <c r="DO52" i="109" s="1"/>
  <c r="DB5" i="109"/>
  <c r="M29" i="121" l="1"/>
  <c r="BQ24" i="110"/>
  <c r="BT24" i="110"/>
  <c r="AG24" i="110"/>
  <c r="R24" i="110"/>
  <c r="U24" i="110"/>
  <c r="AA24" i="110"/>
  <c r="AP24" i="110"/>
  <c r="BH24" i="110"/>
  <c r="BE24" i="110" s="1"/>
  <c r="AV24" i="110"/>
  <c r="AY24" i="110" s="1"/>
  <c r="F24" i="110"/>
  <c r="BF24" i="110" l="1"/>
  <c r="E8" i="144" l="1" a="1"/>
  <c r="L139" i="143"/>
  <c r="L140" i="143"/>
  <c r="L141" i="143"/>
  <c r="L142" i="143"/>
  <c r="L143" i="143"/>
  <c r="M143" i="143" s="1"/>
  <c r="L144" i="143"/>
  <c r="M144" i="143" s="1"/>
  <c r="L145" i="143"/>
  <c r="M145" i="143" s="1"/>
  <c r="L6" i="143"/>
  <c r="M6" i="143" s="1"/>
  <c r="L7" i="143"/>
  <c r="M7" i="143" s="1"/>
  <c r="L8" i="143"/>
  <c r="M8" i="143" s="1"/>
  <c r="L9" i="143"/>
  <c r="M9" i="143" s="1"/>
  <c r="L10" i="143"/>
  <c r="M10" i="143" s="1"/>
  <c r="L11" i="143"/>
  <c r="M11" i="143" s="1"/>
  <c r="L12" i="143"/>
  <c r="M12" i="143" s="1"/>
  <c r="L13" i="143"/>
  <c r="M13" i="143" s="1"/>
  <c r="L14" i="143"/>
  <c r="M14" i="143" s="1"/>
  <c r="L15" i="143"/>
  <c r="M15" i="143" s="1"/>
  <c r="L16" i="143"/>
  <c r="M16" i="143" s="1"/>
  <c r="L17" i="143"/>
  <c r="M17" i="143" s="1"/>
  <c r="L18" i="143"/>
  <c r="M18" i="143" s="1"/>
  <c r="L19" i="143"/>
  <c r="M19" i="143" s="1"/>
  <c r="L20" i="143"/>
  <c r="M20" i="143" s="1"/>
  <c r="L21" i="143"/>
  <c r="M21" i="143" s="1"/>
  <c r="L22" i="143"/>
  <c r="M22" i="143" s="1"/>
  <c r="L23" i="143"/>
  <c r="M23" i="143" s="1"/>
  <c r="L24" i="143"/>
  <c r="M24" i="143" s="1"/>
  <c r="L25" i="143"/>
  <c r="M25" i="143" s="1"/>
  <c r="L26" i="143"/>
  <c r="M26" i="143" s="1"/>
  <c r="L27" i="143"/>
  <c r="M27" i="143" s="1"/>
  <c r="L28" i="143"/>
  <c r="M28" i="143" s="1"/>
  <c r="L29" i="143"/>
  <c r="M29" i="143" s="1"/>
  <c r="L30" i="143"/>
  <c r="M30" i="143" s="1"/>
  <c r="L31" i="143"/>
  <c r="M31" i="143" s="1"/>
  <c r="L32" i="143"/>
  <c r="M32" i="143" s="1"/>
  <c r="L33" i="143"/>
  <c r="M33" i="143" s="1"/>
  <c r="L34" i="143"/>
  <c r="M34" i="143" s="1"/>
  <c r="L35" i="143"/>
  <c r="M35" i="143" s="1"/>
  <c r="L36" i="143"/>
  <c r="M36" i="143" s="1"/>
  <c r="L37" i="143"/>
  <c r="M37" i="143" s="1"/>
  <c r="L38" i="143"/>
  <c r="M38" i="143" s="1"/>
  <c r="L39" i="143"/>
  <c r="M39" i="143" s="1"/>
  <c r="L40" i="143"/>
  <c r="M40" i="143" s="1"/>
  <c r="L41" i="143"/>
  <c r="M41" i="143" s="1"/>
  <c r="L42" i="143"/>
  <c r="M42" i="143" s="1"/>
  <c r="L43" i="143"/>
  <c r="M43" i="143" s="1"/>
  <c r="L44" i="143"/>
  <c r="M44" i="143" s="1"/>
  <c r="L45" i="143"/>
  <c r="M45" i="143" s="1"/>
  <c r="L46" i="143"/>
  <c r="M46" i="143" s="1"/>
  <c r="L47" i="143"/>
  <c r="M47" i="143" s="1"/>
  <c r="L48" i="143"/>
  <c r="M48" i="143" s="1"/>
  <c r="L49" i="143"/>
  <c r="M49" i="143" s="1"/>
  <c r="L50" i="143"/>
  <c r="M50" i="143" s="1"/>
  <c r="L51" i="143"/>
  <c r="M51" i="143" s="1"/>
  <c r="L52" i="143"/>
  <c r="M52" i="143" s="1"/>
  <c r="L53" i="143"/>
  <c r="M53" i="143" s="1"/>
  <c r="L54" i="143"/>
  <c r="M54" i="143" s="1"/>
  <c r="L55" i="143"/>
  <c r="M55" i="143" s="1"/>
  <c r="L56" i="143"/>
  <c r="M56" i="143" s="1"/>
  <c r="L57" i="143"/>
  <c r="M57" i="143" s="1"/>
  <c r="L58" i="143"/>
  <c r="M58" i="143" s="1"/>
  <c r="L59" i="143"/>
  <c r="M59" i="143" s="1"/>
  <c r="L60" i="143"/>
  <c r="M60" i="143" s="1"/>
  <c r="L61" i="143"/>
  <c r="M61" i="143" s="1"/>
  <c r="L62" i="143"/>
  <c r="M62" i="143" s="1"/>
  <c r="L63" i="143"/>
  <c r="M63" i="143" s="1"/>
  <c r="L64" i="143"/>
  <c r="M64" i="143" s="1"/>
  <c r="L65" i="143"/>
  <c r="M65" i="143" s="1"/>
  <c r="L66" i="143"/>
  <c r="M66" i="143" s="1"/>
  <c r="L67" i="143"/>
  <c r="M67" i="143" s="1"/>
  <c r="L68" i="143"/>
  <c r="M68" i="143" s="1"/>
  <c r="L69" i="143"/>
  <c r="M69" i="143" s="1"/>
  <c r="L70" i="143"/>
  <c r="M70" i="143" s="1"/>
  <c r="L71" i="143"/>
  <c r="M71" i="143" s="1"/>
  <c r="L72" i="143"/>
  <c r="M72" i="143" s="1"/>
  <c r="L73" i="143"/>
  <c r="M73" i="143" s="1"/>
  <c r="L74" i="143"/>
  <c r="M74" i="143" s="1"/>
  <c r="L75" i="143"/>
  <c r="M75" i="143" s="1"/>
  <c r="L76" i="143"/>
  <c r="M76" i="143" s="1"/>
  <c r="L77" i="143"/>
  <c r="M77" i="143" s="1"/>
  <c r="L78" i="143"/>
  <c r="M78" i="143" s="1"/>
  <c r="L79" i="143"/>
  <c r="M79" i="143" s="1"/>
  <c r="L80" i="143"/>
  <c r="M80" i="143" s="1"/>
  <c r="L81" i="143"/>
  <c r="M81" i="143" s="1"/>
  <c r="L82" i="143"/>
  <c r="M82" i="143" s="1"/>
  <c r="L83" i="143"/>
  <c r="M83" i="143" s="1"/>
  <c r="L84" i="143"/>
  <c r="M84" i="143" s="1"/>
  <c r="L85" i="143"/>
  <c r="M85" i="143" s="1"/>
  <c r="L86" i="143"/>
  <c r="M86" i="143" s="1"/>
  <c r="L87" i="143"/>
  <c r="M87" i="143" s="1"/>
  <c r="L88" i="143"/>
  <c r="M88" i="143" s="1"/>
  <c r="L89" i="143"/>
  <c r="M89" i="143" s="1"/>
  <c r="L90" i="143"/>
  <c r="M90" i="143" s="1"/>
  <c r="L91" i="143"/>
  <c r="M91" i="143" s="1"/>
  <c r="L92" i="143"/>
  <c r="M92" i="143" s="1"/>
  <c r="L93" i="143"/>
  <c r="M93" i="143" s="1"/>
  <c r="L94" i="143"/>
  <c r="M94" i="143" s="1"/>
  <c r="L95" i="143"/>
  <c r="M95" i="143" s="1"/>
  <c r="L96" i="143"/>
  <c r="M96" i="143" s="1"/>
  <c r="L97" i="143"/>
  <c r="M97" i="143" s="1"/>
  <c r="L98" i="143"/>
  <c r="M98" i="143" s="1"/>
  <c r="L99" i="143"/>
  <c r="M99" i="143" s="1"/>
  <c r="L100" i="143"/>
  <c r="M100" i="143" s="1"/>
  <c r="L101" i="143"/>
  <c r="M101" i="143" s="1"/>
  <c r="L102" i="143"/>
  <c r="M102" i="143" s="1"/>
  <c r="L103" i="143"/>
  <c r="M103" i="143" s="1"/>
  <c r="L104" i="143"/>
  <c r="M104" i="143" s="1"/>
  <c r="L105" i="143"/>
  <c r="M105" i="143" s="1"/>
  <c r="L106" i="143"/>
  <c r="M106" i="143" s="1"/>
  <c r="L107" i="143"/>
  <c r="M107" i="143" s="1"/>
  <c r="L108" i="143"/>
  <c r="M108" i="143" s="1"/>
  <c r="L109" i="143"/>
  <c r="M109" i="143" s="1"/>
  <c r="L110" i="143"/>
  <c r="M110" i="143" s="1"/>
  <c r="L111" i="143"/>
  <c r="M111" i="143" s="1"/>
  <c r="L112" i="143"/>
  <c r="M112" i="143" s="1"/>
  <c r="L113" i="143"/>
  <c r="M113" i="143" s="1"/>
  <c r="L114" i="143"/>
  <c r="M114" i="143" s="1"/>
  <c r="L115" i="143"/>
  <c r="M115" i="143" s="1"/>
  <c r="L116" i="143"/>
  <c r="M116" i="143" s="1"/>
  <c r="L117" i="143"/>
  <c r="M117" i="143" s="1"/>
  <c r="L118" i="143"/>
  <c r="M118" i="143" s="1"/>
  <c r="L119" i="143"/>
  <c r="M119" i="143" s="1"/>
  <c r="L120" i="143"/>
  <c r="M120" i="143" s="1"/>
  <c r="L121" i="143"/>
  <c r="M121" i="143" s="1"/>
  <c r="L122" i="143"/>
  <c r="M122" i="143" s="1"/>
  <c r="L123" i="143"/>
  <c r="M123" i="143" s="1"/>
  <c r="L124" i="143"/>
  <c r="M124" i="143" s="1"/>
  <c r="L125" i="143"/>
  <c r="M125" i="143" s="1"/>
  <c r="L126" i="143"/>
  <c r="M126" i="143" s="1"/>
  <c r="L127" i="143"/>
  <c r="M127" i="143" s="1"/>
  <c r="L128" i="143"/>
  <c r="M128" i="143" s="1"/>
  <c r="L129" i="143"/>
  <c r="M129" i="143" s="1"/>
  <c r="L130" i="143"/>
  <c r="M130" i="143" s="1"/>
  <c r="L131" i="143"/>
  <c r="M131" i="143" s="1"/>
  <c r="L132" i="143"/>
  <c r="M132" i="143" s="1"/>
  <c r="L133" i="143"/>
  <c r="M133" i="143" s="1"/>
  <c r="L134" i="143"/>
  <c r="M134" i="143" s="1"/>
  <c r="L135" i="143"/>
  <c r="M135" i="143" s="1"/>
  <c r="L136" i="143"/>
  <c r="M136" i="143" s="1"/>
  <c r="L137" i="143"/>
  <c r="M137" i="143" s="1"/>
  <c r="L138" i="143"/>
  <c r="M138" i="143" s="1"/>
  <c r="M142" i="143" l="1"/>
  <c r="M141" i="143"/>
  <c r="M140" i="143"/>
  <c r="M139" i="143"/>
  <c r="E6" i="143"/>
  <c r="D7" i="143" l="1"/>
  <c r="BD23" i="110"/>
  <c r="AG23" i="110"/>
  <c r="U23" i="110"/>
  <c r="R23" i="110"/>
  <c r="BT23" i="110"/>
  <c r="BQ23" i="110"/>
  <c r="BH23" i="110"/>
  <c r="BE23" i="110" s="1"/>
  <c r="AV23" i="110"/>
  <c r="AY23" i="110"/>
  <c r="AM23" i="110"/>
  <c r="AP23" i="110" s="1"/>
  <c r="AD23" i="110"/>
  <c r="AA23" i="110" s="1"/>
  <c r="F23" i="110"/>
  <c r="BS23" i="110"/>
  <c r="BP23" i="110" s="1"/>
  <c r="AX23" i="110"/>
  <c r="BA23" i="110" s="1"/>
  <c r="AO23" i="110"/>
  <c r="AF23" i="110"/>
  <c r="AF22" i="110"/>
  <c r="Z23" i="110"/>
  <c r="T23" i="110"/>
  <c r="Q23" i="110"/>
  <c r="E23" i="110"/>
  <c r="AX22" i="110"/>
  <c r="BA22" i="110" s="1"/>
  <c r="R22" i="110"/>
  <c r="U22" i="110"/>
  <c r="AG22" i="110"/>
  <c r="E7" i="143" l="1"/>
  <c r="BQ22" i="110"/>
  <c r="BT22" i="110"/>
  <c r="BH22" i="110"/>
  <c r="BE22" i="110" s="1"/>
  <c r="AV22" i="110"/>
  <c r="AY22" i="110" s="1"/>
  <c r="AM22" i="110"/>
  <c r="AP22" i="110" s="1"/>
  <c r="D8" i="143" l="1"/>
  <c r="AD22" i="110"/>
  <c r="AA22" i="110" s="1"/>
  <c r="F22" i="110"/>
  <c r="BS22" i="110"/>
  <c r="BP22" i="110" s="1"/>
  <c r="BD22" i="110"/>
  <c r="AO22" i="110"/>
  <c r="E8" i="143" l="1"/>
  <c r="Z22" i="110"/>
  <c r="T22" i="110"/>
  <c r="Q22" i="110"/>
  <c r="E22" i="110"/>
  <c r="AC20" i="110"/>
  <c r="Z20" i="110"/>
  <c r="AF20" i="110"/>
  <c r="E21" i="110"/>
  <c r="BQ21" i="110"/>
  <c r="BT21" i="110"/>
  <c r="AG21" i="110"/>
  <c r="U21" i="110"/>
  <c r="R21" i="110"/>
  <c r="BH21" i="110"/>
  <c r="BE21" i="110" s="1"/>
  <c r="AI20" i="110" l="1"/>
  <c r="D9" i="143"/>
  <c r="AV21" i="110"/>
  <c r="AY21" i="110" s="1"/>
  <c r="AM21" i="110"/>
  <c r="AP21" i="110" s="1"/>
  <c r="AD21" i="110"/>
  <c r="AA21" i="110" s="1"/>
  <c r="F21" i="110"/>
  <c r="BS21" i="110"/>
  <c r="BP21" i="110" s="1"/>
  <c r="BD21" i="110"/>
  <c r="AX21" i="110"/>
  <c r="BA21" i="110" s="1"/>
  <c r="AO21" i="110"/>
  <c r="AF21" i="110"/>
  <c r="Z21" i="110"/>
  <c r="Q21" i="110"/>
  <c r="T21" i="110" s="1"/>
  <c r="AX20" i="110"/>
  <c r="BA20" i="110" s="1"/>
  <c r="AM20" i="110"/>
  <c r="AP20" i="110" s="1"/>
  <c r="AD20" i="110"/>
  <c r="AA20" i="110" s="1"/>
  <c r="BH20" i="110"/>
  <c r="BE20" i="110" s="1"/>
  <c r="AV20" i="110"/>
  <c r="AY20" i="110"/>
  <c r="F20" i="110"/>
  <c r="BS20" i="110"/>
  <c r="BP20" i="110" s="1"/>
  <c r="BD20" i="110"/>
  <c r="AO20" i="110"/>
  <c r="T20" i="110"/>
  <c r="Q20" i="110"/>
  <c r="E20" i="110"/>
  <c r="BH19" i="110"/>
  <c r="BE19" i="110" s="1"/>
  <c r="E9" i="143" l="1"/>
  <c r="AY19" i="110"/>
  <c r="AM19" i="110"/>
  <c r="AP19" i="110" s="1"/>
  <c r="AD19" i="110"/>
  <c r="AA19" i="110" s="1"/>
  <c r="F19" i="110"/>
  <c r="BS19" i="110"/>
  <c r="BP19" i="110" s="1"/>
  <c r="BV19" i="110" s="1"/>
  <c r="BD19" i="110"/>
  <c r="AX19" i="110"/>
  <c r="BA19" i="110" s="1"/>
  <c r="AO19" i="110"/>
  <c r="AF19" i="110"/>
  <c r="Z19" i="110"/>
  <c r="T19" i="110"/>
  <c r="Q19" i="110"/>
  <c r="E19" i="110"/>
  <c r="BS18" i="110"/>
  <c r="BP18" i="110" s="1"/>
  <c r="BD18" i="110"/>
  <c r="AX18" i="110"/>
  <c r="BA18" i="110" s="1"/>
  <c r="AO18" i="110"/>
  <c r="Z18" i="110"/>
  <c r="T18" i="110"/>
  <c r="Q18" i="110"/>
  <c r="E18" i="110"/>
  <c r="BH18" i="110"/>
  <c r="BE18" i="110" s="1"/>
  <c r="AV18" i="110"/>
  <c r="AY18" i="110" s="1"/>
  <c r="AM18" i="110"/>
  <c r="AP18" i="110" s="1"/>
  <c r="AD18" i="110"/>
  <c r="AA18" i="110" s="1"/>
  <c r="F18" i="110"/>
  <c r="BH17" i="110"/>
  <c r="BE17" i="110" s="1"/>
  <c r="AV17" i="110"/>
  <c r="AY17" i="110" s="1"/>
  <c r="AM17" i="110"/>
  <c r="AP17" i="110" s="1"/>
  <c r="AD17" i="110"/>
  <c r="AA17" i="110" s="1"/>
  <c r="F17" i="110"/>
  <c r="BV56" i="110"/>
  <c r="BV55" i="110"/>
  <c r="BV54" i="110"/>
  <c r="BV53" i="110"/>
  <c r="BV52" i="110"/>
  <c r="BV51" i="110"/>
  <c r="BV50" i="110"/>
  <c r="BV49" i="110"/>
  <c r="BV48" i="110"/>
  <c r="BV47" i="110"/>
  <c r="BV46" i="110"/>
  <c r="BV45" i="110"/>
  <c r="BV44" i="110"/>
  <c r="BV43" i="110"/>
  <c r="BV42" i="110"/>
  <c r="BV41" i="110"/>
  <c r="BV40" i="110"/>
  <c r="BV39" i="110"/>
  <c r="BV37" i="110"/>
  <c r="BV36" i="110"/>
  <c r="BV35" i="110"/>
  <c r="BV34" i="110"/>
  <c r="BV33" i="110"/>
  <c r="BV32" i="110"/>
  <c r="BV31" i="110"/>
  <c r="BV30" i="110"/>
  <c r="BV29" i="110"/>
  <c r="BV28" i="110"/>
  <c r="BV27" i="110"/>
  <c r="BV26" i="110"/>
  <c r="BV25" i="110"/>
  <c r="BV24" i="110"/>
  <c r="BV23" i="110"/>
  <c r="BV22" i="110"/>
  <c r="BV21" i="110"/>
  <c r="BV20" i="110"/>
  <c r="BS17" i="110"/>
  <c r="BP17" i="110" s="1"/>
  <c r="BV17" i="110" s="1"/>
  <c r="BD17" i="110"/>
  <c r="AX17" i="110"/>
  <c r="BA17" i="110" s="1"/>
  <c r="AO17" i="110"/>
  <c r="AF17" i="110"/>
  <c r="Z17" i="110"/>
  <c r="T17" i="110"/>
  <c r="Q17" i="110"/>
  <c r="E17" i="110"/>
  <c r="G16" i="108"/>
  <c r="AX16" i="110"/>
  <c r="BA16" i="110" s="1"/>
  <c r="BD16" i="110"/>
  <c r="BS16" i="110"/>
  <c r="BP16" i="110" s="1"/>
  <c r="BV16" i="110" s="1"/>
  <c r="AO16" i="110"/>
  <c r="T16" i="110"/>
  <c r="Q16" i="110"/>
  <c r="E16" i="110"/>
  <c r="AF16" i="110"/>
  <c r="Z16" i="110"/>
  <c r="BH16" i="110"/>
  <c r="BE16" i="110" s="1"/>
  <c r="AV16" i="110"/>
  <c r="AY16" i="110" s="1"/>
  <c r="AD16" i="110"/>
  <c r="D10" i="143" l="1"/>
  <c r="BV18" i="110"/>
  <c r="F22" i="142" s="1"/>
  <c r="K22" i="142" s="1"/>
  <c r="AA16" i="110"/>
  <c r="F16" i="110"/>
  <c r="AM16" i="110"/>
  <c r="AP16" i="110" s="1"/>
  <c r="Z4" i="105"/>
  <c r="Y4" i="105"/>
  <c r="X4" i="105"/>
  <c r="W4" i="105"/>
  <c r="V4" i="105"/>
  <c r="AA3" i="105"/>
  <c r="U2" i="105"/>
  <c r="U4" i="105" s="1"/>
  <c r="AO15" i="110"/>
  <c r="AA5" i="105"/>
  <c r="AA8" i="105" s="1"/>
  <c r="BD5" i="110"/>
  <c r="T68" i="121"/>
  <c r="T67" i="121"/>
  <c r="T66" i="121"/>
  <c r="T65" i="121"/>
  <c r="T64" i="121"/>
  <c r="T62" i="121"/>
  <c r="T61" i="121"/>
  <c r="T60" i="121"/>
  <c r="T59" i="121"/>
  <c r="T57" i="121"/>
  <c r="T56" i="121"/>
  <c r="T55" i="121"/>
  <c r="T54" i="121"/>
  <c r="T52" i="121"/>
  <c r="T51" i="121"/>
  <c r="T50" i="121"/>
  <c r="T49" i="121"/>
  <c r="T48" i="121"/>
  <c r="T46" i="121"/>
  <c r="T45" i="121"/>
  <c r="T44" i="121"/>
  <c r="T43" i="121"/>
  <c r="T41" i="121"/>
  <c r="T40" i="121"/>
  <c r="T39" i="121"/>
  <c r="T38" i="121"/>
  <c r="T36" i="121"/>
  <c r="T35" i="121"/>
  <c r="T34" i="121"/>
  <c r="T33" i="121"/>
  <c r="T32" i="121"/>
  <c r="T30" i="121"/>
  <c r="T29" i="121"/>
  <c r="T28" i="121"/>
  <c r="T27" i="121"/>
  <c r="T25" i="121"/>
  <c r="T24" i="121"/>
  <c r="T23" i="121"/>
  <c r="T22" i="121"/>
  <c r="T20" i="121"/>
  <c r="T19" i="121"/>
  <c r="T18" i="121"/>
  <c r="T17" i="121"/>
  <c r="T16" i="121"/>
  <c r="T14" i="121"/>
  <c r="T13" i="121"/>
  <c r="T12" i="121"/>
  <c r="T11" i="121"/>
  <c r="T9" i="121"/>
  <c r="T8" i="121"/>
  <c r="T7" i="121"/>
  <c r="T6" i="121"/>
  <c r="Q68" i="121"/>
  <c r="Q67" i="121"/>
  <c r="Q66" i="121"/>
  <c r="Q65" i="121"/>
  <c r="Q64" i="121"/>
  <c r="Q62" i="121"/>
  <c r="Q61" i="121"/>
  <c r="Q60" i="121"/>
  <c r="Q59" i="121"/>
  <c r="Q57" i="121"/>
  <c r="Q56" i="121"/>
  <c r="Q55" i="121"/>
  <c r="Q54" i="121"/>
  <c r="Q52" i="121"/>
  <c r="Q51" i="121"/>
  <c r="Q50" i="121"/>
  <c r="Q49" i="121"/>
  <c r="Q48" i="121"/>
  <c r="Q46" i="121"/>
  <c r="Q45" i="121"/>
  <c r="Q44" i="121"/>
  <c r="Q43" i="121"/>
  <c r="Q41" i="121"/>
  <c r="Q40" i="121"/>
  <c r="Q39" i="121"/>
  <c r="Q38" i="121"/>
  <c r="Q36" i="121"/>
  <c r="Q35" i="121"/>
  <c r="Q34" i="121"/>
  <c r="Q33" i="121"/>
  <c r="Q32" i="121"/>
  <c r="Q30" i="121"/>
  <c r="Q29" i="121"/>
  <c r="Q28" i="121"/>
  <c r="Q27" i="121"/>
  <c r="Q25" i="121"/>
  <c r="Q24" i="121"/>
  <c r="Q23" i="121"/>
  <c r="Q22" i="121"/>
  <c r="Q20" i="121"/>
  <c r="Q19" i="121"/>
  <c r="Q18" i="121"/>
  <c r="Q17" i="121"/>
  <c r="Q16" i="121"/>
  <c r="Q14" i="121"/>
  <c r="Q13" i="121"/>
  <c r="Q12" i="121"/>
  <c r="Q11" i="121"/>
  <c r="Q9" i="121"/>
  <c r="Q8" i="121"/>
  <c r="Q7" i="121"/>
  <c r="Q6" i="121"/>
  <c r="N68" i="121"/>
  <c r="N67" i="121"/>
  <c r="N66" i="121"/>
  <c r="N65" i="121"/>
  <c r="N64" i="121"/>
  <c r="N62" i="121"/>
  <c r="N61" i="121"/>
  <c r="N60" i="121"/>
  <c r="N59" i="121"/>
  <c r="N57" i="121"/>
  <c r="N56" i="121"/>
  <c r="N55" i="121"/>
  <c r="N54" i="121"/>
  <c r="N52" i="121"/>
  <c r="N51" i="121"/>
  <c r="N50" i="121"/>
  <c r="N49" i="121"/>
  <c r="N48" i="121"/>
  <c r="N46" i="121"/>
  <c r="N45" i="121"/>
  <c r="N44" i="121"/>
  <c r="N43" i="121"/>
  <c r="N41" i="121"/>
  <c r="N40" i="121"/>
  <c r="N39" i="121"/>
  <c r="N38" i="121"/>
  <c r="N36" i="121"/>
  <c r="N35" i="121"/>
  <c r="N34" i="121"/>
  <c r="N33" i="121"/>
  <c r="N32" i="121"/>
  <c r="N30" i="121"/>
  <c r="N29" i="121"/>
  <c r="N28" i="121"/>
  <c r="N27" i="121"/>
  <c r="N25" i="121"/>
  <c r="N24" i="121"/>
  <c r="N23" i="121"/>
  <c r="N22" i="121"/>
  <c r="N20" i="121"/>
  <c r="N19" i="121"/>
  <c r="N18" i="121"/>
  <c r="N17" i="121"/>
  <c r="N16" i="121"/>
  <c r="N14" i="121"/>
  <c r="N13" i="121"/>
  <c r="N12" i="121"/>
  <c r="N11" i="121"/>
  <c r="N9" i="121"/>
  <c r="N8" i="121"/>
  <c r="N7" i="121"/>
  <c r="N6" i="121"/>
  <c r="S22" i="106"/>
  <c r="S23" i="106" s="1"/>
  <c r="S25" i="106" s="1"/>
  <c r="G9" i="121"/>
  <c r="U9" i="121" s="1"/>
  <c r="G8" i="121"/>
  <c r="U8" i="121" s="1"/>
  <c r="G7" i="121"/>
  <c r="U7" i="121" s="1"/>
  <c r="DM5" i="109"/>
  <c r="G68" i="121"/>
  <c r="U68" i="121" s="1"/>
  <c r="G67" i="121"/>
  <c r="U67" i="121" s="1"/>
  <c r="G66" i="121"/>
  <c r="U66" i="121" s="1"/>
  <c r="G65" i="121"/>
  <c r="U65" i="121" s="1"/>
  <c r="G64" i="121"/>
  <c r="U64" i="121" s="1"/>
  <c r="G62" i="121"/>
  <c r="U62" i="121" s="1"/>
  <c r="G61" i="121"/>
  <c r="U61" i="121" s="1"/>
  <c r="G60" i="121"/>
  <c r="U60" i="121" s="1"/>
  <c r="G59" i="121"/>
  <c r="U59" i="121" s="1"/>
  <c r="G57" i="121"/>
  <c r="U57" i="121" s="1"/>
  <c r="G56" i="121"/>
  <c r="U56" i="121" s="1"/>
  <c r="G55" i="121"/>
  <c r="U55" i="121" s="1"/>
  <c r="G54" i="121"/>
  <c r="U54" i="121" s="1"/>
  <c r="G52" i="121"/>
  <c r="U52" i="121" s="1"/>
  <c r="G51" i="121"/>
  <c r="U51" i="121" s="1"/>
  <c r="G50" i="121"/>
  <c r="U50" i="121" s="1"/>
  <c r="G49" i="121"/>
  <c r="U49" i="121" s="1"/>
  <c r="G48" i="121"/>
  <c r="U48" i="121" s="1"/>
  <c r="G46" i="121"/>
  <c r="U46" i="121" s="1"/>
  <c r="G45" i="121"/>
  <c r="U45" i="121" s="1"/>
  <c r="G44" i="121"/>
  <c r="U44" i="121" s="1"/>
  <c r="G43" i="121"/>
  <c r="U43" i="121" s="1"/>
  <c r="G41" i="121"/>
  <c r="U41" i="121" s="1"/>
  <c r="G40" i="121"/>
  <c r="U40" i="121" s="1"/>
  <c r="G39" i="121"/>
  <c r="U39" i="121" s="1"/>
  <c r="G38" i="121"/>
  <c r="U38" i="121" s="1"/>
  <c r="G36" i="121"/>
  <c r="U36" i="121" s="1"/>
  <c r="G35" i="121"/>
  <c r="U35" i="121" s="1"/>
  <c r="G34" i="121"/>
  <c r="U34" i="121" s="1"/>
  <c r="G33" i="121"/>
  <c r="U33" i="121" s="1"/>
  <c r="G32" i="121"/>
  <c r="U32" i="121" s="1"/>
  <c r="G30" i="121"/>
  <c r="U30" i="121" s="1"/>
  <c r="G29" i="121"/>
  <c r="U29" i="121" s="1"/>
  <c r="G28" i="121"/>
  <c r="U28" i="121" s="1"/>
  <c r="G27" i="121"/>
  <c r="U27" i="121" s="1"/>
  <c r="G25" i="121"/>
  <c r="U25" i="121" s="1"/>
  <c r="G24" i="121"/>
  <c r="U24" i="121" s="1"/>
  <c r="G23" i="121"/>
  <c r="U23" i="121" s="1"/>
  <c r="G22" i="121"/>
  <c r="G20" i="121"/>
  <c r="U20" i="121" s="1"/>
  <c r="G19" i="121"/>
  <c r="U19" i="121" s="1"/>
  <c r="G18" i="121"/>
  <c r="U18" i="121" s="1"/>
  <c r="G17" i="121"/>
  <c r="U17" i="121" s="1"/>
  <c r="G16" i="121"/>
  <c r="U16" i="121" s="1"/>
  <c r="G14" i="121"/>
  <c r="U14" i="121" s="1"/>
  <c r="G13" i="121"/>
  <c r="U13" i="121" s="1"/>
  <c r="G12" i="121"/>
  <c r="U12" i="121" s="1"/>
  <c r="O68" i="117"/>
  <c r="O67" i="117"/>
  <c r="O66" i="117"/>
  <c r="O65" i="117"/>
  <c r="O64" i="117"/>
  <c r="O62" i="117"/>
  <c r="O61" i="117"/>
  <c r="O60" i="117"/>
  <c r="O59" i="117"/>
  <c r="O57" i="117"/>
  <c r="O56" i="117"/>
  <c r="O55" i="117"/>
  <c r="O54" i="117"/>
  <c r="O52" i="117"/>
  <c r="O51" i="117"/>
  <c r="O50" i="117"/>
  <c r="O49" i="117"/>
  <c r="O48" i="117"/>
  <c r="O46" i="117"/>
  <c r="O45" i="117"/>
  <c r="O44" i="117"/>
  <c r="O43" i="117"/>
  <c r="O41" i="117"/>
  <c r="O40" i="117"/>
  <c r="O39" i="117"/>
  <c r="O38" i="117"/>
  <c r="O36" i="117"/>
  <c r="O35" i="117"/>
  <c r="O34" i="117"/>
  <c r="O33" i="117"/>
  <c r="O32" i="117"/>
  <c r="O30" i="117"/>
  <c r="O29" i="117"/>
  <c r="O28" i="117"/>
  <c r="O27" i="117"/>
  <c r="O25" i="117"/>
  <c r="O24" i="117"/>
  <c r="O23" i="117"/>
  <c r="O22" i="117"/>
  <c r="O20" i="117"/>
  <c r="O19" i="117"/>
  <c r="O18" i="117"/>
  <c r="O17" i="117"/>
  <c r="O16" i="117"/>
  <c r="O14" i="117"/>
  <c r="O13" i="117"/>
  <c r="O12" i="117"/>
  <c r="O11" i="117"/>
  <c r="O9" i="117"/>
  <c r="O8" i="117"/>
  <c r="O7" i="117"/>
  <c r="O6" i="117"/>
  <c r="J68" i="117"/>
  <c r="J67" i="117"/>
  <c r="J66" i="117"/>
  <c r="J65" i="117"/>
  <c r="J64" i="117"/>
  <c r="J62" i="117"/>
  <c r="J61" i="117"/>
  <c r="J60" i="117"/>
  <c r="J59" i="117"/>
  <c r="J57" i="117"/>
  <c r="J56" i="117"/>
  <c r="J55" i="117"/>
  <c r="J54" i="117"/>
  <c r="J52" i="117"/>
  <c r="J51" i="117"/>
  <c r="J50" i="117"/>
  <c r="J49" i="117"/>
  <c r="J48" i="117"/>
  <c r="J46" i="117"/>
  <c r="J45" i="117"/>
  <c r="J44" i="117"/>
  <c r="J43" i="117"/>
  <c r="J41" i="117"/>
  <c r="J40" i="117"/>
  <c r="J39" i="117"/>
  <c r="J38" i="117"/>
  <c r="J36" i="117"/>
  <c r="J35" i="117"/>
  <c r="J34" i="117"/>
  <c r="J33" i="117"/>
  <c r="J32" i="117"/>
  <c r="J30" i="117"/>
  <c r="J29" i="117"/>
  <c r="J28" i="117"/>
  <c r="J27" i="117"/>
  <c r="J25" i="117"/>
  <c r="J24" i="117"/>
  <c r="J23" i="117"/>
  <c r="J22" i="117"/>
  <c r="J20" i="117"/>
  <c r="J19" i="117"/>
  <c r="J18" i="117"/>
  <c r="J17" i="117"/>
  <c r="J16" i="117"/>
  <c r="J14" i="117"/>
  <c r="J13" i="117"/>
  <c r="J12" i="117"/>
  <c r="J11" i="117"/>
  <c r="J9" i="117"/>
  <c r="J8" i="117"/>
  <c r="J7" i="117"/>
  <c r="J6" i="117"/>
  <c r="AL15" i="110"/>
  <c r="BH15" i="110"/>
  <c r="BE15" i="110" s="1"/>
  <c r="AV15" i="110"/>
  <c r="AY15" i="110" s="1"/>
  <c r="AM15" i="110"/>
  <c r="AP15" i="110" s="1"/>
  <c r="AD15" i="110"/>
  <c r="AA15" i="110" s="1"/>
  <c r="F15" i="110"/>
  <c r="BS15" i="110"/>
  <c r="P18" i="142" s="1"/>
  <c r="BP15" i="110"/>
  <c r="BD15" i="110"/>
  <c r="AX15" i="110"/>
  <c r="AF15" i="110"/>
  <c r="Z15" i="110"/>
  <c r="T15" i="110"/>
  <c r="Q15" i="110"/>
  <c r="E15" i="110"/>
  <c r="BS14" i="110"/>
  <c r="P17" i="142" s="1"/>
  <c r="BP14" i="110"/>
  <c r="M17" i="142" s="1"/>
  <c r="AO14" i="110"/>
  <c r="D2" i="121"/>
  <c r="D2" i="117"/>
  <c r="D2" i="116"/>
  <c r="D2" i="118"/>
  <c r="D2" i="119"/>
  <c r="D2" i="115"/>
  <c r="D2" i="120"/>
  <c r="D2" i="108"/>
  <c r="D2" i="106"/>
  <c r="D2" i="107"/>
  <c r="D2" i="105"/>
  <c r="D2" i="104"/>
  <c r="D2" i="103"/>
  <c r="BT14" i="110"/>
  <c r="BQ14" i="110"/>
  <c r="T14" i="110"/>
  <c r="Q14" i="110"/>
  <c r="E14" i="110"/>
  <c r="F14" i="110"/>
  <c r="AV14" i="110"/>
  <c r="AY14" i="110" s="1"/>
  <c r="AX13" i="110"/>
  <c r="AX12" i="110"/>
  <c r="AX11" i="110"/>
  <c r="AX10" i="110"/>
  <c r="AX9" i="110"/>
  <c r="AX8" i="110"/>
  <c r="AX7" i="110"/>
  <c r="AX6" i="110"/>
  <c r="AX5" i="110"/>
  <c r="AX14" i="110"/>
  <c r="AM14" i="110"/>
  <c r="AP14" i="110" s="1"/>
  <c r="AD14" i="110"/>
  <c r="AA14" i="110" s="1"/>
  <c r="AF14" i="110"/>
  <c r="Z14" i="110"/>
  <c r="BH14" i="110"/>
  <c r="BE14" i="110" s="1"/>
  <c r="BD14" i="110"/>
  <c r="P68" i="142"/>
  <c r="P67" i="142"/>
  <c r="P66" i="142"/>
  <c r="P65" i="142"/>
  <c r="P64" i="142"/>
  <c r="P62" i="142"/>
  <c r="P61" i="142"/>
  <c r="P60" i="142"/>
  <c r="P59" i="142"/>
  <c r="P57" i="142"/>
  <c r="P56" i="142"/>
  <c r="P55" i="142"/>
  <c r="P54" i="142"/>
  <c r="P52" i="142"/>
  <c r="P51" i="142"/>
  <c r="P50" i="142"/>
  <c r="P49" i="142"/>
  <c r="P48" i="142"/>
  <c r="P46" i="142"/>
  <c r="P45" i="142"/>
  <c r="P44" i="142"/>
  <c r="P43" i="142"/>
  <c r="P41" i="142"/>
  <c r="P40" i="142"/>
  <c r="P39" i="142"/>
  <c r="P38" i="142"/>
  <c r="P36" i="142"/>
  <c r="P35" i="142"/>
  <c r="P34" i="142"/>
  <c r="P33" i="142"/>
  <c r="P32" i="142"/>
  <c r="P30" i="142"/>
  <c r="P29" i="142"/>
  <c r="P28" i="142"/>
  <c r="P27" i="142"/>
  <c r="P25" i="142"/>
  <c r="P24" i="142"/>
  <c r="P23" i="142"/>
  <c r="P22" i="142"/>
  <c r="P20" i="142"/>
  <c r="P19" i="142"/>
  <c r="P16" i="142"/>
  <c r="P14" i="142"/>
  <c r="P13" i="142"/>
  <c r="P12" i="142"/>
  <c r="P11" i="142"/>
  <c r="P9" i="142"/>
  <c r="P8" i="142"/>
  <c r="P7" i="142"/>
  <c r="P6" i="142"/>
  <c r="M68" i="142"/>
  <c r="M67" i="142"/>
  <c r="M66" i="142"/>
  <c r="M65" i="142"/>
  <c r="M64" i="142"/>
  <c r="M62" i="142"/>
  <c r="M61" i="142"/>
  <c r="M60" i="142"/>
  <c r="M59" i="142"/>
  <c r="M57" i="142"/>
  <c r="M56" i="142"/>
  <c r="M55" i="142"/>
  <c r="M54" i="142"/>
  <c r="M52" i="142"/>
  <c r="M51" i="142"/>
  <c r="M50" i="142"/>
  <c r="M49" i="142"/>
  <c r="M48" i="142"/>
  <c r="M46" i="142"/>
  <c r="M45" i="142"/>
  <c r="M44" i="142"/>
  <c r="M43" i="142"/>
  <c r="M41" i="142"/>
  <c r="M40" i="142"/>
  <c r="M39" i="142"/>
  <c r="M38" i="142"/>
  <c r="M36" i="142"/>
  <c r="M35" i="142"/>
  <c r="M34" i="142"/>
  <c r="M33" i="142"/>
  <c r="M32" i="142"/>
  <c r="M30" i="142"/>
  <c r="M29" i="142"/>
  <c r="M28" i="142"/>
  <c r="M27" i="142"/>
  <c r="M25" i="142"/>
  <c r="M24" i="142"/>
  <c r="M23" i="142"/>
  <c r="M22" i="142"/>
  <c r="M20" i="142"/>
  <c r="M19" i="142"/>
  <c r="M16" i="142"/>
  <c r="M14" i="142"/>
  <c r="M13" i="142"/>
  <c r="M12" i="142"/>
  <c r="M11" i="142"/>
  <c r="M9" i="142"/>
  <c r="M8" i="142"/>
  <c r="M7" i="142"/>
  <c r="M6" i="142"/>
  <c r="F68" i="142"/>
  <c r="F67" i="142"/>
  <c r="K67" i="142" s="1"/>
  <c r="F66" i="142"/>
  <c r="F65" i="142"/>
  <c r="K65" i="142" s="1"/>
  <c r="F64" i="142"/>
  <c r="F62" i="142"/>
  <c r="K62" i="142" s="1"/>
  <c r="F61" i="142"/>
  <c r="F60" i="142"/>
  <c r="F59" i="142"/>
  <c r="K59" i="142" s="1"/>
  <c r="F57" i="142"/>
  <c r="K57" i="142" s="1"/>
  <c r="F56" i="142"/>
  <c r="F55" i="142"/>
  <c r="F54" i="142"/>
  <c r="F52" i="142"/>
  <c r="K52" i="142" s="1"/>
  <c r="F51" i="142"/>
  <c r="F50" i="142"/>
  <c r="F49" i="142"/>
  <c r="F48" i="142"/>
  <c r="F46" i="142"/>
  <c r="K46" i="142" s="1"/>
  <c r="F45" i="142"/>
  <c r="K45" i="142" s="1"/>
  <c r="F44" i="142"/>
  <c r="K44" i="142" s="1"/>
  <c r="F43" i="142"/>
  <c r="K43" i="142" s="1"/>
  <c r="F41" i="142"/>
  <c r="K41" i="142" s="1"/>
  <c r="F40" i="142"/>
  <c r="K40" i="142" s="1"/>
  <c r="F39" i="142"/>
  <c r="F38" i="142"/>
  <c r="F36" i="142"/>
  <c r="K36" i="142" s="1"/>
  <c r="F35" i="142"/>
  <c r="K35" i="142" s="1"/>
  <c r="F34" i="142"/>
  <c r="K34" i="142" s="1"/>
  <c r="F33" i="142"/>
  <c r="K33" i="142" s="1"/>
  <c r="F32" i="142"/>
  <c r="K32" i="142" s="1"/>
  <c r="F30" i="142"/>
  <c r="K30" i="142" s="1"/>
  <c r="F29" i="142"/>
  <c r="K29" i="142" s="1"/>
  <c r="F28" i="142"/>
  <c r="F27" i="142"/>
  <c r="K27" i="142" s="1"/>
  <c r="F25" i="142"/>
  <c r="F24" i="142"/>
  <c r="K24" i="142" s="1"/>
  <c r="F23" i="142"/>
  <c r="K23" i="142" s="1"/>
  <c r="F20" i="142"/>
  <c r="F19" i="142"/>
  <c r="K19" i="142" s="1"/>
  <c r="Q68" i="142"/>
  <c r="Q67" i="142"/>
  <c r="Q66" i="142"/>
  <c r="Q65" i="142"/>
  <c r="Q64" i="142"/>
  <c r="Q62" i="142"/>
  <c r="Q61" i="142"/>
  <c r="Q60" i="142"/>
  <c r="Q59" i="142"/>
  <c r="Q57" i="142"/>
  <c r="Q56" i="142"/>
  <c r="Q55" i="142"/>
  <c r="Q54" i="142"/>
  <c r="Q52" i="142"/>
  <c r="Q51" i="142"/>
  <c r="Q50" i="142"/>
  <c r="Q49" i="142"/>
  <c r="Q48" i="142"/>
  <c r="Q46" i="142"/>
  <c r="Q45" i="142"/>
  <c r="Q44" i="142"/>
  <c r="Q43" i="142"/>
  <c r="Q41" i="142"/>
  <c r="Q40" i="142"/>
  <c r="Q39" i="142"/>
  <c r="Q38" i="142"/>
  <c r="Q36" i="142"/>
  <c r="Q35" i="142"/>
  <c r="Q34" i="142"/>
  <c r="Q33" i="142"/>
  <c r="Q32" i="142"/>
  <c r="Q30" i="142"/>
  <c r="Q29" i="142"/>
  <c r="Q28" i="142"/>
  <c r="Q27" i="142"/>
  <c r="Q25" i="142"/>
  <c r="Q24" i="142"/>
  <c r="Q23" i="142"/>
  <c r="Q22" i="142"/>
  <c r="Q20" i="142"/>
  <c r="Q19" i="142"/>
  <c r="Q18" i="142"/>
  <c r="Q17" i="142"/>
  <c r="Q16" i="142"/>
  <c r="Q14" i="142"/>
  <c r="Q13" i="142"/>
  <c r="Q12" i="142"/>
  <c r="Q11" i="142"/>
  <c r="Q9" i="142"/>
  <c r="Q8" i="142"/>
  <c r="Q7" i="142"/>
  <c r="Q6" i="142"/>
  <c r="N68" i="142"/>
  <c r="N67" i="142"/>
  <c r="N66" i="142"/>
  <c r="N65" i="142"/>
  <c r="N64" i="142"/>
  <c r="N62" i="142"/>
  <c r="N61" i="142"/>
  <c r="N60" i="142"/>
  <c r="N59" i="142"/>
  <c r="N57" i="142"/>
  <c r="N56" i="142"/>
  <c r="N55" i="142"/>
  <c r="N54" i="142"/>
  <c r="N52" i="142"/>
  <c r="N51" i="142"/>
  <c r="N50" i="142"/>
  <c r="N49" i="142"/>
  <c r="N48" i="142"/>
  <c r="N46" i="142"/>
  <c r="N45" i="142"/>
  <c r="N44" i="142"/>
  <c r="N43" i="142"/>
  <c r="N41" i="142"/>
  <c r="N40" i="142"/>
  <c r="N39" i="142"/>
  <c r="N38" i="142"/>
  <c r="N36" i="142"/>
  <c r="N35" i="142"/>
  <c r="N34" i="142"/>
  <c r="N33" i="142"/>
  <c r="N32" i="142"/>
  <c r="N30" i="142"/>
  <c r="N29" i="142"/>
  <c r="N28" i="142"/>
  <c r="N27" i="142"/>
  <c r="N25" i="142"/>
  <c r="N24" i="142"/>
  <c r="N23" i="142"/>
  <c r="N22" i="142"/>
  <c r="N20" i="142"/>
  <c r="N19" i="142"/>
  <c r="N18" i="142"/>
  <c r="N17" i="142"/>
  <c r="N16" i="142"/>
  <c r="N14" i="142"/>
  <c r="N13" i="142"/>
  <c r="N12" i="142"/>
  <c r="N11" i="142"/>
  <c r="N9" i="142"/>
  <c r="N8" i="142"/>
  <c r="N7" i="142"/>
  <c r="N6" i="142"/>
  <c r="R69" i="142"/>
  <c r="O69" i="142"/>
  <c r="O63" i="142"/>
  <c r="R63" i="142"/>
  <c r="J63" i="142"/>
  <c r="J58" i="142"/>
  <c r="R58" i="142"/>
  <c r="O58" i="142"/>
  <c r="R53" i="142"/>
  <c r="O53" i="142"/>
  <c r="J53" i="142"/>
  <c r="J47" i="142"/>
  <c r="O47" i="142"/>
  <c r="R47" i="142"/>
  <c r="R42" i="142"/>
  <c r="O42" i="142"/>
  <c r="J42" i="142"/>
  <c r="J37" i="142"/>
  <c r="R37" i="142"/>
  <c r="O37" i="142"/>
  <c r="R31" i="142"/>
  <c r="J31" i="142"/>
  <c r="O31" i="142"/>
  <c r="O26" i="142"/>
  <c r="R26" i="142"/>
  <c r="J26" i="142"/>
  <c r="J21" i="142"/>
  <c r="T16" i="142"/>
  <c r="R21" i="142"/>
  <c r="O21" i="142"/>
  <c r="R15" i="142"/>
  <c r="O15" i="142"/>
  <c r="J15" i="142"/>
  <c r="J10" i="142"/>
  <c r="T8" i="142"/>
  <c r="R10" i="142"/>
  <c r="O10" i="142"/>
  <c r="P10" i="141"/>
  <c r="L10" i="141"/>
  <c r="H10" i="141"/>
  <c r="P16" i="141"/>
  <c r="L16" i="141"/>
  <c r="H16" i="141"/>
  <c r="O22" i="141"/>
  <c r="U21" i="141"/>
  <c r="U15" i="141"/>
  <c r="N22" i="141"/>
  <c r="U9" i="141"/>
  <c r="D1" i="141"/>
  <c r="DW56" i="109"/>
  <c r="DW55" i="109"/>
  <c r="DW54" i="109"/>
  <c r="DW53" i="109"/>
  <c r="DW52" i="109"/>
  <c r="DW51" i="109"/>
  <c r="DW50" i="109"/>
  <c r="DW49" i="109"/>
  <c r="DW48" i="109"/>
  <c r="DW47" i="109"/>
  <c r="DW46" i="109"/>
  <c r="DW45" i="109"/>
  <c r="DW44" i="109"/>
  <c r="DW43" i="109"/>
  <c r="DW42" i="109"/>
  <c r="DW41" i="109"/>
  <c r="DW40" i="109"/>
  <c r="DW39" i="109"/>
  <c r="DW38" i="109"/>
  <c r="DW37" i="109"/>
  <c r="DW36" i="109"/>
  <c r="DW35" i="109"/>
  <c r="DW34" i="109"/>
  <c r="DW33" i="109"/>
  <c r="DW32" i="109"/>
  <c r="DW31" i="109"/>
  <c r="DW30" i="109"/>
  <c r="DW29" i="109"/>
  <c r="DW28" i="109"/>
  <c r="DW27" i="109"/>
  <c r="DW26" i="109"/>
  <c r="G32" i="103" s="1"/>
  <c r="DW25" i="109"/>
  <c r="DW24" i="109"/>
  <c r="DW23" i="109"/>
  <c r="DW22" i="109"/>
  <c r="DW21" i="109"/>
  <c r="DW20" i="109"/>
  <c r="DW19" i="109"/>
  <c r="DW18" i="109"/>
  <c r="DW17" i="109"/>
  <c r="DW16" i="109"/>
  <c r="DW15" i="109"/>
  <c r="DW14" i="109"/>
  <c r="DW13" i="109"/>
  <c r="DW12" i="109"/>
  <c r="DW11" i="109"/>
  <c r="DW10" i="109"/>
  <c r="DW9" i="109"/>
  <c r="DW8" i="109"/>
  <c r="DW7" i="109"/>
  <c r="DW6" i="109"/>
  <c r="DW5" i="109"/>
  <c r="P34" i="103"/>
  <c r="L34" i="103"/>
  <c r="H34" i="103"/>
  <c r="X32" i="103"/>
  <c r="W32" i="103"/>
  <c r="V32" i="103"/>
  <c r="U32" i="103"/>
  <c r="AG31" i="103"/>
  <c r="AF31" i="103"/>
  <c r="AE31" i="103"/>
  <c r="AD31" i="103"/>
  <c r="X31" i="103"/>
  <c r="W31" i="103"/>
  <c r="V31" i="103"/>
  <c r="U31" i="103"/>
  <c r="BV13" i="110"/>
  <c r="F16" i="142" s="1"/>
  <c r="K16" i="142" s="1"/>
  <c r="BV12" i="110"/>
  <c r="F14" i="142" s="1"/>
  <c r="BV11" i="110"/>
  <c r="F13" i="142" s="1"/>
  <c r="BV10" i="110"/>
  <c r="F12" i="142" s="1"/>
  <c r="BV9" i="110"/>
  <c r="F11" i="142" s="1"/>
  <c r="BV8" i="110"/>
  <c r="F9" i="142" s="1"/>
  <c r="BV7" i="110"/>
  <c r="F8" i="142" s="1"/>
  <c r="BV6" i="110"/>
  <c r="F7" i="142" s="1"/>
  <c r="BV5" i="110"/>
  <c r="F6" i="142" s="1"/>
  <c r="R68" i="121"/>
  <c r="R67" i="121"/>
  <c r="R66" i="121"/>
  <c r="R65" i="121"/>
  <c r="R64" i="121"/>
  <c r="R62" i="121"/>
  <c r="R61" i="121"/>
  <c r="R60" i="121"/>
  <c r="R59" i="121"/>
  <c r="R57" i="121"/>
  <c r="R56" i="121"/>
  <c r="R55" i="121"/>
  <c r="R54" i="121"/>
  <c r="R52" i="121"/>
  <c r="R51" i="121"/>
  <c r="R50" i="121"/>
  <c r="R49" i="121"/>
  <c r="R48" i="121"/>
  <c r="R46" i="121"/>
  <c r="R45" i="121"/>
  <c r="R44" i="121"/>
  <c r="R43" i="121"/>
  <c r="R41" i="121"/>
  <c r="R40" i="121"/>
  <c r="R39" i="121"/>
  <c r="R38" i="121"/>
  <c r="R36" i="121"/>
  <c r="R35" i="121"/>
  <c r="R34" i="121"/>
  <c r="R33" i="121"/>
  <c r="R32" i="121"/>
  <c r="R30" i="121"/>
  <c r="R29" i="121"/>
  <c r="R28" i="121"/>
  <c r="R27" i="121"/>
  <c r="R25" i="121"/>
  <c r="R24" i="121"/>
  <c r="R23" i="121"/>
  <c r="R22" i="121"/>
  <c r="R20" i="121"/>
  <c r="R19" i="121"/>
  <c r="R18" i="121"/>
  <c r="R17" i="121"/>
  <c r="R16" i="121"/>
  <c r="R14" i="121"/>
  <c r="R13" i="121"/>
  <c r="R12" i="121"/>
  <c r="R11" i="121"/>
  <c r="R9" i="121"/>
  <c r="R8" i="121"/>
  <c r="R7" i="121"/>
  <c r="O6" i="121"/>
  <c r="P22" i="141" l="1"/>
  <c r="Q42" i="142"/>
  <c r="T26" i="121"/>
  <c r="T53" i="121"/>
  <c r="BV15" i="110"/>
  <c r="F18" i="142" s="1"/>
  <c r="K18" i="142" s="1"/>
  <c r="N69" i="142"/>
  <c r="N26" i="142"/>
  <c r="N58" i="142"/>
  <c r="Q26" i="142"/>
  <c r="Q37" i="142"/>
  <c r="Q69" i="142"/>
  <c r="G6" i="121"/>
  <c r="U6" i="121" s="1"/>
  <c r="U10" i="121" s="1"/>
  <c r="T15" i="121"/>
  <c r="T31" i="121"/>
  <c r="U53" i="121"/>
  <c r="E10" i="143"/>
  <c r="U63" i="121"/>
  <c r="G26" i="121"/>
  <c r="U22" i="121"/>
  <c r="U26" i="121" s="1"/>
  <c r="U58" i="121"/>
  <c r="U69" i="121"/>
  <c r="U42" i="121"/>
  <c r="U31" i="121"/>
  <c r="U21" i="121"/>
  <c r="U47" i="121"/>
  <c r="U37" i="121"/>
  <c r="T10" i="121"/>
  <c r="T42" i="121"/>
  <c r="T58" i="121"/>
  <c r="T47" i="121"/>
  <c r="T63" i="121"/>
  <c r="Q63" i="142"/>
  <c r="Q58" i="142"/>
  <c r="T21" i="121"/>
  <c r="Q47" i="142"/>
  <c r="Q15" i="142"/>
  <c r="T37" i="121"/>
  <c r="Q21" i="142"/>
  <c r="Q53" i="142"/>
  <c r="Q31" i="142"/>
  <c r="T69" i="121"/>
  <c r="N47" i="142"/>
  <c r="N63" i="142"/>
  <c r="M18" i="142"/>
  <c r="M21" i="142" s="1"/>
  <c r="N42" i="142"/>
  <c r="N15" i="142"/>
  <c r="N31" i="142"/>
  <c r="N21" i="142"/>
  <c r="N37" i="142"/>
  <c r="N53" i="142"/>
  <c r="S22" i="142"/>
  <c r="AA2" i="105"/>
  <c r="AA4" i="105" s="1"/>
  <c r="AA6" i="105" s="1"/>
  <c r="M58" i="142"/>
  <c r="BV14" i="110"/>
  <c r="F17" i="142" s="1"/>
  <c r="K17" i="142" s="1"/>
  <c r="P63" i="142"/>
  <c r="M47" i="142"/>
  <c r="K49" i="142"/>
  <c r="K61" i="142"/>
  <c r="K64" i="142"/>
  <c r="M69" i="142"/>
  <c r="K13" i="142"/>
  <c r="F31" i="103"/>
  <c r="F35" i="103" s="1"/>
  <c r="K14" i="142"/>
  <c r="M63" i="142"/>
  <c r="K25" i="142"/>
  <c r="K28" i="142"/>
  <c r="P53" i="142"/>
  <c r="F47" i="142"/>
  <c r="K47" i="142" s="1"/>
  <c r="K48" i="142"/>
  <c r="P26" i="142"/>
  <c r="F58" i="142"/>
  <c r="K58" i="142" s="1"/>
  <c r="K50" i="142"/>
  <c r="P42" i="142"/>
  <c r="P58" i="142"/>
  <c r="F31" i="142"/>
  <c r="K12" i="142"/>
  <c r="K60" i="142"/>
  <c r="K38" i="142"/>
  <c r="K54" i="142"/>
  <c r="K66" i="142"/>
  <c r="P15" i="142"/>
  <c r="F63" i="142"/>
  <c r="K7" i="142"/>
  <c r="K55" i="142"/>
  <c r="P31" i="142"/>
  <c r="K8" i="142"/>
  <c r="K20" i="142"/>
  <c r="K56" i="142"/>
  <c r="K68" i="142"/>
  <c r="P47" i="142"/>
  <c r="P69" i="142"/>
  <c r="K39" i="142"/>
  <c r="K51" i="142"/>
  <c r="F26" i="142"/>
  <c r="F37" i="142"/>
  <c r="K9" i="142"/>
  <c r="P21" i="142"/>
  <c r="K11" i="142"/>
  <c r="F10" i="142"/>
  <c r="P37" i="142"/>
  <c r="M37" i="142"/>
  <c r="M53" i="142"/>
  <c r="M10" i="142"/>
  <c r="M26" i="142"/>
  <c r="M42" i="142"/>
  <c r="M15" i="142"/>
  <c r="M31" i="142"/>
  <c r="F8" i="141"/>
  <c r="G8" i="141"/>
  <c r="F7" i="141"/>
  <c r="F11" i="141" s="1"/>
  <c r="F14" i="141"/>
  <c r="G14" i="141"/>
  <c r="F13" i="141"/>
  <c r="P10" i="142"/>
  <c r="F53" i="142"/>
  <c r="K6" i="142"/>
  <c r="Q10" i="142"/>
  <c r="N10" i="142"/>
  <c r="F69" i="142"/>
  <c r="F42" i="142"/>
  <c r="J69" i="142"/>
  <c r="F15" i="142"/>
  <c r="F4" i="141"/>
  <c r="F1" i="141"/>
  <c r="G22" i="141"/>
  <c r="D4" i="141"/>
  <c r="CI56" i="110"/>
  <c r="CH56" i="110"/>
  <c r="CG56" i="110"/>
  <c r="CD56" i="110"/>
  <c r="CA56" i="110"/>
  <c r="CI55" i="110"/>
  <c r="CH55" i="110"/>
  <c r="CG55" i="110"/>
  <c r="CD55" i="110"/>
  <c r="CA55" i="110"/>
  <c r="CI54" i="110"/>
  <c r="CH54" i="110"/>
  <c r="CG54" i="110"/>
  <c r="CD54" i="110"/>
  <c r="CA54" i="110"/>
  <c r="CI53" i="110"/>
  <c r="CH53" i="110"/>
  <c r="CG53" i="110"/>
  <c r="CD53" i="110"/>
  <c r="CA53" i="110"/>
  <c r="CI52" i="110"/>
  <c r="CH52" i="110"/>
  <c r="CG52" i="110"/>
  <c r="CD52" i="110"/>
  <c r="CA52" i="110"/>
  <c r="CI51" i="110"/>
  <c r="CH51" i="110"/>
  <c r="CG51" i="110"/>
  <c r="CD51" i="110"/>
  <c r="CA51" i="110"/>
  <c r="CI50" i="110"/>
  <c r="CH50" i="110"/>
  <c r="CG50" i="110"/>
  <c r="CD50" i="110"/>
  <c r="CA50" i="110"/>
  <c r="CI49" i="110"/>
  <c r="CH49" i="110"/>
  <c r="CG49" i="110"/>
  <c r="CD49" i="110"/>
  <c r="CA49" i="110"/>
  <c r="CI48" i="110"/>
  <c r="CH48" i="110"/>
  <c r="CG48" i="110"/>
  <c r="CD48" i="110"/>
  <c r="CA48" i="110"/>
  <c r="CI47" i="110"/>
  <c r="CH47" i="110"/>
  <c r="CG47" i="110"/>
  <c r="CD47" i="110"/>
  <c r="CA47" i="110"/>
  <c r="CI46" i="110"/>
  <c r="CH46" i="110"/>
  <c r="CG46" i="110"/>
  <c r="CD46" i="110"/>
  <c r="CA46" i="110"/>
  <c r="CI45" i="110"/>
  <c r="CH45" i="110"/>
  <c r="CG45" i="110"/>
  <c r="CD45" i="110"/>
  <c r="CA45" i="110"/>
  <c r="CI44" i="110"/>
  <c r="CH44" i="110"/>
  <c r="CG44" i="110"/>
  <c r="CD44" i="110"/>
  <c r="CA44" i="110"/>
  <c r="CI43" i="110"/>
  <c r="CH43" i="110"/>
  <c r="CG43" i="110"/>
  <c r="CD43" i="110"/>
  <c r="CA43" i="110"/>
  <c r="CI42" i="110"/>
  <c r="CH42" i="110"/>
  <c r="CG42" i="110"/>
  <c r="CD42" i="110"/>
  <c r="CA42" i="110"/>
  <c r="CI41" i="110"/>
  <c r="CH41" i="110"/>
  <c r="CG41" i="110"/>
  <c r="CD41" i="110"/>
  <c r="CA41" i="110"/>
  <c r="CI40" i="110"/>
  <c r="CH40" i="110"/>
  <c r="CG40" i="110"/>
  <c r="CD40" i="110"/>
  <c r="CA40" i="110"/>
  <c r="CI39" i="110"/>
  <c r="CH39" i="110"/>
  <c r="CG39" i="110"/>
  <c r="CD39" i="110"/>
  <c r="CA39" i="110"/>
  <c r="CI38" i="110"/>
  <c r="CH38" i="110"/>
  <c r="CG38" i="110"/>
  <c r="CD38" i="110"/>
  <c r="CA38" i="110"/>
  <c r="CI37" i="110"/>
  <c r="CH37" i="110"/>
  <c r="CG37" i="110"/>
  <c r="CD37" i="110"/>
  <c r="CA37" i="110"/>
  <c r="CI36" i="110"/>
  <c r="CH36" i="110"/>
  <c r="CG36" i="110"/>
  <c r="CD36" i="110"/>
  <c r="CA36" i="110"/>
  <c r="CI35" i="110"/>
  <c r="CH35" i="110"/>
  <c r="CG35" i="110"/>
  <c r="CD35" i="110"/>
  <c r="CA35" i="110"/>
  <c r="CI34" i="110"/>
  <c r="CH34" i="110"/>
  <c r="CG34" i="110"/>
  <c r="CD34" i="110"/>
  <c r="CA34" i="110"/>
  <c r="CI33" i="110"/>
  <c r="CH33" i="110"/>
  <c r="CG33" i="110"/>
  <c r="CD33" i="110"/>
  <c r="CA33" i="110"/>
  <c r="CI32" i="110"/>
  <c r="CH32" i="110"/>
  <c r="CG32" i="110"/>
  <c r="CD32" i="110"/>
  <c r="CA32" i="110"/>
  <c r="CI31" i="110"/>
  <c r="CH31" i="110"/>
  <c r="CG31" i="110"/>
  <c r="CD31" i="110"/>
  <c r="CA31" i="110"/>
  <c r="CI30" i="110"/>
  <c r="CH30" i="110"/>
  <c r="CG30" i="110"/>
  <c r="CD30" i="110"/>
  <c r="CA30" i="110"/>
  <c r="CI29" i="110"/>
  <c r="CH29" i="110"/>
  <c r="CG29" i="110"/>
  <c r="CD29" i="110"/>
  <c r="CA29" i="110"/>
  <c r="CI28" i="110"/>
  <c r="CH28" i="110"/>
  <c r="CG28" i="110"/>
  <c r="CD28" i="110"/>
  <c r="CA28" i="110"/>
  <c r="CI27" i="110"/>
  <c r="CH27" i="110"/>
  <c r="CG27" i="110"/>
  <c r="CD27" i="110"/>
  <c r="CA27" i="110"/>
  <c r="CI26" i="110"/>
  <c r="CH26" i="110"/>
  <c r="CG26" i="110"/>
  <c r="CD26" i="110"/>
  <c r="CA26" i="110"/>
  <c r="CI25" i="110"/>
  <c r="CH25" i="110"/>
  <c r="CG25" i="110"/>
  <c r="CD25" i="110"/>
  <c r="CA25" i="110"/>
  <c r="CI24" i="110"/>
  <c r="CH24" i="110"/>
  <c r="CG24" i="110"/>
  <c r="CD24" i="110"/>
  <c r="CA24" i="110"/>
  <c r="CI23" i="110"/>
  <c r="CH23" i="110"/>
  <c r="CG23" i="110"/>
  <c r="CD23" i="110"/>
  <c r="CA23" i="110"/>
  <c r="CI22" i="110"/>
  <c r="CH22" i="110"/>
  <c r="CG22" i="110"/>
  <c r="CD22" i="110"/>
  <c r="CA22" i="110"/>
  <c r="CI21" i="110"/>
  <c r="CH21" i="110"/>
  <c r="CG21" i="110"/>
  <c r="CD21" i="110"/>
  <c r="CA21" i="110"/>
  <c r="CI20" i="110"/>
  <c r="CH20" i="110"/>
  <c r="CG20" i="110"/>
  <c r="CD20" i="110"/>
  <c r="CA20" i="110"/>
  <c r="CI19" i="110"/>
  <c r="CH19" i="110"/>
  <c r="CG19" i="110"/>
  <c r="CD19" i="110"/>
  <c r="CA19" i="110"/>
  <c r="CI18" i="110"/>
  <c r="CH18" i="110"/>
  <c r="CG18" i="110"/>
  <c r="CD18" i="110"/>
  <c r="CA18" i="110"/>
  <c r="CI17" i="110"/>
  <c r="CH17" i="110"/>
  <c r="CG17" i="110"/>
  <c r="CD17" i="110"/>
  <c r="CA17" i="110"/>
  <c r="CI16" i="110"/>
  <c r="CH16" i="110"/>
  <c r="CG16" i="110"/>
  <c r="CD16" i="110"/>
  <c r="CA16" i="110"/>
  <c r="CI15" i="110"/>
  <c r="CH15" i="110"/>
  <c r="CG15" i="110"/>
  <c r="CD15" i="110"/>
  <c r="CA15" i="110"/>
  <c r="CI14" i="110"/>
  <c r="CH14" i="110"/>
  <c r="CG14" i="110"/>
  <c r="CD14" i="110"/>
  <c r="CA14" i="110"/>
  <c r="CG13" i="110"/>
  <c r="CD13" i="110"/>
  <c r="CI13" i="110"/>
  <c r="CH13" i="110"/>
  <c r="CH12" i="110"/>
  <c r="CG12" i="110"/>
  <c r="CD12" i="110"/>
  <c r="CH11" i="110"/>
  <c r="CG11" i="110"/>
  <c r="CD11" i="110"/>
  <c r="CG10" i="110"/>
  <c r="CD10" i="110"/>
  <c r="CI10" i="110"/>
  <c r="CA10" i="110"/>
  <c r="CG9" i="110"/>
  <c r="CD9" i="110"/>
  <c r="CI9" i="110"/>
  <c r="CH9" i="110"/>
  <c r="CH8" i="110"/>
  <c r="CG8" i="110"/>
  <c r="CD8" i="110"/>
  <c r="CH7" i="110"/>
  <c r="CG7" i="110"/>
  <c r="CD7" i="110"/>
  <c r="CG6" i="110"/>
  <c r="CD6" i="110"/>
  <c r="CA6" i="110"/>
  <c r="CH6" i="110"/>
  <c r="CG5" i="110"/>
  <c r="CD5" i="110"/>
  <c r="CI5" i="110"/>
  <c r="CH5" i="110"/>
  <c r="R6" i="121"/>
  <c r="O9" i="121"/>
  <c r="O8" i="121"/>
  <c r="O7" i="121"/>
  <c r="O14" i="121"/>
  <c r="O13" i="121"/>
  <c r="O12" i="121"/>
  <c r="O11" i="121"/>
  <c r="O20" i="121"/>
  <c r="O19" i="121"/>
  <c r="O18" i="121"/>
  <c r="O17" i="121"/>
  <c r="O16" i="121"/>
  <c r="O25" i="121"/>
  <c r="O24" i="121"/>
  <c r="O23" i="121"/>
  <c r="O22" i="121"/>
  <c r="O30" i="121"/>
  <c r="O29" i="121"/>
  <c r="O28" i="121"/>
  <c r="O27" i="121"/>
  <c r="O36" i="121"/>
  <c r="O35" i="121"/>
  <c r="O34" i="121"/>
  <c r="O33" i="121"/>
  <c r="O32" i="121"/>
  <c r="O41" i="121"/>
  <c r="O40" i="121"/>
  <c r="O39" i="121"/>
  <c r="O38" i="121"/>
  <c r="O46" i="121"/>
  <c r="O45" i="121"/>
  <c r="O44" i="121"/>
  <c r="O43" i="121"/>
  <c r="O52" i="121"/>
  <c r="O51" i="121"/>
  <c r="O50" i="121"/>
  <c r="O49" i="121"/>
  <c r="O48" i="121"/>
  <c r="O57" i="121"/>
  <c r="O56" i="121"/>
  <c r="O55" i="121"/>
  <c r="O54" i="121"/>
  <c r="O62" i="121"/>
  <c r="O61" i="121"/>
  <c r="O60" i="121"/>
  <c r="O59" i="121"/>
  <c r="O67" i="121"/>
  <c r="O66" i="121"/>
  <c r="O65" i="121"/>
  <c r="O64" i="121"/>
  <c r="O68" i="121"/>
  <c r="EA56" i="109"/>
  <c r="EA55" i="109"/>
  <c r="EA54" i="109"/>
  <c r="EA53" i="109"/>
  <c r="EA52" i="109"/>
  <c r="EA51" i="109"/>
  <c r="EA50" i="109"/>
  <c r="EA49" i="109"/>
  <c r="EA48" i="109"/>
  <c r="EA47" i="109"/>
  <c r="EA46" i="109"/>
  <c r="EA45" i="109"/>
  <c r="EA44" i="109"/>
  <c r="EA43" i="109"/>
  <c r="EA42" i="109"/>
  <c r="EA41" i="109"/>
  <c r="EA40" i="109"/>
  <c r="EA39" i="109"/>
  <c r="EA38" i="109"/>
  <c r="EA37" i="109"/>
  <c r="EA36" i="109"/>
  <c r="EA35" i="109"/>
  <c r="EA34" i="109"/>
  <c r="EA33" i="109"/>
  <c r="EA32" i="109"/>
  <c r="EA31" i="109"/>
  <c r="EA30" i="109"/>
  <c r="EA29" i="109"/>
  <c r="EA28" i="109"/>
  <c r="EA27" i="109"/>
  <c r="EA26" i="109"/>
  <c r="EA25" i="109"/>
  <c r="EA24" i="109"/>
  <c r="EA23" i="109"/>
  <c r="EA22" i="109"/>
  <c r="EA21" i="109"/>
  <c r="EA20" i="109"/>
  <c r="EA19" i="109"/>
  <c r="EA18" i="109"/>
  <c r="EA17" i="109"/>
  <c r="EA16" i="109"/>
  <c r="EA15" i="109"/>
  <c r="EA14" i="109"/>
  <c r="EA13" i="109"/>
  <c r="EA12" i="109"/>
  <c r="EA11" i="109"/>
  <c r="EA10" i="109"/>
  <c r="EA9" i="109"/>
  <c r="EA8" i="109"/>
  <c r="EA7" i="109"/>
  <c r="EA6" i="109"/>
  <c r="EA5" i="109"/>
  <c r="ED56" i="109"/>
  <c r="ED55" i="109"/>
  <c r="ED54" i="109"/>
  <c r="ED53" i="109"/>
  <c r="ED52" i="109"/>
  <c r="ED51" i="109"/>
  <c r="ED50" i="109"/>
  <c r="ED49" i="109"/>
  <c r="ED48" i="109"/>
  <c r="ED47" i="109"/>
  <c r="ED46" i="109"/>
  <c r="ED45" i="109"/>
  <c r="ED44" i="109"/>
  <c r="ED43" i="109"/>
  <c r="ED42" i="109"/>
  <c r="ED41" i="109"/>
  <c r="ED40" i="109"/>
  <c r="ED39" i="109"/>
  <c r="ED38" i="109"/>
  <c r="ED37" i="109"/>
  <c r="ED36" i="109"/>
  <c r="ED35" i="109"/>
  <c r="ED34" i="109"/>
  <c r="ED33" i="109"/>
  <c r="ED32" i="109"/>
  <c r="ED31" i="109"/>
  <c r="ED30" i="109"/>
  <c r="ED29" i="109"/>
  <c r="ED28" i="109"/>
  <c r="ED27" i="109"/>
  <c r="ED26" i="109"/>
  <c r="ED25" i="109"/>
  <c r="ED24" i="109"/>
  <c r="ED23" i="109"/>
  <c r="ED22" i="109"/>
  <c r="ED21" i="109"/>
  <c r="ED20" i="109"/>
  <c r="ED19" i="109"/>
  <c r="ED18" i="109"/>
  <c r="ED17" i="109"/>
  <c r="ED16" i="109"/>
  <c r="ED15" i="109"/>
  <c r="ED14" i="109"/>
  <c r="ED13" i="109"/>
  <c r="ED12" i="109"/>
  <c r="ED11" i="109"/>
  <c r="ED10" i="109"/>
  <c r="ED9" i="109"/>
  <c r="ED8" i="109"/>
  <c r="ED7" i="109"/>
  <c r="ED6" i="109"/>
  <c r="ED5" i="109"/>
  <c r="CJ25" i="110" l="1"/>
  <c r="CJ37" i="110"/>
  <c r="CJ9" i="110"/>
  <c r="CJ17" i="110"/>
  <c r="CJ29" i="110"/>
  <c r="CJ20" i="110"/>
  <c r="CJ32" i="110"/>
  <c r="CJ18" i="110"/>
  <c r="CJ21" i="110"/>
  <c r="D11" i="143"/>
  <c r="CJ36" i="110"/>
  <c r="CJ34" i="110"/>
  <c r="CJ46" i="110"/>
  <c r="CJ53" i="110"/>
  <c r="CJ15" i="110"/>
  <c r="CJ39" i="110"/>
  <c r="CJ28" i="110"/>
  <c r="CJ47" i="110"/>
  <c r="CJ14" i="110"/>
  <c r="CJ38" i="110"/>
  <c r="CJ50" i="110"/>
  <c r="CJ31" i="110"/>
  <c r="CJ43" i="110"/>
  <c r="CJ41" i="110"/>
  <c r="CJ23" i="110"/>
  <c r="CJ42" i="110"/>
  <c r="F21" i="142"/>
  <c r="K21" i="142" s="1"/>
  <c r="S23" i="142"/>
  <c r="S25" i="142" s="1"/>
  <c r="T23" i="142"/>
  <c r="H8" i="141"/>
  <c r="H14" i="141"/>
  <c r="G20" i="141"/>
  <c r="AN31" i="103"/>
  <c r="K31" i="142"/>
  <c r="K37" i="142"/>
  <c r="H26" i="142"/>
  <c r="K26" i="142"/>
  <c r="K10" i="142"/>
  <c r="K69" i="142"/>
  <c r="K15" i="142"/>
  <c r="K42" i="142"/>
  <c r="K53" i="142"/>
  <c r="K63" i="142"/>
  <c r="F9" i="141"/>
  <c r="J13" i="141"/>
  <c r="J7" i="141"/>
  <c r="F17" i="141"/>
  <c r="F15" i="141"/>
  <c r="C4" i="141"/>
  <c r="J4" i="141"/>
  <c r="F20" i="141"/>
  <c r="F22" i="141"/>
  <c r="H22" i="141" s="1"/>
  <c r="F19" i="141"/>
  <c r="S22" i="141" s="1"/>
  <c r="S23" i="141" s="1"/>
  <c r="S25" i="141" s="1"/>
  <c r="CJ27" i="110"/>
  <c r="CJ35" i="110"/>
  <c r="CJ33" i="110"/>
  <c r="CJ5" i="110"/>
  <c r="CJ19" i="110"/>
  <c r="CJ45" i="110"/>
  <c r="CJ22" i="110"/>
  <c r="CJ44" i="110"/>
  <c r="CJ51" i="110"/>
  <c r="CJ49" i="110"/>
  <c r="CJ30" i="110"/>
  <c r="CJ26" i="110"/>
  <c r="CJ24" i="110"/>
  <c r="CJ48" i="110"/>
  <c r="CJ16" i="110"/>
  <c r="CJ40" i="110"/>
  <c r="CJ13" i="110"/>
  <c r="CJ52" i="110"/>
  <c r="CJ55" i="110"/>
  <c r="CJ56" i="110"/>
  <c r="CJ54" i="110"/>
  <c r="CI11" i="110"/>
  <c r="CJ11" i="110" s="1"/>
  <c r="CA11" i="110"/>
  <c r="CI7" i="110"/>
  <c r="CJ7" i="110" s="1"/>
  <c r="CA7" i="110"/>
  <c r="CA5" i="110"/>
  <c r="CA9" i="110"/>
  <c r="CA13" i="110"/>
  <c r="CH10" i="110"/>
  <c r="CJ10" i="110" s="1"/>
  <c r="CI6" i="110"/>
  <c r="CJ6" i="110" s="1"/>
  <c r="E11" i="143" l="1"/>
  <c r="H20" i="141"/>
  <c r="J17" i="141"/>
  <c r="F23" i="141"/>
  <c r="F21" i="141"/>
  <c r="J11" i="141"/>
  <c r="J19" i="141"/>
  <c r="J22" i="141"/>
  <c r="K22" i="141"/>
  <c r="CA12" i="110"/>
  <c r="CI12" i="110"/>
  <c r="CJ12" i="110" s="1"/>
  <c r="CA8" i="110"/>
  <c r="CI8" i="110"/>
  <c r="CJ8" i="110" s="1"/>
  <c r="D12" i="143" l="1"/>
  <c r="E12" i="143" s="1"/>
  <c r="D13" i="143" s="1"/>
  <c r="E13" i="143" s="1"/>
  <c r="D14" i="143" s="1"/>
  <c r="E14" i="143" s="1"/>
  <c r="D15" i="143" s="1"/>
  <c r="E15" i="143"/>
  <c r="L22" i="141"/>
  <c r="J23" i="141"/>
  <c r="EI56" i="109"/>
  <c r="EH56" i="109"/>
  <c r="EG56" i="109"/>
  <c r="EI55" i="109"/>
  <c r="EH55" i="109"/>
  <c r="EG55" i="109"/>
  <c r="EI54" i="109"/>
  <c r="EH54" i="109"/>
  <c r="EG54" i="109"/>
  <c r="EI53" i="109"/>
  <c r="EH53" i="109"/>
  <c r="EG53" i="109"/>
  <c r="EI52" i="109"/>
  <c r="EH52" i="109"/>
  <c r="EG52" i="109"/>
  <c r="EI51" i="109"/>
  <c r="EH51" i="109"/>
  <c r="EG51" i="109"/>
  <c r="EI50" i="109"/>
  <c r="EH50" i="109"/>
  <c r="EG50" i="109"/>
  <c r="EI49" i="109"/>
  <c r="EH49" i="109"/>
  <c r="EG49" i="109"/>
  <c r="EI48" i="109"/>
  <c r="EH48" i="109"/>
  <c r="EG48" i="109"/>
  <c r="EI47" i="109"/>
  <c r="EH47" i="109"/>
  <c r="EG47" i="109"/>
  <c r="EI46" i="109"/>
  <c r="EH46" i="109"/>
  <c r="EG46" i="109"/>
  <c r="EI45" i="109"/>
  <c r="EH45" i="109"/>
  <c r="EG45" i="109"/>
  <c r="EI44" i="109"/>
  <c r="EH44" i="109"/>
  <c r="EG44" i="109"/>
  <c r="EI43" i="109"/>
  <c r="EH43" i="109"/>
  <c r="EG43" i="109"/>
  <c r="EI42" i="109"/>
  <c r="EH42" i="109"/>
  <c r="EG42" i="109"/>
  <c r="EI41" i="109"/>
  <c r="EH41" i="109"/>
  <c r="EG41" i="109"/>
  <c r="EI40" i="109"/>
  <c r="EH40" i="109"/>
  <c r="EG40" i="109"/>
  <c r="EI39" i="109"/>
  <c r="EH39" i="109"/>
  <c r="EG39" i="109"/>
  <c r="EI38" i="109"/>
  <c r="EH38" i="109"/>
  <c r="EG38" i="109"/>
  <c r="EI37" i="109"/>
  <c r="EH37" i="109"/>
  <c r="EG37" i="109"/>
  <c r="EI36" i="109"/>
  <c r="EH36" i="109"/>
  <c r="EG36" i="109"/>
  <c r="EI35" i="109"/>
  <c r="EH35" i="109"/>
  <c r="EG35" i="109"/>
  <c r="EI34" i="109"/>
  <c r="EH34" i="109"/>
  <c r="EG34" i="109"/>
  <c r="EI33" i="109"/>
  <c r="EH33" i="109"/>
  <c r="EG33" i="109"/>
  <c r="EI32" i="109"/>
  <c r="EH32" i="109"/>
  <c r="EG32" i="109"/>
  <c r="EI31" i="109"/>
  <c r="EH31" i="109"/>
  <c r="EG31" i="109"/>
  <c r="EI30" i="109"/>
  <c r="EH30" i="109"/>
  <c r="EG30" i="109"/>
  <c r="EI29" i="109"/>
  <c r="EH29" i="109"/>
  <c r="EG29" i="109"/>
  <c r="EI28" i="109"/>
  <c r="EH28" i="109"/>
  <c r="EG28" i="109"/>
  <c r="EI27" i="109"/>
  <c r="EH27" i="109"/>
  <c r="EG27" i="109"/>
  <c r="EI26" i="109"/>
  <c r="EH26" i="109"/>
  <c r="EG26" i="109"/>
  <c r="EI25" i="109"/>
  <c r="EH25" i="109"/>
  <c r="EG25" i="109"/>
  <c r="EI24" i="109"/>
  <c r="EH24" i="109"/>
  <c r="EG24" i="109"/>
  <c r="EI23" i="109"/>
  <c r="EH23" i="109"/>
  <c r="EG23" i="109"/>
  <c r="EI22" i="109"/>
  <c r="EH22" i="109"/>
  <c r="EG22" i="109"/>
  <c r="EI21" i="109"/>
  <c r="EH21" i="109"/>
  <c r="EG21" i="109"/>
  <c r="EI20" i="109"/>
  <c r="EH20" i="109"/>
  <c r="EG20" i="109"/>
  <c r="EI19" i="109"/>
  <c r="EH19" i="109"/>
  <c r="EG19" i="109"/>
  <c r="EI18" i="109"/>
  <c r="EH18" i="109"/>
  <c r="EG18" i="109"/>
  <c r="EI17" i="109"/>
  <c r="EH17" i="109"/>
  <c r="EG17" i="109"/>
  <c r="EI16" i="109"/>
  <c r="EH16" i="109"/>
  <c r="EG16" i="109"/>
  <c r="EI15" i="109"/>
  <c r="EH15" i="109"/>
  <c r="EG15" i="109"/>
  <c r="EI14" i="109"/>
  <c r="EH14" i="109"/>
  <c r="EG14" i="109"/>
  <c r="EI13" i="109"/>
  <c r="EH13" i="109"/>
  <c r="EG13" i="109"/>
  <c r="EI12" i="109"/>
  <c r="EH12" i="109"/>
  <c r="EG12" i="109"/>
  <c r="EI11" i="109"/>
  <c r="EH11" i="109"/>
  <c r="EG11" i="109"/>
  <c r="EI10" i="109"/>
  <c r="EH10" i="109"/>
  <c r="EG10" i="109"/>
  <c r="EI9" i="109"/>
  <c r="EH9" i="109"/>
  <c r="EG9" i="109"/>
  <c r="EI8" i="109"/>
  <c r="EH8" i="109"/>
  <c r="EG8" i="109"/>
  <c r="EI7" i="109"/>
  <c r="EH7" i="109"/>
  <c r="EG7" i="109"/>
  <c r="EI6" i="109"/>
  <c r="EH6" i="109"/>
  <c r="EG6" i="109"/>
  <c r="EI5" i="109"/>
  <c r="EH5" i="109"/>
  <c r="EG5" i="109"/>
  <c r="P68" i="121"/>
  <c r="P67" i="121"/>
  <c r="P66" i="121"/>
  <c r="P65" i="121"/>
  <c r="P64" i="121"/>
  <c r="P62" i="121"/>
  <c r="P61" i="121"/>
  <c r="P60" i="121"/>
  <c r="P59" i="121"/>
  <c r="P57" i="121"/>
  <c r="P56" i="121"/>
  <c r="P55" i="121"/>
  <c r="P54" i="121"/>
  <c r="P52" i="121"/>
  <c r="P51" i="121"/>
  <c r="P50" i="121"/>
  <c r="P49" i="121"/>
  <c r="P48" i="121"/>
  <c r="P46" i="121"/>
  <c r="P45" i="121"/>
  <c r="P44" i="121"/>
  <c r="P43" i="121"/>
  <c r="P41" i="121"/>
  <c r="P40" i="121"/>
  <c r="P39" i="121"/>
  <c r="P38" i="121"/>
  <c r="P36" i="121"/>
  <c r="P35" i="121"/>
  <c r="P34" i="121"/>
  <c r="P33" i="121"/>
  <c r="P32" i="121"/>
  <c r="P30" i="121"/>
  <c r="P29" i="121"/>
  <c r="P28" i="121"/>
  <c r="P27" i="121"/>
  <c r="P25" i="121"/>
  <c r="P24" i="121"/>
  <c r="P23" i="121"/>
  <c r="P22" i="121"/>
  <c r="P20" i="121"/>
  <c r="P19" i="121"/>
  <c r="P18" i="121"/>
  <c r="P17" i="121"/>
  <c r="P6" i="121"/>
  <c r="M68" i="121"/>
  <c r="M67" i="121"/>
  <c r="M66" i="121"/>
  <c r="M65" i="121"/>
  <c r="M64" i="121"/>
  <c r="M62" i="121"/>
  <c r="M61" i="121"/>
  <c r="M60" i="121"/>
  <c r="M59" i="121"/>
  <c r="M57" i="121"/>
  <c r="M56" i="121"/>
  <c r="M55" i="121"/>
  <c r="M54" i="121"/>
  <c r="M52" i="121"/>
  <c r="M51" i="121"/>
  <c r="M50" i="121"/>
  <c r="M49" i="121"/>
  <c r="M48" i="121"/>
  <c r="M46" i="121"/>
  <c r="M45" i="121"/>
  <c r="M44" i="121"/>
  <c r="M43" i="121"/>
  <c r="M41" i="121"/>
  <c r="M40" i="121"/>
  <c r="M39" i="121"/>
  <c r="M38" i="121"/>
  <c r="M36" i="121"/>
  <c r="M35" i="121"/>
  <c r="M34" i="121"/>
  <c r="M33" i="121"/>
  <c r="M32" i="121"/>
  <c r="M30" i="121"/>
  <c r="M28" i="121"/>
  <c r="M27" i="121"/>
  <c r="M25" i="121"/>
  <c r="M24" i="121"/>
  <c r="M23" i="121"/>
  <c r="M22" i="121"/>
  <c r="M20" i="121"/>
  <c r="M19" i="121"/>
  <c r="M18" i="121"/>
  <c r="M17" i="121"/>
  <c r="M16" i="121"/>
  <c r="M14" i="121"/>
  <c r="M13" i="121"/>
  <c r="M12" i="121"/>
  <c r="M11" i="121"/>
  <c r="M9" i="121"/>
  <c r="M8" i="121"/>
  <c r="M7" i="121"/>
  <c r="M6" i="121"/>
  <c r="BL13" i="110"/>
  <c r="BH13" i="110"/>
  <c r="BI13" i="110" s="1"/>
  <c r="BD13" i="110"/>
  <c r="P16" i="121" s="1"/>
  <c r="BB13" i="110"/>
  <c r="AW13" i="110"/>
  <c r="AO13" i="110"/>
  <c r="AM13" i="110"/>
  <c r="AF13" i="110"/>
  <c r="AH13" i="110" s="1"/>
  <c r="AD13" i="110"/>
  <c r="AE13" i="110" s="1"/>
  <c r="Z13" i="110"/>
  <c r="X13" i="110"/>
  <c r="T13" i="110"/>
  <c r="V13" i="110" s="1"/>
  <c r="Q13" i="110"/>
  <c r="S13" i="110" s="1"/>
  <c r="P13" i="110"/>
  <c r="J13" i="110"/>
  <c r="F13" i="110"/>
  <c r="L13" i="110" s="1"/>
  <c r="E13" i="110"/>
  <c r="DU56" i="109"/>
  <c r="DU55" i="109"/>
  <c r="DU54" i="109"/>
  <c r="DU53" i="109"/>
  <c r="DU52" i="109"/>
  <c r="DU51" i="109"/>
  <c r="DU50" i="109"/>
  <c r="DU49" i="109"/>
  <c r="DU48" i="109"/>
  <c r="DU47" i="109"/>
  <c r="DU46" i="109"/>
  <c r="DU45" i="109"/>
  <c r="DU44" i="109"/>
  <c r="DU43" i="109"/>
  <c r="DU42" i="109"/>
  <c r="DU41" i="109"/>
  <c r="DU40" i="109"/>
  <c r="DU39" i="109"/>
  <c r="DU38" i="109"/>
  <c r="DU37" i="109"/>
  <c r="DU36" i="109"/>
  <c r="DU35" i="109"/>
  <c r="DU34" i="109"/>
  <c r="DU33" i="109"/>
  <c r="DU32" i="109"/>
  <c r="DU31" i="109"/>
  <c r="DU30" i="109"/>
  <c r="DU29" i="109"/>
  <c r="DU28" i="109"/>
  <c r="DU27" i="109"/>
  <c r="DU26" i="109"/>
  <c r="DU25" i="109"/>
  <c r="DU24" i="109"/>
  <c r="DU23" i="109"/>
  <c r="DU22" i="109"/>
  <c r="DU21" i="109"/>
  <c r="DU20" i="109"/>
  <c r="DU19" i="109"/>
  <c r="DU18" i="109"/>
  <c r="DU17" i="109"/>
  <c r="DU16" i="109"/>
  <c r="DU15" i="109"/>
  <c r="DU14" i="109"/>
  <c r="DU13" i="109"/>
  <c r="DU12" i="109"/>
  <c r="DU11" i="109"/>
  <c r="DU10" i="109"/>
  <c r="DU9" i="109"/>
  <c r="DU8" i="109"/>
  <c r="DU7" i="109"/>
  <c r="DU6" i="109"/>
  <c r="DU5" i="109"/>
  <c r="DR56" i="109"/>
  <c r="DR55" i="109"/>
  <c r="DR54" i="109"/>
  <c r="DR53" i="109"/>
  <c r="DR52" i="109"/>
  <c r="DR51" i="109"/>
  <c r="DR50" i="109"/>
  <c r="DR49" i="109"/>
  <c r="DR48" i="109"/>
  <c r="DR47" i="109"/>
  <c r="DR46" i="109"/>
  <c r="DR45" i="109"/>
  <c r="DR44" i="109"/>
  <c r="DR43" i="109"/>
  <c r="DR42" i="109"/>
  <c r="DR41" i="109"/>
  <c r="DR40" i="109"/>
  <c r="DR39" i="109"/>
  <c r="DR38" i="109"/>
  <c r="DR37" i="109"/>
  <c r="DR36" i="109"/>
  <c r="DR35" i="109"/>
  <c r="DR34" i="109"/>
  <c r="DR33" i="109"/>
  <c r="DR32" i="109"/>
  <c r="DR31" i="109"/>
  <c r="DR30" i="109"/>
  <c r="DR29" i="109"/>
  <c r="DR28" i="109"/>
  <c r="DR27" i="109"/>
  <c r="DR26" i="109"/>
  <c r="DR25" i="109"/>
  <c r="DR24" i="109"/>
  <c r="DR23" i="109"/>
  <c r="DR22" i="109"/>
  <c r="DR21" i="109"/>
  <c r="DR20" i="109"/>
  <c r="DR19" i="109"/>
  <c r="DR18" i="109"/>
  <c r="DR17" i="109"/>
  <c r="DR16" i="109"/>
  <c r="DR15" i="109"/>
  <c r="DR14" i="109"/>
  <c r="DR13" i="109"/>
  <c r="DR12" i="109"/>
  <c r="DR11" i="109"/>
  <c r="DR10" i="109"/>
  <c r="DR9" i="109"/>
  <c r="DR8" i="109"/>
  <c r="DR7" i="109"/>
  <c r="DR6" i="109"/>
  <c r="DR5" i="109"/>
  <c r="BW56" i="110"/>
  <c r="BX56" i="110" s="1"/>
  <c r="BU56" i="110"/>
  <c r="BR56" i="110"/>
  <c r="BW55" i="110"/>
  <c r="BX55" i="110" s="1"/>
  <c r="BU55" i="110"/>
  <c r="BR55" i="110"/>
  <c r="BW54" i="110"/>
  <c r="BX54" i="110" s="1"/>
  <c r="BU54" i="110"/>
  <c r="BR54" i="110"/>
  <c r="BW53" i="110"/>
  <c r="BX53" i="110" s="1"/>
  <c r="BU53" i="110"/>
  <c r="BR53" i="110"/>
  <c r="BW52" i="110"/>
  <c r="BX52" i="110" s="1"/>
  <c r="BU52" i="110"/>
  <c r="BR52" i="110"/>
  <c r="BW51" i="110"/>
  <c r="BX51" i="110" s="1"/>
  <c r="BU51" i="110"/>
  <c r="BR51" i="110"/>
  <c r="BW50" i="110"/>
  <c r="BX50" i="110" s="1"/>
  <c r="BU50" i="110"/>
  <c r="BR50" i="110"/>
  <c r="BW49" i="110"/>
  <c r="BX49" i="110" s="1"/>
  <c r="BU49" i="110"/>
  <c r="BR49" i="110"/>
  <c r="BW48" i="110"/>
  <c r="BX48" i="110" s="1"/>
  <c r="BU48" i="110"/>
  <c r="BR48" i="110"/>
  <c r="BW47" i="110"/>
  <c r="BX47" i="110" s="1"/>
  <c r="BU47" i="110"/>
  <c r="BR47" i="110"/>
  <c r="BW46" i="110"/>
  <c r="BX46" i="110" s="1"/>
  <c r="BU46" i="110"/>
  <c r="BR46" i="110"/>
  <c r="BW45" i="110"/>
  <c r="BX45" i="110" s="1"/>
  <c r="BU45" i="110"/>
  <c r="BR45" i="110"/>
  <c r="BW44" i="110"/>
  <c r="BX44" i="110" s="1"/>
  <c r="BU44" i="110"/>
  <c r="BR44" i="110"/>
  <c r="BW43" i="110"/>
  <c r="BX43" i="110" s="1"/>
  <c r="BU43" i="110"/>
  <c r="BR43" i="110"/>
  <c r="BW42" i="110"/>
  <c r="BX42" i="110" s="1"/>
  <c r="BU42" i="110"/>
  <c r="BR42" i="110"/>
  <c r="BW41" i="110"/>
  <c r="BX41" i="110" s="1"/>
  <c r="BU41" i="110"/>
  <c r="BR41" i="110"/>
  <c r="BW40" i="110"/>
  <c r="BX40" i="110" s="1"/>
  <c r="BU40" i="110"/>
  <c r="BR40" i="110"/>
  <c r="BW39" i="110"/>
  <c r="BX39" i="110" s="1"/>
  <c r="BU39" i="110"/>
  <c r="BR39" i="110"/>
  <c r="BW35" i="110"/>
  <c r="BX35" i="110" s="1"/>
  <c r="BR35" i="110"/>
  <c r="BW34" i="110"/>
  <c r="BX34" i="110" s="1"/>
  <c r="BR34" i="110"/>
  <c r="BW33" i="110"/>
  <c r="BX33" i="110" s="1"/>
  <c r="BR33" i="110"/>
  <c r="BW32" i="110"/>
  <c r="BX32" i="110" s="1"/>
  <c r="BU32" i="110"/>
  <c r="BR32" i="110"/>
  <c r="BW31" i="110"/>
  <c r="BX31" i="110" s="1"/>
  <c r="BU31" i="110"/>
  <c r="BR31" i="110"/>
  <c r="BW30" i="110"/>
  <c r="BX30" i="110" s="1"/>
  <c r="BU30" i="110"/>
  <c r="BR30" i="110"/>
  <c r="BW29" i="110"/>
  <c r="BX29" i="110" s="1"/>
  <c r="BU29" i="110"/>
  <c r="BR29" i="110"/>
  <c r="BW28" i="110"/>
  <c r="BX28" i="110" s="1"/>
  <c r="BU28" i="110"/>
  <c r="BR28" i="110"/>
  <c r="BW27" i="110"/>
  <c r="BX27" i="110" s="1"/>
  <c r="BU27" i="110"/>
  <c r="BR27" i="110"/>
  <c r="BW26" i="110"/>
  <c r="BX26" i="110" s="1"/>
  <c r="BU26" i="110"/>
  <c r="BR26" i="110"/>
  <c r="BW25" i="110"/>
  <c r="BX25" i="110" s="1"/>
  <c r="BU25" i="110"/>
  <c r="BR25" i="110"/>
  <c r="BW24" i="110"/>
  <c r="BX24" i="110" s="1"/>
  <c r="BU24" i="110"/>
  <c r="BR24" i="110"/>
  <c r="BW23" i="110"/>
  <c r="BX23" i="110" s="1"/>
  <c r="BU23" i="110"/>
  <c r="BR23" i="110"/>
  <c r="BW22" i="110"/>
  <c r="BX22" i="110" s="1"/>
  <c r="BU22" i="110"/>
  <c r="BR22" i="110"/>
  <c r="BW21" i="110"/>
  <c r="BX21" i="110" s="1"/>
  <c r="BU21" i="110"/>
  <c r="BR21" i="110"/>
  <c r="BW20" i="110"/>
  <c r="BX20" i="110" s="1"/>
  <c r="BU20" i="110"/>
  <c r="BR20" i="110"/>
  <c r="BW19" i="110"/>
  <c r="BX19" i="110" s="1"/>
  <c r="BU19" i="110"/>
  <c r="BR19" i="110"/>
  <c r="BW18" i="110"/>
  <c r="BX18" i="110" s="1"/>
  <c r="BU18" i="110"/>
  <c r="BR18" i="110"/>
  <c r="BW17" i="110"/>
  <c r="BX17" i="110" s="1"/>
  <c r="BU17" i="110"/>
  <c r="BR17" i="110"/>
  <c r="BW16" i="110"/>
  <c r="BX16" i="110" s="1"/>
  <c r="BU16" i="110"/>
  <c r="BR16" i="110"/>
  <c r="BW15" i="110"/>
  <c r="BX15" i="110" s="1"/>
  <c r="BU15" i="110"/>
  <c r="BR15" i="110"/>
  <c r="BW14" i="110"/>
  <c r="BU14" i="110"/>
  <c r="BR14" i="110"/>
  <c r="BW13" i="110"/>
  <c r="BX13" i="110" s="1"/>
  <c r="BU13" i="110"/>
  <c r="BR13" i="110"/>
  <c r="BR10" i="110"/>
  <c r="BW10" i="110"/>
  <c r="BL12" i="110"/>
  <c r="AW12" i="110"/>
  <c r="AZ12" i="110"/>
  <c r="BB12" i="110"/>
  <c r="BD12" i="110"/>
  <c r="BM12" i="110" s="1"/>
  <c r="F14" i="121" s="1"/>
  <c r="BH12" i="110"/>
  <c r="BI12" i="110" s="1"/>
  <c r="AM12" i="110"/>
  <c r="AN12" i="110" s="1"/>
  <c r="AO12" i="110"/>
  <c r="AD12" i="110"/>
  <c r="AA12" i="110" s="1"/>
  <c r="AF12" i="110"/>
  <c r="AH12" i="110" s="1"/>
  <c r="P12" i="110"/>
  <c r="Q12" i="110"/>
  <c r="S12" i="110" s="1"/>
  <c r="T12" i="110"/>
  <c r="U12" i="110"/>
  <c r="X12" i="110" s="1"/>
  <c r="Z12" i="110"/>
  <c r="J12" i="110"/>
  <c r="C12" i="110"/>
  <c r="E12" i="110"/>
  <c r="F12" i="110"/>
  <c r="L12" i="110" s="1"/>
  <c r="D16" i="143" l="1"/>
  <c r="E36" i="143"/>
  <c r="AP12" i="110"/>
  <c r="AS12" i="110" s="1"/>
  <c r="W12" i="110"/>
  <c r="Y12" i="110" s="1"/>
  <c r="BE13" i="110"/>
  <c r="BN13" i="110" s="1"/>
  <c r="AA13" i="110"/>
  <c r="AJ13" i="110" s="1"/>
  <c r="EJ7" i="109"/>
  <c r="J8" i="121"/>
  <c r="J13" i="121"/>
  <c r="EJ11" i="109"/>
  <c r="J18" i="121"/>
  <c r="EJ15" i="109"/>
  <c r="EJ19" i="109"/>
  <c r="J23" i="121"/>
  <c r="J28" i="121"/>
  <c r="EJ23" i="109"/>
  <c r="J33" i="121"/>
  <c r="EJ27" i="109"/>
  <c r="J38" i="121"/>
  <c r="EJ31" i="109"/>
  <c r="EJ35" i="109"/>
  <c r="J43" i="121"/>
  <c r="J48" i="121"/>
  <c r="EJ39" i="109"/>
  <c r="EJ43" i="109"/>
  <c r="J52" i="121"/>
  <c r="EJ47" i="109"/>
  <c r="J57" i="121"/>
  <c r="J62" i="121"/>
  <c r="EJ51" i="109"/>
  <c r="EJ55" i="109"/>
  <c r="J67" i="121"/>
  <c r="EJ8" i="109"/>
  <c r="J9" i="121"/>
  <c r="EJ12" i="109"/>
  <c r="J14" i="121"/>
  <c r="J19" i="121"/>
  <c r="EJ16" i="109"/>
  <c r="EJ20" i="109"/>
  <c r="J24" i="121"/>
  <c r="J29" i="121"/>
  <c r="EJ24" i="109"/>
  <c r="J34" i="121"/>
  <c r="EJ28" i="109"/>
  <c r="EJ32" i="109"/>
  <c r="J39" i="121"/>
  <c r="J44" i="121"/>
  <c r="EJ36" i="109"/>
  <c r="J49" i="121"/>
  <c r="EJ40" i="109"/>
  <c r="EJ44" i="109"/>
  <c r="J54" i="121"/>
  <c r="J59" i="121"/>
  <c r="EJ48" i="109"/>
  <c r="J64" i="121"/>
  <c r="EJ52" i="109"/>
  <c r="EJ56" i="109"/>
  <c r="J68" i="121"/>
  <c r="J11" i="121"/>
  <c r="EJ9" i="109"/>
  <c r="J20" i="121"/>
  <c r="EJ17" i="109"/>
  <c r="EJ25" i="109"/>
  <c r="J30" i="121"/>
  <c r="EJ33" i="109"/>
  <c r="J40" i="121"/>
  <c r="EJ37" i="109"/>
  <c r="J45" i="121"/>
  <c r="J50" i="121"/>
  <c r="EJ41" i="109"/>
  <c r="J55" i="121"/>
  <c r="EJ45" i="109"/>
  <c r="J6" i="121"/>
  <c r="EJ5" i="109"/>
  <c r="J25" i="121"/>
  <c r="EJ21" i="109"/>
  <c r="EJ49" i="109"/>
  <c r="J60" i="121"/>
  <c r="P14" i="121"/>
  <c r="J7" i="121"/>
  <c r="EJ6" i="109"/>
  <c r="J12" i="121"/>
  <c r="EJ10" i="109"/>
  <c r="EJ14" i="109"/>
  <c r="J17" i="121"/>
  <c r="EJ18" i="109"/>
  <c r="J22" i="121"/>
  <c r="J27" i="121"/>
  <c r="EJ22" i="109"/>
  <c r="J32" i="121"/>
  <c r="EJ26" i="109"/>
  <c r="J36" i="121"/>
  <c r="EJ30" i="109"/>
  <c r="EJ34" i="109"/>
  <c r="J41" i="121"/>
  <c r="EJ38" i="109"/>
  <c r="J46" i="121"/>
  <c r="EJ42" i="109"/>
  <c r="J51" i="121"/>
  <c r="J56" i="121"/>
  <c r="EJ46" i="109"/>
  <c r="EJ50" i="109"/>
  <c r="J61" i="121"/>
  <c r="J66" i="121"/>
  <c r="EJ54" i="109"/>
  <c r="EJ13" i="109"/>
  <c r="J16" i="121"/>
  <c r="EJ29" i="109"/>
  <c r="J35" i="121"/>
  <c r="EJ53" i="109"/>
  <c r="J65" i="121"/>
  <c r="AI12" i="110"/>
  <c r="AJ12" i="110"/>
  <c r="AB12" i="110"/>
  <c r="G12" i="110"/>
  <c r="AE12" i="110"/>
  <c r="W13" i="110"/>
  <c r="Y13" i="110" s="1"/>
  <c r="V12" i="110"/>
  <c r="BX14" i="110"/>
  <c r="BM13" i="110"/>
  <c r="BA13" i="110"/>
  <c r="BC13" i="110" s="1"/>
  <c r="AZ13" i="110"/>
  <c r="AR13" i="110"/>
  <c r="AP13" i="110"/>
  <c r="AN13" i="110"/>
  <c r="AI13" i="110"/>
  <c r="K13" i="110"/>
  <c r="M13" i="110" s="1"/>
  <c r="G13" i="110"/>
  <c r="DV11" i="109"/>
  <c r="DV56" i="109"/>
  <c r="DV55" i="109"/>
  <c r="DV54" i="109"/>
  <c r="DV53" i="109"/>
  <c r="DV52" i="109"/>
  <c r="DV51" i="109"/>
  <c r="DV50" i="109"/>
  <c r="DV49" i="109"/>
  <c r="DV48" i="109"/>
  <c r="DV47" i="109"/>
  <c r="DV46" i="109"/>
  <c r="DV45" i="109"/>
  <c r="DV44" i="109"/>
  <c r="DV43" i="109"/>
  <c r="DV42" i="109"/>
  <c r="DV41" i="109"/>
  <c r="DV40" i="109"/>
  <c r="DV39" i="109"/>
  <c r="DV38" i="109"/>
  <c r="DV37" i="109"/>
  <c r="DV36" i="109"/>
  <c r="DV35" i="109"/>
  <c r="DV34" i="109"/>
  <c r="DV33" i="109"/>
  <c r="DV32" i="109"/>
  <c r="DV31" i="109"/>
  <c r="DV30" i="109"/>
  <c r="DV29" i="109"/>
  <c r="DV28" i="109"/>
  <c r="DV27" i="109"/>
  <c r="DV26" i="109"/>
  <c r="DV25" i="109"/>
  <c r="DV24" i="109"/>
  <c r="DV23" i="109"/>
  <c r="DV22" i="109"/>
  <c r="DV21" i="109"/>
  <c r="DV20" i="109"/>
  <c r="DV19" i="109"/>
  <c r="DV18" i="109"/>
  <c r="DV17" i="109"/>
  <c r="DV16" i="109"/>
  <c r="DV15" i="109"/>
  <c r="DV14" i="109"/>
  <c r="DV13" i="109"/>
  <c r="DV12" i="109"/>
  <c r="DV10" i="109"/>
  <c r="DV9" i="109"/>
  <c r="DV8" i="109"/>
  <c r="DV7" i="109"/>
  <c r="DV6" i="109"/>
  <c r="DV5" i="109"/>
  <c r="BR12" i="110"/>
  <c r="BR11" i="110"/>
  <c r="BU10" i="110"/>
  <c r="BX10" i="110"/>
  <c r="BR9" i="110"/>
  <c r="BR8" i="110"/>
  <c r="BR7" i="110"/>
  <c r="BR6" i="110"/>
  <c r="BR5" i="110"/>
  <c r="BE12" i="110"/>
  <c r="BN12" i="110" s="1"/>
  <c r="BO12" i="110" s="1"/>
  <c r="AR12" i="110"/>
  <c r="K12" i="110"/>
  <c r="M12" i="110" s="1"/>
  <c r="BA12" i="110"/>
  <c r="BC12" i="110" s="1"/>
  <c r="G40" i="103"/>
  <c r="F40" i="103"/>
  <c r="E16" i="143" l="1"/>
  <c r="D17" i="143" s="1"/>
  <c r="E17" i="143" s="1"/>
  <c r="D18" i="143" s="1"/>
  <c r="E18" i="143" s="1"/>
  <c r="D19" i="143" s="1"/>
  <c r="E19" i="143" s="1"/>
  <c r="D20" i="143" s="1"/>
  <c r="E20" i="143" s="1"/>
  <c r="D21" i="143" s="1"/>
  <c r="AT12" i="110"/>
  <c r="D37" i="143"/>
  <c r="E37" i="143"/>
  <c r="AQ12" i="110"/>
  <c r="BF13" i="110"/>
  <c r="AB13" i="110"/>
  <c r="AK13" i="110"/>
  <c r="AK12" i="110"/>
  <c r="G50" i="142"/>
  <c r="H50" i="142" s="1"/>
  <c r="DX41" i="109"/>
  <c r="G12" i="142"/>
  <c r="H12" i="142" s="1"/>
  <c r="DX10" i="109"/>
  <c r="G44" i="142"/>
  <c r="H44" i="142" s="1"/>
  <c r="DX36" i="109"/>
  <c r="DX29" i="109"/>
  <c r="G35" i="142"/>
  <c r="H35" i="142" s="1"/>
  <c r="G65" i="142"/>
  <c r="H65" i="142" s="1"/>
  <c r="DX53" i="109"/>
  <c r="G7" i="142"/>
  <c r="DX6" i="109"/>
  <c r="G23" i="142"/>
  <c r="H23" i="142" s="1"/>
  <c r="DX19" i="109"/>
  <c r="G38" i="142"/>
  <c r="DX31" i="109"/>
  <c r="G67" i="142"/>
  <c r="H67" i="142" s="1"/>
  <c r="DX55" i="109"/>
  <c r="G43" i="142"/>
  <c r="DX35" i="109"/>
  <c r="G60" i="142"/>
  <c r="H60" i="142" s="1"/>
  <c r="DX49" i="109"/>
  <c r="G17" i="142"/>
  <c r="H17" i="142" s="1"/>
  <c r="DX14" i="109"/>
  <c r="G32" i="142"/>
  <c r="DX26" i="109"/>
  <c r="G46" i="142"/>
  <c r="H46" i="142" s="1"/>
  <c r="DX38" i="109"/>
  <c r="G61" i="142"/>
  <c r="H61" i="142" s="1"/>
  <c r="DX50" i="109"/>
  <c r="G20" i="142"/>
  <c r="H20" i="142" s="1"/>
  <c r="DX17" i="109"/>
  <c r="DX7" i="109"/>
  <c r="G8" i="142"/>
  <c r="H8" i="142" s="1"/>
  <c r="DX20" i="109"/>
  <c r="G24" i="142"/>
  <c r="H24" i="142" s="1"/>
  <c r="DX32" i="109"/>
  <c r="G39" i="142"/>
  <c r="H39" i="142" s="1"/>
  <c r="DX44" i="109"/>
  <c r="G54" i="142"/>
  <c r="DX56" i="109"/>
  <c r="G68" i="142"/>
  <c r="H68" i="142" s="1"/>
  <c r="DX8" i="109"/>
  <c r="G9" i="142"/>
  <c r="H9" i="142" s="1"/>
  <c r="G25" i="142"/>
  <c r="H25" i="142" s="1"/>
  <c r="DX21" i="109"/>
  <c r="G55" i="142"/>
  <c r="H55" i="142" s="1"/>
  <c r="DX45" i="109"/>
  <c r="G13" i="142"/>
  <c r="H13" i="142" s="1"/>
  <c r="DX11" i="109"/>
  <c r="G28" i="142"/>
  <c r="H28" i="142" s="1"/>
  <c r="DX23" i="109"/>
  <c r="G14" i="142"/>
  <c r="H14" i="142" s="1"/>
  <c r="DX12" i="109"/>
  <c r="G29" i="142"/>
  <c r="H29" i="142" s="1"/>
  <c r="DX24" i="109"/>
  <c r="G59" i="142"/>
  <c r="DX48" i="109"/>
  <c r="G16" i="142"/>
  <c r="DX13" i="109"/>
  <c r="G18" i="142"/>
  <c r="H18" i="142" s="1"/>
  <c r="DX15" i="109"/>
  <c r="G33" i="142"/>
  <c r="H33" i="142" s="1"/>
  <c r="DX27" i="109"/>
  <c r="G48" i="142"/>
  <c r="DX39" i="109"/>
  <c r="G62" i="142"/>
  <c r="H62" i="142" s="1"/>
  <c r="DX51" i="109"/>
  <c r="G6" i="142"/>
  <c r="H6" i="142" s="1"/>
  <c r="DX5" i="109"/>
  <c r="G22" i="142"/>
  <c r="H22" i="142" s="1"/>
  <c r="DX18" i="109"/>
  <c r="G36" i="142"/>
  <c r="H36" i="142" s="1"/>
  <c r="DX30" i="109"/>
  <c r="G51" i="142"/>
  <c r="H51" i="142" s="1"/>
  <c r="DX42" i="109"/>
  <c r="G66" i="142"/>
  <c r="H66" i="142" s="1"/>
  <c r="DX54" i="109"/>
  <c r="DX43" i="109"/>
  <c r="G52" i="142"/>
  <c r="H52" i="142" s="1"/>
  <c r="G40" i="142"/>
  <c r="H40" i="142" s="1"/>
  <c r="DX33" i="109"/>
  <c r="G11" i="142"/>
  <c r="DX9" i="109"/>
  <c r="G27" i="142"/>
  <c r="F32" i="103"/>
  <c r="DX22" i="109"/>
  <c r="G41" i="142"/>
  <c r="H41" i="142" s="1"/>
  <c r="DX34" i="109"/>
  <c r="G56" i="142"/>
  <c r="H56" i="142" s="1"/>
  <c r="DX46" i="109"/>
  <c r="G57" i="142"/>
  <c r="H57" i="142" s="1"/>
  <c r="DX47" i="109"/>
  <c r="G30" i="142"/>
  <c r="H30" i="142" s="1"/>
  <c r="DX25" i="109"/>
  <c r="G45" i="142"/>
  <c r="H45" i="142" s="1"/>
  <c r="DX37" i="109"/>
  <c r="G19" i="142"/>
  <c r="H19" i="142" s="1"/>
  <c r="DX16" i="109"/>
  <c r="G34" i="142"/>
  <c r="H34" i="142" s="1"/>
  <c r="DX28" i="109"/>
  <c r="G49" i="142"/>
  <c r="H49" i="142" s="1"/>
  <c r="DX40" i="109"/>
  <c r="G64" i="142"/>
  <c r="DX52" i="109"/>
  <c r="BO13" i="110"/>
  <c r="F16" i="121"/>
  <c r="AS13" i="110"/>
  <c r="AT13" i="110" s="1"/>
  <c r="AQ13" i="110"/>
  <c r="BW12" i="110"/>
  <c r="BX12" i="110" s="1"/>
  <c r="BU12" i="110"/>
  <c r="BW11" i="110"/>
  <c r="BX11" i="110" s="1"/>
  <c r="BU11" i="110"/>
  <c r="BW9" i="110"/>
  <c r="BX9" i="110" s="1"/>
  <c r="BU9" i="110"/>
  <c r="BW8" i="110"/>
  <c r="BX8" i="110" s="1"/>
  <c r="BU8" i="110"/>
  <c r="BW7" i="110"/>
  <c r="BX7" i="110" s="1"/>
  <c r="BU7" i="110"/>
  <c r="BW6" i="110"/>
  <c r="BX6" i="110" s="1"/>
  <c r="BU6" i="110"/>
  <c r="BW5" i="110"/>
  <c r="BX5" i="110" s="1"/>
  <c r="BU5" i="110"/>
  <c r="BF12" i="110"/>
  <c r="T11" i="110"/>
  <c r="E21" i="143" l="1"/>
  <c r="D22" i="143" s="1"/>
  <c r="E22" i="143" s="1"/>
  <c r="D23" i="143" s="1"/>
  <c r="E23" i="143" s="1"/>
  <c r="D24" i="143" s="1"/>
  <c r="E24" i="143" s="1"/>
  <c r="D25" i="143" s="1"/>
  <c r="E25" i="143" s="1"/>
  <c r="D26" i="143" s="1"/>
  <c r="E26" i="143" s="1"/>
  <c r="D27" i="143" s="1"/>
  <c r="E27" i="143" s="1"/>
  <c r="D28" i="143" s="1"/>
  <c r="E28" i="143" s="1"/>
  <c r="D29" i="143" s="1"/>
  <c r="E29" i="143" s="1"/>
  <c r="D30" i="143" s="1"/>
  <c r="E30" i="143" s="1"/>
  <c r="D31" i="143" s="1"/>
  <c r="E31" i="143" s="1"/>
  <c r="D32" i="143" s="1"/>
  <c r="E32" i="143" s="1"/>
  <c r="D33" i="143" s="1"/>
  <c r="D38" i="143"/>
  <c r="G15" i="142"/>
  <c r="H15" i="142" s="1"/>
  <c r="H11" i="142"/>
  <c r="G10" i="142"/>
  <c r="H10" i="142" s="1"/>
  <c r="H7" i="142"/>
  <c r="G47" i="142"/>
  <c r="H47" i="142" s="1"/>
  <c r="H43" i="142"/>
  <c r="H38" i="142"/>
  <c r="G42" i="142"/>
  <c r="H42" i="142" s="1"/>
  <c r="G21" i="142"/>
  <c r="H21" i="142" s="1"/>
  <c r="H16" i="142"/>
  <c r="G63" i="142"/>
  <c r="H63" i="142" s="1"/>
  <c r="H59" i="142"/>
  <c r="G69" i="142"/>
  <c r="H69" i="142" s="1"/>
  <c r="H64" i="142"/>
  <c r="G58" i="142"/>
  <c r="H58" i="142" s="1"/>
  <c r="H54" i="142"/>
  <c r="H32" i="103"/>
  <c r="F33" i="103"/>
  <c r="H48" i="142"/>
  <c r="G53" i="142"/>
  <c r="H53" i="142" s="1"/>
  <c r="G31" i="142"/>
  <c r="H31" i="142" s="1"/>
  <c r="H27" i="142"/>
  <c r="G37" i="142"/>
  <c r="H37" i="142" s="1"/>
  <c r="H32" i="142"/>
  <c r="Q11" i="110"/>
  <c r="U11" i="110"/>
  <c r="R11" i="110"/>
  <c r="AG11" i="110"/>
  <c r="BH11" i="110"/>
  <c r="BE11" i="110" s="1"/>
  <c r="AD11" i="110"/>
  <c r="AA11" i="110" s="1"/>
  <c r="F11" i="110"/>
  <c r="AM11" i="110"/>
  <c r="AP11" i="110" s="1"/>
  <c r="AO11" i="110"/>
  <c r="E11" i="110"/>
  <c r="E33" i="143" l="1"/>
  <c r="D34" i="143" s="1"/>
  <c r="E34" i="143" s="1"/>
  <c r="D35" i="143" s="1"/>
  <c r="E35" i="143" s="1"/>
  <c r="D36" i="143" s="1"/>
  <c r="N10" i="143" a="1"/>
  <c r="N153" i="143" a="1"/>
  <c r="N17" i="143" a="1"/>
  <c r="E38" i="143"/>
  <c r="D39" i="143" s="1"/>
  <c r="E39" i="143" s="1"/>
  <c r="D40" i="143" s="1"/>
  <c r="E40" i="143" s="1"/>
  <c r="D41" i="143" s="1"/>
  <c r="E41" i="143" s="1"/>
  <c r="D42" i="143" s="1"/>
  <c r="E42" i="143" s="1"/>
  <c r="D43" i="143" s="1"/>
  <c r="E43" i="143" s="1"/>
  <c r="D44" i="143" s="1"/>
  <c r="E44" i="143" s="1"/>
  <c r="D45" i="143" s="1"/>
  <c r="E45" i="143" s="1"/>
  <c r="D46" i="143" s="1"/>
  <c r="E46" i="143" s="1"/>
  <c r="D47" i="143" s="1"/>
  <c r="E47" i="143" s="1"/>
  <c r="D48" i="143" s="1"/>
  <c r="E48" i="143" s="1"/>
  <c r="D49" i="143" s="1"/>
  <c r="E49" i="143" s="1"/>
  <c r="D50" i="143" s="1"/>
  <c r="E50" i="143" s="1"/>
  <c r="D51" i="143" s="1"/>
  <c r="E51" i="143" s="1"/>
  <c r="D52" i="143" s="1"/>
  <c r="E52" i="143" s="1"/>
  <c r="D53" i="143" s="1"/>
  <c r="E53" i="143" s="1"/>
  <c r="D54" i="143" s="1"/>
  <c r="E54" i="143" s="1"/>
  <c r="D55" i="143" s="1"/>
  <c r="E55" i="143" s="1"/>
  <c r="D56" i="143" s="1"/>
  <c r="E56" i="143" s="1"/>
  <c r="D57" i="143" s="1"/>
  <c r="E57" i="143" s="1"/>
  <c r="S11" i="110"/>
  <c r="BD11" i="110"/>
  <c r="P13" i="121" s="1"/>
  <c r="AF11" i="110"/>
  <c r="Z11" i="110"/>
  <c r="N110" i="143" l="1" a="1"/>
  <c r="N155" i="143" a="1"/>
  <c r="N181" i="143" a="1"/>
  <c r="N98" i="143" a="1"/>
  <c r="N118" i="143" a="1"/>
  <c r="N30" i="143" a="1"/>
  <c r="N129" i="143" a="1"/>
  <c r="N29" i="143" a="1"/>
  <c r="N69" i="143" a="1"/>
  <c r="N37" i="143" a="1"/>
  <c r="N170" i="143" a="1"/>
  <c r="N161" i="143" a="1"/>
  <c r="N6" i="143" a="1"/>
  <c r="N92" i="143" a="1"/>
  <c r="N122" i="143" a="1"/>
  <c r="N242" i="143" a="1"/>
  <c r="N156" i="143" a="1"/>
  <c r="N230" i="143" a="1"/>
  <c r="N162" i="143" a="1"/>
  <c r="N91" i="143" a="1"/>
  <c r="N21" i="143" a="1"/>
  <c r="N111" i="143" a="1"/>
  <c r="N112" i="143" a="1"/>
  <c r="N216" i="143" a="1"/>
  <c r="N123" i="143" a="1"/>
  <c r="N136" i="143" a="1"/>
  <c r="N75" i="143" a="1"/>
  <c r="N119" i="143" a="1"/>
  <c r="N54" i="143" a="1"/>
  <c r="N89" i="143" a="1"/>
  <c r="N103" i="143" a="1"/>
  <c r="N35" i="143" a="1"/>
  <c r="N133" i="143" a="1"/>
  <c r="N144" i="143" a="1"/>
  <c r="N141" i="143" a="1"/>
  <c r="N14" i="143" a="1"/>
  <c r="N32" i="143" a="1"/>
  <c r="N61" i="143" a="1"/>
  <c r="N107" i="143" a="1"/>
  <c r="N174" i="143" a="1"/>
  <c r="N135" i="143" a="1"/>
  <c r="N97" i="143" a="1"/>
  <c r="N11" i="143" a="1"/>
  <c r="N147" i="143" a="1"/>
  <c r="N192" i="143" a="1"/>
  <c r="N211" i="143" a="1"/>
  <c r="N195" i="143" a="1"/>
  <c r="N117" i="143" a="1"/>
  <c r="N114" i="143" a="1"/>
  <c r="N154" i="143" a="1"/>
  <c r="N173" i="143" a="1"/>
  <c r="N205" i="143" a="1"/>
  <c r="N225" i="143" a="1"/>
  <c r="N177" i="143" a="1"/>
  <c r="N189" i="143" a="1"/>
  <c r="N179" i="143" a="1"/>
  <c r="N203" i="143" a="1"/>
  <c r="N227" i="143" a="1"/>
  <c r="N240" i="143" a="1"/>
  <c r="N199" i="143" a="1"/>
  <c r="N137" i="143" a="1"/>
  <c r="N218" i="143" a="1"/>
  <c r="N7" i="143" a="1"/>
  <c r="N76" i="143" a="1"/>
  <c r="N187" i="143" a="1"/>
  <c r="N237" i="143" a="1"/>
  <c r="N38" i="143" a="1"/>
  <c r="N113" i="143" a="1"/>
  <c r="N73" i="143" a="1"/>
  <c r="N8" i="143" a="1"/>
  <c r="N167" i="143" a="1"/>
  <c r="N241" i="143" a="1"/>
  <c r="N60" i="143" a="1"/>
  <c r="N165" i="143" a="1"/>
  <c r="N100" i="143" a="1"/>
  <c r="N126" i="143" a="1"/>
  <c r="N226" i="143" a="1"/>
  <c r="N142" i="143" a="1"/>
  <c r="N74" i="143" a="1"/>
  <c r="N62" i="143" a="1"/>
  <c r="N105" i="143" a="1"/>
  <c r="N160" i="143" a="1"/>
  <c r="N197" i="143" a="1"/>
  <c r="N99" i="143" a="1"/>
  <c r="N23" i="143" a="1"/>
  <c r="N84" i="143" a="1"/>
  <c r="N81" i="143" a="1"/>
  <c r="N132" i="143" a="1"/>
  <c r="N12" i="143" a="1"/>
  <c r="N25" i="143" a="1"/>
  <c r="N39" i="143" a="1"/>
  <c r="N27" i="143" a="1"/>
  <c r="N124" i="143" a="1"/>
  <c r="N93" i="143" a="1"/>
  <c r="N42" i="143" a="1"/>
  <c r="N36" i="143" a="1"/>
  <c r="N72" i="143" a="1"/>
  <c r="N94" i="143" a="1"/>
  <c r="N219" i="143" a="1"/>
  <c r="N208" i="143" a="1"/>
  <c r="N46" i="143" a="1"/>
  <c r="N238" i="143" a="1"/>
  <c r="N80" i="143" a="1"/>
  <c r="N15" i="143" a="1"/>
  <c r="N26" i="143" a="1"/>
  <c r="N88" i="143" a="1"/>
  <c r="N143" i="143" a="1"/>
  <c r="N53" i="143" a="1"/>
  <c r="N59" i="143" a="1"/>
  <c r="N215" i="143" a="1"/>
  <c r="N213" i="143" a="1"/>
  <c r="N172" i="143" a="1"/>
  <c r="N214" i="143" a="1"/>
  <c r="N163" i="143" a="1"/>
  <c r="N228" i="143" a="1"/>
  <c r="N176" i="143" a="1"/>
  <c r="N169" i="143" a="1"/>
  <c r="N239" i="143" a="1"/>
  <c r="N243" i="143" a="1"/>
  <c r="N220" i="143" a="1"/>
  <c r="N145" i="143" a="1"/>
  <c r="N166" i="143" a="1"/>
  <c r="N149" i="143" a="1"/>
  <c r="N86" i="143" a="1"/>
  <c r="N125" i="143" a="1"/>
  <c r="N109" i="143" a="1"/>
  <c r="N31" i="143" a="1"/>
  <c r="N85" i="143" a="1"/>
  <c r="N70" i="143" a="1"/>
  <c r="N67" i="143" a="1"/>
  <c r="N182" i="143" a="1"/>
  <c r="N116" i="143" a="1"/>
  <c r="N101" i="143" a="1"/>
  <c r="N158" i="143" a="1"/>
  <c r="N221" i="143" a="1"/>
  <c r="N209" i="143" a="1"/>
  <c r="N186" i="143" a="1"/>
  <c r="N217" i="143" a="1"/>
  <c r="N202" i="143" a="1"/>
  <c r="N168" i="143" a="1"/>
  <c r="N164" i="143" a="1"/>
  <c r="N196" i="143" a="1"/>
  <c r="N204" i="143" a="1"/>
  <c r="N201" i="143" a="1"/>
  <c r="N47" i="143" a="1"/>
  <c r="N68" i="143" a="1"/>
  <c r="N50" i="143" a="1"/>
  <c r="N193" i="143" a="1"/>
  <c r="N223" i="143" a="1"/>
  <c r="N180" i="143" a="1"/>
  <c r="N206" i="143" a="1"/>
  <c r="N78" i="143" a="1"/>
  <c r="N79" i="143" a="1"/>
  <c r="N185" i="143" a="1"/>
  <c r="N184" i="143" a="1"/>
  <c r="N82" i="143" a="1"/>
  <c r="N9" i="143" a="1"/>
  <c r="N65" i="143" a="1"/>
  <c r="N108" i="143" a="1"/>
  <c r="N66" i="143" a="1"/>
  <c r="N115" i="143" a="1"/>
  <c r="N159" i="143" a="1"/>
  <c r="N224" i="143" a="1"/>
  <c r="N19" i="143" a="1"/>
  <c r="N58" i="143" a="1"/>
  <c r="N41" i="143" a="1"/>
  <c r="N104" i="143" a="1"/>
  <c r="N178" i="143" a="1"/>
  <c r="N207" i="143" a="1"/>
  <c r="N171" i="143" a="1"/>
  <c r="N222" i="143" a="1"/>
  <c r="N57" i="143" a="1"/>
  <c r="N34" i="143" a="1"/>
  <c r="N96" i="143" a="1"/>
  <c r="N157" i="143" a="1"/>
  <c r="N210" i="143" a="1"/>
  <c r="N234" i="143" a="1"/>
  <c r="N233" i="143" a="1"/>
  <c r="N236" i="143" a="1"/>
  <c r="N235" i="143" a="1"/>
  <c r="N138" i="143" a="1"/>
  <c r="N45" i="143" a="1"/>
  <c r="N131" i="143" a="1"/>
  <c r="N64" i="143" a="1"/>
  <c r="N33" i="143" a="1"/>
  <c r="N102" i="143" a="1"/>
  <c r="N55" i="143" a="1"/>
  <c r="N63" i="143" a="1"/>
  <c r="N175" i="143" a="1"/>
  <c r="N191" i="143" a="1"/>
  <c r="N48" i="143" a="1"/>
  <c r="N134" i="143" a="1"/>
  <c r="N194" i="143" a="1"/>
  <c r="N40" i="143" a="1"/>
  <c r="N18" i="143" a="1"/>
  <c r="N90" i="143" a="1"/>
  <c r="N150" i="143" a="1"/>
  <c r="N212" i="143" a="1"/>
  <c r="N95" i="143" a="1"/>
  <c r="N43" i="143" a="1"/>
  <c r="N128" i="143" a="1"/>
  <c r="N146" i="143" a="1"/>
  <c r="N232" i="143" a="1"/>
  <c r="N83" i="143" a="1"/>
  <c r="N231" i="143" a="1"/>
  <c r="N188" i="143" a="1"/>
  <c r="N106" i="143" a="1"/>
  <c r="N22" i="143" a="1"/>
  <c r="N28" i="143" a="1"/>
  <c r="N24" i="143" a="1"/>
  <c r="N148" i="143" a="1"/>
  <c r="N229" i="143" a="1"/>
  <c r="N127" i="143" a="1"/>
  <c r="N140" i="143" a="1"/>
  <c r="N71" i="143" a="1"/>
  <c r="N77" i="143" a="1"/>
  <c r="N87" i="143" a="1"/>
  <c r="N56" i="143" a="1"/>
  <c r="N16" i="143" a="1"/>
  <c r="N121" i="143" a="1"/>
  <c r="N139" i="143" a="1"/>
  <c r="N52" i="143" a="1"/>
  <c r="N183" i="143" a="1"/>
  <c r="N51" i="143" a="1"/>
  <c r="N49" i="143" a="1"/>
  <c r="N44" i="143" a="1"/>
  <c r="N151" i="143" a="1"/>
  <c r="N13" i="143" a="1"/>
  <c r="N130" i="143" a="1"/>
  <c r="N120" i="143" a="1"/>
  <c r="N190" i="143" a="1"/>
  <c r="N20" i="143" a="1"/>
  <c r="N152" i="143" a="1"/>
  <c r="N198" i="143" a="1"/>
  <c r="N200" i="143" a="1"/>
  <c r="P22" i="120"/>
  <c r="L22" i="120"/>
  <c r="P16" i="120"/>
  <c r="L16" i="120"/>
  <c r="H16" i="120"/>
  <c r="P10" i="120"/>
  <c r="L10" i="120"/>
  <c r="H22" i="120"/>
  <c r="H10" i="120"/>
  <c r="AG10" i="110" l="1"/>
  <c r="U10" i="110"/>
  <c r="R10" i="110"/>
  <c r="F10" i="110"/>
  <c r="AD10" i="110"/>
  <c r="BH10" i="110"/>
  <c r="BE10" i="110" s="1"/>
  <c r="AM10" i="110"/>
  <c r="AP10" i="110" s="1"/>
  <c r="T10" i="110"/>
  <c r="Q10" i="110"/>
  <c r="E10" i="110"/>
  <c r="AO9" i="110"/>
  <c r="BD10" i="110"/>
  <c r="AF10" i="110"/>
  <c r="AH10" i="110" s="1"/>
  <c r="Z10" i="110"/>
  <c r="DA12" i="109"/>
  <c r="DA11" i="109"/>
  <c r="DA10" i="109"/>
  <c r="DA9" i="109"/>
  <c r="DA8" i="109"/>
  <c r="DA7" i="109"/>
  <c r="DA6" i="109"/>
  <c r="DA5" i="109"/>
  <c r="P6" i="117"/>
  <c r="BL56" i="110"/>
  <c r="BL55" i="110"/>
  <c r="BL54" i="110"/>
  <c r="BL53" i="110"/>
  <c r="BL52" i="110"/>
  <c r="BL51" i="110"/>
  <c r="BL50" i="110"/>
  <c r="BL49" i="110"/>
  <c r="BL48" i="110"/>
  <c r="BL47" i="110"/>
  <c r="BL46" i="110"/>
  <c r="BL45" i="110"/>
  <c r="BL44" i="110"/>
  <c r="BL43" i="110"/>
  <c r="BL42" i="110"/>
  <c r="BL41" i="110"/>
  <c r="BL40" i="110"/>
  <c r="BL39" i="110"/>
  <c r="BL37" i="110"/>
  <c r="BL36" i="110"/>
  <c r="BL35" i="110"/>
  <c r="BL34" i="110"/>
  <c r="BL33" i="110"/>
  <c r="BL32" i="110"/>
  <c r="BL31" i="110"/>
  <c r="BL30" i="110"/>
  <c r="BL29" i="110"/>
  <c r="BL28" i="110"/>
  <c r="BL27" i="110"/>
  <c r="BL26" i="110"/>
  <c r="BL25" i="110"/>
  <c r="BL24" i="110"/>
  <c r="BL23" i="110"/>
  <c r="BL22" i="110"/>
  <c r="BL21" i="110"/>
  <c r="BL20" i="110"/>
  <c r="BL19" i="110"/>
  <c r="BL18" i="110"/>
  <c r="BL17" i="110"/>
  <c r="BL16" i="110"/>
  <c r="BL15" i="110"/>
  <c r="BL14" i="110"/>
  <c r="BL11" i="110"/>
  <c r="BL10" i="110"/>
  <c r="BL9" i="110"/>
  <c r="BL8" i="110"/>
  <c r="BL7" i="110"/>
  <c r="BL6" i="110"/>
  <c r="BL5" i="110"/>
  <c r="BI56" i="110"/>
  <c r="BI55" i="110"/>
  <c r="BI54" i="110"/>
  <c r="BI53" i="110"/>
  <c r="BI52" i="110"/>
  <c r="BI51" i="110"/>
  <c r="BI50" i="110"/>
  <c r="BI49" i="110"/>
  <c r="BI48" i="110"/>
  <c r="BI47" i="110"/>
  <c r="BI46" i="110"/>
  <c r="BI45" i="110"/>
  <c r="BI44" i="110"/>
  <c r="BI43" i="110"/>
  <c r="BI42" i="110"/>
  <c r="BI41" i="110"/>
  <c r="BI40" i="110"/>
  <c r="BI39" i="110"/>
  <c r="BI35" i="110"/>
  <c r="BI34" i="110"/>
  <c r="BI32" i="110"/>
  <c r="BI31" i="110"/>
  <c r="BI30" i="110"/>
  <c r="BI29" i="110"/>
  <c r="BI28" i="110"/>
  <c r="BI27" i="110"/>
  <c r="BI26" i="110"/>
  <c r="BI25" i="110"/>
  <c r="BI24" i="110"/>
  <c r="BI23" i="110"/>
  <c r="BI22" i="110"/>
  <c r="BI21" i="110"/>
  <c r="BI20" i="110"/>
  <c r="BI19" i="110"/>
  <c r="BI18" i="110"/>
  <c r="BI17" i="110"/>
  <c r="BI16" i="110"/>
  <c r="BI15" i="110"/>
  <c r="BI14" i="110"/>
  <c r="BI11" i="110"/>
  <c r="BF56" i="110"/>
  <c r="BF55" i="110"/>
  <c r="BF54" i="110"/>
  <c r="BF53" i="110"/>
  <c r="BF52" i="110"/>
  <c r="BF51" i="110"/>
  <c r="BF50" i="110"/>
  <c r="BF49" i="110"/>
  <c r="BF48" i="110"/>
  <c r="BF47" i="110"/>
  <c r="BF46" i="110"/>
  <c r="BF45" i="110"/>
  <c r="BF44" i="110"/>
  <c r="BF43" i="110"/>
  <c r="BF42" i="110"/>
  <c r="BF41" i="110"/>
  <c r="BF40" i="110"/>
  <c r="BF39" i="110"/>
  <c r="BF35" i="110"/>
  <c r="BF34" i="110"/>
  <c r="BF33" i="110"/>
  <c r="BF32" i="110"/>
  <c r="BF31" i="110"/>
  <c r="BF30" i="110"/>
  <c r="BF29" i="110"/>
  <c r="BF28" i="110"/>
  <c r="BF27" i="110"/>
  <c r="BF26" i="110"/>
  <c r="BF25" i="110"/>
  <c r="BF23" i="110"/>
  <c r="BF22" i="110"/>
  <c r="BF21" i="110"/>
  <c r="BF20" i="110"/>
  <c r="BF19" i="110"/>
  <c r="BF18" i="110"/>
  <c r="BF17" i="110"/>
  <c r="BF16" i="110"/>
  <c r="BF15" i="110"/>
  <c r="BF14" i="110"/>
  <c r="BF11" i="110"/>
  <c r="AZ56" i="110"/>
  <c r="AZ55" i="110"/>
  <c r="AZ54" i="110"/>
  <c r="AZ53" i="110"/>
  <c r="AZ52" i="110"/>
  <c r="AZ51" i="110"/>
  <c r="AZ50" i="110"/>
  <c r="AZ49" i="110"/>
  <c r="AZ48" i="110"/>
  <c r="AZ47" i="110"/>
  <c r="AZ46" i="110"/>
  <c r="AZ45" i="110"/>
  <c r="AZ44" i="110"/>
  <c r="AZ43" i="110"/>
  <c r="AZ42" i="110"/>
  <c r="AZ41" i="110"/>
  <c r="AZ40" i="110"/>
  <c r="AZ39" i="110"/>
  <c r="AZ35" i="110"/>
  <c r="AZ33" i="110"/>
  <c r="AZ32" i="110"/>
  <c r="AZ30" i="110"/>
  <c r="AZ29" i="110"/>
  <c r="AZ28" i="110"/>
  <c r="AZ27" i="110"/>
  <c r="AZ26" i="110"/>
  <c r="AZ25" i="110"/>
  <c r="AZ24" i="110"/>
  <c r="AZ23" i="110"/>
  <c r="AZ22" i="110"/>
  <c r="AZ21" i="110"/>
  <c r="AZ20" i="110"/>
  <c r="AZ19" i="110"/>
  <c r="AZ18" i="110"/>
  <c r="AZ17" i="110"/>
  <c r="AZ16" i="110"/>
  <c r="AZ15" i="110"/>
  <c r="AZ14" i="110"/>
  <c r="AZ11" i="110"/>
  <c r="AZ10" i="110"/>
  <c r="AZ9" i="110"/>
  <c r="AZ8" i="110"/>
  <c r="AZ7" i="110"/>
  <c r="AZ6" i="110"/>
  <c r="AZ5" i="110"/>
  <c r="AQ56" i="110"/>
  <c r="AQ55" i="110"/>
  <c r="AQ54" i="110"/>
  <c r="AQ53" i="110"/>
  <c r="AQ52" i="110"/>
  <c r="AQ51" i="110"/>
  <c r="AQ50" i="110"/>
  <c r="AQ49" i="110"/>
  <c r="AQ48" i="110"/>
  <c r="AQ47" i="110"/>
  <c r="AQ46" i="110"/>
  <c r="AQ45" i="110"/>
  <c r="AQ44" i="110"/>
  <c r="AQ43" i="110"/>
  <c r="AQ42" i="110"/>
  <c r="AQ41" i="110"/>
  <c r="AQ40" i="110"/>
  <c r="AQ39" i="110"/>
  <c r="AQ35" i="110"/>
  <c r="AQ34" i="110"/>
  <c r="AQ33" i="110"/>
  <c r="AQ32" i="110"/>
  <c r="AQ31" i="110"/>
  <c r="AQ30" i="110"/>
  <c r="AQ29" i="110"/>
  <c r="AQ28" i="110"/>
  <c r="AQ27" i="110"/>
  <c r="AQ26" i="110"/>
  <c r="AQ25" i="110"/>
  <c r="AQ24" i="110"/>
  <c r="AQ23" i="110"/>
  <c r="AQ22" i="110"/>
  <c r="AQ21" i="110"/>
  <c r="AQ20" i="110"/>
  <c r="AQ19" i="110"/>
  <c r="AQ18" i="110"/>
  <c r="AQ17" i="110"/>
  <c r="AQ16" i="110"/>
  <c r="AQ15" i="110"/>
  <c r="AQ14" i="110"/>
  <c r="AQ11" i="110"/>
  <c r="AN56" i="110"/>
  <c r="AN55" i="110"/>
  <c r="AN54" i="110"/>
  <c r="AN53" i="110"/>
  <c r="AN52" i="110"/>
  <c r="AN51" i="110"/>
  <c r="AN50" i="110"/>
  <c r="AN49" i="110"/>
  <c r="AN48" i="110"/>
  <c r="AN47" i="110"/>
  <c r="AN46" i="110"/>
  <c r="AN45" i="110"/>
  <c r="AN44" i="110"/>
  <c r="AN43" i="110"/>
  <c r="AN42" i="110"/>
  <c r="AN41" i="110"/>
  <c r="AN40" i="110"/>
  <c r="AN39" i="110"/>
  <c r="AN35" i="110"/>
  <c r="AN34" i="110"/>
  <c r="AN33" i="110"/>
  <c r="AN32" i="110"/>
  <c r="AN31" i="110"/>
  <c r="AN30" i="110"/>
  <c r="AN29" i="110"/>
  <c r="AN28" i="110"/>
  <c r="AN27" i="110"/>
  <c r="AN26" i="110"/>
  <c r="AN25" i="110"/>
  <c r="AN24" i="110"/>
  <c r="AN23" i="110"/>
  <c r="AN22" i="110"/>
  <c r="AN21" i="110"/>
  <c r="AN20" i="110"/>
  <c r="AN19" i="110"/>
  <c r="AN18" i="110"/>
  <c r="AN17" i="110"/>
  <c r="AN16" i="110"/>
  <c r="AN15" i="110"/>
  <c r="AN14" i="110"/>
  <c r="AN11" i="110"/>
  <c r="AH56" i="110"/>
  <c r="AH55" i="110"/>
  <c r="AH54" i="110"/>
  <c r="AH53" i="110"/>
  <c r="AH52" i="110"/>
  <c r="AH51" i="110"/>
  <c r="AH50" i="110"/>
  <c r="AH49" i="110"/>
  <c r="AH48" i="110"/>
  <c r="AH47" i="110"/>
  <c r="AH46" i="110"/>
  <c r="AH45" i="110"/>
  <c r="AH44" i="110"/>
  <c r="AH43" i="110"/>
  <c r="AH42" i="110"/>
  <c r="AH41" i="110"/>
  <c r="AH40" i="110"/>
  <c r="AH39" i="110"/>
  <c r="AH35" i="110"/>
  <c r="AH34" i="110"/>
  <c r="AH33" i="110"/>
  <c r="AH32" i="110"/>
  <c r="AH31" i="110"/>
  <c r="AH30" i="110"/>
  <c r="AH29" i="110"/>
  <c r="AH28" i="110"/>
  <c r="AH27" i="110"/>
  <c r="AH26" i="110"/>
  <c r="AH25" i="110"/>
  <c r="AH24" i="110"/>
  <c r="AH23" i="110"/>
  <c r="AH22" i="110"/>
  <c r="AH21" i="110"/>
  <c r="AH20" i="110"/>
  <c r="AH19" i="110"/>
  <c r="AH18" i="110"/>
  <c r="AH17" i="110"/>
  <c r="AH16" i="110"/>
  <c r="AH15" i="110"/>
  <c r="AH14" i="110"/>
  <c r="AH11" i="110"/>
  <c r="AE56" i="110"/>
  <c r="AE55" i="110"/>
  <c r="AE54" i="110"/>
  <c r="AE53" i="110"/>
  <c r="AE52" i="110"/>
  <c r="AE51" i="110"/>
  <c r="AE50" i="110"/>
  <c r="AE49" i="110"/>
  <c r="AE48" i="110"/>
  <c r="AE47" i="110"/>
  <c r="AE46" i="110"/>
  <c r="AE45" i="110"/>
  <c r="AE44" i="110"/>
  <c r="AE43" i="110"/>
  <c r="AE42" i="110"/>
  <c r="AE41" i="110"/>
  <c r="AE40" i="110"/>
  <c r="AE39" i="110"/>
  <c r="AE35" i="110"/>
  <c r="AE34" i="110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E18" i="110"/>
  <c r="AE17" i="110"/>
  <c r="AE16" i="110"/>
  <c r="AE15" i="110"/>
  <c r="AE14" i="110"/>
  <c r="AE11" i="110"/>
  <c r="AB56" i="110"/>
  <c r="AB55" i="110"/>
  <c r="AB54" i="110"/>
  <c r="AB53" i="110"/>
  <c r="AB52" i="110"/>
  <c r="AB51" i="110"/>
  <c r="AB50" i="110"/>
  <c r="AB49" i="110"/>
  <c r="AB48" i="110"/>
  <c r="AB47" i="110"/>
  <c r="AB46" i="110"/>
  <c r="AB45" i="110"/>
  <c r="AB44" i="110"/>
  <c r="AB43" i="110"/>
  <c r="AB42" i="110"/>
  <c r="AB41" i="110"/>
  <c r="AB40" i="110"/>
  <c r="AB39" i="110"/>
  <c r="AB35" i="110"/>
  <c r="AB34" i="110"/>
  <c r="AB33" i="110"/>
  <c r="AB32" i="110"/>
  <c r="AB31" i="110"/>
  <c r="AB30" i="110"/>
  <c r="AB29" i="110"/>
  <c r="AB28" i="110"/>
  <c r="AB27" i="110"/>
  <c r="AB26" i="110"/>
  <c r="AB25" i="110"/>
  <c r="AB24" i="110"/>
  <c r="AB23" i="110"/>
  <c r="AB22" i="110"/>
  <c r="AB21" i="110"/>
  <c r="AB20" i="110"/>
  <c r="AB19" i="110"/>
  <c r="AB18" i="110"/>
  <c r="AB17" i="110"/>
  <c r="AB16" i="110"/>
  <c r="AB15" i="110"/>
  <c r="AB14" i="110"/>
  <c r="AB11" i="110"/>
  <c r="V56" i="110"/>
  <c r="V55" i="110"/>
  <c r="V54" i="110"/>
  <c r="V53" i="110"/>
  <c r="V52" i="110"/>
  <c r="V51" i="110"/>
  <c r="V50" i="110"/>
  <c r="V49" i="110"/>
  <c r="V48" i="110"/>
  <c r="V47" i="110"/>
  <c r="V46" i="110"/>
  <c r="V45" i="110"/>
  <c r="V44" i="110"/>
  <c r="V43" i="110"/>
  <c r="V42" i="110"/>
  <c r="V41" i="110"/>
  <c r="V40" i="110"/>
  <c r="V39" i="110"/>
  <c r="V35" i="110"/>
  <c r="V34" i="110"/>
  <c r="V33" i="110"/>
  <c r="V32" i="110"/>
  <c r="V31" i="110"/>
  <c r="V30" i="110"/>
  <c r="V29" i="110"/>
  <c r="V28" i="110"/>
  <c r="V27" i="110"/>
  <c r="V26" i="110"/>
  <c r="V25" i="110"/>
  <c r="V24" i="110"/>
  <c r="V23" i="110"/>
  <c r="V22" i="110"/>
  <c r="V21" i="110"/>
  <c r="V20" i="110"/>
  <c r="V19" i="110"/>
  <c r="V18" i="110"/>
  <c r="V17" i="110"/>
  <c r="V16" i="110"/>
  <c r="V15" i="110"/>
  <c r="V14" i="110"/>
  <c r="V11" i="110"/>
  <c r="S56" i="110"/>
  <c r="S55" i="110"/>
  <c r="S54" i="110"/>
  <c r="S53" i="110"/>
  <c r="S52" i="110"/>
  <c r="S51" i="110"/>
  <c r="S50" i="110"/>
  <c r="S49" i="110"/>
  <c r="S48" i="110"/>
  <c r="S47" i="110"/>
  <c r="S46" i="110"/>
  <c r="S45" i="110"/>
  <c r="S44" i="110"/>
  <c r="S43" i="110"/>
  <c r="S42" i="110"/>
  <c r="S41" i="110"/>
  <c r="S40" i="110"/>
  <c r="S39" i="110"/>
  <c r="S33" i="110"/>
  <c r="S32" i="110"/>
  <c r="S31" i="110"/>
  <c r="S30" i="110"/>
  <c r="S29" i="110"/>
  <c r="S28" i="110"/>
  <c r="S27" i="110"/>
  <c r="S26" i="110"/>
  <c r="S25" i="110"/>
  <c r="S24" i="110"/>
  <c r="S23" i="110"/>
  <c r="S22" i="110"/>
  <c r="S21" i="110"/>
  <c r="S20" i="110"/>
  <c r="S19" i="110"/>
  <c r="S18" i="110"/>
  <c r="S17" i="110"/>
  <c r="S16" i="110"/>
  <c r="S15" i="110"/>
  <c r="S14" i="110"/>
  <c r="P56" i="110"/>
  <c r="P55" i="110"/>
  <c r="P54" i="110"/>
  <c r="P53" i="110"/>
  <c r="P52" i="110"/>
  <c r="P51" i="110"/>
  <c r="P50" i="110"/>
  <c r="P49" i="110"/>
  <c r="P48" i="110"/>
  <c r="P47" i="110"/>
  <c r="P46" i="110"/>
  <c r="P45" i="110"/>
  <c r="P44" i="110"/>
  <c r="P43" i="110"/>
  <c r="P42" i="110"/>
  <c r="P41" i="110"/>
  <c r="P40" i="110"/>
  <c r="P39" i="110"/>
  <c r="P35" i="110"/>
  <c r="P34" i="110"/>
  <c r="P33" i="110"/>
  <c r="P32" i="110"/>
  <c r="P31" i="110"/>
  <c r="P30" i="110"/>
  <c r="P29" i="110"/>
  <c r="P28" i="110"/>
  <c r="P27" i="110"/>
  <c r="P26" i="110"/>
  <c r="P25" i="110"/>
  <c r="P24" i="110"/>
  <c r="P23" i="110"/>
  <c r="P22" i="110"/>
  <c r="P21" i="110"/>
  <c r="P20" i="110"/>
  <c r="P19" i="110"/>
  <c r="P18" i="110"/>
  <c r="P17" i="110"/>
  <c r="P16" i="110"/>
  <c r="P15" i="110"/>
  <c r="P14" i="110"/>
  <c r="P11" i="110"/>
  <c r="P10" i="110"/>
  <c r="P9" i="110"/>
  <c r="P8" i="110"/>
  <c r="P7" i="110"/>
  <c r="P6" i="110"/>
  <c r="P5" i="110"/>
  <c r="J56" i="110"/>
  <c r="J55" i="110"/>
  <c r="J54" i="110"/>
  <c r="J53" i="110"/>
  <c r="J52" i="110"/>
  <c r="J51" i="110"/>
  <c r="J50" i="110"/>
  <c r="J49" i="110"/>
  <c r="J48" i="110"/>
  <c r="J47" i="110"/>
  <c r="J46" i="110"/>
  <c r="J45" i="110"/>
  <c r="J44" i="110"/>
  <c r="J43" i="110"/>
  <c r="J42" i="110"/>
  <c r="J41" i="110"/>
  <c r="J40" i="110"/>
  <c r="J39" i="110"/>
  <c r="J35" i="110"/>
  <c r="J34" i="110"/>
  <c r="J33" i="110"/>
  <c r="J32" i="110"/>
  <c r="J31" i="110"/>
  <c r="J30" i="110"/>
  <c r="J29" i="110"/>
  <c r="J28" i="110"/>
  <c r="J27" i="110"/>
  <c r="J26" i="110"/>
  <c r="J25" i="110"/>
  <c r="J24" i="110"/>
  <c r="J23" i="110"/>
  <c r="J22" i="110"/>
  <c r="J21" i="110"/>
  <c r="J20" i="110"/>
  <c r="J19" i="110"/>
  <c r="J18" i="110"/>
  <c r="J17" i="110"/>
  <c r="J16" i="110"/>
  <c r="J15" i="110"/>
  <c r="J14" i="110"/>
  <c r="J11" i="110"/>
  <c r="J10" i="110"/>
  <c r="J9" i="110"/>
  <c r="J7" i="110"/>
  <c r="J6" i="110"/>
  <c r="J5" i="110"/>
  <c r="G56" i="110"/>
  <c r="G55" i="110"/>
  <c r="G54" i="110"/>
  <c r="G53" i="110"/>
  <c r="G52" i="110"/>
  <c r="G51" i="110"/>
  <c r="G50" i="110"/>
  <c r="G49" i="110"/>
  <c r="G48" i="110"/>
  <c r="G47" i="110"/>
  <c r="G46" i="110"/>
  <c r="G45" i="110"/>
  <c r="G44" i="110"/>
  <c r="G43" i="110"/>
  <c r="G42" i="110"/>
  <c r="G41" i="110"/>
  <c r="G40" i="110"/>
  <c r="G39" i="110"/>
  <c r="G35" i="110"/>
  <c r="G34" i="110"/>
  <c r="G33" i="110"/>
  <c r="G32" i="110"/>
  <c r="G31" i="110"/>
  <c r="G30" i="110"/>
  <c r="G29" i="110"/>
  <c r="G28" i="110"/>
  <c r="G27" i="110"/>
  <c r="G26" i="110"/>
  <c r="G25" i="110"/>
  <c r="G24" i="110"/>
  <c r="G23" i="110"/>
  <c r="G22" i="110"/>
  <c r="G21" i="110"/>
  <c r="G20" i="110"/>
  <c r="G19" i="110"/>
  <c r="G18" i="110"/>
  <c r="G17" i="110"/>
  <c r="G16" i="110"/>
  <c r="G15" i="110"/>
  <c r="G14" i="110"/>
  <c r="G11" i="110"/>
  <c r="D1" i="120"/>
  <c r="D1" i="60" s="1"/>
  <c r="AA10" i="110" l="1"/>
  <c r="AE10" i="110"/>
  <c r="V10" i="110"/>
  <c r="S10" i="110"/>
  <c r="BI10" i="110"/>
  <c r="AZ34" i="110"/>
  <c r="AZ31" i="110"/>
  <c r="G10" i="110"/>
  <c r="BF10" i="110"/>
  <c r="P12" i="121"/>
  <c r="D1" i="115"/>
  <c r="D1" i="121" s="1"/>
  <c r="D1" i="142"/>
  <c r="F1" i="142" s="1"/>
  <c r="G8" i="120"/>
  <c r="G14" i="120"/>
  <c r="G20" i="120"/>
  <c r="G19" i="120"/>
  <c r="F20" i="120"/>
  <c r="F7" i="120"/>
  <c r="F11" i="120" s="1"/>
  <c r="F13" i="120"/>
  <c r="F17" i="120" s="1"/>
  <c r="F8" i="120"/>
  <c r="F19" i="120"/>
  <c r="S22" i="120" s="1"/>
  <c r="S23" i="120" s="1"/>
  <c r="S25" i="120" s="1"/>
  <c r="F14" i="120"/>
  <c r="AB10" i="110"/>
  <c r="G26" i="120" l="1"/>
  <c r="D1" i="116"/>
  <c r="D1" i="117"/>
  <c r="D1" i="119"/>
  <c r="D1" i="118"/>
  <c r="H20" i="120"/>
  <c r="G21" i="120"/>
  <c r="H19" i="120"/>
  <c r="F21" i="120"/>
  <c r="F23" i="120"/>
  <c r="U9" i="110"/>
  <c r="R9" i="110"/>
  <c r="AG9" i="110"/>
  <c r="BH9" i="110"/>
  <c r="AM9" i="110"/>
  <c r="AN9" i="110" s="1"/>
  <c r="AD9" i="110"/>
  <c r="AE9" i="110" s="1"/>
  <c r="F9" i="110"/>
  <c r="T9" i="110"/>
  <c r="Q9" i="110"/>
  <c r="E9" i="110"/>
  <c r="BD9" i="110"/>
  <c r="AF9" i="110"/>
  <c r="Z9" i="110"/>
  <c r="AG8" i="110"/>
  <c r="U8" i="110"/>
  <c r="R8" i="110"/>
  <c r="G9" i="110" l="1"/>
  <c r="AA9" i="110"/>
  <c r="AB9" i="110" s="1"/>
  <c r="AH9" i="110"/>
  <c r="AP9" i="110"/>
  <c r="P11" i="121"/>
  <c r="S9" i="110"/>
  <c r="V9" i="110"/>
  <c r="BE9" i="110"/>
  <c r="BF9" i="110" s="1"/>
  <c r="BI9" i="110"/>
  <c r="AD8" i="110"/>
  <c r="AE8" i="110" s="1"/>
  <c r="AM8" i="110"/>
  <c r="AN8" i="110" s="1"/>
  <c r="BH8" i="110"/>
  <c r="BI8" i="110" s="1"/>
  <c r="I8" i="110"/>
  <c r="Q8" i="110"/>
  <c r="S8" i="110" s="1"/>
  <c r="T8" i="110"/>
  <c r="V8" i="110" s="1"/>
  <c r="E8" i="110"/>
  <c r="AO8" i="110"/>
  <c r="BD8" i="110"/>
  <c r="AF8" i="110"/>
  <c r="AH8" i="110" s="1"/>
  <c r="Z8" i="110"/>
  <c r="CF56" i="109"/>
  <c r="CF55" i="109"/>
  <c r="CF54" i="109"/>
  <c r="CF53" i="109"/>
  <c r="CF52" i="109"/>
  <c r="CF51" i="109"/>
  <c r="CF50" i="109"/>
  <c r="CG49" i="109"/>
  <c r="CF49" i="109"/>
  <c r="CF48" i="109"/>
  <c r="CF47" i="109"/>
  <c r="CF46" i="109"/>
  <c r="CF45" i="109"/>
  <c r="CF44" i="109"/>
  <c r="CF43" i="109"/>
  <c r="CF42" i="109"/>
  <c r="CF41" i="109"/>
  <c r="CF40" i="109"/>
  <c r="CF39" i="109"/>
  <c r="CF38" i="109"/>
  <c r="CF37" i="109"/>
  <c r="CF36" i="109"/>
  <c r="CF35" i="109"/>
  <c r="CF34" i="109"/>
  <c r="CF33" i="109"/>
  <c r="CF32" i="109"/>
  <c r="CF31" i="109"/>
  <c r="CF30" i="109"/>
  <c r="CD56" i="109"/>
  <c r="CG56" i="109" s="1"/>
  <c r="CD55" i="109"/>
  <c r="CG55" i="109" s="1"/>
  <c r="CD54" i="109"/>
  <c r="CG54" i="109" s="1"/>
  <c r="CD53" i="109"/>
  <c r="CG53" i="109" s="1"/>
  <c r="CD52" i="109"/>
  <c r="CG52" i="109" s="1"/>
  <c r="CD51" i="109"/>
  <c r="CG51" i="109" s="1"/>
  <c r="CD50" i="109"/>
  <c r="CG50" i="109" s="1"/>
  <c r="CD48" i="109"/>
  <c r="CG48" i="109" s="1"/>
  <c r="CD47" i="109"/>
  <c r="CG47" i="109" s="1"/>
  <c r="CD46" i="109"/>
  <c r="CG46" i="109" s="1"/>
  <c r="CD45" i="109"/>
  <c r="CG45" i="109" s="1"/>
  <c r="CD44" i="109"/>
  <c r="CG44" i="109" s="1"/>
  <c r="CD43" i="109"/>
  <c r="CG43" i="109" s="1"/>
  <c r="CD42" i="109"/>
  <c r="CD41" i="109"/>
  <c r="CG41" i="109" s="1"/>
  <c r="CD40" i="109"/>
  <c r="CG40" i="109" s="1"/>
  <c r="CD39" i="109"/>
  <c r="CG39" i="109" s="1"/>
  <c r="CD38" i="109"/>
  <c r="CG38" i="109" s="1"/>
  <c r="CD37" i="109"/>
  <c r="CG37" i="109" s="1"/>
  <c r="CD36" i="109"/>
  <c r="CG36" i="109" s="1"/>
  <c r="CD35" i="109"/>
  <c r="CG35" i="109" s="1"/>
  <c r="CD34" i="109"/>
  <c r="CG34" i="109" s="1"/>
  <c r="CD33" i="109"/>
  <c r="CG33" i="109" s="1"/>
  <c r="CD32" i="109"/>
  <c r="CG32" i="109" s="1"/>
  <c r="CD31" i="109"/>
  <c r="CG31" i="109" s="1"/>
  <c r="CD30" i="109"/>
  <c r="CG30" i="109" s="1"/>
  <c r="BO56" i="109"/>
  <c r="BN56" i="109"/>
  <c r="BO55" i="109"/>
  <c r="BN55" i="109"/>
  <c r="BO54" i="109"/>
  <c r="BN54" i="109"/>
  <c r="BO53" i="109"/>
  <c r="BN53" i="109"/>
  <c r="BO52" i="109"/>
  <c r="BO51" i="109"/>
  <c r="BN51" i="109"/>
  <c r="BO50" i="109"/>
  <c r="BN50" i="109"/>
  <c r="BO49" i="109"/>
  <c r="BN49" i="109"/>
  <c r="BO48" i="109"/>
  <c r="BN48" i="109"/>
  <c r="BO47" i="109"/>
  <c r="BN47" i="109"/>
  <c r="BO46" i="109"/>
  <c r="BN46" i="109"/>
  <c r="BO45" i="109"/>
  <c r="BN45" i="109"/>
  <c r="BO44" i="109"/>
  <c r="BN44" i="109"/>
  <c r="BO43" i="109"/>
  <c r="BN43" i="109"/>
  <c r="BO42" i="109"/>
  <c r="BN42" i="109"/>
  <c r="BO41" i="109"/>
  <c r="BN41" i="109"/>
  <c r="BO40" i="109"/>
  <c r="BN40" i="109"/>
  <c r="BO39" i="109"/>
  <c r="BN39" i="109"/>
  <c r="BO38" i="109"/>
  <c r="BN38" i="109"/>
  <c r="BO37" i="109"/>
  <c r="BO36" i="109"/>
  <c r="BN36" i="109"/>
  <c r="BO35" i="109"/>
  <c r="BN35" i="109"/>
  <c r="BO34" i="109"/>
  <c r="BN34" i="109"/>
  <c r="BO33" i="109"/>
  <c r="BN33" i="109"/>
  <c r="BO32" i="109"/>
  <c r="BO31" i="109"/>
  <c r="BN31" i="109"/>
  <c r="BN30" i="109"/>
  <c r="BI56" i="109"/>
  <c r="BH56" i="109"/>
  <c r="BI55" i="109"/>
  <c r="BH55" i="109"/>
  <c r="BI54" i="109"/>
  <c r="BH54" i="109"/>
  <c r="BI53" i="109"/>
  <c r="BH53" i="109"/>
  <c r="BI52" i="109"/>
  <c r="BH52" i="109"/>
  <c r="BI51" i="109"/>
  <c r="BH51" i="109"/>
  <c r="BH50" i="109"/>
  <c r="BI49" i="109"/>
  <c r="BH49" i="109"/>
  <c r="BI48" i="109"/>
  <c r="BH48" i="109"/>
  <c r="BI47" i="109"/>
  <c r="BH47" i="109"/>
  <c r="BI46" i="109"/>
  <c r="BH46" i="109"/>
  <c r="BI45" i="109"/>
  <c r="BH45" i="109"/>
  <c r="BI44" i="109"/>
  <c r="BH44" i="109"/>
  <c r="BI43" i="109"/>
  <c r="BH43" i="109"/>
  <c r="BI42" i="109"/>
  <c r="BH42" i="109"/>
  <c r="BI41" i="109"/>
  <c r="BH41" i="109"/>
  <c r="BI40" i="109"/>
  <c r="BH40" i="109"/>
  <c r="BI39" i="109"/>
  <c r="BH39" i="109"/>
  <c r="BI38" i="109"/>
  <c r="BH38" i="109"/>
  <c r="BI37" i="109"/>
  <c r="BH37" i="109"/>
  <c r="BI36" i="109"/>
  <c r="BH36" i="109"/>
  <c r="BI35" i="109"/>
  <c r="BH35" i="109"/>
  <c r="BI34" i="109"/>
  <c r="BH34" i="109"/>
  <c r="BI33" i="109"/>
  <c r="BH33" i="109"/>
  <c r="BI32" i="109"/>
  <c r="BH32" i="109"/>
  <c r="BI31" i="109"/>
  <c r="BH31" i="109"/>
  <c r="BI30" i="109"/>
  <c r="BH30" i="109"/>
  <c r="AN56" i="109"/>
  <c r="AM56" i="109"/>
  <c r="AN55" i="109"/>
  <c r="AM55" i="109"/>
  <c r="AN54" i="109"/>
  <c r="AM54" i="109"/>
  <c r="AN53" i="109"/>
  <c r="AN52" i="109"/>
  <c r="AM52" i="109"/>
  <c r="AN51" i="109"/>
  <c r="AM51" i="109"/>
  <c r="AN50" i="109"/>
  <c r="AM50" i="109"/>
  <c r="AN49" i="109"/>
  <c r="AM49" i="109"/>
  <c r="AN48" i="109"/>
  <c r="AM48" i="109"/>
  <c r="AN47" i="109"/>
  <c r="AM47" i="109"/>
  <c r="AN46" i="109"/>
  <c r="AM46" i="109"/>
  <c r="AN45" i="109"/>
  <c r="AM45" i="109"/>
  <c r="AN44" i="109"/>
  <c r="AM44" i="109"/>
  <c r="AN43" i="109"/>
  <c r="AM43" i="109"/>
  <c r="AN42" i="109"/>
  <c r="AM42" i="109"/>
  <c r="AN41" i="109"/>
  <c r="AM41" i="109"/>
  <c r="AN40" i="109"/>
  <c r="AM40" i="109"/>
  <c r="AN39" i="109"/>
  <c r="AM39" i="109"/>
  <c r="AN38" i="109"/>
  <c r="AM38" i="109"/>
  <c r="AN37" i="109"/>
  <c r="AM37" i="109"/>
  <c r="AN36" i="109"/>
  <c r="AM36" i="109"/>
  <c r="AN35" i="109"/>
  <c r="AM35" i="109"/>
  <c r="AN34" i="109"/>
  <c r="AM34" i="109"/>
  <c r="AN33" i="109"/>
  <c r="AM33" i="109"/>
  <c r="AN32" i="109"/>
  <c r="AM32" i="109"/>
  <c r="AN31" i="109"/>
  <c r="AM31" i="109"/>
  <c r="AN30" i="109"/>
  <c r="AM30" i="109"/>
  <c r="AN29" i="109"/>
  <c r="AH56" i="109"/>
  <c r="AG56" i="109"/>
  <c r="AH55" i="109"/>
  <c r="AG55" i="109"/>
  <c r="AH54" i="109"/>
  <c r="AG54" i="109"/>
  <c r="AH53" i="109"/>
  <c r="AG53" i="109"/>
  <c r="AH52" i="109"/>
  <c r="AG52" i="109"/>
  <c r="AH51" i="109"/>
  <c r="AG51" i="109"/>
  <c r="AH50" i="109"/>
  <c r="AG50" i="109"/>
  <c r="AH49" i="109"/>
  <c r="AG49" i="109"/>
  <c r="AH48" i="109"/>
  <c r="AG48" i="109"/>
  <c r="AH47" i="109"/>
  <c r="AG47" i="109"/>
  <c r="AH46" i="109"/>
  <c r="AG46" i="109"/>
  <c r="AH45" i="109"/>
  <c r="AG45" i="109"/>
  <c r="AH44" i="109"/>
  <c r="AG44" i="109"/>
  <c r="AH43" i="109"/>
  <c r="AG43" i="109"/>
  <c r="AH42" i="109"/>
  <c r="AG42" i="109"/>
  <c r="AH41" i="109"/>
  <c r="AG41" i="109"/>
  <c r="AH40" i="109"/>
  <c r="AG40" i="109"/>
  <c r="AH39" i="109"/>
  <c r="AG39" i="109"/>
  <c r="AH38" i="109"/>
  <c r="AG38" i="109"/>
  <c r="AH37" i="109"/>
  <c r="AG37" i="109"/>
  <c r="AH36" i="109"/>
  <c r="AG36" i="109"/>
  <c r="AH35" i="109"/>
  <c r="AH34" i="109"/>
  <c r="AG34" i="109"/>
  <c r="AH33" i="109"/>
  <c r="AG33" i="109"/>
  <c r="AH32" i="109"/>
  <c r="AG32" i="109"/>
  <c r="AH31" i="109"/>
  <c r="AG31" i="109"/>
  <c r="AH30" i="109"/>
  <c r="AG30" i="109"/>
  <c r="AH29" i="109"/>
  <c r="AB29" i="109"/>
  <c r="AP8" i="110" l="1"/>
  <c r="AQ8" i="110" s="1"/>
  <c r="AA8" i="110"/>
  <c r="AB8" i="110" s="1"/>
  <c r="P9" i="121"/>
  <c r="F8" i="110"/>
  <c r="G8" i="110" s="1"/>
  <c r="J8" i="110"/>
  <c r="BE8" i="110"/>
  <c r="BF8" i="110" s="1"/>
  <c r="U7" i="110"/>
  <c r="R7" i="110"/>
  <c r="BH7" i="110"/>
  <c r="BI7" i="110" s="1"/>
  <c r="AM7" i="110"/>
  <c r="AD7" i="110"/>
  <c r="AE7" i="110" s="1"/>
  <c r="F7" i="110"/>
  <c r="Q7" i="110"/>
  <c r="T7" i="110"/>
  <c r="E7" i="110"/>
  <c r="AO7" i="110"/>
  <c r="BD7" i="110"/>
  <c r="AF7" i="110"/>
  <c r="AH7" i="110" s="1"/>
  <c r="Z7" i="110"/>
  <c r="T6" i="110"/>
  <c r="E6" i="110"/>
  <c r="U6" i="110"/>
  <c r="R6" i="110"/>
  <c r="AG6" i="110"/>
  <c r="BH5" i="110"/>
  <c r="F6" i="110"/>
  <c r="AM6" i="110"/>
  <c r="AD6" i="110"/>
  <c r="BH6" i="110"/>
  <c r="BD6" i="110"/>
  <c r="AA7" i="110" l="1"/>
  <c r="AB7" i="110" s="1"/>
  <c r="G7" i="110"/>
  <c r="BE6" i="110"/>
  <c r="BF6" i="110" s="1"/>
  <c r="BI6" i="110"/>
  <c r="V7" i="110"/>
  <c r="BE5" i="110"/>
  <c r="BF5" i="110" s="1"/>
  <c r="BI5" i="110"/>
  <c r="P7" i="121"/>
  <c r="P8" i="121"/>
  <c r="AA6" i="110"/>
  <c r="AE6" i="110"/>
  <c r="AP6" i="110"/>
  <c r="AN6" i="110"/>
  <c r="S7" i="110"/>
  <c r="G6" i="110"/>
  <c r="AP7" i="110"/>
  <c r="AQ7" i="110" s="1"/>
  <c r="AN7" i="110"/>
  <c r="V6" i="110"/>
  <c r="BE7" i="110"/>
  <c r="BF7" i="110" s="1"/>
  <c r="Q6" i="110"/>
  <c r="S6" i="110" s="1"/>
  <c r="AO6" i="110"/>
  <c r="AF6" i="110"/>
  <c r="AH6" i="110" s="1"/>
  <c r="Z6" i="110"/>
  <c r="D1" i="104"/>
  <c r="AQ6" i="110" l="1"/>
  <c r="AB6" i="110"/>
  <c r="D1" i="105"/>
  <c r="F7" i="104"/>
  <c r="U5" i="110"/>
  <c r="R5" i="110"/>
  <c r="AG5" i="110"/>
  <c r="AM5" i="110"/>
  <c r="AN5" i="110" s="1"/>
  <c r="AD5" i="110"/>
  <c r="AE5" i="110" s="1"/>
  <c r="F5" i="110"/>
  <c r="T5" i="110"/>
  <c r="V5" i="110" s="1"/>
  <c r="Q5" i="110"/>
  <c r="E5" i="110"/>
  <c r="AO5" i="110"/>
  <c r="AF5" i="110"/>
  <c r="Z5" i="110"/>
  <c r="K56" i="110"/>
  <c r="K55" i="110"/>
  <c r="K54" i="110"/>
  <c r="W53" i="110"/>
  <c r="W52" i="110"/>
  <c r="K52" i="110"/>
  <c r="K53" i="110"/>
  <c r="W54" i="110"/>
  <c r="W55" i="110"/>
  <c r="W56" i="110"/>
  <c r="S5" i="110" l="1"/>
  <c r="D1" i="107"/>
  <c r="F16" i="108" s="1"/>
  <c r="H16" i="108" s="1"/>
  <c r="G20" i="105"/>
  <c r="AA5" i="110"/>
  <c r="AB5" i="110" s="1"/>
  <c r="AP5" i="110"/>
  <c r="AQ5" i="110" s="1"/>
  <c r="AH5" i="110"/>
  <c r="G5" i="110"/>
  <c r="F10" i="108"/>
  <c r="G10" i="108"/>
  <c r="L44" i="110"/>
  <c r="H10" i="108" l="1"/>
  <c r="BA45" i="110"/>
  <c r="K44" i="110" l="1"/>
  <c r="M44" i="110" s="1"/>
  <c r="F4" i="104"/>
  <c r="W42" i="122" l="1"/>
  <c r="B47" i="134"/>
  <c r="J29" i="134"/>
  <c r="J51" i="134" s="1"/>
  <c r="J73" i="134" s="1"/>
  <c r="I29" i="134"/>
  <c r="I51" i="134" s="1"/>
  <c r="I73" i="134" s="1"/>
  <c r="H29" i="134"/>
  <c r="H51" i="134" s="1"/>
  <c r="H73" i="134" s="1"/>
  <c r="D29" i="134"/>
  <c r="D51" i="134" s="1"/>
  <c r="D73" i="134" s="1"/>
  <c r="C29" i="134"/>
  <c r="B24" i="134"/>
  <c r="B47" i="133"/>
  <c r="J29" i="133"/>
  <c r="I29" i="133"/>
  <c r="H29" i="133"/>
  <c r="D29" i="133"/>
  <c r="C29" i="133"/>
  <c r="B24" i="133"/>
  <c r="B69" i="134" l="1"/>
  <c r="C51" i="134"/>
  <c r="B46" i="134"/>
  <c r="B23" i="134"/>
  <c r="B46" i="133"/>
  <c r="B23" i="133"/>
  <c r="B91" i="134" l="1"/>
  <c r="B45" i="134"/>
  <c r="B22" i="134"/>
  <c r="B68" i="134"/>
  <c r="C73" i="134"/>
  <c r="B45" i="133"/>
  <c r="B22" i="133"/>
  <c r="B21" i="134" l="1"/>
  <c r="B44" i="134"/>
  <c r="B90" i="134"/>
  <c r="B67" i="134"/>
  <c r="B44" i="133"/>
  <c r="B21" i="133"/>
  <c r="B89" i="134" l="1"/>
  <c r="B66" i="134"/>
  <c r="B43" i="134"/>
  <c r="B20" i="134"/>
  <c r="B20" i="133"/>
  <c r="B43" i="133"/>
  <c r="J29" i="122"/>
  <c r="J51" i="122" s="1"/>
  <c r="J73" i="122" s="1"/>
  <c r="J95" i="122" s="1"/>
  <c r="I29" i="122"/>
  <c r="I51" i="122" s="1"/>
  <c r="I73" i="122" s="1"/>
  <c r="I95" i="122" s="1"/>
  <c r="H29" i="122"/>
  <c r="H51" i="122" s="1"/>
  <c r="H73" i="122" s="1"/>
  <c r="H95" i="122" s="1"/>
  <c r="C29" i="122"/>
  <c r="C51" i="122" s="1"/>
  <c r="C73" i="122" s="1"/>
  <c r="C95" i="122" s="1"/>
  <c r="Q90" i="134" l="1"/>
  <c r="M67" i="134"/>
  <c r="N21" i="133"/>
  <c r="P44" i="133"/>
  <c r="Q21" i="134"/>
  <c r="P67" i="134"/>
  <c r="N90" i="134"/>
  <c r="M90" i="134"/>
  <c r="N21" i="134"/>
  <c r="N44" i="134"/>
  <c r="O90" i="134"/>
  <c r="O21" i="134"/>
  <c r="L44" i="134"/>
  <c r="L67" i="134"/>
  <c r="L90" i="134"/>
  <c r="O21" i="133"/>
  <c r="M44" i="134"/>
  <c r="L44" i="133"/>
  <c r="Q21" i="133"/>
  <c r="L21" i="133"/>
  <c r="Q44" i="134"/>
  <c r="Q67" i="134"/>
  <c r="L25" i="134"/>
  <c r="Q25" i="133"/>
  <c r="P25" i="133"/>
  <c r="M25" i="134"/>
  <c r="O25" i="133"/>
  <c r="N25" i="133"/>
  <c r="Q47" i="134"/>
  <c r="Q25" i="134"/>
  <c r="M25" i="133"/>
  <c r="P47" i="134"/>
  <c r="P25" i="134"/>
  <c r="L25" i="133"/>
  <c r="O25" i="134"/>
  <c r="N25" i="134"/>
  <c r="Q47" i="133"/>
  <c r="P24" i="134"/>
  <c r="M24" i="134"/>
  <c r="O24" i="133"/>
  <c r="O47" i="134"/>
  <c r="P24" i="133"/>
  <c r="N47" i="133"/>
  <c r="L24" i="133"/>
  <c r="Q24" i="134"/>
  <c r="N24" i="134"/>
  <c r="M24" i="133"/>
  <c r="M47" i="133"/>
  <c r="O24" i="134"/>
  <c r="P47" i="133"/>
  <c r="L47" i="133"/>
  <c r="O47" i="133"/>
  <c r="P69" i="134"/>
  <c r="L24" i="134"/>
  <c r="N24" i="133"/>
  <c r="N69" i="134"/>
  <c r="M47" i="134"/>
  <c r="L47" i="134"/>
  <c r="O69" i="134"/>
  <c r="Q69" i="134"/>
  <c r="L69" i="134"/>
  <c r="N47" i="134"/>
  <c r="Q24" i="133"/>
  <c r="M69" i="134"/>
  <c r="Q23" i="134"/>
  <c r="N46" i="134"/>
  <c r="O23" i="133"/>
  <c r="L46" i="133"/>
  <c r="P23" i="134"/>
  <c r="M46" i="134"/>
  <c r="L91" i="134"/>
  <c r="L46" i="134"/>
  <c r="Q91" i="134"/>
  <c r="L23" i="133"/>
  <c r="P91" i="134"/>
  <c r="O23" i="134"/>
  <c r="Q46" i="134"/>
  <c r="O91" i="134"/>
  <c r="N23" i="134"/>
  <c r="Q23" i="133"/>
  <c r="P46" i="133"/>
  <c r="N91" i="134"/>
  <c r="L23" i="134"/>
  <c r="O46" i="133"/>
  <c r="P46" i="134"/>
  <c r="M23" i="133"/>
  <c r="Q46" i="133"/>
  <c r="O46" i="134"/>
  <c r="M46" i="133"/>
  <c r="M91" i="134"/>
  <c r="N23" i="133"/>
  <c r="N46" i="133"/>
  <c r="M23" i="134"/>
  <c r="P23" i="133"/>
  <c r="O45" i="134"/>
  <c r="L45" i="134"/>
  <c r="L22" i="134"/>
  <c r="N68" i="134"/>
  <c r="N45" i="134"/>
  <c r="P22" i="133"/>
  <c r="Q22" i="134"/>
  <c r="M68" i="134"/>
  <c r="P45" i="134"/>
  <c r="Q45" i="133"/>
  <c r="L68" i="134"/>
  <c r="Q45" i="134"/>
  <c r="Q22" i="133"/>
  <c r="N22" i="134"/>
  <c r="P68" i="134"/>
  <c r="L45" i="133"/>
  <c r="M22" i="133"/>
  <c r="M22" i="134"/>
  <c r="O68" i="134"/>
  <c r="M45" i="133"/>
  <c r="O22" i="134"/>
  <c r="Q68" i="134"/>
  <c r="P45" i="133"/>
  <c r="N22" i="133"/>
  <c r="N45" i="133"/>
  <c r="L22" i="133"/>
  <c r="O45" i="133"/>
  <c r="P22" i="134"/>
  <c r="M45" i="134"/>
  <c r="O22" i="133"/>
  <c r="M44" i="133"/>
  <c r="M21" i="133"/>
  <c r="O44" i="134"/>
  <c r="P90" i="134"/>
  <c r="N44" i="133"/>
  <c r="P44" i="134"/>
  <c r="N67" i="134"/>
  <c r="P21" i="133"/>
  <c r="Q44" i="133"/>
  <c r="L21" i="134"/>
  <c r="O44" i="133"/>
  <c r="P21" i="134"/>
  <c r="M21" i="134"/>
  <c r="O67" i="134"/>
  <c r="N66" i="134"/>
  <c r="M66" i="134"/>
  <c r="B88" i="134"/>
  <c r="P66" i="134"/>
  <c r="O66" i="134"/>
  <c r="L66" i="134"/>
  <c r="Q66" i="134"/>
  <c r="L89" i="134"/>
  <c r="O89" i="134"/>
  <c r="N89" i="134"/>
  <c r="Q89" i="134"/>
  <c r="P89" i="134"/>
  <c r="M89" i="134"/>
  <c r="B42" i="134"/>
  <c r="P20" i="134"/>
  <c r="O20" i="134"/>
  <c r="L20" i="134"/>
  <c r="M20" i="134"/>
  <c r="N20" i="134"/>
  <c r="B19" i="134"/>
  <c r="Q20" i="134"/>
  <c r="M43" i="134"/>
  <c r="L43" i="134"/>
  <c r="Q43" i="134"/>
  <c r="P43" i="134"/>
  <c r="N43" i="134"/>
  <c r="B65" i="134"/>
  <c r="O43" i="134"/>
  <c r="M43" i="133"/>
  <c r="L43" i="133"/>
  <c r="P43" i="133"/>
  <c r="Q43" i="133"/>
  <c r="O43" i="133"/>
  <c r="N43" i="133"/>
  <c r="B42" i="133"/>
  <c r="P20" i="133"/>
  <c r="O20" i="133"/>
  <c r="M20" i="133"/>
  <c r="L20" i="133"/>
  <c r="B19" i="133"/>
  <c r="N20" i="133"/>
  <c r="Q20" i="133"/>
  <c r="Q25" i="122"/>
  <c r="O25" i="122"/>
  <c r="P25" i="122"/>
  <c r="N25" i="122"/>
  <c r="M25" i="122"/>
  <c r="L25" i="122"/>
  <c r="D29" i="122"/>
  <c r="D51" i="122" s="1"/>
  <c r="D73" i="122" s="1"/>
  <c r="B47" i="122"/>
  <c r="B24" i="122"/>
  <c r="AB25" i="122" l="1"/>
  <c r="AA25" i="122"/>
  <c r="Z25" i="122"/>
  <c r="L88" i="134"/>
  <c r="M88" i="134"/>
  <c r="Q88" i="134"/>
  <c r="P88" i="134"/>
  <c r="O88" i="134"/>
  <c r="N88" i="134"/>
  <c r="B41" i="134"/>
  <c r="M19" i="134"/>
  <c r="L19" i="134"/>
  <c r="P19" i="134"/>
  <c r="Q19" i="134"/>
  <c r="O19" i="134"/>
  <c r="N19" i="134"/>
  <c r="B18" i="134"/>
  <c r="Q65" i="134"/>
  <c r="P65" i="134"/>
  <c r="O65" i="134"/>
  <c r="N65" i="134"/>
  <c r="M65" i="134"/>
  <c r="B87" i="134"/>
  <c r="L65" i="134"/>
  <c r="P42" i="134"/>
  <c r="O42" i="134"/>
  <c r="Q42" i="134"/>
  <c r="N42" i="134"/>
  <c r="L42" i="134"/>
  <c r="B64" i="134"/>
  <c r="M42" i="134"/>
  <c r="B41" i="133"/>
  <c r="P19" i="133"/>
  <c r="M19" i="133"/>
  <c r="B18" i="133"/>
  <c r="Q19" i="133"/>
  <c r="O19" i="133"/>
  <c r="N19" i="133"/>
  <c r="L19" i="133"/>
  <c r="P42" i="133"/>
  <c r="O42" i="133"/>
  <c r="N42" i="133"/>
  <c r="M42" i="133"/>
  <c r="Q42" i="133"/>
  <c r="L42" i="133"/>
  <c r="Q47" i="122"/>
  <c r="P47" i="122"/>
  <c r="O47" i="122"/>
  <c r="N47" i="122"/>
  <c r="M47" i="122"/>
  <c r="L47" i="122"/>
  <c r="Q24" i="122"/>
  <c r="P24" i="122"/>
  <c r="O24" i="122"/>
  <c r="N24" i="122"/>
  <c r="M24" i="122"/>
  <c r="L24" i="122"/>
  <c r="B23" i="122"/>
  <c r="B69" i="122"/>
  <c r="B46" i="122"/>
  <c r="Z24" i="122" l="1"/>
  <c r="AB24" i="122"/>
  <c r="AA24" i="122"/>
  <c r="L87" i="134"/>
  <c r="Q87" i="134"/>
  <c r="P87" i="134"/>
  <c r="O87" i="134"/>
  <c r="N87" i="134"/>
  <c r="M87" i="134"/>
  <c r="B40" i="134"/>
  <c r="N18" i="134"/>
  <c r="M18" i="134"/>
  <c r="L18" i="134"/>
  <c r="P18" i="134"/>
  <c r="O18" i="134"/>
  <c r="B17" i="134"/>
  <c r="Q18" i="134"/>
  <c r="B63" i="134"/>
  <c r="Q41" i="134"/>
  <c r="P41" i="134"/>
  <c r="O41" i="134"/>
  <c r="L41" i="134"/>
  <c r="N41" i="134"/>
  <c r="M41" i="134"/>
  <c r="P64" i="134"/>
  <c r="O64" i="134"/>
  <c r="N64" i="134"/>
  <c r="M64" i="134"/>
  <c r="B86" i="134"/>
  <c r="Q64" i="134"/>
  <c r="L64" i="134"/>
  <c r="B40" i="133"/>
  <c r="P18" i="133"/>
  <c r="B17" i="133"/>
  <c r="O18" i="133"/>
  <c r="N18" i="133"/>
  <c r="M18" i="133"/>
  <c r="Q18" i="133"/>
  <c r="L18" i="133"/>
  <c r="Q41" i="133"/>
  <c r="P41" i="133"/>
  <c r="M41" i="133"/>
  <c r="L41" i="133"/>
  <c r="O41" i="133"/>
  <c r="N41" i="133"/>
  <c r="O69" i="122"/>
  <c r="L69" i="122"/>
  <c r="M69" i="122"/>
  <c r="N69" i="122"/>
  <c r="P69" i="122"/>
  <c r="Q69" i="122"/>
  <c r="O46" i="122"/>
  <c r="P46" i="122"/>
  <c r="Q46" i="122"/>
  <c r="N46" i="122"/>
  <c r="M46" i="122"/>
  <c r="L46" i="122"/>
  <c r="L23" i="122"/>
  <c r="O23" i="122"/>
  <c r="N23" i="122"/>
  <c r="M23" i="122"/>
  <c r="Q23" i="122"/>
  <c r="P23" i="122"/>
  <c r="B22" i="122"/>
  <c r="B45" i="122"/>
  <c r="B68" i="122"/>
  <c r="B91" i="122"/>
  <c r="AA23" i="122" l="1"/>
  <c r="Z69" i="122"/>
  <c r="AB23" i="122"/>
  <c r="AB69" i="122"/>
  <c r="AA69" i="122"/>
  <c r="Z23" i="122"/>
  <c r="N91" i="122"/>
  <c r="M91" i="122"/>
  <c r="O91" i="122"/>
  <c r="Q91" i="122"/>
  <c r="P91" i="122"/>
  <c r="L91" i="122"/>
  <c r="Q63" i="134"/>
  <c r="P63" i="134"/>
  <c r="O63" i="134"/>
  <c r="N63" i="134"/>
  <c r="M63" i="134"/>
  <c r="L63" i="134"/>
  <c r="B85" i="134"/>
  <c r="B62" i="134"/>
  <c r="Q40" i="134"/>
  <c r="P40" i="134"/>
  <c r="N40" i="134"/>
  <c r="M40" i="134"/>
  <c r="L40" i="134"/>
  <c r="O40" i="134"/>
  <c r="L86" i="134"/>
  <c r="O86" i="134"/>
  <c r="N86" i="134"/>
  <c r="M86" i="134"/>
  <c r="Q86" i="134"/>
  <c r="P86" i="134"/>
  <c r="M17" i="134"/>
  <c r="L17" i="134"/>
  <c r="B16" i="134"/>
  <c r="O17" i="134"/>
  <c r="B39" i="134"/>
  <c r="N17" i="134"/>
  <c r="Q17" i="134"/>
  <c r="P17" i="134"/>
  <c r="M17" i="133"/>
  <c r="B39" i="133"/>
  <c r="L17" i="133"/>
  <c r="B16" i="133"/>
  <c r="Q17" i="133"/>
  <c r="P17" i="133"/>
  <c r="N17" i="133"/>
  <c r="O17" i="133"/>
  <c r="P40" i="133"/>
  <c r="M40" i="133"/>
  <c r="N40" i="133"/>
  <c r="L40" i="133"/>
  <c r="Q40" i="133"/>
  <c r="O40" i="133"/>
  <c r="M68" i="122"/>
  <c r="Q68" i="122"/>
  <c r="L68" i="122"/>
  <c r="N68" i="122"/>
  <c r="O68" i="122"/>
  <c r="P68" i="122"/>
  <c r="O45" i="122"/>
  <c r="Q45" i="122"/>
  <c r="P45" i="122"/>
  <c r="L45" i="122"/>
  <c r="N45" i="122"/>
  <c r="M45" i="122"/>
  <c r="N22" i="122"/>
  <c r="L22" i="122"/>
  <c r="Q22" i="122"/>
  <c r="P22" i="122"/>
  <c r="O22" i="122"/>
  <c r="M22" i="122"/>
  <c r="B44" i="122"/>
  <c r="B21" i="122"/>
  <c r="B20" i="122" s="1"/>
  <c r="B67" i="122"/>
  <c r="B113" i="122"/>
  <c r="B90" i="122"/>
  <c r="G44" i="103"/>
  <c r="F44" i="103"/>
  <c r="DN5" i="109"/>
  <c r="DO5" i="109" s="1"/>
  <c r="DF5" i="109"/>
  <c r="BN56" i="110"/>
  <c r="BM56" i="110"/>
  <c r="BN55" i="110"/>
  <c r="BM55" i="110"/>
  <c r="BN54" i="110"/>
  <c r="BM54" i="110"/>
  <c r="BN53" i="110"/>
  <c r="BM53" i="110"/>
  <c r="BN52" i="110"/>
  <c r="BM52" i="110"/>
  <c r="BN51" i="110"/>
  <c r="BM51" i="110"/>
  <c r="BN50" i="110"/>
  <c r="BM50" i="110"/>
  <c r="BN49" i="110"/>
  <c r="BM49" i="110"/>
  <c r="BN48" i="110"/>
  <c r="BM48" i="110"/>
  <c r="BN47" i="110"/>
  <c r="BM47" i="110"/>
  <c r="BN46" i="110"/>
  <c r="BM46" i="110"/>
  <c r="BN45" i="110"/>
  <c r="BM45" i="110"/>
  <c r="BN44" i="110"/>
  <c r="BM44" i="110"/>
  <c r="BN43" i="110"/>
  <c r="BM43" i="110"/>
  <c r="BN42" i="110"/>
  <c r="BM42" i="110"/>
  <c r="BN41" i="110"/>
  <c r="BM41" i="110"/>
  <c r="BN40" i="110"/>
  <c r="BM40" i="110"/>
  <c r="BN39" i="110"/>
  <c r="BM37" i="110"/>
  <c r="BM36" i="110"/>
  <c r="BN35" i="110"/>
  <c r="BM35" i="110"/>
  <c r="BM34" i="110"/>
  <c r="BN33" i="110"/>
  <c r="BM33" i="110"/>
  <c r="BN32" i="110"/>
  <c r="BN31" i="110"/>
  <c r="BM31" i="110"/>
  <c r="BN30" i="110"/>
  <c r="BM30" i="110"/>
  <c r="BN29" i="110"/>
  <c r="BM29" i="110"/>
  <c r="BN28" i="110"/>
  <c r="BM28" i="110"/>
  <c r="BN27" i="110"/>
  <c r="BM27" i="110"/>
  <c r="BN26" i="110"/>
  <c r="BM26" i="110"/>
  <c r="BN25" i="110"/>
  <c r="BM25" i="110"/>
  <c r="BN24" i="110"/>
  <c r="BM24" i="110"/>
  <c r="BN23" i="110"/>
  <c r="BM23" i="110"/>
  <c r="BN22" i="110"/>
  <c r="BM22" i="110"/>
  <c r="BN21" i="110"/>
  <c r="BM21" i="110"/>
  <c r="BN20" i="110"/>
  <c r="BM20" i="110"/>
  <c r="BN19" i="110"/>
  <c r="BM19" i="110"/>
  <c r="BN18" i="110"/>
  <c r="BM18" i="110"/>
  <c r="F22" i="121" s="1"/>
  <c r="BN17" i="110"/>
  <c r="BM17" i="110"/>
  <c r="BN16" i="110"/>
  <c r="BM16" i="110"/>
  <c r="BN15" i="110"/>
  <c r="BM15" i="110"/>
  <c r="BN14" i="110"/>
  <c r="BM14" i="110"/>
  <c r="BN11" i="110"/>
  <c r="BM11" i="110"/>
  <c r="F13" i="121" s="1"/>
  <c r="BN10" i="110"/>
  <c r="BM10" i="110"/>
  <c r="F12" i="121" s="1"/>
  <c r="BN9" i="110"/>
  <c r="BM9" i="110"/>
  <c r="BN8" i="110"/>
  <c r="BM8" i="110"/>
  <c r="BN7" i="110"/>
  <c r="BM7" i="110"/>
  <c r="BN6" i="110"/>
  <c r="BM6" i="110"/>
  <c r="BN5" i="110"/>
  <c r="BM5" i="110"/>
  <c r="O47" i="121"/>
  <c r="O21" i="121"/>
  <c r="F1" i="121"/>
  <c r="P46" i="103"/>
  <c r="L46" i="103"/>
  <c r="H46" i="103"/>
  <c r="X44" i="103"/>
  <c r="W44" i="103"/>
  <c r="V44" i="103"/>
  <c r="U44" i="103"/>
  <c r="AG43" i="103"/>
  <c r="AF43" i="103"/>
  <c r="AE43" i="103"/>
  <c r="AD43" i="103"/>
  <c r="X43" i="103"/>
  <c r="W43" i="103"/>
  <c r="V43" i="103"/>
  <c r="U43" i="103"/>
  <c r="G11" i="121" l="1"/>
  <c r="U11" i="121" s="1"/>
  <c r="F36" i="121"/>
  <c r="BO30" i="110"/>
  <c r="F61" i="121"/>
  <c r="BO50" i="110"/>
  <c r="F62" i="121"/>
  <c r="BO51" i="110"/>
  <c r="F54" i="121"/>
  <c r="BO44" i="110"/>
  <c r="F33" i="121"/>
  <c r="BO27" i="110"/>
  <c r="F30" i="121"/>
  <c r="BO25" i="110"/>
  <c r="F64" i="121"/>
  <c r="BO52" i="110"/>
  <c r="F50" i="121"/>
  <c r="BO41" i="110"/>
  <c r="F46" i="121"/>
  <c r="F55" i="121"/>
  <c r="BO45" i="110"/>
  <c r="F32" i="121"/>
  <c r="BO26" i="110"/>
  <c r="F56" i="121"/>
  <c r="BO46" i="110"/>
  <c r="F8" i="121"/>
  <c r="BO7" i="110"/>
  <c r="F29" i="121"/>
  <c r="BO24" i="110"/>
  <c r="F40" i="121"/>
  <c r="BO33" i="110"/>
  <c r="F59" i="121"/>
  <c r="BO48" i="110"/>
  <c r="F45" i="121"/>
  <c r="F9" i="121"/>
  <c r="BO8" i="110"/>
  <c r="F68" i="121"/>
  <c r="BO56" i="110"/>
  <c r="F38" i="121"/>
  <c r="BO31" i="110"/>
  <c r="F7" i="121"/>
  <c r="BO6" i="110"/>
  <c r="F49" i="121"/>
  <c r="BO40" i="110"/>
  <c r="F41" i="121"/>
  <c r="F57" i="121"/>
  <c r="BO47" i="110"/>
  <c r="F65" i="121"/>
  <c r="BO53" i="110"/>
  <c r="F27" i="121"/>
  <c r="BO22" i="110"/>
  <c r="F34" i="121"/>
  <c r="BO28" i="110"/>
  <c r="F43" i="121"/>
  <c r="BO35" i="110"/>
  <c r="F51" i="121"/>
  <c r="BO42" i="110"/>
  <c r="F66" i="121"/>
  <c r="BO54" i="110"/>
  <c r="F11" i="121"/>
  <c r="BO9" i="110"/>
  <c r="F28" i="121"/>
  <c r="BO23" i="110"/>
  <c r="F35" i="121"/>
  <c r="BO29" i="110"/>
  <c r="F44" i="121"/>
  <c r="F52" i="121"/>
  <c r="BO43" i="110"/>
  <c r="F60" i="121"/>
  <c r="BO49" i="110"/>
  <c r="F67" i="121"/>
  <c r="BO55" i="110"/>
  <c r="F25" i="121"/>
  <c r="BO21" i="110"/>
  <c r="F24" i="121"/>
  <c r="BO20" i="110"/>
  <c r="F23" i="121"/>
  <c r="BO19" i="110"/>
  <c r="BO18" i="110"/>
  <c r="F20" i="121"/>
  <c r="BO17" i="110"/>
  <c r="F19" i="121"/>
  <c r="BO16" i="110"/>
  <c r="F6" i="121"/>
  <c r="BO5" i="110"/>
  <c r="F18" i="121"/>
  <c r="BO15" i="110"/>
  <c r="F17" i="121"/>
  <c r="BO14" i="110"/>
  <c r="AA22" i="122"/>
  <c r="AB68" i="122"/>
  <c r="Z68" i="122"/>
  <c r="Z22" i="122"/>
  <c r="BO11" i="110"/>
  <c r="BO10" i="110"/>
  <c r="AB22" i="122"/>
  <c r="AA68" i="122"/>
  <c r="H44" i="103"/>
  <c r="N42" i="121"/>
  <c r="N63" i="121"/>
  <c r="O53" i="121"/>
  <c r="O69" i="121"/>
  <c r="O42" i="121"/>
  <c r="O26" i="121"/>
  <c r="O31" i="121"/>
  <c r="O37" i="121"/>
  <c r="R53" i="121"/>
  <c r="R47" i="121"/>
  <c r="R58" i="121"/>
  <c r="P21" i="121"/>
  <c r="Q10" i="121"/>
  <c r="Q26" i="121"/>
  <c r="Q42" i="121"/>
  <c r="N31" i="121"/>
  <c r="N47" i="121"/>
  <c r="Q63" i="121"/>
  <c r="R69" i="121"/>
  <c r="N15" i="121"/>
  <c r="O15" i="121"/>
  <c r="Q31" i="121"/>
  <c r="Q47" i="121"/>
  <c r="R31" i="121"/>
  <c r="R10" i="121"/>
  <c r="N37" i="121"/>
  <c r="R15" i="121"/>
  <c r="N58" i="121"/>
  <c r="Q15" i="121"/>
  <c r="Q21" i="121"/>
  <c r="R21" i="121"/>
  <c r="N53" i="121"/>
  <c r="Q58" i="121"/>
  <c r="R63" i="121"/>
  <c r="R26" i="121"/>
  <c r="Q37" i="121"/>
  <c r="R37" i="121"/>
  <c r="Q53" i="121"/>
  <c r="N69" i="121"/>
  <c r="N10" i="121"/>
  <c r="O10" i="121"/>
  <c r="R42" i="121"/>
  <c r="Q69" i="121"/>
  <c r="N21" i="121"/>
  <c r="N26" i="121"/>
  <c r="O58" i="121"/>
  <c r="O63" i="121"/>
  <c r="P113" i="122"/>
  <c r="Q113" i="122"/>
  <c r="L113" i="122"/>
  <c r="M113" i="122"/>
  <c r="O113" i="122"/>
  <c r="N113" i="122"/>
  <c r="N90" i="122"/>
  <c r="M90" i="122"/>
  <c r="L90" i="122"/>
  <c r="Q90" i="122"/>
  <c r="O90" i="122"/>
  <c r="P90" i="122"/>
  <c r="M58" i="121"/>
  <c r="B38" i="134"/>
  <c r="P16" i="134"/>
  <c r="O16" i="134"/>
  <c r="N16" i="134"/>
  <c r="M16" i="134"/>
  <c r="L16" i="134"/>
  <c r="Q16" i="134"/>
  <c r="B15" i="134"/>
  <c r="L85" i="134"/>
  <c r="Q85" i="134"/>
  <c r="O85" i="134"/>
  <c r="N85" i="134"/>
  <c r="M85" i="134"/>
  <c r="P85" i="134"/>
  <c r="M39" i="134"/>
  <c r="L39" i="134"/>
  <c r="B61" i="134"/>
  <c r="Q39" i="134"/>
  <c r="O39" i="134"/>
  <c r="N39" i="134"/>
  <c r="P39" i="134"/>
  <c r="N62" i="134"/>
  <c r="M62" i="134"/>
  <c r="B84" i="134"/>
  <c r="Q62" i="134"/>
  <c r="P62" i="134"/>
  <c r="O62" i="134"/>
  <c r="L62" i="134"/>
  <c r="B38" i="133"/>
  <c r="P16" i="133"/>
  <c r="O16" i="133"/>
  <c r="M16" i="133"/>
  <c r="Q16" i="133"/>
  <c r="N16" i="133"/>
  <c r="L16" i="133"/>
  <c r="B15" i="133"/>
  <c r="M39" i="133"/>
  <c r="L39" i="133"/>
  <c r="P39" i="133"/>
  <c r="Q39" i="133"/>
  <c r="O39" i="133"/>
  <c r="N39" i="133"/>
  <c r="P44" i="122"/>
  <c r="Q44" i="122"/>
  <c r="O44" i="122"/>
  <c r="L44" i="122"/>
  <c r="M44" i="122"/>
  <c r="N44" i="122"/>
  <c r="P67" i="122"/>
  <c r="L67" i="122"/>
  <c r="M67" i="122"/>
  <c r="O67" i="122"/>
  <c r="Q67" i="122"/>
  <c r="N67" i="122"/>
  <c r="M10" i="121"/>
  <c r="Q20" i="122"/>
  <c r="P20" i="122"/>
  <c r="N20" i="122"/>
  <c r="M20" i="122"/>
  <c r="L20" i="122"/>
  <c r="O20" i="122"/>
  <c r="Q21" i="122"/>
  <c r="M21" i="122"/>
  <c r="L21" i="122"/>
  <c r="P21" i="122"/>
  <c r="O21" i="122"/>
  <c r="N21" i="122"/>
  <c r="B66" i="122"/>
  <c r="M63" i="121"/>
  <c r="P26" i="121"/>
  <c r="B43" i="122"/>
  <c r="B89" i="122"/>
  <c r="B112" i="122"/>
  <c r="B42" i="122"/>
  <c r="B19" i="122"/>
  <c r="M26" i="121"/>
  <c r="M31" i="121"/>
  <c r="P63" i="121"/>
  <c r="M37" i="121"/>
  <c r="M42" i="121"/>
  <c r="M15" i="121"/>
  <c r="M53" i="121"/>
  <c r="M69" i="121"/>
  <c r="P10" i="121"/>
  <c r="P58" i="121"/>
  <c r="M47" i="121"/>
  <c r="M21" i="121"/>
  <c r="P69" i="121"/>
  <c r="P31" i="121"/>
  <c r="P15" i="121"/>
  <c r="BN34" i="110"/>
  <c r="BO34" i="110" s="1"/>
  <c r="BM39" i="110"/>
  <c r="BM32" i="110"/>
  <c r="F43" i="103" s="1"/>
  <c r="G23" i="120"/>
  <c r="F4" i="120"/>
  <c r="F1" i="120"/>
  <c r="D4" i="120"/>
  <c r="F39" i="121" l="1"/>
  <c r="BO32" i="110"/>
  <c r="F48" i="121"/>
  <c r="BO39" i="110"/>
  <c r="AA67" i="122"/>
  <c r="AB67" i="122"/>
  <c r="AB21" i="122"/>
  <c r="AA20" i="122"/>
  <c r="K19" i="120"/>
  <c r="J7" i="120"/>
  <c r="J11" i="120" s="1"/>
  <c r="J13" i="120"/>
  <c r="J17" i="120" s="1"/>
  <c r="J19" i="120"/>
  <c r="AB20" i="122"/>
  <c r="Z21" i="122"/>
  <c r="AA21" i="122"/>
  <c r="Z67" i="122"/>
  <c r="Z20" i="122"/>
  <c r="F45" i="103"/>
  <c r="AN43" i="103"/>
  <c r="P53" i="121"/>
  <c r="F47" i="103"/>
  <c r="Q112" i="122"/>
  <c r="N112" i="122"/>
  <c r="P112" i="122"/>
  <c r="M112" i="122"/>
  <c r="L112" i="122"/>
  <c r="O112" i="122"/>
  <c r="N89" i="122"/>
  <c r="Q89" i="122"/>
  <c r="P89" i="122"/>
  <c r="M89" i="122"/>
  <c r="O89" i="122"/>
  <c r="L89" i="122"/>
  <c r="P38" i="134"/>
  <c r="O38" i="134"/>
  <c r="B60" i="134"/>
  <c r="N38" i="134"/>
  <c r="Q38" i="134"/>
  <c r="M38" i="134"/>
  <c r="L38" i="134"/>
  <c r="L84" i="134"/>
  <c r="O84" i="134"/>
  <c r="N84" i="134"/>
  <c r="M84" i="134"/>
  <c r="P84" i="134"/>
  <c r="Q84" i="134"/>
  <c r="O15" i="134"/>
  <c r="N15" i="134"/>
  <c r="M15" i="134"/>
  <c r="L15" i="134"/>
  <c r="Q15" i="134"/>
  <c r="P15" i="134"/>
  <c r="B14" i="134"/>
  <c r="B37" i="134"/>
  <c r="Q61" i="134"/>
  <c r="P61" i="134"/>
  <c r="O61" i="134"/>
  <c r="B83" i="134"/>
  <c r="L61" i="134"/>
  <c r="M61" i="134"/>
  <c r="N61" i="134"/>
  <c r="P38" i="133"/>
  <c r="O38" i="133"/>
  <c r="N38" i="133"/>
  <c r="M38" i="133"/>
  <c r="Q38" i="133"/>
  <c r="L38" i="133"/>
  <c r="P15" i="133"/>
  <c r="M15" i="133"/>
  <c r="O15" i="133"/>
  <c r="N15" i="133"/>
  <c r="L15" i="133"/>
  <c r="B37" i="133"/>
  <c r="B14" i="133"/>
  <c r="Q15" i="133"/>
  <c r="Q42" i="122"/>
  <c r="P42" i="122"/>
  <c r="O42" i="122"/>
  <c r="M42" i="122"/>
  <c r="L42" i="122"/>
  <c r="N42" i="122"/>
  <c r="O43" i="122"/>
  <c r="P43" i="122"/>
  <c r="Q43" i="122"/>
  <c r="M43" i="122"/>
  <c r="L43" i="122"/>
  <c r="N43" i="122"/>
  <c r="L66" i="122"/>
  <c r="P66" i="122"/>
  <c r="O66" i="122"/>
  <c r="Q66" i="122"/>
  <c r="N66" i="122"/>
  <c r="M66" i="122"/>
  <c r="B65" i="122"/>
  <c r="B88" i="122"/>
  <c r="B110" i="122" s="1"/>
  <c r="L19" i="122"/>
  <c r="Q19" i="122"/>
  <c r="P19" i="122"/>
  <c r="O19" i="122"/>
  <c r="N19" i="122"/>
  <c r="M19" i="122"/>
  <c r="B111" i="122"/>
  <c r="B64" i="122"/>
  <c r="B41" i="122"/>
  <c r="B18" i="122"/>
  <c r="H8" i="120"/>
  <c r="G28" i="120"/>
  <c r="F25" i="120"/>
  <c r="J4" i="120"/>
  <c r="C4" i="120"/>
  <c r="H14" i="120"/>
  <c r="F26" i="120"/>
  <c r="F9" i="120"/>
  <c r="F28" i="120"/>
  <c r="F15" i="120"/>
  <c r="H28" i="120" l="1"/>
  <c r="F29" i="120"/>
  <c r="L19" i="120"/>
  <c r="AB19" i="122"/>
  <c r="AA19" i="122"/>
  <c r="K23" i="120"/>
  <c r="J23" i="120"/>
  <c r="H21" i="120"/>
  <c r="H23" i="120"/>
  <c r="AB66" i="122"/>
  <c r="Z66" i="122"/>
  <c r="Z19" i="122"/>
  <c r="AA66" i="122"/>
  <c r="O110" i="122"/>
  <c r="Q110" i="122"/>
  <c r="P110" i="122"/>
  <c r="M110" i="122"/>
  <c r="N110" i="122"/>
  <c r="L110" i="122"/>
  <c r="Q111" i="122"/>
  <c r="O111" i="122"/>
  <c r="N111" i="122"/>
  <c r="P111" i="122"/>
  <c r="L111" i="122"/>
  <c r="M111" i="122"/>
  <c r="Q88" i="122"/>
  <c r="O88" i="122"/>
  <c r="N88" i="122"/>
  <c r="M88" i="122"/>
  <c r="L88" i="122"/>
  <c r="P88" i="122"/>
  <c r="L83" i="134"/>
  <c r="Q83" i="134"/>
  <c r="P83" i="134"/>
  <c r="N83" i="134"/>
  <c r="O83" i="134"/>
  <c r="M83" i="134"/>
  <c r="Q60" i="134"/>
  <c r="P60" i="134"/>
  <c r="O60" i="134"/>
  <c r="M60" i="134"/>
  <c r="N60" i="134"/>
  <c r="L60" i="134"/>
  <c r="B82" i="134"/>
  <c r="P37" i="134"/>
  <c r="N37" i="134"/>
  <c r="M37" i="134"/>
  <c r="O37" i="134"/>
  <c r="B59" i="134"/>
  <c r="Q37" i="134"/>
  <c r="L37" i="134"/>
  <c r="P14" i="134"/>
  <c r="B13" i="134"/>
  <c r="M14" i="134"/>
  <c r="O14" i="134"/>
  <c r="N14" i="134"/>
  <c r="B36" i="134"/>
  <c r="Q14" i="134"/>
  <c r="L14" i="134"/>
  <c r="P14" i="133"/>
  <c r="B36" i="133"/>
  <c r="M14" i="133"/>
  <c r="L14" i="133"/>
  <c r="B13" i="133"/>
  <c r="M13" i="133" s="1"/>
  <c r="Q14" i="133"/>
  <c r="O14" i="133"/>
  <c r="N14" i="133"/>
  <c r="Q37" i="133"/>
  <c r="P37" i="133"/>
  <c r="O37" i="133"/>
  <c r="M37" i="133"/>
  <c r="N37" i="133"/>
  <c r="L37" i="133"/>
  <c r="M64" i="122"/>
  <c r="O64" i="122"/>
  <c r="N64" i="122"/>
  <c r="P64" i="122"/>
  <c r="Q64" i="122"/>
  <c r="L64" i="122"/>
  <c r="Q41" i="122"/>
  <c r="P41" i="122"/>
  <c r="O41" i="122"/>
  <c r="N41" i="122"/>
  <c r="M41" i="122"/>
  <c r="L41" i="122"/>
  <c r="N65" i="122"/>
  <c r="P65" i="122"/>
  <c r="O65" i="122"/>
  <c r="L65" i="122"/>
  <c r="Q65" i="122"/>
  <c r="M65" i="122"/>
  <c r="B87" i="122"/>
  <c r="Q18" i="122"/>
  <c r="P18" i="122"/>
  <c r="O18" i="122"/>
  <c r="N18" i="122"/>
  <c r="L18" i="122"/>
  <c r="M18" i="122"/>
  <c r="B86" i="122"/>
  <c r="B63" i="122"/>
  <c r="B40" i="122"/>
  <c r="B17" i="122"/>
  <c r="H26" i="120"/>
  <c r="J25" i="120"/>
  <c r="F27" i="120"/>
  <c r="AB18" i="122" l="1"/>
  <c r="Z18" i="122"/>
  <c r="AA18" i="122"/>
  <c r="AA64" i="122"/>
  <c r="AB65" i="122"/>
  <c r="AB64" i="122"/>
  <c r="L23" i="120"/>
  <c r="Z65" i="122"/>
  <c r="AA65" i="122"/>
  <c r="Z64" i="122"/>
  <c r="B109" i="122"/>
  <c r="L87" i="122"/>
  <c r="P87" i="122"/>
  <c r="M87" i="122"/>
  <c r="N87" i="122"/>
  <c r="Q87" i="122"/>
  <c r="O87" i="122"/>
  <c r="O86" i="122"/>
  <c r="Q86" i="122"/>
  <c r="N86" i="122"/>
  <c r="M86" i="122"/>
  <c r="P86" i="122"/>
  <c r="L86" i="122"/>
  <c r="O36" i="134"/>
  <c r="N36" i="134"/>
  <c r="M36" i="134"/>
  <c r="L36" i="134"/>
  <c r="B58" i="134"/>
  <c r="P36" i="134"/>
  <c r="Q36" i="134"/>
  <c r="Q59" i="134"/>
  <c r="P59" i="134"/>
  <c r="M59" i="134"/>
  <c r="B81" i="134"/>
  <c r="O59" i="134"/>
  <c r="N59" i="134"/>
  <c r="L59" i="134"/>
  <c r="L82" i="134"/>
  <c r="O82" i="134"/>
  <c r="N82" i="134"/>
  <c r="M82" i="134"/>
  <c r="Q82" i="134"/>
  <c r="P82" i="134"/>
  <c r="M13" i="134"/>
  <c r="L13" i="134"/>
  <c r="B12" i="134"/>
  <c r="Q13" i="134"/>
  <c r="P13" i="134"/>
  <c r="N13" i="134"/>
  <c r="O13" i="134"/>
  <c r="B35" i="134"/>
  <c r="L13" i="133"/>
  <c r="B12" i="133"/>
  <c r="Q13" i="133"/>
  <c r="B35" i="133"/>
  <c r="P13" i="133"/>
  <c r="O13" i="133"/>
  <c r="N13" i="133"/>
  <c r="P36" i="133"/>
  <c r="O36" i="133"/>
  <c r="M36" i="133"/>
  <c r="Q36" i="133"/>
  <c r="N36" i="133"/>
  <c r="L36" i="133"/>
  <c r="Q40" i="122"/>
  <c r="P40" i="122"/>
  <c r="O40" i="122"/>
  <c r="M40" i="122"/>
  <c r="N40" i="122"/>
  <c r="L40" i="122"/>
  <c r="O63" i="122"/>
  <c r="L63" i="122"/>
  <c r="N63" i="122"/>
  <c r="M63" i="122"/>
  <c r="P63" i="122"/>
  <c r="Q63" i="122"/>
  <c r="Q17" i="122"/>
  <c r="N17" i="122"/>
  <c r="P17" i="122"/>
  <c r="O17" i="122"/>
  <c r="M17" i="122"/>
  <c r="L17" i="122"/>
  <c r="B62" i="122"/>
  <c r="B85" i="122"/>
  <c r="B108" i="122"/>
  <c r="B39" i="122"/>
  <c r="B16" i="122"/>
  <c r="Z17" i="122" l="1"/>
  <c r="AB17" i="122"/>
  <c r="AA17" i="122"/>
  <c r="AB63" i="122"/>
  <c r="Z63" i="122"/>
  <c r="AA63" i="122"/>
  <c r="P47" i="121"/>
  <c r="L85" i="122"/>
  <c r="M85" i="122"/>
  <c r="O85" i="122"/>
  <c r="P85" i="122"/>
  <c r="N85" i="122"/>
  <c r="Q85" i="122"/>
  <c r="N108" i="122"/>
  <c r="L108" i="122"/>
  <c r="O108" i="122"/>
  <c r="P108" i="122"/>
  <c r="M108" i="122"/>
  <c r="Q108" i="122"/>
  <c r="L109" i="122"/>
  <c r="Q109" i="122"/>
  <c r="O109" i="122"/>
  <c r="N109" i="122"/>
  <c r="M109" i="122"/>
  <c r="P109" i="122"/>
  <c r="L81" i="134"/>
  <c r="Q81" i="134"/>
  <c r="P81" i="134"/>
  <c r="O81" i="134"/>
  <c r="N81" i="134"/>
  <c r="M81" i="134"/>
  <c r="N58" i="134"/>
  <c r="M58" i="134"/>
  <c r="B80" i="134"/>
  <c r="O58" i="134"/>
  <c r="L58" i="134"/>
  <c r="Q58" i="134"/>
  <c r="P58" i="134"/>
  <c r="B34" i="134"/>
  <c r="P12" i="134"/>
  <c r="O12" i="134"/>
  <c r="B11" i="134"/>
  <c r="Q12" i="134"/>
  <c r="N12" i="134"/>
  <c r="M12" i="134"/>
  <c r="L12" i="134"/>
  <c r="M35" i="134"/>
  <c r="L35" i="134"/>
  <c r="N35" i="134"/>
  <c r="B57" i="134"/>
  <c r="Q35" i="134"/>
  <c r="P35" i="134"/>
  <c r="O35" i="134"/>
  <c r="M35" i="133"/>
  <c r="L35" i="133"/>
  <c r="P35" i="133"/>
  <c r="O35" i="133"/>
  <c r="Q35" i="133"/>
  <c r="N35" i="133"/>
  <c r="B34" i="133"/>
  <c r="P12" i="133"/>
  <c r="O12" i="133"/>
  <c r="M12" i="133"/>
  <c r="B11" i="133"/>
  <c r="Q12" i="133"/>
  <c r="N12" i="133"/>
  <c r="L12" i="133"/>
  <c r="L62" i="122"/>
  <c r="N62" i="122"/>
  <c r="O62" i="122"/>
  <c r="P62" i="122"/>
  <c r="Q62" i="122"/>
  <c r="M62" i="122"/>
  <c r="Q39" i="122"/>
  <c r="P39" i="122"/>
  <c r="O39" i="122"/>
  <c r="L39" i="122"/>
  <c r="N39" i="122"/>
  <c r="M39" i="122"/>
  <c r="O16" i="122"/>
  <c r="N16" i="122"/>
  <c r="M16" i="122"/>
  <c r="L16" i="122"/>
  <c r="Q16" i="122"/>
  <c r="P16" i="122"/>
  <c r="B61" i="122"/>
  <c r="B107" i="122"/>
  <c r="B84" i="122"/>
  <c r="B38" i="122"/>
  <c r="B15" i="122"/>
  <c r="O15" i="122" s="1"/>
  <c r="D4" i="105"/>
  <c r="F7" i="108"/>
  <c r="AA62" i="122" l="1"/>
  <c r="Z16" i="122"/>
  <c r="AA16" i="122"/>
  <c r="Z62" i="122"/>
  <c r="AB62" i="122"/>
  <c r="AB16" i="122"/>
  <c r="Q84" i="122"/>
  <c r="P84" i="122"/>
  <c r="L84" i="122"/>
  <c r="N84" i="122"/>
  <c r="O84" i="122"/>
  <c r="M84" i="122"/>
  <c r="M107" i="122"/>
  <c r="Q107" i="122"/>
  <c r="P107" i="122"/>
  <c r="N107" i="122"/>
  <c r="L107" i="122"/>
  <c r="O107" i="122"/>
  <c r="P34" i="134"/>
  <c r="O34" i="134"/>
  <c r="B56" i="134"/>
  <c r="M34" i="134"/>
  <c r="Q34" i="134"/>
  <c r="N34" i="134"/>
  <c r="L34" i="134"/>
  <c r="Q11" i="134"/>
  <c r="B33" i="134"/>
  <c r="N11" i="134"/>
  <c r="P11" i="134"/>
  <c r="B10" i="134"/>
  <c r="O11" i="134"/>
  <c r="L11" i="134"/>
  <c r="M11" i="134"/>
  <c r="L80" i="134"/>
  <c r="P80" i="134"/>
  <c r="O80" i="134"/>
  <c r="Q80" i="134"/>
  <c r="N80" i="134"/>
  <c r="M80" i="134"/>
  <c r="Q57" i="134"/>
  <c r="P57" i="134"/>
  <c r="B79" i="134"/>
  <c r="L57" i="134"/>
  <c r="N57" i="134"/>
  <c r="O57" i="134"/>
  <c r="M57" i="134"/>
  <c r="P11" i="133"/>
  <c r="M11" i="133"/>
  <c r="Q11" i="133"/>
  <c r="O11" i="133"/>
  <c r="L11" i="133"/>
  <c r="N11" i="133"/>
  <c r="B10" i="133"/>
  <c r="B33" i="133"/>
  <c r="P34" i="133"/>
  <c r="O34" i="133"/>
  <c r="N34" i="133"/>
  <c r="M34" i="133"/>
  <c r="L34" i="133"/>
  <c r="Q34" i="133"/>
  <c r="Q38" i="122"/>
  <c r="P38" i="122"/>
  <c r="O38" i="122"/>
  <c r="L38" i="122"/>
  <c r="N38" i="122"/>
  <c r="M38" i="122"/>
  <c r="Q61" i="122"/>
  <c r="N61" i="122"/>
  <c r="L61" i="122"/>
  <c r="O61" i="122"/>
  <c r="P61" i="122"/>
  <c r="M61" i="122"/>
  <c r="L15" i="122"/>
  <c r="Z15" i="122" s="1"/>
  <c r="Q15" i="122"/>
  <c r="P15" i="122"/>
  <c r="N15" i="122"/>
  <c r="M15" i="122"/>
  <c r="B106" i="122"/>
  <c r="B60" i="122"/>
  <c r="B83" i="122"/>
  <c r="B37" i="122"/>
  <c r="B14" i="122"/>
  <c r="G8" i="107"/>
  <c r="M40" i="115"/>
  <c r="J33" i="105"/>
  <c r="W26" i="110"/>
  <c r="F32" i="119" s="1"/>
  <c r="Q68" i="117"/>
  <c r="Q67" i="117"/>
  <c r="Q66" i="117"/>
  <c r="Q65" i="117"/>
  <c r="Q64" i="117"/>
  <c r="Q62" i="117"/>
  <c r="Q61" i="117"/>
  <c r="Q60" i="117"/>
  <c r="Q59" i="117"/>
  <c r="Q57" i="117"/>
  <c r="Q56" i="117"/>
  <c r="Q55" i="117"/>
  <c r="Q54" i="117"/>
  <c r="Q52" i="117"/>
  <c r="Q51" i="117"/>
  <c r="Q50" i="117"/>
  <c r="Q49" i="117"/>
  <c r="Q48" i="117"/>
  <c r="Q46" i="117"/>
  <c r="Q45" i="117"/>
  <c r="Q44" i="117"/>
  <c r="Q43" i="117"/>
  <c r="Q41" i="117"/>
  <c r="Q40" i="117"/>
  <c r="Q39" i="117"/>
  <c r="Q38" i="117"/>
  <c r="Q36" i="117"/>
  <c r="Q35" i="117"/>
  <c r="Q34" i="117"/>
  <c r="Q33" i="117"/>
  <c r="Q32" i="117"/>
  <c r="Q30" i="117"/>
  <c r="Q29" i="117"/>
  <c r="Q28" i="117"/>
  <c r="Q27" i="117"/>
  <c r="Q25" i="117"/>
  <c r="Q24" i="117"/>
  <c r="Q23" i="117"/>
  <c r="Q22" i="117"/>
  <c r="Q20" i="117"/>
  <c r="Q19" i="117"/>
  <c r="Q18" i="117"/>
  <c r="Q17" i="117"/>
  <c r="Q16" i="117"/>
  <c r="Q14" i="117"/>
  <c r="Q13" i="117"/>
  <c r="Q12" i="117"/>
  <c r="Q11" i="117"/>
  <c r="Q9" i="117"/>
  <c r="Q8" i="117"/>
  <c r="Q7" i="117"/>
  <c r="Q6" i="117"/>
  <c r="P68" i="117"/>
  <c r="P67" i="117"/>
  <c r="P66" i="117"/>
  <c r="P65" i="117"/>
  <c r="P64" i="117"/>
  <c r="P62" i="117"/>
  <c r="P61" i="117"/>
  <c r="P60" i="117"/>
  <c r="P59" i="117"/>
  <c r="P57" i="117"/>
  <c r="P56" i="117"/>
  <c r="P55" i="117"/>
  <c r="P54" i="117"/>
  <c r="P52" i="117"/>
  <c r="P51" i="117"/>
  <c r="P50" i="117"/>
  <c r="P49" i="117"/>
  <c r="P48" i="117"/>
  <c r="P46" i="117"/>
  <c r="P45" i="117"/>
  <c r="P44" i="117"/>
  <c r="P43" i="117"/>
  <c r="P41" i="117"/>
  <c r="P40" i="117"/>
  <c r="P39" i="117"/>
  <c r="P38" i="117"/>
  <c r="P36" i="117"/>
  <c r="P35" i="117"/>
  <c r="P34" i="117"/>
  <c r="P33" i="117"/>
  <c r="P32" i="117"/>
  <c r="P30" i="117"/>
  <c r="P29" i="117"/>
  <c r="P28" i="117"/>
  <c r="P27" i="117"/>
  <c r="P25" i="117"/>
  <c r="P24" i="117"/>
  <c r="P23" i="117"/>
  <c r="P22" i="117"/>
  <c r="P20" i="117"/>
  <c r="P19" i="117"/>
  <c r="P18" i="117"/>
  <c r="P17" i="117"/>
  <c r="P16" i="117"/>
  <c r="P14" i="117"/>
  <c r="P13" i="117"/>
  <c r="P12" i="117"/>
  <c r="P11" i="117"/>
  <c r="P9" i="117"/>
  <c r="P8" i="117"/>
  <c r="P7" i="117"/>
  <c r="N14" i="117"/>
  <c r="N13" i="117"/>
  <c r="N12" i="117"/>
  <c r="N11" i="117"/>
  <c r="N9" i="117"/>
  <c r="N8" i="117"/>
  <c r="N7" i="117"/>
  <c r="N6" i="117"/>
  <c r="M68" i="117"/>
  <c r="M67" i="117"/>
  <c r="M66" i="117"/>
  <c r="M65" i="117"/>
  <c r="M64" i="117"/>
  <c r="M62" i="117"/>
  <c r="M61" i="117"/>
  <c r="M60" i="117"/>
  <c r="M59" i="117"/>
  <c r="M57" i="117"/>
  <c r="M56" i="117"/>
  <c r="M55" i="117"/>
  <c r="M54" i="117"/>
  <c r="M52" i="117"/>
  <c r="M51" i="117"/>
  <c r="M50" i="117"/>
  <c r="M49" i="117"/>
  <c r="M48" i="117"/>
  <c r="M46" i="117"/>
  <c r="M45" i="117"/>
  <c r="M44" i="117"/>
  <c r="M43" i="117"/>
  <c r="M41" i="117"/>
  <c r="M40" i="117"/>
  <c r="M39" i="117"/>
  <c r="M38" i="117"/>
  <c r="M36" i="117"/>
  <c r="M35" i="117"/>
  <c r="M34" i="117"/>
  <c r="M33" i="117"/>
  <c r="M32" i="117"/>
  <c r="M30" i="117"/>
  <c r="M29" i="117"/>
  <c r="M28" i="117"/>
  <c r="M27" i="117"/>
  <c r="M25" i="117"/>
  <c r="M24" i="117"/>
  <c r="M23" i="117"/>
  <c r="M22" i="117"/>
  <c r="M20" i="117"/>
  <c r="M19" i="117"/>
  <c r="M18" i="117"/>
  <c r="M17" i="117"/>
  <c r="M16" i="117"/>
  <c r="M14" i="117"/>
  <c r="M13" i="117"/>
  <c r="M12" i="117"/>
  <c r="M11" i="117"/>
  <c r="M9" i="117"/>
  <c r="M8" i="117"/>
  <c r="M7" i="117"/>
  <c r="M6" i="117"/>
  <c r="R69" i="117"/>
  <c r="O69" i="117"/>
  <c r="R63" i="117"/>
  <c r="O63" i="117"/>
  <c r="R58" i="117"/>
  <c r="O58" i="117"/>
  <c r="R53" i="117"/>
  <c r="O53" i="117"/>
  <c r="R47" i="117"/>
  <c r="O47" i="117"/>
  <c r="R42" i="117"/>
  <c r="O42" i="117"/>
  <c r="R37" i="117"/>
  <c r="O37" i="117"/>
  <c r="R31" i="117"/>
  <c r="O31" i="117"/>
  <c r="R26" i="117"/>
  <c r="O26" i="117"/>
  <c r="R21" i="117"/>
  <c r="O21" i="117"/>
  <c r="R15" i="117"/>
  <c r="O15" i="117"/>
  <c r="R10" i="117"/>
  <c r="O10" i="117"/>
  <c r="R68" i="116"/>
  <c r="R67" i="116"/>
  <c r="R66" i="116"/>
  <c r="R65" i="116"/>
  <c r="R64" i="116"/>
  <c r="R62" i="116"/>
  <c r="R61" i="116"/>
  <c r="R60" i="116"/>
  <c r="R59" i="116"/>
  <c r="R57" i="116"/>
  <c r="R56" i="116"/>
  <c r="R55" i="116"/>
  <c r="R54" i="116"/>
  <c r="R52" i="116"/>
  <c r="R51" i="116"/>
  <c r="R50" i="116"/>
  <c r="R49" i="116"/>
  <c r="R48" i="116"/>
  <c r="R46" i="116"/>
  <c r="R45" i="116"/>
  <c r="R44" i="116"/>
  <c r="R43" i="116"/>
  <c r="R41" i="116"/>
  <c r="R40" i="116"/>
  <c r="R39" i="116"/>
  <c r="R38" i="116"/>
  <c r="R36" i="116"/>
  <c r="R35" i="116"/>
  <c r="R34" i="116"/>
  <c r="R33" i="116"/>
  <c r="R32" i="116"/>
  <c r="R30" i="116"/>
  <c r="R29" i="116"/>
  <c r="R28" i="116"/>
  <c r="R27" i="116"/>
  <c r="R25" i="116"/>
  <c r="R24" i="116"/>
  <c r="R23" i="116"/>
  <c r="R22" i="116"/>
  <c r="R20" i="116"/>
  <c r="R19" i="116"/>
  <c r="R18" i="116"/>
  <c r="R17" i="116"/>
  <c r="R16" i="116"/>
  <c r="R14" i="116"/>
  <c r="R13" i="116"/>
  <c r="R12" i="116"/>
  <c r="R11" i="116"/>
  <c r="R9" i="116"/>
  <c r="R8" i="116"/>
  <c r="R7" i="116"/>
  <c r="R6" i="116"/>
  <c r="Q68" i="116"/>
  <c r="Q67" i="116"/>
  <c r="Q66" i="116"/>
  <c r="Q65" i="116"/>
  <c r="Q64" i="116"/>
  <c r="Q62" i="116"/>
  <c r="Q61" i="116"/>
  <c r="Q60" i="116"/>
  <c r="Q59" i="116"/>
  <c r="Q57" i="116"/>
  <c r="Q56" i="116"/>
  <c r="Q55" i="116"/>
  <c r="Q54" i="116"/>
  <c r="Q52" i="116"/>
  <c r="Q51" i="116"/>
  <c r="Q50" i="116"/>
  <c r="Q49" i="116"/>
  <c r="Q48" i="116"/>
  <c r="Q46" i="116"/>
  <c r="Q45" i="116"/>
  <c r="Q44" i="116"/>
  <c r="Q43" i="116"/>
  <c r="Q41" i="116"/>
  <c r="Q40" i="116"/>
  <c r="Q39" i="116"/>
  <c r="Q38" i="116"/>
  <c r="Q36" i="116"/>
  <c r="Q35" i="116"/>
  <c r="Q34" i="116"/>
  <c r="Q33" i="116"/>
  <c r="Q32" i="116"/>
  <c r="Q30" i="116"/>
  <c r="Q29" i="116"/>
  <c r="Q28" i="116"/>
  <c r="Q27" i="116"/>
  <c r="Q25" i="116"/>
  <c r="Q24" i="116"/>
  <c r="Q23" i="116"/>
  <c r="Q22" i="116"/>
  <c r="P68" i="116"/>
  <c r="P67" i="116"/>
  <c r="P66" i="116"/>
  <c r="P65" i="116"/>
  <c r="P64" i="116"/>
  <c r="P62" i="116"/>
  <c r="P61" i="116"/>
  <c r="P60" i="116"/>
  <c r="P59" i="116"/>
  <c r="P57" i="116"/>
  <c r="P56" i="116"/>
  <c r="P55" i="116"/>
  <c r="P54" i="116"/>
  <c r="P52" i="116"/>
  <c r="P51" i="116"/>
  <c r="P50" i="116"/>
  <c r="P49" i="116"/>
  <c r="P48" i="116"/>
  <c r="P46" i="116"/>
  <c r="P45" i="116"/>
  <c r="P44" i="116"/>
  <c r="P43" i="116"/>
  <c r="P41" i="116"/>
  <c r="P39" i="116"/>
  <c r="P38" i="116"/>
  <c r="P36" i="116"/>
  <c r="P35" i="116"/>
  <c r="P34" i="116"/>
  <c r="P33" i="116"/>
  <c r="P32" i="116"/>
  <c r="P30" i="116"/>
  <c r="P29" i="116"/>
  <c r="P28" i="116"/>
  <c r="P27" i="116"/>
  <c r="P25" i="116"/>
  <c r="P24" i="116"/>
  <c r="P23" i="116"/>
  <c r="P22" i="116"/>
  <c r="P20" i="116"/>
  <c r="P19" i="116"/>
  <c r="P18" i="116"/>
  <c r="P17" i="116"/>
  <c r="P16" i="116"/>
  <c r="P14" i="116"/>
  <c r="P13" i="116"/>
  <c r="P11" i="116"/>
  <c r="P9" i="116"/>
  <c r="P8" i="116"/>
  <c r="P7" i="116"/>
  <c r="P6" i="116"/>
  <c r="O68" i="116"/>
  <c r="O67" i="116"/>
  <c r="O66" i="116"/>
  <c r="O65" i="116"/>
  <c r="O64" i="116"/>
  <c r="O62" i="116"/>
  <c r="O61" i="116"/>
  <c r="O60" i="116"/>
  <c r="O59" i="116"/>
  <c r="O57" i="116"/>
  <c r="O56" i="116"/>
  <c r="O55" i="116"/>
  <c r="O54" i="116"/>
  <c r="O52" i="116"/>
  <c r="O51" i="116"/>
  <c r="O50" i="116"/>
  <c r="O49" i="116"/>
  <c r="O48" i="116"/>
  <c r="O46" i="116"/>
  <c r="O45" i="116"/>
  <c r="O44" i="116"/>
  <c r="O43" i="116"/>
  <c r="O41" i="116"/>
  <c r="O40" i="116"/>
  <c r="O39" i="116"/>
  <c r="O38" i="116"/>
  <c r="O36" i="116"/>
  <c r="O35" i="116"/>
  <c r="O34" i="116"/>
  <c r="O33" i="116"/>
  <c r="O32" i="116"/>
  <c r="O30" i="116"/>
  <c r="O29" i="116"/>
  <c r="O28" i="116"/>
  <c r="O27" i="116"/>
  <c r="O25" i="116"/>
  <c r="O24" i="116"/>
  <c r="O23" i="116"/>
  <c r="O22" i="116"/>
  <c r="O20" i="116"/>
  <c r="O19" i="116"/>
  <c r="O18" i="116"/>
  <c r="O17" i="116"/>
  <c r="O16" i="116"/>
  <c r="O14" i="116"/>
  <c r="O13" i="116"/>
  <c r="O12" i="116"/>
  <c r="O11" i="116"/>
  <c r="O9" i="116"/>
  <c r="O8" i="116"/>
  <c r="O7" i="116"/>
  <c r="O6" i="116"/>
  <c r="N68" i="116"/>
  <c r="N67" i="116"/>
  <c r="N66" i="116"/>
  <c r="N65" i="116"/>
  <c r="N64" i="116"/>
  <c r="N62" i="116"/>
  <c r="N61" i="116"/>
  <c r="N60" i="116"/>
  <c r="N59" i="116"/>
  <c r="N57" i="116"/>
  <c r="N56" i="116"/>
  <c r="N55" i="116"/>
  <c r="N54" i="116"/>
  <c r="N52" i="116"/>
  <c r="N51" i="116"/>
  <c r="N50" i="116"/>
  <c r="N49" i="116"/>
  <c r="N48" i="116"/>
  <c r="N46" i="116"/>
  <c r="N45" i="116"/>
  <c r="N44" i="116"/>
  <c r="N43" i="116"/>
  <c r="N41" i="116"/>
  <c r="N40" i="116"/>
  <c r="N39" i="116"/>
  <c r="N38" i="116"/>
  <c r="N36" i="116"/>
  <c r="N35" i="116"/>
  <c r="N34" i="116"/>
  <c r="N33" i="116"/>
  <c r="N32" i="116"/>
  <c r="N30" i="116"/>
  <c r="N29" i="116"/>
  <c r="N28" i="116"/>
  <c r="N27" i="116"/>
  <c r="N25" i="116"/>
  <c r="N24" i="116"/>
  <c r="N23" i="116"/>
  <c r="N22" i="116"/>
  <c r="M68" i="116"/>
  <c r="M67" i="116"/>
  <c r="M66" i="116"/>
  <c r="M65" i="116"/>
  <c r="M64" i="116"/>
  <c r="M62" i="116"/>
  <c r="M61" i="116"/>
  <c r="M60" i="116"/>
  <c r="M59" i="116"/>
  <c r="M57" i="116"/>
  <c r="M56" i="116"/>
  <c r="M55" i="116"/>
  <c r="M54" i="116"/>
  <c r="M52" i="116"/>
  <c r="M51" i="116"/>
  <c r="M50" i="116"/>
  <c r="M49" i="116"/>
  <c r="M48" i="116"/>
  <c r="M46" i="116"/>
  <c r="M45" i="116"/>
  <c r="M44" i="116"/>
  <c r="M43" i="116"/>
  <c r="M41" i="116"/>
  <c r="M39" i="116"/>
  <c r="M38" i="116"/>
  <c r="M36" i="116"/>
  <c r="M35" i="116"/>
  <c r="M34" i="116"/>
  <c r="M33" i="116"/>
  <c r="M32" i="116"/>
  <c r="M30" i="116"/>
  <c r="M29" i="116"/>
  <c r="M28" i="116"/>
  <c r="M27" i="116"/>
  <c r="M25" i="116"/>
  <c r="M24" i="116"/>
  <c r="M23" i="116"/>
  <c r="M22" i="116"/>
  <c r="M20" i="116"/>
  <c r="M19" i="116"/>
  <c r="M18" i="116"/>
  <c r="M17" i="116"/>
  <c r="M16" i="116"/>
  <c r="M14" i="116"/>
  <c r="M13" i="116"/>
  <c r="M9" i="116"/>
  <c r="M8" i="116"/>
  <c r="M7" i="116"/>
  <c r="M6" i="116"/>
  <c r="R68" i="115"/>
  <c r="R67" i="115"/>
  <c r="R66" i="115"/>
  <c r="R65" i="115"/>
  <c r="R64" i="115"/>
  <c r="R62" i="115"/>
  <c r="R61" i="115"/>
  <c r="R60" i="115"/>
  <c r="R59" i="115"/>
  <c r="R57" i="115"/>
  <c r="R56" i="115"/>
  <c r="R55" i="115"/>
  <c r="R54" i="115"/>
  <c r="R52" i="115"/>
  <c r="R51" i="115"/>
  <c r="R50" i="115"/>
  <c r="R49" i="115"/>
  <c r="R48" i="115"/>
  <c r="R46" i="115"/>
  <c r="R45" i="115"/>
  <c r="R44" i="115"/>
  <c r="R43" i="115"/>
  <c r="R41" i="115"/>
  <c r="R40" i="115"/>
  <c r="R39" i="115"/>
  <c r="R38" i="115"/>
  <c r="R36" i="115"/>
  <c r="R35" i="115"/>
  <c r="R34" i="115"/>
  <c r="R33" i="115"/>
  <c r="R32" i="115"/>
  <c r="R30" i="115"/>
  <c r="R29" i="115"/>
  <c r="R28" i="115"/>
  <c r="R27" i="115"/>
  <c r="R25" i="115"/>
  <c r="R24" i="115"/>
  <c r="R23" i="115"/>
  <c r="R22" i="115"/>
  <c r="R20" i="115"/>
  <c r="R19" i="115"/>
  <c r="R18" i="115"/>
  <c r="R17" i="115"/>
  <c r="R16" i="115"/>
  <c r="R14" i="115"/>
  <c r="R13" i="115"/>
  <c r="R12" i="115"/>
  <c r="R11" i="115"/>
  <c r="R9" i="115"/>
  <c r="R8" i="115"/>
  <c r="R7" i="115"/>
  <c r="R6" i="115"/>
  <c r="Q68" i="115"/>
  <c r="Q67" i="115"/>
  <c r="Q66" i="115"/>
  <c r="Q65" i="115"/>
  <c r="Q64" i="115"/>
  <c r="Q62" i="115"/>
  <c r="Q61" i="115"/>
  <c r="Q60" i="115"/>
  <c r="Q59" i="115"/>
  <c r="Q57" i="115"/>
  <c r="Q56" i="115"/>
  <c r="Q55" i="115"/>
  <c r="Q54" i="115"/>
  <c r="Q52" i="115"/>
  <c r="Q51" i="115"/>
  <c r="Q50" i="115"/>
  <c r="Q49" i="115"/>
  <c r="Q48" i="115"/>
  <c r="Q46" i="115"/>
  <c r="Q45" i="115"/>
  <c r="Q44" i="115"/>
  <c r="Q43" i="115"/>
  <c r="Q41" i="115"/>
  <c r="Q40" i="115"/>
  <c r="Q39" i="115"/>
  <c r="Q38" i="115"/>
  <c r="Q36" i="115"/>
  <c r="Q35" i="115"/>
  <c r="Q34" i="115"/>
  <c r="Q33" i="115"/>
  <c r="Q32" i="115"/>
  <c r="Q30" i="115"/>
  <c r="Q29" i="115"/>
  <c r="Q28" i="115"/>
  <c r="Q27" i="115"/>
  <c r="Q25" i="115"/>
  <c r="Q24" i="115"/>
  <c r="Q23" i="115"/>
  <c r="Q22" i="115"/>
  <c r="Q20" i="115"/>
  <c r="Q19" i="115"/>
  <c r="Q18" i="115"/>
  <c r="Q17" i="115"/>
  <c r="Q16" i="115"/>
  <c r="Q14" i="115"/>
  <c r="Q13" i="115"/>
  <c r="Q12" i="115"/>
  <c r="Q11" i="115"/>
  <c r="Q9" i="115"/>
  <c r="Q8" i="115"/>
  <c r="Q7" i="115"/>
  <c r="Q6" i="115"/>
  <c r="P68" i="115"/>
  <c r="P67" i="115"/>
  <c r="P66" i="115"/>
  <c r="P65" i="115"/>
  <c r="P64" i="115"/>
  <c r="P62" i="115"/>
  <c r="P61" i="115"/>
  <c r="P60" i="115"/>
  <c r="P59" i="115"/>
  <c r="P57" i="115"/>
  <c r="P56" i="115"/>
  <c r="P55" i="115"/>
  <c r="P54" i="115"/>
  <c r="P52" i="115"/>
  <c r="P51" i="115"/>
  <c r="P50" i="115"/>
  <c r="P49" i="115"/>
  <c r="P48" i="115"/>
  <c r="P46" i="115"/>
  <c r="P45" i="115"/>
  <c r="P44" i="115"/>
  <c r="P43" i="115"/>
  <c r="P41" i="115"/>
  <c r="P40" i="115"/>
  <c r="P39" i="115"/>
  <c r="P38" i="115"/>
  <c r="P36" i="115"/>
  <c r="P35" i="115"/>
  <c r="P34" i="115"/>
  <c r="P33" i="115"/>
  <c r="P32" i="115"/>
  <c r="P30" i="115"/>
  <c r="P29" i="115"/>
  <c r="P28" i="115"/>
  <c r="P27" i="115"/>
  <c r="P25" i="115"/>
  <c r="P24" i="115"/>
  <c r="P23" i="115"/>
  <c r="P22" i="115"/>
  <c r="P20" i="115"/>
  <c r="P19" i="115"/>
  <c r="P18" i="115"/>
  <c r="P17" i="115"/>
  <c r="P16" i="115"/>
  <c r="P14" i="115"/>
  <c r="P13" i="115"/>
  <c r="P12" i="115"/>
  <c r="P11" i="115"/>
  <c r="P9" i="115"/>
  <c r="P8" i="115"/>
  <c r="P7" i="115"/>
  <c r="P6" i="115"/>
  <c r="O68" i="115"/>
  <c r="O67" i="115"/>
  <c r="O66" i="115"/>
  <c r="O65" i="115"/>
  <c r="O64" i="115"/>
  <c r="O62" i="115"/>
  <c r="O61" i="115"/>
  <c r="O60" i="115"/>
  <c r="O59" i="115"/>
  <c r="O57" i="115"/>
  <c r="O56" i="115"/>
  <c r="O55" i="115"/>
  <c r="O54" i="115"/>
  <c r="O52" i="115"/>
  <c r="O51" i="115"/>
  <c r="O50" i="115"/>
  <c r="O49" i="115"/>
  <c r="O48" i="115"/>
  <c r="O46" i="115"/>
  <c r="O45" i="115"/>
  <c r="O44" i="115"/>
  <c r="O43" i="115"/>
  <c r="O41" i="115"/>
  <c r="O40" i="115"/>
  <c r="O39" i="115"/>
  <c r="O38" i="115"/>
  <c r="O36" i="115"/>
  <c r="O35" i="115"/>
  <c r="O34" i="115"/>
  <c r="O33" i="115"/>
  <c r="O32" i="115"/>
  <c r="O30" i="115"/>
  <c r="O29" i="115"/>
  <c r="O28" i="115"/>
  <c r="O27" i="115"/>
  <c r="O25" i="115"/>
  <c r="O24" i="115"/>
  <c r="O23" i="115"/>
  <c r="O22" i="115"/>
  <c r="O20" i="115"/>
  <c r="O19" i="115"/>
  <c r="O18" i="115"/>
  <c r="O17" i="115"/>
  <c r="O16" i="115"/>
  <c r="O14" i="115"/>
  <c r="O13" i="115"/>
  <c r="O12" i="115"/>
  <c r="O11" i="115"/>
  <c r="O9" i="115"/>
  <c r="O8" i="115"/>
  <c r="O7" i="115"/>
  <c r="N68" i="115"/>
  <c r="N67" i="115"/>
  <c r="N66" i="115"/>
  <c r="N65" i="115"/>
  <c r="N64" i="115"/>
  <c r="N62" i="115"/>
  <c r="N61" i="115"/>
  <c r="N60" i="115"/>
  <c r="N59" i="115"/>
  <c r="N57" i="115"/>
  <c r="N56" i="115"/>
  <c r="N55" i="115"/>
  <c r="N54" i="115"/>
  <c r="N52" i="115"/>
  <c r="N51" i="115"/>
  <c r="N50" i="115"/>
  <c r="N49" i="115"/>
  <c r="N48" i="115"/>
  <c r="N46" i="115"/>
  <c r="N45" i="115"/>
  <c r="N44" i="115"/>
  <c r="N43" i="115"/>
  <c r="N41" i="115"/>
  <c r="N40" i="115"/>
  <c r="N39" i="115"/>
  <c r="N38" i="115"/>
  <c r="N36" i="115"/>
  <c r="N35" i="115"/>
  <c r="N34" i="115"/>
  <c r="N33" i="115"/>
  <c r="N32" i="115"/>
  <c r="N30" i="115"/>
  <c r="N29" i="115"/>
  <c r="N28" i="115"/>
  <c r="N27" i="115"/>
  <c r="N25" i="115"/>
  <c r="N24" i="115"/>
  <c r="N23" i="115"/>
  <c r="N22" i="115"/>
  <c r="N20" i="115"/>
  <c r="N19" i="115"/>
  <c r="N18" i="115"/>
  <c r="N17" i="115"/>
  <c r="N16" i="115"/>
  <c r="N14" i="115"/>
  <c r="N13" i="115"/>
  <c r="N12" i="115"/>
  <c r="N11" i="115"/>
  <c r="N9" i="115"/>
  <c r="N8" i="115"/>
  <c r="N7" i="115"/>
  <c r="O6" i="115"/>
  <c r="N6" i="115"/>
  <c r="M68" i="115"/>
  <c r="M67" i="115"/>
  <c r="M66" i="115"/>
  <c r="M65" i="115"/>
  <c r="M64" i="115"/>
  <c r="M62" i="115"/>
  <c r="M61" i="115"/>
  <c r="M60" i="115"/>
  <c r="M59" i="115"/>
  <c r="M57" i="115"/>
  <c r="M56" i="115"/>
  <c r="M55" i="115"/>
  <c r="M54" i="115"/>
  <c r="M52" i="115"/>
  <c r="M51" i="115"/>
  <c r="M50" i="115"/>
  <c r="M49" i="115"/>
  <c r="M48" i="115"/>
  <c r="M46" i="115"/>
  <c r="M45" i="115"/>
  <c r="M44" i="115"/>
  <c r="M43" i="115"/>
  <c r="M41" i="115"/>
  <c r="M39" i="115"/>
  <c r="M38" i="115"/>
  <c r="M36" i="115"/>
  <c r="M35" i="115"/>
  <c r="M34" i="115"/>
  <c r="M33" i="115"/>
  <c r="M32" i="115"/>
  <c r="M30" i="115"/>
  <c r="M29" i="115"/>
  <c r="M28" i="115"/>
  <c r="M27" i="115"/>
  <c r="M25" i="115"/>
  <c r="M24" i="115"/>
  <c r="M23" i="115"/>
  <c r="M22" i="115"/>
  <c r="M20" i="115"/>
  <c r="M19" i="115"/>
  <c r="M18" i="115"/>
  <c r="M17" i="115"/>
  <c r="M16" i="115"/>
  <c r="M14" i="115"/>
  <c r="M13" i="115"/>
  <c r="M12" i="115"/>
  <c r="M11" i="115"/>
  <c r="M9" i="115"/>
  <c r="M8" i="115"/>
  <c r="M7" i="115"/>
  <c r="M6" i="115"/>
  <c r="U68" i="119"/>
  <c r="U67" i="119"/>
  <c r="U66" i="119"/>
  <c r="U65" i="119"/>
  <c r="U64" i="119"/>
  <c r="U62" i="119"/>
  <c r="U61" i="119"/>
  <c r="U60" i="119"/>
  <c r="U59" i="119"/>
  <c r="U57" i="119"/>
  <c r="U56" i="119"/>
  <c r="U55" i="119"/>
  <c r="U54" i="119"/>
  <c r="U52" i="119"/>
  <c r="U51" i="119"/>
  <c r="U50" i="119"/>
  <c r="U49" i="119"/>
  <c r="U48" i="119"/>
  <c r="U46" i="119"/>
  <c r="U45" i="119"/>
  <c r="U44" i="119"/>
  <c r="U43" i="119"/>
  <c r="U41" i="119"/>
  <c r="U40" i="119"/>
  <c r="U39" i="119"/>
  <c r="U38" i="119"/>
  <c r="U36" i="119"/>
  <c r="U35" i="119"/>
  <c r="U34" i="119"/>
  <c r="U33" i="119"/>
  <c r="U32" i="119"/>
  <c r="U30" i="119"/>
  <c r="U29" i="119"/>
  <c r="U28" i="119"/>
  <c r="U27" i="119"/>
  <c r="U25" i="119"/>
  <c r="U24" i="119"/>
  <c r="U23" i="119"/>
  <c r="U22" i="119"/>
  <c r="U20" i="119"/>
  <c r="U19" i="119"/>
  <c r="U18" i="119"/>
  <c r="U17" i="119"/>
  <c r="U16" i="119"/>
  <c r="U14" i="119"/>
  <c r="U13" i="119"/>
  <c r="U12" i="119"/>
  <c r="U11" i="119"/>
  <c r="U9" i="119"/>
  <c r="U8" i="119"/>
  <c r="U7" i="119"/>
  <c r="U6" i="119"/>
  <c r="T68" i="119"/>
  <c r="T67" i="119"/>
  <c r="T66" i="119"/>
  <c r="T65" i="119"/>
  <c r="T64" i="119"/>
  <c r="T62" i="119"/>
  <c r="T61" i="119"/>
  <c r="T60" i="119"/>
  <c r="T59" i="119"/>
  <c r="T57" i="119"/>
  <c r="T56" i="119"/>
  <c r="T55" i="119"/>
  <c r="T54" i="119"/>
  <c r="T52" i="119"/>
  <c r="T51" i="119"/>
  <c r="T50" i="119"/>
  <c r="T49" i="119"/>
  <c r="T48" i="119"/>
  <c r="T46" i="119"/>
  <c r="T45" i="119"/>
  <c r="T44" i="119"/>
  <c r="T43" i="119"/>
  <c r="T41" i="119"/>
  <c r="T40" i="119"/>
  <c r="T39" i="119"/>
  <c r="T38" i="119"/>
  <c r="T36" i="119"/>
  <c r="T35" i="119"/>
  <c r="T34" i="119"/>
  <c r="T33" i="119"/>
  <c r="T32" i="119"/>
  <c r="T30" i="119"/>
  <c r="T29" i="119"/>
  <c r="T28" i="119"/>
  <c r="T27" i="119"/>
  <c r="T25" i="119"/>
  <c r="T24" i="119"/>
  <c r="T23" i="119"/>
  <c r="T22" i="119"/>
  <c r="T20" i="119"/>
  <c r="T19" i="119"/>
  <c r="T18" i="119"/>
  <c r="T17" i="119"/>
  <c r="T16" i="119"/>
  <c r="T14" i="119"/>
  <c r="T13" i="119"/>
  <c r="T12" i="119"/>
  <c r="T11" i="119"/>
  <c r="T9" i="119"/>
  <c r="T8" i="119"/>
  <c r="T7" i="119"/>
  <c r="T6" i="119"/>
  <c r="S68" i="119"/>
  <c r="S67" i="119"/>
  <c r="S66" i="119"/>
  <c r="S65" i="119"/>
  <c r="S64" i="119"/>
  <c r="S62" i="119"/>
  <c r="S61" i="119"/>
  <c r="S60" i="119"/>
  <c r="S59" i="119"/>
  <c r="S57" i="119"/>
  <c r="S56" i="119"/>
  <c r="S55" i="119"/>
  <c r="S54" i="119"/>
  <c r="S52" i="119"/>
  <c r="S51" i="119"/>
  <c r="S50" i="119"/>
  <c r="S49" i="119"/>
  <c r="S48" i="119"/>
  <c r="S46" i="119"/>
  <c r="S45" i="119"/>
  <c r="S44" i="119"/>
  <c r="S43" i="119"/>
  <c r="S41" i="119"/>
  <c r="S40" i="119"/>
  <c r="S39" i="119"/>
  <c r="S38" i="119"/>
  <c r="S36" i="119"/>
  <c r="S35" i="119"/>
  <c r="S34" i="119"/>
  <c r="S33" i="119"/>
  <c r="S32" i="119"/>
  <c r="S30" i="119"/>
  <c r="S29" i="119"/>
  <c r="S28" i="119"/>
  <c r="S27" i="119"/>
  <c r="S20" i="119"/>
  <c r="S19" i="119"/>
  <c r="S18" i="119"/>
  <c r="S17" i="119"/>
  <c r="S16" i="119"/>
  <c r="S14" i="119"/>
  <c r="S13" i="119"/>
  <c r="S12" i="119"/>
  <c r="S11" i="119"/>
  <c r="S9" i="119"/>
  <c r="S8" i="119"/>
  <c r="S7" i="119"/>
  <c r="S6" i="119"/>
  <c r="R68" i="119"/>
  <c r="R67" i="119"/>
  <c r="R66" i="119"/>
  <c r="R65" i="119"/>
  <c r="R64" i="119"/>
  <c r="R62" i="119"/>
  <c r="R61" i="119"/>
  <c r="R60" i="119"/>
  <c r="R59" i="119"/>
  <c r="R57" i="119"/>
  <c r="R56" i="119"/>
  <c r="R55" i="119"/>
  <c r="R54" i="119"/>
  <c r="R52" i="119"/>
  <c r="R51" i="119"/>
  <c r="R50" i="119"/>
  <c r="R49" i="119"/>
  <c r="R48" i="119"/>
  <c r="R46" i="119"/>
  <c r="R45" i="119"/>
  <c r="R44" i="119"/>
  <c r="R43" i="119"/>
  <c r="R41" i="119"/>
  <c r="R40" i="119"/>
  <c r="R39" i="119"/>
  <c r="R38" i="119"/>
  <c r="R36" i="119"/>
  <c r="R35" i="119"/>
  <c r="R34" i="119"/>
  <c r="R33" i="119"/>
  <c r="R32" i="119"/>
  <c r="R30" i="119"/>
  <c r="R29" i="119"/>
  <c r="R28" i="119"/>
  <c r="R27" i="119"/>
  <c r="R25" i="119"/>
  <c r="R24" i="119"/>
  <c r="R23" i="119"/>
  <c r="R22" i="119"/>
  <c r="R20" i="119"/>
  <c r="R19" i="119"/>
  <c r="R18" i="119"/>
  <c r="R17" i="119"/>
  <c r="R16" i="119"/>
  <c r="R14" i="119"/>
  <c r="R13" i="119"/>
  <c r="R12" i="119"/>
  <c r="R11" i="119"/>
  <c r="R9" i="119"/>
  <c r="R8" i="119"/>
  <c r="R7" i="119"/>
  <c r="R6" i="119"/>
  <c r="Q68" i="119"/>
  <c r="Q67" i="119"/>
  <c r="Q66" i="119"/>
  <c r="Q65" i="119"/>
  <c r="Q64" i="119"/>
  <c r="Q62" i="119"/>
  <c r="Q61" i="119"/>
  <c r="Q60" i="119"/>
  <c r="Q59" i="119"/>
  <c r="Q57" i="119"/>
  <c r="Q56" i="119"/>
  <c r="Q55" i="119"/>
  <c r="Q54" i="119"/>
  <c r="Q52" i="119"/>
  <c r="Q51" i="119"/>
  <c r="Q50" i="119"/>
  <c r="Q49" i="119"/>
  <c r="Q48" i="119"/>
  <c r="Q46" i="119"/>
  <c r="Q45" i="119"/>
  <c r="Q44" i="119"/>
  <c r="Q43" i="119"/>
  <c r="Q41" i="119"/>
  <c r="Q40" i="119"/>
  <c r="Q39" i="119"/>
  <c r="Q38" i="119"/>
  <c r="Q36" i="119"/>
  <c r="Q35" i="119"/>
  <c r="Q34" i="119"/>
  <c r="Q33" i="119"/>
  <c r="Q32" i="119"/>
  <c r="Q30" i="119"/>
  <c r="Q29" i="119"/>
  <c r="Q28" i="119"/>
  <c r="Q27" i="119"/>
  <c r="Q25" i="119"/>
  <c r="Q24" i="119"/>
  <c r="Q23" i="119"/>
  <c r="Q22" i="119"/>
  <c r="Q20" i="119"/>
  <c r="Q19" i="119"/>
  <c r="Q18" i="119"/>
  <c r="Q17" i="119"/>
  <c r="Q16" i="119"/>
  <c r="Q14" i="119"/>
  <c r="Q13" i="119"/>
  <c r="Q12" i="119"/>
  <c r="Q11" i="119"/>
  <c r="Q9" i="119"/>
  <c r="Q8" i="119"/>
  <c r="P68" i="119"/>
  <c r="P67" i="119"/>
  <c r="P66" i="119"/>
  <c r="P65" i="119"/>
  <c r="P64" i="119"/>
  <c r="P62" i="119"/>
  <c r="P61" i="119"/>
  <c r="P60" i="119"/>
  <c r="P59" i="119"/>
  <c r="P57" i="119"/>
  <c r="P56" i="119"/>
  <c r="P55" i="119"/>
  <c r="P54" i="119"/>
  <c r="P51" i="119"/>
  <c r="P50" i="119"/>
  <c r="P49" i="119"/>
  <c r="P48" i="119"/>
  <c r="P46" i="119"/>
  <c r="P45" i="119"/>
  <c r="P44" i="119"/>
  <c r="P43" i="119"/>
  <c r="P41" i="119"/>
  <c r="P40" i="119"/>
  <c r="P39" i="119"/>
  <c r="P38" i="119"/>
  <c r="P36" i="119"/>
  <c r="P35" i="119"/>
  <c r="P34" i="119"/>
  <c r="P33" i="119"/>
  <c r="P32" i="119"/>
  <c r="P30" i="119"/>
  <c r="P29" i="119"/>
  <c r="P28" i="119"/>
  <c r="P27" i="119"/>
  <c r="P25" i="119"/>
  <c r="P24" i="119"/>
  <c r="P23" i="119"/>
  <c r="P22" i="119"/>
  <c r="P20" i="119"/>
  <c r="P19" i="119"/>
  <c r="P18" i="119"/>
  <c r="P17" i="119"/>
  <c r="P16" i="119"/>
  <c r="P14" i="119"/>
  <c r="P13" i="119"/>
  <c r="P12" i="119"/>
  <c r="P11" i="119"/>
  <c r="P9" i="119"/>
  <c r="P8" i="119"/>
  <c r="P7" i="119"/>
  <c r="P6" i="119"/>
  <c r="O68" i="119"/>
  <c r="O67" i="119"/>
  <c r="O66" i="119"/>
  <c r="O65" i="119"/>
  <c r="O64" i="119"/>
  <c r="O62" i="119"/>
  <c r="O61" i="119"/>
  <c r="O60" i="119"/>
  <c r="O59" i="119"/>
  <c r="O57" i="119"/>
  <c r="O56" i="119"/>
  <c r="O55" i="119"/>
  <c r="O54" i="119"/>
  <c r="O52" i="119"/>
  <c r="O51" i="119"/>
  <c r="O50" i="119"/>
  <c r="O49" i="119"/>
  <c r="O48" i="119"/>
  <c r="O46" i="119"/>
  <c r="O45" i="119"/>
  <c r="O44" i="119"/>
  <c r="O43" i="119"/>
  <c r="O41" i="119"/>
  <c r="O40" i="119"/>
  <c r="O39" i="119"/>
  <c r="O38" i="119"/>
  <c r="O36" i="119"/>
  <c r="O35" i="119"/>
  <c r="O34" i="119"/>
  <c r="O33" i="119"/>
  <c r="O32" i="119"/>
  <c r="O30" i="119"/>
  <c r="O29" i="119"/>
  <c r="O28" i="119"/>
  <c r="O27" i="119"/>
  <c r="O25" i="119"/>
  <c r="O24" i="119"/>
  <c r="O23" i="119"/>
  <c r="O22" i="119"/>
  <c r="O20" i="119"/>
  <c r="O19" i="119"/>
  <c r="O18" i="119"/>
  <c r="O17" i="119"/>
  <c r="O16" i="119"/>
  <c r="O14" i="119"/>
  <c r="O13" i="119"/>
  <c r="O12" i="119"/>
  <c r="O11" i="119"/>
  <c r="O9" i="119"/>
  <c r="O8" i="119"/>
  <c r="O7" i="119"/>
  <c r="O6" i="119"/>
  <c r="N68" i="119"/>
  <c r="N67" i="119"/>
  <c r="N66" i="119"/>
  <c r="N65" i="119"/>
  <c r="N64" i="119"/>
  <c r="N62" i="119"/>
  <c r="N61" i="119"/>
  <c r="N60" i="119"/>
  <c r="N59" i="119"/>
  <c r="N57" i="119"/>
  <c r="N56" i="119"/>
  <c r="N55" i="119"/>
  <c r="N54" i="119"/>
  <c r="N52" i="119"/>
  <c r="N51" i="119"/>
  <c r="N50" i="119"/>
  <c r="N49" i="119"/>
  <c r="N48" i="119"/>
  <c r="N46" i="119"/>
  <c r="N45" i="119"/>
  <c r="N44" i="119"/>
  <c r="N43" i="119"/>
  <c r="N41" i="119"/>
  <c r="N40" i="119"/>
  <c r="N39" i="119"/>
  <c r="N38" i="119"/>
  <c r="N36" i="119"/>
  <c r="N35" i="119"/>
  <c r="N34" i="119"/>
  <c r="N33" i="119"/>
  <c r="N32" i="119"/>
  <c r="N30" i="119"/>
  <c r="N29" i="119"/>
  <c r="N28" i="119"/>
  <c r="N27" i="119"/>
  <c r="N25" i="119"/>
  <c r="N24" i="119"/>
  <c r="N23" i="119"/>
  <c r="N22" i="119"/>
  <c r="N20" i="119"/>
  <c r="N19" i="119"/>
  <c r="N18" i="119"/>
  <c r="N17" i="119"/>
  <c r="N16" i="119"/>
  <c r="N14" i="119"/>
  <c r="N13" i="119"/>
  <c r="N12" i="119"/>
  <c r="N11" i="119"/>
  <c r="N9" i="119"/>
  <c r="N8" i="119"/>
  <c r="N7" i="119"/>
  <c r="N6" i="119"/>
  <c r="M68" i="119"/>
  <c r="M67" i="119"/>
  <c r="M66" i="119"/>
  <c r="M65" i="119"/>
  <c r="M64" i="119"/>
  <c r="M62" i="119"/>
  <c r="M61" i="119"/>
  <c r="M60" i="119"/>
  <c r="M59" i="119"/>
  <c r="M57" i="119"/>
  <c r="M56" i="119"/>
  <c r="M55" i="119"/>
  <c r="M54" i="119"/>
  <c r="M52" i="119"/>
  <c r="M51" i="119"/>
  <c r="M50" i="119"/>
  <c r="M49" i="119"/>
  <c r="M48" i="119"/>
  <c r="M46" i="119"/>
  <c r="M45" i="119"/>
  <c r="M44" i="119"/>
  <c r="M43" i="119"/>
  <c r="M41" i="119"/>
  <c r="M40" i="119"/>
  <c r="M39" i="119"/>
  <c r="M38" i="119"/>
  <c r="M36" i="119"/>
  <c r="M35" i="119"/>
  <c r="M34" i="119"/>
  <c r="M33" i="119"/>
  <c r="M32" i="119"/>
  <c r="M30" i="119"/>
  <c r="M29" i="119"/>
  <c r="M28" i="119"/>
  <c r="M27" i="119"/>
  <c r="M25" i="119"/>
  <c r="M24" i="119"/>
  <c r="M23" i="119"/>
  <c r="M22" i="119"/>
  <c r="M20" i="119"/>
  <c r="M19" i="119"/>
  <c r="M18" i="119"/>
  <c r="M17" i="119"/>
  <c r="M16" i="119"/>
  <c r="M14" i="119"/>
  <c r="M13" i="119"/>
  <c r="M12" i="119"/>
  <c r="M11" i="119"/>
  <c r="M9" i="119"/>
  <c r="M8" i="119"/>
  <c r="M7" i="119"/>
  <c r="M6" i="119"/>
  <c r="F68" i="119"/>
  <c r="F67" i="119"/>
  <c r="F66" i="119"/>
  <c r="F65" i="119"/>
  <c r="F64" i="119"/>
  <c r="P52" i="119"/>
  <c r="F1" i="119"/>
  <c r="AA15" i="122" l="1"/>
  <c r="R15" i="115"/>
  <c r="R31" i="115"/>
  <c r="R15" i="116"/>
  <c r="O58" i="116"/>
  <c r="O47" i="116"/>
  <c r="AB61" i="122"/>
  <c r="R63" i="116"/>
  <c r="Q63" i="115"/>
  <c r="O58" i="115"/>
  <c r="Q69" i="117"/>
  <c r="Q53" i="117"/>
  <c r="R53" i="115"/>
  <c r="R26" i="115"/>
  <c r="P42" i="117"/>
  <c r="P31" i="117"/>
  <c r="P47" i="117"/>
  <c r="Q42" i="115"/>
  <c r="R69" i="119"/>
  <c r="Q42" i="117"/>
  <c r="Q37" i="115"/>
  <c r="O15" i="115"/>
  <c r="Q58" i="117"/>
  <c r="Q26" i="117"/>
  <c r="Q15" i="117"/>
  <c r="Q31" i="117"/>
  <c r="AA61" i="122"/>
  <c r="Z61" i="122"/>
  <c r="AB15" i="122"/>
  <c r="Q47" i="115"/>
  <c r="N63" i="115"/>
  <c r="N53" i="115"/>
  <c r="R53" i="116"/>
  <c r="R10" i="115"/>
  <c r="R42" i="116"/>
  <c r="Q53" i="115"/>
  <c r="N31" i="115"/>
  <c r="N69" i="115"/>
  <c r="Q63" i="116"/>
  <c r="Q53" i="116"/>
  <c r="Q42" i="116"/>
  <c r="Q26" i="116"/>
  <c r="N31" i="119"/>
  <c r="N10" i="119"/>
  <c r="Q31" i="115"/>
  <c r="O21" i="115"/>
  <c r="O53" i="115"/>
  <c r="O26" i="115"/>
  <c r="O31" i="115"/>
  <c r="O63" i="115"/>
  <c r="N26" i="115"/>
  <c r="N42" i="115"/>
  <c r="N21" i="115"/>
  <c r="N42" i="116"/>
  <c r="Q37" i="116"/>
  <c r="N31" i="116"/>
  <c r="N53" i="116"/>
  <c r="N69" i="116"/>
  <c r="Q69" i="116"/>
  <c r="R21" i="116"/>
  <c r="R47" i="116"/>
  <c r="R10" i="116"/>
  <c r="R26" i="116"/>
  <c r="N10" i="115"/>
  <c r="N58" i="115"/>
  <c r="Q15" i="115"/>
  <c r="N10" i="117"/>
  <c r="N63" i="116"/>
  <c r="O15" i="116"/>
  <c r="O42" i="116"/>
  <c r="N47" i="115"/>
  <c r="R58" i="115"/>
  <c r="P10" i="117"/>
  <c r="Q21" i="117"/>
  <c r="O42" i="119"/>
  <c r="R47" i="115"/>
  <c r="Q31" i="116"/>
  <c r="Q10" i="117"/>
  <c r="N26" i="119"/>
  <c r="Q69" i="115"/>
  <c r="N37" i="116"/>
  <c r="N47" i="116"/>
  <c r="R58" i="116"/>
  <c r="R69" i="116"/>
  <c r="P63" i="117"/>
  <c r="O69" i="115"/>
  <c r="Q58" i="115"/>
  <c r="R21" i="115"/>
  <c r="Q47" i="116"/>
  <c r="Q26" i="115"/>
  <c r="N15" i="115"/>
  <c r="O37" i="115"/>
  <c r="R37" i="115"/>
  <c r="Q47" i="117"/>
  <c r="O42" i="115"/>
  <c r="N26" i="116"/>
  <c r="P21" i="117"/>
  <c r="P37" i="117"/>
  <c r="P53" i="117"/>
  <c r="P69" i="117"/>
  <c r="Q63" i="117"/>
  <c r="R69" i="115"/>
  <c r="R31" i="116"/>
  <c r="Q21" i="115"/>
  <c r="N58" i="116"/>
  <c r="O21" i="116"/>
  <c r="O53" i="116"/>
  <c r="O69" i="116"/>
  <c r="P26" i="117"/>
  <c r="Q37" i="117"/>
  <c r="R42" i="115"/>
  <c r="O31" i="119"/>
  <c r="R47" i="119"/>
  <c r="N37" i="115"/>
  <c r="Q58" i="116"/>
  <c r="P58" i="117"/>
  <c r="O47" i="115"/>
  <c r="R63" i="115"/>
  <c r="P15" i="117"/>
  <c r="O26" i="116"/>
  <c r="O63" i="116"/>
  <c r="O31" i="116"/>
  <c r="O37" i="116"/>
  <c r="R37" i="116"/>
  <c r="Q83" i="122"/>
  <c r="P83" i="122"/>
  <c r="L83" i="122"/>
  <c r="M83" i="122"/>
  <c r="N83" i="122"/>
  <c r="O83" i="122"/>
  <c r="Q106" i="122"/>
  <c r="O106" i="122"/>
  <c r="N106" i="122"/>
  <c r="P106" i="122"/>
  <c r="M106" i="122"/>
  <c r="L106" i="122"/>
  <c r="N15" i="117"/>
  <c r="B55" i="134"/>
  <c r="Q33" i="134"/>
  <c r="P33" i="134"/>
  <c r="O33" i="134"/>
  <c r="N33" i="134"/>
  <c r="M33" i="134"/>
  <c r="L33" i="134"/>
  <c r="B78" i="134"/>
  <c r="Q56" i="134"/>
  <c r="O56" i="134"/>
  <c r="N56" i="134"/>
  <c r="M56" i="134"/>
  <c r="L56" i="134"/>
  <c r="P56" i="134"/>
  <c r="L79" i="134"/>
  <c r="N79" i="134"/>
  <c r="M79" i="134"/>
  <c r="O79" i="134"/>
  <c r="Q79" i="134"/>
  <c r="P79" i="134"/>
  <c r="Q10" i="134"/>
  <c r="B32" i="134"/>
  <c r="O10" i="134"/>
  <c r="P10" i="134"/>
  <c r="B9" i="134"/>
  <c r="N10" i="134"/>
  <c r="L10" i="134"/>
  <c r="M10" i="134"/>
  <c r="Q33" i="133"/>
  <c r="M33" i="133"/>
  <c r="L33" i="133"/>
  <c r="N33" i="133"/>
  <c r="P33" i="133"/>
  <c r="O33" i="133"/>
  <c r="P10" i="133"/>
  <c r="Q10" i="133"/>
  <c r="O10" i="133"/>
  <c r="B32" i="133"/>
  <c r="N10" i="133"/>
  <c r="M10" i="133"/>
  <c r="B9" i="133"/>
  <c r="L10" i="133"/>
  <c r="O60" i="122"/>
  <c r="L60" i="122"/>
  <c r="M60" i="122"/>
  <c r="Q60" i="122"/>
  <c r="N60" i="122"/>
  <c r="P60" i="122"/>
  <c r="Q37" i="122"/>
  <c r="P37" i="122"/>
  <c r="O37" i="122"/>
  <c r="M37" i="122"/>
  <c r="L37" i="122"/>
  <c r="N37" i="122"/>
  <c r="L14" i="122"/>
  <c r="N14" i="122"/>
  <c r="Q14" i="122"/>
  <c r="P14" i="122"/>
  <c r="O14" i="122"/>
  <c r="M14" i="122"/>
  <c r="B59" i="122"/>
  <c r="B82" i="122"/>
  <c r="B105" i="122"/>
  <c r="B36" i="122"/>
  <c r="B13" i="122"/>
  <c r="P26" i="115"/>
  <c r="P31" i="119"/>
  <c r="P42" i="115"/>
  <c r="P37" i="115"/>
  <c r="M15" i="117"/>
  <c r="P37" i="116"/>
  <c r="M21" i="116"/>
  <c r="M37" i="116"/>
  <c r="P31" i="116"/>
  <c r="P47" i="116"/>
  <c r="P21" i="115"/>
  <c r="P53" i="115"/>
  <c r="M58" i="117"/>
  <c r="M21" i="117"/>
  <c r="M47" i="117"/>
  <c r="M37" i="117"/>
  <c r="P63" i="116"/>
  <c r="P21" i="116"/>
  <c r="P53" i="116"/>
  <c r="P26" i="116"/>
  <c r="P58" i="116"/>
  <c r="M63" i="116"/>
  <c r="M42" i="119"/>
  <c r="M47" i="119"/>
  <c r="P15" i="115"/>
  <c r="P47" i="115"/>
  <c r="P58" i="115"/>
  <c r="P63" i="115"/>
  <c r="M15" i="119"/>
  <c r="M58" i="119"/>
  <c r="M26" i="119"/>
  <c r="M63" i="119"/>
  <c r="M31" i="119"/>
  <c r="M26" i="115"/>
  <c r="M53" i="115"/>
  <c r="P69" i="115"/>
  <c r="P10" i="115"/>
  <c r="P31" i="115"/>
  <c r="M21" i="115"/>
  <c r="M37" i="115"/>
  <c r="M69" i="115"/>
  <c r="M10" i="115"/>
  <c r="M31" i="115"/>
  <c r="M58" i="115"/>
  <c r="M15" i="115"/>
  <c r="M47" i="115"/>
  <c r="M63" i="115"/>
  <c r="M42" i="115"/>
  <c r="M10" i="117"/>
  <c r="M42" i="117"/>
  <c r="M53" i="117"/>
  <c r="M31" i="117"/>
  <c r="M63" i="117"/>
  <c r="M26" i="117"/>
  <c r="M69" i="117"/>
  <c r="P69" i="116"/>
  <c r="M58" i="116"/>
  <c r="M31" i="116"/>
  <c r="M26" i="116"/>
  <c r="M69" i="116"/>
  <c r="M53" i="116"/>
  <c r="M10" i="116"/>
  <c r="M47" i="116"/>
  <c r="P10" i="116"/>
  <c r="O10" i="116"/>
  <c r="Q10" i="115"/>
  <c r="O10" i="115"/>
  <c r="T10" i="119"/>
  <c r="M69" i="119"/>
  <c r="M53" i="119"/>
  <c r="M37" i="119"/>
  <c r="M21" i="119"/>
  <c r="M10" i="119"/>
  <c r="U10" i="119"/>
  <c r="O26" i="119"/>
  <c r="T58" i="119"/>
  <c r="S53" i="119"/>
  <c r="S47" i="119"/>
  <c r="R53" i="119"/>
  <c r="U58" i="119"/>
  <c r="Q37" i="119"/>
  <c r="T53" i="119"/>
  <c r="T31" i="119"/>
  <c r="Q31" i="119"/>
  <c r="U21" i="119"/>
  <c r="N42" i="119"/>
  <c r="T15" i="119"/>
  <c r="O63" i="119"/>
  <c r="S15" i="119"/>
  <c r="O37" i="119"/>
  <c r="P42" i="119"/>
  <c r="N37" i="119"/>
  <c r="O21" i="119"/>
  <c r="P37" i="119"/>
  <c r="Q42" i="119"/>
  <c r="U31" i="119"/>
  <c r="O10" i="119"/>
  <c r="U15" i="119"/>
  <c r="O58" i="119"/>
  <c r="P58" i="119"/>
  <c r="S37" i="119"/>
  <c r="N53" i="119"/>
  <c r="R58" i="119"/>
  <c r="S63" i="119"/>
  <c r="N69" i="119"/>
  <c r="R21" i="119"/>
  <c r="S58" i="119"/>
  <c r="Q21" i="119"/>
  <c r="O47" i="119"/>
  <c r="Q53" i="119"/>
  <c r="U53" i="119"/>
  <c r="U63" i="119"/>
  <c r="P26" i="119"/>
  <c r="S31" i="119"/>
  <c r="P47" i="119"/>
  <c r="N58" i="119"/>
  <c r="P63" i="119"/>
  <c r="P10" i="119"/>
  <c r="Q63" i="119"/>
  <c r="U69" i="119"/>
  <c r="N15" i="119"/>
  <c r="U26" i="119"/>
  <c r="Q58" i="119"/>
  <c r="R63" i="119"/>
  <c r="O15" i="119"/>
  <c r="O53" i="119"/>
  <c r="P53" i="119"/>
  <c r="T63" i="119"/>
  <c r="O69" i="119"/>
  <c r="Q26" i="119"/>
  <c r="T37" i="119"/>
  <c r="R42" i="119"/>
  <c r="Q47" i="119"/>
  <c r="T47" i="119"/>
  <c r="U42" i="119"/>
  <c r="T69" i="119"/>
  <c r="R10" i="119"/>
  <c r="S10" i="119"/>
  <c r="N47" i="119"/>
  <c r="T21" i="119"/>
  <c r="U37" i="119"/>
  <c r="S42" i="119"/>
  <c r="U47" i="119"/>
  <c r="N63" i="119"/>
  <c r="R31" i="119"/>
  <c r="P69" i="119"/>
  <c r="Q69" i="119"/>
  <c r="P15" i="119"/>
  <c r="Q15" i="119"/>
  <c r="T42" i="119"/>
  <c r="S69" i="119"/>
  <c r="R15" i="119"/>
  <c r="T26" i="119"/>
  <c r="R37" i="119"/>
  <c r="F69" i="119"/>
  <c r="N21" i="119"/>
  <c r="R26" i="119"/>
  <c r="P21" i="119"/>
  <c r="U68" i="118"/>
  <c r="U67" i="118"/>
  <c r="U66" i="118"/>
  <c r="U65" i="118"/>
  <c r="U64" i="118"/>
  <c r="U62" i="118"/>
  <c r="U61" i="118"/>
  <c r="U60" i="118"/>
  <c r="U59" i="118"/>
  <c r="U57" i="118"/>
  <c r="U56" i="118"/>
  <c r="U55" i="118"/>
  <c r="U54" i="118"/>
  <c r="U52" i="118"/>
  <c r="U51" i="118"/>
  <c r="U50" i="118"/>
  <c r="U49" i="118"/>
  <c r="U48" i="118"/>
  <c r="U46" i="118"/>
  <c r="U45" i="118"/>
  <c r="U44" i="118"/>
  <c r="U43" i="118"/>
  <c r="U41" i="118"/>
  <c r="U40" i="118"/>
  <c r="U39" i="118"/>
  <c r="U38" i="118"/>
  <c r="U36" i="118"/>
  <c r="U35" i="118"/>
  <c r="U34" i="118"/>
  <c r="U33" i="118"/>
  <c r="U32" i="118"/>
  <c r="U30" i="118"/>
  <c r="U29" i="118"/>
  <c r="U28" i="118"/>
  <c r="U27" i="118"/>
  <c r="U25" i="118"/>
  <c r="U24" i="118"/>
  <c r="U23" i="118"/>
  <c r="U22" i="118"/>
  <c r="U20" i="118"/>
  <c r="U19" i="118"/>
  <c r="U18" i="118"/>
  <c r="U17" i="118"/>
  <c r="U16" i="118"/>
  <c r="U14" i="118"/>
  <c r="U13" i="118"/>
  <c r="U12" i="118"/>
  <c r="U11" i="118"/>
  <c r="U9" i="118"/>
  <c r="U8" i="118"/>
  <c r="U7" i="118"/>
  <c r="U6" i="118"/>
  <c r="R6" i="118"/>
  <c r="T68" i="118"/>
  <c r="T67" i="118"/>
  <c r="T66" i="118"/>
  <c r="T65" i="118"/>
  <c r="T64" i="118"/>
  <c r="T62" i="118"/>
  <c r="T61" i="118"/>
  <c r="T60" i="118"/>
  <c r="T59" i="118"/>
  <c r="T57" i="118"/>
  <c r="T56" i="118"/>
  <c r="T55" i="118"/>
  <c r="T54" i="118"/>
  <c r="T52" i="118"/>
  <c r="T51" i="118"/>
  <c r="T50" i="118"/>
  <c r="T49" i="118"/>
  <c r="T48" i="118"/>
  <c r="T46" i="118"/>
  <c r="T45" i="118"/>
  <c r="T44" i="118"/>
  <c r="T43" i="118"/>
  <c r="T41" i="118"/>
  <c r="T40" i="118"/>
  <c r="T39" i="118"/>
  <c r="T38" i="118"/>
  <c r="T36" i="118"/>
  <c r="T35" i="118"/>
  <c r="T34" i="118"/>
  <c r="T33" i="118"/>
  <c r="T32" i="118"/>
  <c r="T30" i="118"/>
  <c r="T29" i="118"/>
  <c r="T28" i="118"/>
  <c r="T27" i="118"/>
  <c r="T25" i="118"/>
  <c r="T24" i="118"/>
  <c r="T23" i="118"/>
  <c r="T22" i="118"/>
  <c r="T20" i="118"/>
  <c r="T19" i="118"/>
  <c r="T18" i="118"/>
  <c r="T17" i="118"/>
  <c r="T16" i="118"/>
  <c r="T14" i="118"/>
  <c r="T13" i="118"/>
  <c r="T12" i="118"/>
  <c r="T11" i="118"/>
  <c r="T9" i="118"/>
  <c r="T8" i="118"/>
  <c r="T7" i="118"/>
  <c r="T6" i="118"/>
  <c r="Q6" i="118"/>
  <c r="S68" i="118"/>
  <c r="S67" i="118"/>
  <c r="S66" i="118"/>
  <c r="S65" i="118"/>
  <c r="S64" i="118"/>
  <c r="S41" i="118"/>
  <c r="S40" i="118"/>
  <c r="S39" i="118"/>
  <c r="S38" i="118"/>
  <c r="S46" i="118"/>
  <c r="S45" i="118"/>
  <c r="S44" i="118"/>
  <c r="S43" i="118"/>
  <c r="S52" i="118"/>
  <c r="S51" i="118"/>
  <c r="S50" i="118"/>
  <c r="S49" i="118"/>
  <c r="S48" i="118"/>
  <c r="S57" i="118"/>
  <c r="S56" i="118"/>
  <c r="S55" i="118"/>
  <c r="S54" i="118"/>
  <c r="S62" i="118"/>
  <c r="S61" i="118"/>
  <c r="S60" i="118"/>
  <c r="S59" i="118"/>
  <c r="S36" i="118"/>
  <c r="S35" i="118"/>
  <c r="S34" i="118"/>
  <c r="S33" i="118"/>
  <c r="S32" i="118"/>
  <c r="S30" i="118"/>
  <c r="S29" i="118"/>
  <c r="S28" i="118"/>
  <c r="S27" i="118"/>
  <c r="S20" i="118"/>
  <c r="S19" i="118"/>
  <c r="S18" i="118"/>
  <c r="S17" i="118"/>
  <c r="S16" i="118"/>
  <c r="S14" i="118"/>
  <c r="S13" i="118"/>
  <c r="S12" i="118"/>
  <c r="S11" i="118"/>
  <c r="S9" i="118"/>
  <c r="S8" i="118"/>
  <c r="S7" i="118"/>
  <c r="S6" i="118"/>
  <c r="P6" i="118"/>
  <c r="R68" i="118"/>
  <c r="R67" i="118"/>
  <c r="R66" i="118"/>
  <c r="R65" i="118"/>
  <c r="R64" i="118"/>
  <c r="R62" i="118"/>
  <c r="R61" i="118"/>
  <c r="R60" i="118"/>
  <c r="R59" i="118"/>
  <c r="R57" i="118"/>
  <c r="R56" i="118"/>
  <c r="R55" i="118"/>
  <c r="R54" i="118"/>
  <c r="R52" i="118"/>
  <c r="R51" i="118"/>
  <c r="R50" i="118"/>
  <c r="R49" i="118"/>
  <c r="R48" i="118"/>
  <c r="R46" i="118"/>
  <c r="R45" i="118"/>
  <c r="R44" i="118"/>
  <c r="R43" i="118"/>
  <c r="R41" i="118"/>
  <c r="R40" i="118"/>
  <c r="R39" i="118"/>
  <c r="R38" i="118"/>
  <c r="R36" i="118"/>
  <c r="R35" i="118"/>
  <c r="R34" i="118"/>
  <c r="R33" i="118"/>
  <c r="R32" i="118"/>
  <c r="R30" i="118"/>
  <c r="R29" i="118"/>
  <c r="R28" i="118"/>
  <c r="R27" i="118"/>
  <c r="R25" i="118"/>
  <c r="R24" i="118"/>
  <c r="R23" i="118"/>
  <c r="R22" i="118"/>
  <c r="R20" i="118"/>
  <c r="R19" i="118"/>
  <c r="R18" i="118"/>
  <c r="R17" i="118"/>
  <c r="R16" i="118"/>
  <c r="R14" i="118"/>
  <c r="R13" i="118"/>
  <c r="R12" i="118"/>
  <c r="R11" i="118"/>
  <c r="R9" i="118"/>
  <c r="R8" i="118"/>
  <c r="R7" i="118"/>
  <c r="O6" i="118"/>
  <c r="Q68" i="118"/>
  <c r="Q67" i="118"/>
  <c r="Q66" i="118"/>
  <c r="Q65" i="118"/>
  <c r="Q64" i="118"/>
  <c r="Q62" i="118"/>
  <c r="Q61" i="118"/>
  <c r="Q60" i="118"/>
  <c r="Q59" i="118"/>
  <c r="Q57" i="118"/>
  <c r="Q56" i="118"/>
  <c r="Q55" i="118"/>
  <c r="Q54" i="118"/>
  <c r="Q52" i="118"/>
  <c r="Q51" i="118"/>
  <c r="Q50" i="118"/>
  <c r="Q49" i="118"/>
  <c r="Q48" i="118"/>
  <c r="Q46" i="118"/>
  <c r="Q45" i="118"/>
  <c r="Q44" i="118"/>
  <c r="Q43" i="118"/>
  <c r="Q41" i="118"/>
  <c r="Q40" i="118"/>
  <c r="Q39" i="118"/>
  <c r="Q38" i="118"/>
  <c r="Q36" i="118"/>
  <c r="Q35" i="118"/>
  <c r="Q34" i="118"/>
  <c r="Q33" i="118"/>
  <c r="Q32" i="118"/>
  <c r="Q30" i="118"/>
  <c r="Q29" i="118"/>
  <c r="Q28" i="118"/>
  <c r="Q27" i="118"/>
  <c r="Q25" i="118"/>
  <c r="Q24" i="118"/>
  <c r="Q23" i="118"/>
  <c r="Q22" i="118"/>
  <c r="Q20" i="118"/>
  <c r="Q19" i="118"/>
  <c r="Q18" i="118"/>
  <c r="Q17" i="118"/>
  <c r="Q16" i="118"/>
  <c r="Q14" i="118"/>
  <c r="Q13" i="118"/>
  <c r="Q12" i="118"/>
  <c r="Q11" i="118"/>
  <c r="Q9" i="118"/>
  <c r="Q8" i="118"/>
  <c r="Q7" i="118"/>
  <c r="N6" i="118"/>
  <c r="P68" i="118"/>
  <c r="P67" i="118"/>
  <c r="P66" i="118"/>
  <c r="P65" i="118"/>
  <c r="P64" i="118"/>
  <c r="P62" i="118"/>
  <c r="P61" i="118"/>
  <c r="P60" i="118"/>
  <c r="P59" i="118"/>
  <c r="P57" i="118"/>
  <c r="P56" i="118"/>
  <c r="P55" i="118"/>
  <c r="P54" i="118"/>
  <c r="P52" i="118"/>
  <c r="P51" i="118"/>
  <c r="P50" i="118"/>
  <c r="P49" i="118"/>
  <c r="P48" i="118"/>
  <c r="P46" i="118"/>
  <c r="P45" i="118"/>
  <c r="P44" i="118"/>
  <c r="P43" i="118"/>
  <c r="P41" i="118"/>
  <c r="P40" i="118"/>
  <c r="P39" i="118"/>
  <c r="P38" i="118"/>
  <c r="P35" i="118"/>
  <c r="P34" i="118"/>
  <c r="P33" i="118"/>
  <c r="P32" i="118"/>
  <c r="P30" i="118"/>
  <c r="P29" i="118"/>
  <c r="P28" i="118"/>
  <c r="P27" i="118"/>
  <c r="P25" i="118"/>
  <c r="P24" i="118"/>
  <c r="P23" i="118"/>
  <c r="P22" i="118"/>
  <c r="P20" i="118"/>
  <c r="P19" i="118"/>
  <c r="P18" i="118"/>
  <c r="P17" i="118"/>
  <c r="P16" i="118"/>
  <c r="P14" i="118"/>
  <c r="P13" i="118"/>
  <c r="P12" i="118"/>
  <c r="P11" i="118"/>
  <c r="P9" i="118"/>
  <c r="P8" i="118"/>
  <c r="P7" i="118"/>
  <c r="M6" i="118"/>
  <c r="O68" i="118"/>
  <c r="O67" i="118"/>
  <c r="O66" i="118"/>
  <c r="O65" i="118"/>
  <c r="O64" i="118"/>
  <c r="O62" i="118"/>
  <c r="O61" i="118"/>
  <c r="O60" i="118"/>
  <c r="O59" i="118"/>
  <c r="O41" i="118"/>
  <c r="O40" i="118"/>
  <c r="O39" i="118"/>
  <c r="O38" i="118"/>
  <c r="O46" i="118"/>
  <c r="O45" i="118"/>
  <c r="O44" i="118"/>
  <c r="O43" i="118"/>
  <c r="O52" i="118"/>
  <c r="O51" i="118"/>
  <c r="O50" i="118"/>
  <c r="O49" i="118"/>
  <c r="O48" i="118"/>
  <c r="O57" i="118"/>
  <c r="O56" i="118"/>
  <c r="O55" i="118"/>
  <c r="O54" i="118"/>
  <c r="O36" i="118"/>
  <c r="O35" i="118"/>
  <c r="O34" i="118"/>
  <c r="O33" i="118"/>
  <c r="O32" i="118"/>
  <c r="O30" i="118"/>
  <c r="O29" i="118"/>
  <c r="O28" i="118"/>
  <c r="O27" i="118"/>
  <c r="O25" i="118"/>
  <c r="O24" i="118"/>
  <c r="O23" i="118"/>
  <c r="O22" i="118"/>
  <c r="O20" i="118"/>
  <c r="O19" i="118"/>
  <c r="O18" i="118"/>
  <c r="O17" i="118"/>
  <c r="O16" i="118"/>
  <c r="O14" i="118"/>
  <c r="O13" i="118"/>
  <c r="O12" i="118"/>
  <c r="O11" i="118"/>
  <c r="O9" i="118"/>
  <c r="O8" i="118"/>
  <c r="O7" i="118"/>
  <c r="N57" i="118"/>
  <c r="N56" i="118"/>
  <c r="N55" i="118"/>
  <c r="N54" i="118"/>
  <c r="N62" i="118"/>
  <c r="N61" i="118"/>
  <c r="N60" i="118"/>
  <c r="N59" i="118"/>
  <c r="N68" i="118"/>
  <c r="N67" i="118"/>
  <c r="N66" i="118"/>
  <c r="N65" i="118"/>
  <c r="N64" i="118"/>
  <c r="N52" i="118"/>
  <c r="N51" i="118"/>
  <c r="N50" i="118"/>
  <c r="N49" i="118"/>
  <c r="N48" i="118"/>
  <c r="N46" i="118"/>
  <c r="N45" i="118"/>
  <c r="N44" i="118"/>
  <c r="N43" i="118"/>
  <c r="N41" i="118"/>
  <c r="N40" i="118"/>
  <c r="N39" i="118"/>
  <c r="N38" i="118"/>
  <c r="N36" i="118"/>
  <c r="N35" i="118"/>
  <c r="N34" i="118"/>
  <c r="N33" i="118"/>
  <c r="N32" i="118"/>
  <c r="N30" i="118"/>
  <c r="N29" i="118"/>
  <c r="N28" i="118"/>
  <c r="N27" i="118"/>
  <c r="N25" i="118"/>
  <c r="N24" i="118"/>
  <c r="N23" i="118"/>
  <c r="N22" i="118"/>
  <c r="N20" i="118"/>
  <c r="N19" i="118"/>
  <c r="N18" i="118"/>
  <c r="N17" i="118"/>
  <c r="N16" i="118"/>
  <c r="N14" i="118"/>
  <c r="N13" i="118"/>
  <c r="N12" i="118"/>
  <c r="N11" i="118"/>
  <c r="N9" i="118"/>
  <c r="N8" i="118"/>
  <c r="N7" i="118"/>
  <c r="M68" i="118"/>
  <c r="M67" i="118"/>
  <c r="M66" i="118"/>
  <c r="M65" i="118"/>
  <c r="M64" i="118"/>
  <c r="M62" i="118"/>
  <c r="M61" i="118"/>
  <c r="M60" i="118"/>
  <c r="M59" i="118"/>
  <c r="M57" i="118"/>
  <c r="M56" i="118"/>
  <c r="M55" i="118"/>
  <c r="M54" i="118"/>
  <c r="M52" i="118"/>
  <c r="M51" i="118"/>
  <c r="M50" i="118"/>
  <c r="M49" i="118"/>
  <c r="M48" i="118"/>
  <c r="M46" i="118"/>
  <c r="M45" i="118"/>
  <c r="M44" i="118"/>
  <c r="M43" i="118"/>
  <c r="M41" i="118"/>
  <c r="M40" i="118"/>
  <c r="M39" i="118"/>
  <c r="M38" i="118"/>
  <c r="M36" i="118"/>
  <c r="M35" i="118"/>
  <c r="M34" i="118"/>
  <c r="M33" i="118"/>
  <c r="M32" i="118"/>
  <c r="M30" i="118"/>
  <c r="M29" i="118"/>
  <c r="M28" i="118"/>
  <c r="M27" i="118"/>
  <c r="M25" i="118"/>
  <c r="M24" i="118"/>
  <c r="M23" i="118"/>
  <c r="M22" i="118"/>
  <c r="M20" i="118"/>
  <c r="M19" i="118"/>
  <c r="M18" i="118"/>
  <c r="M17" i="118"/>
  <c r="M16" i="118"/>
  <c r="M14" i="118"/>
  <c r="M13" i="118"/>
  <c r="M12" i="118"/>
  <c r="M11" i="118"/>
  <c r="M9" i="118"/>
  <c r="M8" i="118"/>
  <c r="M7" i="118"/>
  <c r="AB60" i="122" l="1"/>
  <c r="AA14" i="122"/>
  <c r="Z60" i="122"/>
  <c r="AA60" i="122"/>
  <c r="AB14" i="122"/>
  <c r="Z14" i="122"/>
  <c r="P42" i="121"/>
  <c r="N47" i="118"/>
  <c r="T47" i="118"/>
  <c r="U26" i="118"/>
  <c r="N42" i="118"/>
  <c r="N58" i="118"/>
  <c r="Q26" i="118"/>
  <c r="R37" i="118"/>
  <c r="N69" i="118"/>
  <c r="O58" i="118"/>
  <c r="Q47" i="118"/>
  <c r="R42" i="118"/>
  <c r="T15" i="118"/>
  <c r="U69" i="118"/>
  <c r="R58" i="118"/>
  <c r="R31" i="118"/>
  <c r="U31" i="118"/>
  <c r="O105" i="122"/>
  <c r="N105" i="122"/>
  <c r="Q105" i="122"/>
  <c r="P105" i="122"/>
  <c r="M105" i="122"/>
  <c r="L105" i="122"/>
  <c r="L82" i="122"/>
  <c r="P82" i="122"/>
  <c r="Q82" i="122"/>
  <c r="O82" i="122"/>
  <c r="N82" i="122"/>
  <c r="M82" i="122"/>
  <c r="B54" i="134"/>
  <c r="P32" i="134"/>
  <c r="O32" i="134"/>
  <c r="M32" i="134"/>
  <c r="L32" i="134"/>
  <c r="Q32" i="134"/>
  <c r="N32" i="134"/>
  <c r="M55" i="134"/>
  <c r="Q55" i="134"/>
  <c r="P55" i="134"/>
  <c r="O55" i="134"/>
  <c r="N55" i="134"/>
  <c r="L55" i="134"/>
  <c r="B77" i="134"/>
  <c r="M9" i="134"/>
  <c r="L9" i="134"/>
  <c r="B31" i="134"/>
  <c r="Q9" i="134"/>
  <c r="P9" i="134"/>
  <c r="N9" i="134"/>
  <c r="O9" i="134"/>
  <c r="L78" i="134"/>
  <c r="Q78" i="134"/>
  <c r="P78" i="134"/>
  <c r="N78" i="134"/>
  <c r="M78" i="134"/>
  <c r="O78" i="134"/>
  <c r="M9" i="133"/>
  <c r="L9" i="133"/>
  <c r="P9" i="133"/>
  <c r="O9" i="133"/>
  <c r="B31" i="133"/>
  <c r="N9" i="133"/>
  <c r="Q9" i="133"/>
  <c r="M32" i="133"/>
  <c r="L32" i="133"/>
  <c r="O32" i="133"/>
  <c r="N32" i="133"/>
  <c r="P32" i="133"/>
  <c r="Q32" i="133"/>
  <c r="P36" i="122"/>
  <c r="Q36" i="122"/>
  <c r="O36" i="122"/>
  <c r="L36" i="122"/>
  <c r="N36" i="122"/>
  <c r="M36" i="122"/>
  <c r="O59" i="122"/>
  <c r="Q59" i="122"/>
  <c r="L59" i="122"/>
  <c r="P59" i="122"/>
  <c r="M59" i="122"/>
  <c r="N59" i="122"/>
  <c r="Q13" i="122"/>
  <c r="N13" i="122"/>
  <c r="M13" i="122"/>
  <c r="L13" i="122"/>
  <c r="P13" i="122"/>
  <c r="O13" i="122"/>
  <c r="B58" i="122"/>
  <c r="B81" i="122"/>
  <c r="B104" i="122"/>
  <c r="B35" i="122"/>
  <c r="B12" i="122"/>
  <c r="S47" i="118"/>
  <c r="S15" i="118"/>
  <c r="M42" i="118"/>
  <c r="M69" i="118"/>
  <c r="M58" i="118"/>
  <c r="M31" i="118"/>
  <c r="M63" i="118"/>
  <c r="M37" i="118"/>
  <c r="P47" i="118"/>
  <c r="M47" i="118"/>
  <c r="M53" i="118"/>
  <c r="P69" i="118"/>
  <c r="O47" i="118"/>
  <c r="R69" i="118"/>
  <c r="U37" i="118"/>
  <c r="Q21" i="118"/>
  <c r="N63" i="118"/>
  <c r="P26" i="118"/>
  <c r="T63" i="118"/>
  <c r="N37" i="118"/>
  <c r="O53" i="118"/>
  <c r="R47" i="118"/>
  <c r="Q58" i="118"/>
  <c r="T42" i="118"/>
  <c r="O31" i="118"/>
  <c r="N53" i="118"/>
  <c r="O63" i="118"/>
  <c r="P58" i="118"/>
  <c r="Q69" i="118"/>
  <c r="S63" i="118"/>
  <c r="U15" i="118"/>
  <c r="O42" i="118"/>
  <c r="S37" i="118"/>
  <c r="T37" i="118"/>
  <c r="R63" i="118"/>
  <c r="O37" i="118"/>
  <c r="P15" i="118"/>
  <c r="Q42" i="118"/>
  <c r="S31" i="118"/>
  <c r="U63" i="118"/>
  <c r="Q63" i="118"/>
  <c r="T31" i="118"/>
  <c r="U10" i="118"/>
  <c r="Q53" i="118"/>
  <c r="R15" i="118"/>
  <c r="S10" i="118"/>
  <c r="S69" i="118"/>
  <c r="P42" i="118"/>
  <c r="U58" i="118"/>
  <c r="O69" i="118"/>
  <c r="P31" i="118"/>
  <c r="R21" i="118"/>
  <c r="T69" i="118"/>
  <c r="U21" i="118"/>
  <c r="U47" i="118"/>
  <c r="P63" i="118"/>
  <c r="Q15" i="118"/>
  <c r="S42" i="118"/>
  <c r="T53" i="118"/>
  <c r="S53" i="118"/>
  <c r="U53" i="118"/>
  <c r="P53" i="118"/>
  <c r="Q37" i="118"/>
  <c r="U42" i="118"/>
  <c r="N31" i="118"/>
  <c r="P21" i="118"/>
  <c r="Q31" i="118"/>
  <c r="R26" i="118"/>
  <c r="R53" i="118"/>
  <c r="S58" i="118"/>
  <c r="T58" i="118"/>
  <c r="T10" i="118"/>
  <c r="Q10" i="118"/>
  <c r="R10" i="118"/>
  <c r="P10" i="118"/>
  <c r="M10" i="118"/>
  <c r="AA59" i="122" l="1"/>
  <c r="Z59" i="122"/>
  <c r="AB13" i="122"/>
  <c r="AB59" i="122"/>
  <c r="Z13" i="122"/>
  <c r="AA13" i="122"/>
  <c r="Q81" i="122"/>
  <c r="O81" i="122"/>
  <c r="M81" i="122"/>
  <c r="L81" i="122"/>
  <c r="P81" i="122"/>
  <c r="N81" i="122"/>
  <c r="Q104" i="122"/>
  <c r="O104" i="122"/>
  <c r="P104" i="122"/>
  <c r="M104" i="122"/>
  <c r="L104" i="122"/>
  <c r="N104" i="122"/>
  <c r="M31" i="134"/>
  <c r="L31" i="134"/>
  <c r="Q31" i="134"/>
  <c r="B53" i="134"/>
  <c r="P31" i="134"/>
  <c r="O31" i="134"/>
  <c r="N31" i="134"/>
  <c r="L77" i="134"/>
  <c r="P77" i="134"/>
  <c r="O77" i="134"/>
  <c r="N77" i="134"/>
  <c r="M77" i="134"/>
  <c r="Q77" i="134"/>
  <c r="N54" i="134"/>
  <c r="M54" i="134"/>
  <c r="B76" i="134"/>
  <c r="Q54" i="134"/>
  <c r="P54" i="134"/>
  <c r="O54" i="134"/>
  <c r="L54" i="134"/>
  <c r="M31" i="133"/>
  <c r="L31" i="133"/>
  <c r="Q31" i="133"/>
  <c r="P31" i="133"/>
  <c r="O31" i="133"/>
  <c r="N31" i="133"/>
  <c r="Q35" i="122"/>
  <c r="L35" i="122"/>
  <c r="O35" i="122"/>
  <c r="N35" i="122"/>
  <c r="P35" i="122"/>
  <c r="M35" i="122"/>
  <c r="M58" i="122"/>
  <c r="O58" i="122"/>
  <c r="Q58" i="122"/>
  <c r="L58" i="122"/>
  <c r="P58" i="122"/>
  <c r="N58" i="122"/>
  <c r="Q12" i="122"/>
  <c r="P12" i="122"/>
  <c r="O12" i="122"/>
  <c r="N12" i="122"/>
  <c r="M12" i="122"/>
  <c r="L12" i="122"/>
  <c r="B57" i="122"/>
  <c r="B103" i="122"/>
  <c r="B80" i="122"/>
  <c r="B34" i="122"/>
  <c r="B11" i="122"/>
  <c r="T26" i="118"/>
  <c r="T21" i="118"/>
  <c r="N10" i="118"/>
  <c r="F1" i="118"/>
  <c r="T16" i="117"/>
  <c r="J21" i="117"/>
  <c r="J15" i="117"/>
  <c r="T8" i="117"/>
  <c r="J10" i="117"/>
  <c r="F1" i="117"/>
  <c r="T16" i="116"/>
  <c r="T8" i="116"/>
  <c r="F1" i="116"/>
  <c r="AB58" i="122" l="1"/>
  <c r="AA58" i="122"/>
  <c r="Z58" i="122"/>
  <c r="O80" i="122"/>
  <c r="L80" i="122"/>
  <c r="Q80" i="122"/>
  <c r="N80" i="122"/>
  <c r="M80" i="122"/>
  <c r="P80" i="122"/>
  <c r="M103" i="122"/>
  <c r="O103" i="122"/>
  <c r="P103" i="122"/>
  <c r="Q103" i="122"/>
  <c r="L103" i="122"/>
  <c r="N103" i="122"/>
  <c r="L76" i="134"/>
  <c r="N76" i="134"/>
  <c r="M76" i="134"/>
  <c r="P76" i="134"/>
  <c r="O76" i="134"/>
  <c r="Q76" i="134"/>
  <c r="Q53" i="134"/>
  <c r="P53" i="134"/>
  <c r="O53" i="134"/>
  <c r="N53" i="134"/>
  <c r="M53" i="134"/>
  <c r="L53" i="134"/>
  <c r="B75" i="134"/>
  <c r="P57" i="122"/>
  <c r="M57" i="122"/>
  <c r="O57" i="122"/>
  <c r="N57" i="122"/>
  <c r="L57" i="122"/>
  <c r="Q57" i="122"/>
  <c r="P34" i="122"/>
  <c r="N34" i="122"/>
  <c r="M34" i="122"/>
  <c r="O34" i="122"/>
  <c r="Q34" i="122"/>
  <c r="L34" i="122"/>
  <c r="L11" i="122"/>
  <c r="Q11" i="122"/>
  <c r="P11" i="122"/>
  <c r="O11" i="122"/>
  <c r="N11" i="122"/>
  <c r="M11" i="122"/>
  <c r="B56" i="122"/>
  <c r="B102" i="122"/>
  <c r="B79" i="122"/>
  <c r="B33" i="122"/>
  <c r="B10" i="122"/>
  <c r="M21" i="118"/>
  <c r="M15" i="118"/>
  <c r="N15" i="118"/>
  <c r="AA57" i="122" l="1"/>
  <c r="Z57" i="122"/>
  <c r="AB57" i="122"/>
  <c r="N102" i="122"/>
  <c r="O102" i="122"/>
  <c r="Q102" i="122"/>
  <c r="M102" i="122"/>
  <c r="L102" i="122"/>
  <c r="P102" i="122"/>
  <c r="O79" i="122"/>
  <c r="M79" i="122"/>
  <c r="L79" i="122"/>
  <c r="P79" i="122"/>
  <c r="N79" i="122"/>
  <c r="Q79" i="122"/>
  <c r="L75" i="134"/>
  <c r="Q75" i="134"/>
  <c r="M75" i="134"/>
  <c r="P75" i="134"/>
  <c r="O75" i="134"/>
  <c r="N75" i="134"/>
  <c r="M33" i="122"/>
  <c r="Q33" i="122"/>
  <c r="N33" i="122"/>
  <c r="P33" i="122"/>
  <c r="O33" i="122"/>
  <c r="L33" i="122"/>
  <c r="Q56" i="122"/>
  <c r="P56" i="122"/>
  <c r="M56" i="122"/>
  <c r="L56" i="122"/>
  <c r="O56" i="122"/>
  <c r="N56" i="122"/>
  <c r="M10" i="122"/>
  <c r="N10" i="122"/>
  <c r="L10" i="122"/>
  <c r="Q10" i="122"/>
  <c r="P10" i="122"/>
  <c r="O10" i="122"/>
  <c r="B55" i="122"/>
  <c r="B101" i="122"/>
  <c r="B78" i="122"/>
  <c r="B9" i="122"/>
  <c r="Q9" i="122" s="1"/>
  <c r="B32" i="122"/>
  <c r="N21" i="118"/>
  <c r="O21" i="118"/>
  <c r="O10" i="118"/>
  <c r="O15" i="118"/>
  <c r="M26" i="118"/>
  <c r="F68" i="115"/>
  <c r="F67" i="115"/>
  <c r="F66" i="115"/>
  <c r="F65" i="115"/>
  <c r="F64" i="115"/>
  <c r="T16" i="115"/>
  <c r="T8" i="115"/>
  <c r="O101" i="122" l="1"/>
  <c r="N101" i="122"/>
  <c r="L101" i="122"/>
  <c r="M101" i="122"/>
  <c r="P101" i="122"/>
  <c r="Q101" i="122"/>
  <c r="Q78" i="122"/>
  <c r="O78" i="122"/>
  <c r="P78" i="122"/>
  <c r="M78" i="122"/>
  <c r="N78" i="122"/>
  <c r="L78" i="122"/>
  <c r="P55" i="122"/>
  <c r="M55" i="122"/>
  <c r="O55" i="122"/>
  <c r="Q55" i="122"/>
  <c r="N55" i="122"/>
  <c r="L55" i="122"/>
  <c r="N32" i="122"/>
  <c r="M32" i="122"/>
  <c r="P32" i="122"/>
  <c r="Q32" i="122"/>
  <c r="O32" i="122"/>
  <c r="L32" i="122"/>
  <c r="P9" i="122"/>
  <c r="N9" i="122"/>
  <c r="O9" i="122"/>
  <c r="M9" i="122"/>
  <c r="L9" i="122"/>
  <c r="B77" i="122"/>
  <c r="B54" i="122"/>
  <c r="B100" i="122"/>
  <c r="B31" i="122"/>
  <c r="N26" i="118"/>
  <c r="O26" i="118"/>
  <c r="F69" i="115"/>
  <c r="F1" i="115"/>
  <c r="P100" i="122" l="1"/>
  <c r="N100" i="122"/>
  <c r="L100" i="122"/>
  <c r="O100" i="122"/>
  <c r="M100" i="122"/>
  <c r="Q100" i="122"/>
  <c r="Q77" i="122"/>
  <c r="N77" i="122"/>
  <c r="M77" i="122"/>
  <c r="P77" i="122"/>
  <c r="O77" i="122"/>
  <c r="L77" i="122"/>
  <c r="M31" i="122"/>
  <c r="Q31" i="122"/>
  <c r="P31" i="122"/>
  <c r="N31" i="122"/>
  <c r="O31" i="122"/>
  <c r="L31" i="122"/>
  <c r="P54" i="122"/>
  <c r="M54" i="122"/>
  <c r="O54" i="122"/>
  <c r="Q54" i="122"/>
  <c r="L54" i="122"/>
  <c r="N54" i="122"/>
  <c r="B76" i="122"/>
  <c r="B53" i="122"/>
  <c r="B99" i="122"/>
  <c r="CJ56" i="109"/>
  <c r="CI56" i="109"/>
  <c r="J68" i="116" s="1"/>
  <c r="CH56" i="109"/>
  <c r="CE56" i="109"/>
  <c r="CJ55" i="109"/>
  <c r="CI55" i="109"/>
  <c r="CH55" i="109"/>
  <c r="CE55" i="109"/>
  <c r="CJ54" i="109"/>
  <c r="CI54" i="109"/>
  <c r="CH54" i="109"/>
  <c r="CE54" i="109"/>
  <c r="CJ53" i="109"/>
  <c r="CI53" i="109"/>
  <c r="CH53" i="109"/>
  <c r="CE53" i="109"/>
  <c r="CJ52" i="109"/>
  <c r="CI52" i="109"/>
  <c r="CH52" i="109"/>
  <c r="CE52" i="109"/>
  <c r="CJ51" i="109"/>
  <c r="CI51" i="109"/>
  <c r="CH51" i="109"/>
  <c r="CE51" i="109"/>
  <c r="CJ50" i="109"/>
  <c r="CI50" i="109"/>
  <c r="CH50" i="109"/>
  <c r="CE50" i="109"/>
  <c r="CJ49" i="109"/>
  <c r="CI49" i="109"/>
  <c r="CH49" i="109"/>
  <c r="CE49" i="109"/>
  <c r="CJ48" i="109"/>
  <c r="CI48" i="109"/>
  <c r="CH48" i="109"/>
  <c r="CE48" i="109"/>
  <c r="CJ47" i="109"/>
  <c r="CI47" i="109"/>
  <c r="CH47" i="109"/>
  <c r="CE47" i="109"/>
  <c r="CJ46" i="109"/>
  <c r="CI46" i="109"/>
  <c r="J56" i="116" s="1"/>
  <c r="CH46" i="109"/>
  <c r="CE46" i="109"/>
  <c r="CJ45" i="109"/>
  <c r="CI45" i="109"/>
  <c r="CH45" i="109"/>
  <c r="CE45" i="109"/>
  <c r="CJ44" i="109"/>
  <c r="CI44" i="109"/>
  <c r="CH44" i="109"/>
  <c r="CE44" i="109"/>
  <c r="CJ43" i="109"/>
  <c r="CI43" i="109"/>
  <c r="CH43" i="109"/>
  <c r="CE43" i="109"/>
  <c r="CJ42" i="109"/>
  <c r="CI42" i="109"/>
  <c r="CH42" i="109"/>
  <c r="CE42" i="109"/>
  <c r="CJ41" i="109"/>
  <c r="CI41" i="109"/>
  <c r="CH41" i="109"/>
  <c r="CE41" i="109"/>
  <c r="CJ40" i="109"/>
  <c r="CI40" i="109"/>
  <c r="CH40" i="109"/>
  <c r="CE40" i="109"/>
  <c r="CJ39" i="109"/>
  <c r="CI39" i="109"/>
  <c r="CH39" i="109"/>
  <c r="CE39" i="109"/>
  <c r="CJ38" i="109"/>
  <c r="CI38" i="109"/>
  <c r="CH38" i="109"/>
  <c r="CE38" i="109"/>
  <c r="CJ37" i="109"/>
  <c r="CI37" i="109"/>
  <c r="CH37" i="109"/>
  <c r="CE37" i="109"/>
  <c r="CJ36" i="109"/>
  <c r="CI36" i="109"/>
  <c r="CH36" i="109"/>
  <c r="CE36" i="109"/>
  <c r="CJ35" i="109"/>
  <c r="CI35" i="109"/>
  <c r="CH35" i="109"/>
  <c r="CE35" i="109"/>
  <c r="CJ34" i="109"/>
  <c r="CI34" i="109"/>
  <c r="J41" i="116" s="1"/>
  <c r="CH34" i="109"/>
  <c r="CE34" i="109"/>
  <c r="CJ33" i="109"/>
  <c r="CI33" i="109"/>
  <c r="CH33" i="109"/>
  <c r="CE33" i="109"/>
  <c r="CJ32" i="109"/>
  <c r="CI32" i="109"/>
  <c r="CH32" i="109"/>
  <c r="CE32" i="109"/>
  <c r="CJ31" i="109"/>
  <c r="CI31" i="109"/>
  <c r="CH31" i="109"/>
  <c r="CE31" i="109"/>
  <c r="CJ30" i="109"/>
  <c r="CI30" i="109"/>
  <c r="CH30" i="109"/>
  <c r="CE30" i="109"/>
  <c r="CJ29" i="109"/>
  <c r="CI29" i="109"/>
  <c r="CH29" i="109"/>
  <c r="CE29" i="109"/>
  <c r="CJ28" i="109"/>
  <c r="CI28" i="109"/>
  <c r="CH28" i="109"/>
  <c r="CE28" i="109"/>
  <c r="CJ27" i="109"/>
  <c r="CI27" i="109"/>
  <c r="J33" i="116" s="1"/>
  <c r="CH27" i="109"/>
  <c r="CE27" i="109"/>
  <c r="CJ26" i="109"/>
  <c r="CI26" i="109"/>
  <c r="CH26" i="109"/>
  <c r="CE26" i="109"/>
  <c r="CJ25" i="109"/>
  <c r="CI25" i="109"/>
  <c r="CH25" i="109"/>
  <c r="CE25" i="109"/>
  <c r="CJ24" i="109"/>
  <c r="CI24" i="109"/>
  <c r="J29" i="116" s="1"/>
  <c r="CH24" i="109"/>
  <c r="CE24" i="109"/>
  <c r="CJ23" i="109"/>
  <c r="CI23" i="109"/>
  <c r="CH23" i="109"/>
  <c r="CE23" i="109"/>
  <c r="CJ22" i="109"/>
  <c r="CI22" i="109"/>
  <c r="CH22" i="109"/>
  <c r="CE22" i="109"/>
  <c r="CJ21" i="109"/>
  <c r="CI21" i="109"/>
  <c r="J25" i="116" s="1"/>
  <c r="CH21" i="109"/>
  <c r="CE21" i="109"/>
  <c r="CJ20" i="109"/>
  <c r="CI20" i="109"/>
  <c r="CH20" i="109"/>
  <c r="CE20" i="109"/>
  <c r="CJ19" i="109"/>
  <c r="CI19" i="109"/>
  <c r="CH19" i="109"/>
  <c r="CE19" i="109"/>
  <c r="CJ18" i="109"/>
  <c r="CI18" i="109"/>
  <c r="J22" i="116" s="1"/>
  <c r="CH18" i="109"/>
  <c r="CE18" i="109"/>
  <c r="CJ17" i="109"/>
  <c r="CI17" i="109"/>
  <c r="CE17" i="109"/>
  <c r="CJ16" i="109"/>
  <c r="CI16" i="109"/>
  <c r="CH16" i="109"/>
  <c r="CE16" i="109"/>
  <c r="CJ15" i="109"/>
  <c r="CI15" i="109"/>
  <c r="J18" i="116" s="1"/>
  <c r="CE15" i="109"/>
  <c r="CJ14" i="109"/>
  <c r="CI14" i="109"/>
  <c r="CE14" i="109"/>
  <c r="CJ13" i="109"/>
  <c r="CI13" i="109"/>
  <c r="CE13" i="109"/>
  <c r="CJ12" i="109"/>
  <c r="CI12" i="109"/>
  <c r="CH12" i="109"/>
  <c r="CE12" i="109"/>
  <c r="CJ11" i="109"/>
  <c r="CI11" i="109"/>
  <c r="CE11" i="109"/>
  <c r="CJ10" i="109"/>
  <c r="CI10" i="109"/>
  <c r="J12" i="116" s="1"/>
  <c r="CE10" i="109"/>
  <c r="CJ9" i="109"/>
  <c r="CI9" i="109"/>
  <c r="CE9" i="109"/>
  <c r="CJ8" i="109"/>
  <c r="CI8" i="109"/>
  <c r="J9" i="116" s="1"/>
  <c r="CH8" i="109"/>
  <c r="CE8" i="109"/>
  <c r="CJ7" i="109"/>
  <c r="CI7" i="109"/>
  <c r="CE7" i="109"/>
  <c r="CJ6" i="109"/>
  <c r="CI6" i="109"/>
  <c r="CE6" i="109"/>
  <c r="CJ5" i="109"/>
  <c r="CI5" i="109"/>
  <c r="CE5" i="109"/>
  <c r="BA30" i="110"/>
  <c r="G28" i="103" l="1"/>
  <c r="J27" i="116"/>
  <c r="F28" i="103"/>
  <c r="F36" i="117"/>
  <c r="P76" i="122"/>
  <c r="N76" i="122"/>
  <c r="L76" i="122"/>
  <c r="Q76" i="122"/>
  <c r="O76" i="122"/>
  <c r="M76" i="122"/>
  <c r="Q99" i="122"/>
  <c r="P99" i="122"/>
  <c r="M99" i="122"/>
  <c r="O99" i="122"/>
  <c r="N99" i="122"/>
  <c r="L99" i="122"/>
  <c r="M53" i="122"/>
  <c r="O53" i="122"/>
  <c r="L53" i="122"/>
  <c r="N53" i="122"/>
  <c r="Q53" i="122"/>
  <c r="P53" i="122"/>
  <c r="B98" i="122"/>
  <c r="B75" i="122"/>
  <c r="CK20" i="109"/>
  <c r="J24" i="116"/>
  <c r="CK26" i="109"/>
  <c r="J32" i="116"/>
  <c r="CK32" i="109"/>
  <c r="J39" i="116"/>
  <c r="CK38" i="109"/>
  <c r="J46" i="116"/>
  <c r="CK44" i="109"/>
  <c r="J54" i="116"/>
  <c r="CK50" i="109"/>
  <c r="J61" i="116"/>
  <c r="CK25" i="109"/>
  <c r="J30" i="116"/>
  <c r="CK28" i="109"/>
  <c r="J34" i="116"/>
  <c r="CK31" i="109"/>
  <c r="J38" i="116"/>
  <c r="CK40" i="109"/>
  <c r="J49" i="116"/>
  <c r="CK55" i="109"/>
  <c r="J67" i="116"/>
  <c r="CK14" i="109"/>
  <c r="J17" i="116"/>
  <c r="CK11" i="109"/>
  <c r="J13" i="116"/>
  <c r="J36" i="116"/>
  <c r="CK33" i="109"/>
  <c r="J40" i="116"/>
  <c r="CK39" i="109"/>
  <c r="J48" i="116"/>
  <c r="CK42" i="109"/>
  <c r="J51" i="116"/>
  <c r="CK51" i="109"/>
  <c r="J62" i="116"/>
  <c r="CK12" i="109"/>
  <c r="J14" i="116"/>
  <c r="CK19" i="109"/>
  <c r="J23" i="116"/>
  <c r="CK37" i="109"/>
  <c r="J45" i="116"/>
  <c r="CK43" i="109"/>
  <c r="J52" i="116"/>
  <c r="CK52" i="109"/>
  <c r="J64" i="116"/>
  <c r="CK5" i="109"/>
  <c r="J6" i="116"/>
  <c r="CK16" i="109"/>
  <c r="J19" i="116"/>
  <c r="CK9" i="109"/>
  <c r="J11" i="116"/>
  <c r="CK6" i="109"/>
  <c r="J7" i="116"/>
  <c r="CK17" i="109"/>
  <c r="J20" i="116"/>
  <c r="CK23" i="109"/>
  <c r="J28" i="116"/>
  <c r="CK29" i="109"/>
  <c r="J35" i="116"/>
  <c r="CK35" i="109"/>
  <c r="J43" i="116"/>
  <c r="CK41" i="109"/>
  <c r="J50" i="116"/>
  <c r="CK47" i="109"/>
  <c r="J57" i="116"/>
  <c r="CK53" i="109"/>
  <c r="J65" i="116"/>
  <c r="CK7" i="109"/>
  <c r="J8" i="116"/>
  <c r="CK36" i="109"/>
  <c r="J44" i="116"/>
  <c r="CK45" i="109"/>
  <c r="J55" i="116"/>
  <c r="CK48" i="109"/>
  <c r="J59" i="116"/>
  <c r="CK54" i="109"/>
  <c r="J66" i="116"/>
  <c r="CK49" i="109"/>
  <c r="J60" i="116"/>
  <c r="CK13" i="109"/>
  <c r="J16" i="116"/>
  <c r="CK30" i="109"/>
  <c r="CK10" i="109"/>
  <c r="CK46" i="109"/>
  <c r="CK8" i="109"/>
  <c r="CK56" i="109"/>
  <c r="CK22" i="109"/>
  <c r="CK34" i="109"/>
  <c r="CK18" i="109"/>
  <c r="CK21" i="109"/>
  <c r="CK24" i="109"/>
  <c r="CK27" i="109"/>
  <c r="CK15" i="109"/>
  <c r="CH7" i="109"/>
  <c r="CH11" i="109"/>
  <c r="CH15" i="109"/>
  <c r="CH6" i="109"/>
  <c r="CH10" i="109"/>
  <c r="CH14" i="109"/>
  <c r="CH5" i="109"/>
  <c r="CH9" i="109"/>
  <c r="CH13" i="109"/>
  <c r="CH17" i="109"/>
  <c r="P27" i="106"/>
  <c r="O27" i="106"/>
  <c r="N27" i="106"/>
  <c r="L27" i="106"/>
  <c r="K27" i="106"/>
  <c r="J27" i="106"/>
  <c r="H27" i="106"/>
  <c r="G27" i="106"/>
  <c r="F27" i="106"/>
  <c r="P21" i="106"/>
  <c r="O21" i="106"/>
  <c r="N21" i="106"/>
  <c r="L21" i="106"/>
  <c r="K21" i="106"/>
  <c r="J21" i="106"/>
  <c r="H21" i="106"/>
  <c r="G21" i="106"/>
  <c r="F21" i="106"/>
  <c r="P29" i="106"/>
  <c r="O29" i="106"/>
  <c r="N29" i="106"/>
  <c r="L29" i="106"/>
  <c r="K29" i="106"/>
  <c r="J29" i="106"/>
  <c r="H29" i="106"/>
  <c r="G29" i="106"/>
  <c r="F29" i="106"/>
  <c r="P23" i="106"/>
  <c r="O23" i="106"/>
  <c r="N23" i="106"/>
  <c r="L23" i="106"/>
  <c r="K23" i="106"/>
  <c r="J23" i="106"/>
  <c r="H23" i="106"/>
  <c r="G23" i="106"/>
  <c r="F23" i="106"/>
  <c r="U21" i="104"/>
  <c r="U15" i="104"/>
  <c r="P37" i="121" l="1"/>
  <c r="P36" i="118"/>
  <c r="P37" i="118" s="1"/>
  <c r="Q75" i="122"/>
  <c r="O75" i="122"/>
  <c r="P75" i="122"/>
  <c r="N75" i="122"/>
  <c r="M75" i="122"/>
  <c r="L75" i="122"/>
  <c r="P98" i="122"/>
  <c r="N98" i="122"/>
  <c r="M98" i="122"/>
  <c r="Q98" i="122"/>
  <c r="O98" i="122"/>
  <c r="L98" i="122"/>
  <c r="B97" i="122"/>
  <c r="J53" i="116"/>
  <c r="J42" i="116"/>
  <c r="J47" i="116"/>
  <c r="J37" i="116"/>
  <c r="J10" i="116"/>
  <c r="J63" i="116"/>
  <c r="J15" i="116"/>
  <c r="J58" i="116"/>
  <c r="J26" i="116"/>
  <c r="J21" i="116"/>
  <c r="J69" i="116"/>
  <c r="J31" i="116"/>
  <c r="U9" i="104"/>
  <c r="O97" i="122" l="1"/>
  <c r="Q97" i="122"/>
  <c r="P97" i="122"/>
  <c r="N97" i="122"/>
  <c r="M97" i="122"/>
  <c r="L97" i="122"/>
  <c r="K22" i="110"/>
  <c r="F27" i="115" l="1"/>
  <c r="H40" i="103"/>
  <c r="AW56" i="110"/>
  <c r="AW55" i="110"/>
  <c r="AW54" i="110"/>
  <c r="AW53" i="110"/>
  <c r="AW52" i="110"/>
  <c r="AW51" i="110"/>
  <c r="AW50" i="110"/>
  <c r="AW49" i="110"/>
  <c r="AW48" i="110"/>
  <c r="AW47" i="110"/>
  <c r="AW46" i="110"/>
  <c r="AW45" i="110"/>
  <c r="AW44" i="110"/>
  <c r="AW43" i="110"/>
  <c r="AW42" i="110"/>
  <c r="AW41" i="110"/>
  <c r="AW40" i="110"/>
  <c r="AW39" i="110"/>
  <c r="AW35" i="110"/>
  <c r="AW34" i="110"/>
  <c r="AW33" i="110"/>
  <c r="AW32" i="110"/>
  <c r="AW30" i="110"/>
  <c r="AW29" i="110"/>
  <c r="AW28" i="110"/>
  <c r="AW27" i="110"/>
  <c r="AW26" i="110"/>
  <c r="AW25" i="110"/>
  <c r="AW24" i="110"/>
  <c r="AW23" i="110"/>
  <c r="AW22" i="110"/>
  <c r="AW21" i="110"/>
  <c r="AW20" i="110"/>
  <c r="D1" i="112"/>
  <c r="F1" i="112" s="1"/>
  <c r="G8" i="108"/>
  <c r="D2" i="112"/>
  <c r="O21" i="112"/>
  <c r="N21" i="112"/>
  <c r="K21" i="112"/>
  <c r="J21" i="112"/>
  <c r="G21" i="112"/>
  <c r="F21" i="112"/>
  <c r="O20" i="112"/>
  <c r="N20" i="112"/>
  <c r="K20" i="112"/>
  <c r="J20" i="112"/>
  <c r="G20" i="112"/>
  <c r="F20" i="112"/>
  <c r="O19" i="112"/>
  <c r="N19" i="112"/>
  <c r="K19" i="112"/>
  <c r="J19" i="112"/>
  <c r="G19" i="112"/>
  <c r="F19" i="112"/>
  <c r="P17" i="112"/>
  <c r="L17" i="112"/>
  <c r="H17" i="112"/>
  <c r="P16" i="112"/>
  <c r="L16" i="112"/>
  <c r="H16" i="112"/>
  <c r="P15" i="112"/>
  <c r="L15" i="112"/>
  <c r="H15" i="112"/>
  <c r="P13" i="112"/>
  <c r="L13" i="112"/>
  <c r="H13" i="112"/>
  <c r="P12" i="112"/>
  <c r="L12" i="112"/>
  <c r="H12" i="112"/>
  <c r="P11" i="112"/>
  <c r="L11" i="112"/>
  <c r="H11" i="112"/>
  <c r="P9" i="112"/>
  <c r="L9" i="112"/>
  <c r="H9" i="112"/>
  <c r="P8" i="112"/>
  <c r="L8" i="112"/>
  <c r="H8" i="112"/>
  <c r="P7" i="112"/>
  <c r="L7" i="112"/>
  <c r="H7" i="112"/>
  <c r="H19" i="112" l="1"/>
  <c r="L20" i="112"/>
  <c r="P20" i="112"/>
  <c r="H21" i="112"/>
  <c r="L19" i="112"/>
  <c r="H20" i="112"/>
  <c r="P19" i="112"/>
  <c r="P21" i="112"/>
  <c r="AW31" i="110"/>
  <c r="F8" i="106"/>
  <c r="G10" i="106"/>
  <c r="G16" i="106"/>
  <c r="F16" i="106"/>
  <c r="F10" i="106"/>
  <c r="G14" i="106"/>
  <c r="F16" i="107"/>
  <c r="G16" i="107"/>
  <c r="F10" i="104"/>
  <c r="F8" i="104"/>
  <c r="F1" i="106"/>
  <c r="F13" i="106"/>
  <c r="D4" i="112"/>
  <c r="J4" i="112" s="1"/>
  <c r="F4" i="112"/>
  <c r="F14" i="108"/>
  <c r="D4" i="106"/>
  <c r="G14" i="108"/>
  <c r="G20" i="108" s="1"/>
  <c r="G8" i="106"/>
  <c r="F4" i="106"/>
  <c r="L21" i="112"/>
  <c r="F11" i="108"/>
  <c r="F13" i="108"/>
  <c r="F1" i="108"/>
  <c r="D4" i="108"/>
  <c r="F4" i="108"/>
  <c r="F14" i="106"/>
  <c r="G10" i="107"/>
  <c r="F22" i="107"/>
  <c r="G22" i="107"/>
  <c r="F8" i="107"/>
  <c r="G14" i="107"/>
  <c r="F10" i="107"/>
  <c r="F14" i="107"/>
  <c r="F20" i="107"/>
  <c r="G20" i="107"/>
  <c r="F8" i="105"/>
  <c r="F19" i="107"/>
  <c r="S22" i="107" s="1"/>
  <c r="S23" i="107" s="1"/>
  <c r="S25" i="107" s="1"/>
  <c r="F13" i="107"/>
  <c r="F7" i="107"/>
  <c r="F4" i="107"/>
  <c r="D4" i="107"/>
  <c r="F1" i="107"/>
  <c r="G22" i="105"/>
  <c r="Q20" i="105" s="1"/>
  <c r="Q21" i="105" s="1"/>
  <c r="F22" i="105"/>
  <c r="F16" i="105"/>
  <c r="F20" i="105"/>
  <c r="F14" i="105"/>
  <c r="F19" i="105"/>
  <c r="S22" i="105" s="1"/>
  <c r="S23" i="105" s="1"/>
  <c r="S25" i="105" s="1"/>
  <c r="F13" i="105"/>
  <c r="G16" i="105"/>
  <c r="F10" i="105"/>
  <c r="G14" i="105"/>
  <c r="F7" i="105"/>
  <c r="G10" i="105"/>
  <c r="G8" i="105"/>
  <c r="F4" i="105"/>
  <c r="F1" i="105"/>
  <c r="F16" i="104"/>
  <c r="F14" i="104"/>
  <c r="F13" i="104"/>
  <c r="D4" i="104"/>
  <c r="F1" i="104"/>
  <c r="AW19" i="110"/>
  <c r="AW18" i="110"/>
  <c r="AW17" i="110"/>
  <c r="AW16" i="110"/>
  <c r="AW15" i="110"/>
  <c r="AW14" i="110"/>
  <c r="AW11" i="110"/>
  <c r="AW10" i="110"/>
  <c r="AW9" i="110"/>
  <c r="AW8" i="110"/>
  <c r="AW7" i="110"/>
  <c r="AW6" i="110"/>
  <c r="AW5" i="110"/>
  <c r="G26" i="105" l="1"/>
  <c r="G26" i="107"/>
  <c r="F31" i="105"/>
  <c r="F32" i="105"/>
  <c r="J19" i="105"/>
  <c r="J40" i="105" s="1"/>
  <c r="J41" i="105" s="1"/>
  <c r="J42" i="105" s="1"/>
  <c r="F17" i="106"/>
  <c r="F11" i="104"/>
  <c r="H16" i="106"/>
  <c r="G34" i="106"/>
  <c r="H10" i="106"/>
  <c r="F34" i="106"/>
  <c r="F15" i="108"/>
  <c r="F17" i="108"/>
  <c r="F22" i="104"/>
  <c r="F15" i="104"/>
  <c r="F17" i="104"/>
  <c r="F9" i="104"/>
  <c r="F23" i="107"/>
  <c r="J7" i="105"/>
  <c r="R10" i="105" s="1"/>
  <c r="F15" i="106"/>
  <c r="G32" i="106"/>
  <c r="C4" i="112"/>
  <c r="F17" i="105"/>
  <c r="F21" i="105"/>
  <c r="F23" i="105"/>
  <c r="F32" i="106"/>
  <c r="J13" i="108"/>
  <c r="H14" i="106"/>
  <c r="J4" i="106"/>
  <c r="F21" i="107"/>
  <c r="F15" i="107"/>
  <c r="F17" i="107"/>
  <c r="F9" i="107"/>
  <c r="F11" i="107"/>
  <c r="H16" i="107"/>
  <c r="J13" i="107"/>
  <c r="F15" i="105"/>
  <c r="F9" i="105"/>
  <c r="F11" i="105"/>
  <c r="J4" i="105"/>
  <c r="H14" i="108"/>
  <c r="H8" i="106"/>
  <c r="F20" i="104"/>
  <c r="H14" i="107"/>
  <c r="J7" i="108"/>
  <c r="F19" i="108"/>
  <c r="J4" i="108"/>
  <c r="F26" i="107"/>
  <c r="H20" i="107"/>
  <c r="F25" i="105"/>
  <c r="H10" i="107"/>
  <c r="F28" i="107"/>
  <c r="G28" i="107"/>
  <c r="H22" i="107"/>
  <c r="F26" i="105"/>
  <c r="G28" i="105"/>
  <c r="J13" i="105"/>
  <c r="F28" i="105"/>
  <c r="H22" i="105"/>
  <c r="J13" i="104"/>
  <c r="J4" i="104"/>
  <c r="J7" i="104"/>
  <c r="J4" i="107"/>
  <c r="J7" i="107"/>
  <c r="F25" i="107"/>
  <c r="J19" i="107"/>
  <c r="H8" i="107"/>
  <c r="H20" i="105"/>
  <c r="H16" i="105"/>
  <c r="H14" i="105"/>
  <c r="H10" i="105"/>
  <c r="H8" i="105"/>
  <c r="F19" i="104"/>
  <c r="S22" i="104" s="1"/>
  <c r="S23" i="104" s="1"/>
  <c r="S25" i="104" s="1"/>
  <c r="H26" i="107" l="1"/>
  <c r="F23" i="108"/>
  <c r="S22" i="108"/>
  <c r="S23" i="108" s="1"/>
  <c r="S25" i="108" s="1"/>
  <c r="F30" i="105"/>
  <c r="F23" i="104"/>
  <c r="J25" i="105"/>
  <c r="H34" i="106"/>
  <c r="F29" i="107"/>
  <c r="F27" i="107"/>
  <c r="F29" i="105"/>
  <c r="F27" i="105"/>
  <c r="F21" i="104"/>
  <c r="H32" i="106"/>
  <c r="J19" i="108"/>
  <c r="H28" i="105"/>
  <c r="H26" i="105"/>
  <c r="J19" i="104"/>
  <c r="H28" i="107"/>
  <c r="J25" i="107"/>
  <c r="DB56" i="109"/>
  <c r="DB55" i="109"/>
  <c r="DB54" i="109"/>
  <c r="DB53" i="109"/>
  <c r="DB52" i="109"/>
  <c r="DB51" i="109"/>
  <c r="DB50" i="109"/>
  <c r="DB49" i="109"/>
  <c r="DB48" i="109"/>
  <c r="DB47" i="109"/>
  <c r="DB46" i="109"/>
  <c r="DB45" i="109"/>
  <c r="DB44" i="109"/>
  <c r="DB43" i="109"/>
  <c r="DB42" i="109"/>
  <c r="DB41" i="109"/>
  <c r="DB40" i="109"/>
  <c r="DB39" i="109"/>
  <c r="DB38" i="109"/>
  <c r="DB37" i="109"/>
  <c r="DB36" i="109"/>
  <c r="DB35" i="109"/>
  <c r="DB34" i="109"/>
  <c r="DB33" i="109"/>
  <c r="DB32" i="109"/>
  <c r="DB31" i="109"/>
  <c r="DB30" i="109"/>
  <c r="DB29" i="109"/>
  <c r="DB28" i="109"/>
  <c r="DB27" i="109"/>
  <c r="DB26" i="109"/>
  <c r="DB25" i="109"/>
  <c r="DB24" i="109"/>
  <c r="DB23" i="109"/>
  <c r="DB22" i="109"/>
  <c r="DB21" i="109"/>
  <c r="DB20" i="109"/>
  <c r="DB19" i="109"/>
  <c r="DB18" i="109"/>
  <c r="DB17" i="109"/>
  <c r="DB16" i="109"/>
  <c r="DB15" i="109"/>
  <c r="DB14" i="109"/>
  <c r="DB13" i="109"/>
  <c r="DB12" i="109"/>
  <c r="G14" i="117"/>
  <c r="DB11" i="109"/>
  <c r="G13" i="117"/>
  <c r="DB10" i="109"/>
  <c r="G12" i="117"/>
  <c r="DB9" i="109"/>
  <c r="DB8" i="109"/>
  <c r="DB7" i="109"/>
  <c r="DB6" i="109"/>
  <c r="G7" i="117"/>
  <c r="J26" i="117" l="1"/>
  <c r="DC7" i="109"/>
  <c r="G8" i="117"/>
  <c r="DC5" i="109"/>
  <c r="G6" i="117"/>
  <c r="DC9" i="109"/>
  <c r="G11" i="117"/>
  <c r="DC8" i="109"/>
  <c r="G9" i="117"/>
  <c r="DC6" i="109"/>
  <c r="DC10" i="109"/>
  <c r="G38" i="103"/>
  <c r="J23" i="108"/>
  <c r="DC11" i="109"/>
  <c r="DC12" i="109"/>
  <c r="BB56" i="110"/>
  <c r="BA56" i="110"/>
  <c r="BB55" i="110"/>
  <c r="BA55" i="110"/>
  <c r="BB54" i="110"/>
  <c r="BA54" i="110"/>
  <c r="BB53" i="110"/>
  <c r="BA53" i="110"/>
  <c r="BB52" i="110"/>
  <c r="BA52" i="110"/>
  <c r="BB51" i="110"/>
  <c r="BA51" i="110"/>
  <c r="BB50" i="110"/>
  <c r="BA50" i="110"/>
  <c r="BB49" i="110"/>
  <c r="BA49" i="110"/>
  <c r="BB48" i="110"/>
  <c r="BA48" i="110"/>
  <c r="BC48" i="110" s="1"/>
  <c r="BB47" i="110"/>
  <c r="BA47" i="110"/>
  <c r="BB46" i="110"/>
  <c r="BA46" i="110"/>
  <c r="BB45" i="110"/>
  <c r="BC45" i="110" s="1"/>
  <c r="BB44" i="110"/>
  <c r="BA44" i="110"/>
  <c r="BB43" i="110"/>
  <c r="BA43" i="110"/>
  <c r="BB42" i="110"/>
  <c r="BA42" i="110"/>
  <c r="BB41" i="110"/>
  <c r="BA41" i="110"/>
  <c r="BB40" i="110"/>
  <c r="BA40" i="110"/>
  <c r="BB39" i="110"/>
  <c r="BA39" i="110"/>
  <c r="BA37" i="110"/>
  <c r="BB35" i="110"/>
  <c r="BA35" i="110"/>
  <c r="BB34" i="110"/>
  <c r="BA34" i="110"/>
  <c r="BB33" i="110"/>
  <c r="BA33" i="110"/>
  <c r="BB32" i="110"/>
  <c r="BA32" i="110"/>
  <c r="BB31" i="110"/>
  <c r="BA31" i="110"/>
  <c r="BB30" i="110"/>
  <c r="BC30" i="110" s="1"/>
  <c r="BB29" i="110"/>
  <c r="BA29" i="110"/>
  <c r="BB28" i="110"/>
  <c r="BA28" i="110"/>
  <c r="BB27" i="110"/>
  <c r="BA27" i="110"/>
  <c r="BB26" i="110"/>
  <c r="BA26" i="110"/>
  <c r="BB25" i="110"/>
  <c r="BA25" i="110"/>
  <c r="BB24" i="110"/>
  <c r="BB23" i="110"/>
  <c r="BB22" i="110"/>
  <c r="BB21" i="110"/>
  <c r="BB20" i="110"/>
  <c r="BB19" i="110"/>
  <c r="BB18" i="110"/>
  <c r="BB17" i="110"/>
  <c r="BB16" i="110"/>
  <c r="BB15" i="110"/>
  <c r="BA15" i="110"/>
  <c r="BB14" i="110"/>
  <c r="BA14" i="110"/>
  <c r="BB11" i="110"/>
  <c r="BA11" i="110"/>
  <c r="BB10" i="110"/>
  <c r="BA10" i="110"/>
  <c r="BB9" i="110"/>
  <c r="BA9" i="110"/>
  <c r="BB8" i="110"/>
  <c r="BA8" i="110"/>
  <c r="BB7" i="110"/>
  <c r="BA7" i="110"/>
  <c r="BB6" i="110"/>
  <c r="BA6" i="110"/>
  <c r="BB5" i="110"/>
  <c r="BA5" i="110"/>
  <c r="BC35" i="110" l="1"/>
  <c r="BC50" i="110"/>
  <c r="BC52" i="110"/>
  <c r="BC46" i="110"/>
  <c r="BC39" i="110"/>
  <c r="BC55" i="110"/>
  <c r="BC44" i="110"/>
  <c r="BC7" i="110"/>
  <c r="BC15" i="110"/>
  <c r="BC21" i="110"/>
  <c r="BC56" i="110"/>
  <c r="BC5" i="110"/>
  <c r="BC9" i="110"/>
  <c r="BC42" i="110"/>
  <c r="BC10" i="110"/>
  <c r="BC43" i="110"/>
  <c r="BC27" i="110"/>
  <c r="BC40" i="110"/>
  <c r="BC8" i="110"/>
  <c r="BC16" i="110"/>
  <c r="BC41" i="110"/>
  <c r="BC32" i="110"/>
  <c r="BC29" i="110"/>
  <c r="BC31" i="110"/>
  <c r="BC34" i="110"/>
  <c r="BC33" i="110"/>
  <c r="BC25" i="110"/>
  <c r="BC24" i="110"/>
  <c r="BC23" i="110"/>
  <c r="BC22" i="110"/>
  <c r="BC28" i="110"/>
  <c r="BC47" i="110"/>
  <c r="F65" i="117"/>
  <c r="K65" i="117" s="1"/>
  <c r="BC53" i="110"/>
  <c r="F66" i="117"/>
  <c r="K66" i="117" s="1"/>
  <c r="BC54" i="110"/>
  <c r="F60" i="117"/>
  <c r="K60" i="117" s="1"/>
  <c r="BC49" i="110"/>
  <c r="BC6" i="110"/>
  <c r="BC14" i="110"/>
  <c r="BC20" i="110"/>
  <c r="BC26" i="110"/>
  <c r="F62" i="117"/>
  <c r="K62" i="117" s="1"/>
  <c r="BC51" i="110"/>
  <c r="BC19" i="110"/>
  <c r="BC18" i="110"/>
  <c r="BC17" i="110"/>
  <c r="J69" i="117"/>
  <c r="J63" i="117"/>
  <c r="J42" i="117"/>
  <c r="BC11" i="110"/>
  <c r="J37" i="117"/>
  <c r="J58" i="117"/>
  <c r="J53" i="117"/>
  <c r="J31" i="117"/>
  <c r="J47" i="117"/>
  <c r="F7" i="117"/>
  <c r="F13" i="117"/>
  <c r="F28" i="117"/>
  <c r="F33" i="117"/>
  <c r="K33" i="117" s="1"/>
  <c r="F11" i="117"/>
  <c r="H11" i="117" s="1"/>
  <c r="F16" i="117"/>
  <c r="F20" i="117"/>
  <c r="K20" i="117" s="1"/>
  <c r="F14" i="117"/>
  <c r="F9" i="117"/>
  <c r="K9" i="117" s="1"/>
  <c r="F12" i="117"/>
  <c r="F17" i="117"/>
  <c r="F22" i="117"/>
  <c r="F27" i="117"/>
  <c r="F32" i="117"/>
  <c r="F41" i="117"/>
  <c r="K41" i="117" s="1"/>
  <c r="F56" i="117"/>
  <c r="K56" i="117" s="1"/>
  <c r="F51" i="117"/>
  <c r="K51" i="117" s="1"/>
  <c r="F48" i="117"/>
  <c r="F8" i="117"/>
  <c r="K8" i="117" s="1"/>
  <c r="F18" i="117"/>
  <c r="F6" i="117"/>
  <c r="H6" i="117" s="1"/>
  <c r="F34" i="117"/>
  <c r="K34" i="117" s="1"/>
  <c r="F23" i="117"/>
  <c r="K23" i="117" s="1"/>
  <c r="F24" i="117"/>
  <c r="K24" i="117" s="1"/>
  <c r="F19" i="117"/>
  <c r="F29" i="117"/>
  <c r="F25" i="117"/>
  <c r="F45" i="117"/>
  <c r="K45" i="117" s="1"/>
  <c r="F35" i="117"/>
  <c r="K35" i="117" s="1"/>
  <c r="F50" i="117"/>
  <c r="K50" i="117" s="1"/>
  <c r="F68" i="117"/>
  <c r="F67" i="117"/>
  <c r="K67" i="117" s="1"/>
  <c r="F64" i="117"/>
  <c r="F61" i="117"/>
  <c r="F59" i="117"/>
  <c r="F57" i="117"/>
  <c r="F55" i="117"/>
  <c r="K55" i="117" s="1"/>
  <c r="F54" i="117"/>
  <c r="F52" i="117"/>
  <c r="K52" i="117" s="1"/>
  <c r="F49" i="117"/>
  <c r="K49" i="117" s="1"/>
  <c r="F46" i="117"/>
  <c r="F44" i="117"/>
  <c r="K44" i="117" s="1"/>
  <c r="F43" i="117"/>
  <c r="F40" i="117"/>
  <c r="F39" i="117"/>
  <c r="F30" i="117"/>
  <c r="F38" i="117"/>
  <c r="G10" i="117"/>
  <c r="G15" i="117"/>
  <c r="F37" i="103"/>
  <c r="K19" i="117" l="1"/>
  <c r="S22" i="117"/>
  <c r="H9" i="117"/>
  <c r="K48" i="117"/>
  <c r="K32" i="117"/>
  <c r="F37" i="117"/>
  <c r="K37" i="117" s="1"/>
  <c r="K29" i="117"/>
  <c r="H8" i="117"/>
  <c r="F10" i="117"/>
  <c r="K10" i="117" s="1"/>
  <c r="K6" i="117"/>
  <c r="K27" i="117"/>
  <c r="K18" i="117"/>
  <c r="K28" i="117"/>
  <c r="F26" i="117"/>
  <c r="K26" i="117" s="1"/>
  <c r="K22" i="117"/>
  <c r="K16" i="117"/>
  <c r="F21" i="117"/>
  <c r="K21" i="117" s="1"/>
  <c r="K13" i="117"/>
  <c r="H13" i="117"/>
  <c r="K17" i="117"/>
  <c r="K14" i="117"/>
  <c r="H14" i="117"/>
  <c r="K11" i="117"/>
  <c r="F15" i="117"/>
  <c r="K15" i="117" s="1"/>
  <c r="K12" i="117"/>
  <c r="H12" i="117"/>
  <c r="K7" i="117"/>
  <c r="H7" i="117"/>
  <c r="K25" i="117"/>
  <c r="K68" i="117"/>
  <c r="K64" i="117"/>
  <c r="F69" i="117"/>
  <c r="K69" i="117" s="1"/>
  <c r="K61" i="117"/>
  <c r="F63" i="117"/>
  <c r="K63" i="117" s="1"/>
  <c r="K59" i="117"/>
  <c r="K57" i="117"/>
  <c r="F58" i="117"/>
  <c r="K58" i="117" s="1"/>
  <c r="K54" i="117"/>
  <c r="F53" i="117"/>
  <c r="K53" i="117" s="1"/>
  <c r="K46" i="117"/>
  <c r="K43" i="117"/>
  <c r="F47" i="117"/>
  <c r="K47" i="117" s="1"/>
  <c r="K40" i="117"/>
  <c r="K39" i="117"/>
  <c r="K38" i="117"/>
  <c r="F42" i="117"/>
  <c r="K42" i="117" s="1"/>
  <c r="K30" i="117"/>
  <c r="F31" i="117"/>
  <c r="F41" i="103"/>
  <c r="Q20" i="116"/>
  <c r="Q19" i="116"/>
  <c r="Q18" i="116"/>
  <c r="Q17" i="116"/>
  <c r="Q16" i="116"/>
  <c r="Q14" i="116"/>
  <c r="Q13" i="116"/>
  <c r="Q11" i="116"/>
  <c r="Q9" i="116"/>
  <c r="Q8" i="116"/>
  <c r="Q7" i="116"/>
  <c r="Q6" i="116"/>
  <c r="N20" i="116"/>
  <c r="N19" i="116"/>
  <c r="N17" i="116"/>
  <c r="N14" i="116"/>
  <c r="N11" i="116"/>
  <c r="N8" i="116"/>
  <c r="N7" i="116"/>
  <c r="N6" i="116"/>
  <c r="BY16" i="109"/>
  <c r="BV16" i="109"/>
  <c r="BV14" i="109"/>
  <c r="BV8" i="109"/>
  <c r="CA56" i="109"/>
  <c r="BZ56" i="109"/>
  <c r="G68" i="116" s="1"/>
  <c r="BY56" i="109"/>
  <c r="BV56" i="109"/>
  <c r="CA55" i="109"/>
  <c r="BZ55" i="109"/>
  <c r="G67" i="116" s="1"/>
  <c r="BY55" i="109"/>
  <c r="BV55" i="109"/>
  <c r="CA54" i="109"/>
  <c r="BZ54" i="109"/>
  <c r="G66" i="116" s="1"/>
  <c r="BY54" i="109"/>
  <c r="BV54" i="109"/>
  <c r="CA53" i="109"/>
  <c r="BZ53" i="109"/>
  <c r="G65" i="116" s="1"/>
  <c r="BY53" i="109"/>
  <c r="BV53" i="109"/>
  <c r="CA52" i="109"/>
  <c r="BZ52" i="109"/>
  <c r="G64" i="116" s="1"/>
  <c r="BY52" i="109"/>
  <c r="BV52" i="109"/>
  <c r="CA51" i="109"/>
  <c r="BZ51" i="109"/>
  <c r="G62" i="116" s="1"/>
  <c r="BY51" i="109"/>
  <c r="BV51" i="109"/>
  <c r="CA50" i="109"/>
  <c r="BZ50" i="109"/>
  <c r="G61" i="116" s="1"/>
  <c r="BY50" i="109"/>
  <c r="BV50" i="109"/>
  <c r="CA49" i="109"/>
  <c r="BZ49" i="109"/>
  <c r="G60" i="116" s="1"/>
  <c r="BY49" i="109"/>
  <c r="BV49" i="109"/>
  <c r="CA48" i="109"/>
  <c r="BZ48" i="109"/>
  <c r="G59" i="116" s="1"/>
  <c r="BY48" i="109"/>
  <c r="BV48" i="109"/>
  <c r="CA47" i="109"/>
  <c r="BZ47" i="109"/>
  <c r="G57" i="116" s="1"/>
  <c r="BY47" i="109"/>
  <c r="BV47" i="109"/>
  <c r="CA46" i="109"/>
  <c r="BZ46" i="109"/>
  <c r="G56" i="116" s="1"/>
  <c r="BY46" i="109"/>
  <c r="BV46" i="109"/>
  <c r="CA45" i="109"/>
  <c r="BZ45" i="109"/>
  <c r="G55" i="116" s="1"/>
  <c r="BY45" i="109"/>
  <c r="BV45" i="109"/>
  <c r="CA44" i="109"/>
  <c r="BZ44" i="109"/>
  <c r="G54" i="116" s="1"/>
  <c r="BY44" i="109"/>
  <c r="BV44" i="109"/>
  <c r="CA43" i="109"/>
  <c r="BZ43" i="109"/>
  <c r="G52" i="116" s="1"/>
  <c r="BY43" i="109"/>
  <c r="BV43" i="109"/>
  <c r="CA42" i="109"/>
  <c r="BZ42" i="109"/>
  <c r="G51" i="116" s="1"/>
  <c r="BY42" i="109"/>
  <c r="BV42" i="109"/>
  <c r="CA41" i="109"/>
  <c r="BZ41" i="109"/>
  <c r="G50" i="116" s="1"/>
  <c r="BY41" i="109"/>
  <c r="BV41" i="109"/>
  <c r="CA40" i="109"/>
  <c r="BZ40" i="109"/>
  <c r="G49" i="116" s="1"/>
  <c r="BY40" i="109"/>
  <c r="BV40" i="109"/>
  <c r="CA39" i="109"/>
  <c r="BZ39" i="109"/>
  <c r="G48" i="116" s="1"/>
  <c r="BY39" i="109"/>
  <c r="BV39" i="109"/>
  <c r="CA38" i="109"/>
  <c r="BZ38" i="109"/>
  <c r="G46" i="116" s="1"/>
  <c r="BY38" i="109"/>
  <c r="BV38" i="109"/>
  <c r="CA37" i="109"/>
  <c r="BZ37" i="109"/>
  <c r="G45" i="116" s="1"/>
  <c r="BY37" i="109"/>
  <c r="BV37" i="109"/>
  <c r="CA36" i="109"/>
  <c r="BZ36" i="109"/>
  <c r="G44" i="116" s="1"/>
  <c r="BY36" i="109"/>
  <c r="BV36" i="109"/>
  <c r="CA35" i="109"/>
  <c r="BZ35" i="109"/>
  <c r="G43" i="116" s="1"/>
  <c r="BY35" i="109"/>
  <c r="BV35" i="109"/>
  <c r="CA34" i="109"/>
  <c r="BZ34" i="109"/>
  <c r="G41" i="116" s="1"/>
  <c r="BY34" i="109"/>
  <c r="BV34" i="109"/>
  <c r="CA33" i="109"/>
  <c r="BZ33" i="109"/>
  <c r="G40" i="116" s="1"/>
  <c r="BY33" i="109"/>
  <c r="BV33" i="109"/>
  <c r="CA32" i="109"/>
  <c r="BZ32" i="109"/>
  <c r="G39" i="116" s="1"/>
  <c r="BY32" i="109"/>
  <c r="BV32" i="109"/>
  <c r="CA31" i="109"/>
  <c r="BZ31" i="109"/>
  <c r="G38" i="116" s="1"/>
  <c r="BY31" i="109"/>
  <c r="BV31" i="109"/>
  <c r="CA30" i="109"/>
  <c r="BZ30" i="109"/>
  <c r="BY30" i="109"/>
  <c r="BV30" i="109"/>
  <c r="CA29" i="109"/>
  <c r="BZ29" i="109"/>
  <c r="G35" i="116" s="1"/>
  <c r="BY29" i="109"/>
  <c r="BV29" i="109"/>
  <c r="CA28" i="109"/>
  <c r="BZ28" i="109"/>
  <c r="G34" i="116" s="1"/>
  <c r="BY28" i="109"/>
  <c r="BV28" i="109"/>
  <c r="CA27" i="109"/>
  <c r="BZ27" i="109"/>
  <c r="G33" i="116" s="1"/>
  <c r="BY27" i="109"/>
  <c r="BV27" i="109"/>
  <c r="CA26" i="109"/>
  <c r="BZ26" i="109"/>
  <c r="G32" i="116" s="1"/>
  <c r="BY26" i="109"/>
  <c r="BV26" i="109"/>
  <c r="CA25" i="109"/>
  <c r="BZ25" i="109"/>
  <c r="G30" i="116" s="1"/>
  <c r="BY25" i="109"/>
  <c r="BV25" i="109"/>
  <c r="CA24" i="109"/>
  <c r="BZ24" i="109"/>
  <c r="G29" i="116" s="1"/>
  <c r="BY24" i="109"/>
  <c r="BV24" i="109"/>
  <c r="CA23" i="109"/>
  <c r="BZ23" i="109"/>
  <c r="G28" i="116" s="1"/>
  <c r="BY23" i="109"/>
  <c r="BV23" i="109"/>
  <c r="CA22" i="109"/>
  <c r="BZ22" i="109"/>
  <c r="G27" i="116" s="1"/>
  <c r="BY22" i="109"/>
  <c r="BV22" i="109"/>
  <c r="CA21" i="109"/>
  <c r="BZ21" i="109"/>
  <c r="G25" i="116" s="1"/>
  <c r="BY21" i="109"/>
  <c r="BV21" i="109"/>
  <c r="CA20" i="109"/>
  <c r="BZ20" i="109"/>
  <c r="G24" i="116" s="1"/>
  <c r="BY20" i="109"/>
  <c r="BV20" i="109"/>
  <c r="CA19" i="109"/>
  <c r="BZ19" i="109"/>
  <c r="G23" i="116" s="1"/>
  <c r="BY19" i="109"/>
  <c r="BV19" i="109"/>
  <c r="CA18" i="109"/>
  <c r="BZ18" i="109"/>
  <c r="G22" i="116" s="1"/>
  <c r="BY18" i="109"/>
  <c r="BV18" i="109"/>
  <c r="BY17" i="109"/>
  <c r="BZ16" i="109"/>
  <c r="AS56" i="110"/>
  <c r="AR56" i="110"/>
  <c r="AS55" i="110"/>
  <c r="AR55" i="110"/>
  <c r="AS54" i="110"/>
  <c r="AR54" i="110"/>
  <c r="AR53" i="110"/>
  <c r="AS52" i="110"/>
  <c r="AR52" i="110"/>
  <c r="AS51" i="110"/>
  <c r="AR51" i="110"/>
  <c r="AS50" i="110"/>
  <c r="AR50" i="110"/>
  <c r="AS49" i="110"/>
  <c r="AR49" i="110"/>
  <c r="AS48" i="110"/>
  <c r="AR48" i="110"/>
  <c r="AS47" i="110"/>
  <c r="AR47" i="110"/>
  <c r="AS46" i="110"/>
  <c r="AR46" i="110"/>
  <c r="AS45" i="110"/>
  <c r="AR45" i="110"/>
  <c r="AS44" i="110"/>
  <c r="AR44" i="110"/>
  <c r="AS43" i="110"/>
  <c r="AR43" i="110"/>
  <c r="AS42" i="110"/>
  <c r="AR42" i="110"/>
  <c r="AS41" i="110"/>
  <c r="AR41" i="110"/>
  <c r="AS40" i="110"/>
  <c r="AR40" i="110"/>
  <c r="AS39" i="110"/>
  <c r="AR39" i="110"/>
  <c r="AR37" i="110"/>
  <c r="AR36" i="110"/>
  <c r="AS35" i="110"/>
  <c r="AR35" i="110"/>
  <c r="AS34" i="110"/>
  <c r="AR34" i="110"/>
  <c r="AS33" i="110"/>
  <c r="AS32" i="110"/>
  <c r="AR32" i="110"/>
  <c r="AS31" i="110"/>
  <c r="AR31" i="110"/>
  <c r="AS30" i="110"/>
  <c r="AR30" i="110"/>
  <c r="AS29" i="110"/>
  <c r="AR29" i="110"/>
  <c r="AS28" i="110"/>
  <c r="AR28" i="110"/>
  <c r="AS27" i="110"/>
  <c r="AR27" i="110"/>
  <c r="AS26" i="110"/>
  <c r="AR26" i="110"/>
  <c r="AS25" i="110"/>
  <c r="AR25" i="110"/>
  <c r="AS24" i="110"/>
  <c r="AR24" i="110"/>
  <c r="AS23" i="110"/>
  <c r="AR23" i="110"/>
  <c r="AS22" i="110"/>
  <c r="AR22" i="110"/>
  <c r="AS21" i="110"/>
  <c r="AR21" i="110"/>
  <c r="AS20" i="110"/>
  <c r="AR20" i="110"/>
  <c r="AS19" i="110"/>
  <c r="AR19" i="110"/>
  <c r="AS18" i="110"/>
  <c r="AR18" i="110"/>
  <c r="AS17" i="110"/>
  <c r="AR17" i="110"/>
  <c r="AS16" i="110"/>
  <c r="AR16" i="110"/>
  <c r="AS15" i="110"/>
  <c r="AR15" i="110"/>
  <c r="AS14" i="110"/>
  <c r="AR14" i="110"/>
  <c r="AT14" i="110" s="1"/>
  <c r="AS11" i="110"/>
  <c r="AR11" i="110"/>
  <c r="AS10" i="110"/>
  <c r="AS9" i="110"/>
  <c r="AS8" i="110"/>
  <c r="AR8" i="110"/>
  <c r="AS7" i="110"/>
  <c r="AR7" i="110"/>
  <c r="AS6" i="110"/>
  <c r="AR6" i="110"/>
  <c r="AS5" i="110"/>
  <c r="AR5" i="110"/>
  <c r="AT5" i="110" s="1"/>
  <c r="AT32" i="110" l="1"/>
  <c r="AT6" i="110"/>
  <c r="G26" i="103"/>
  <c r="AT43" i="110"/>
  <c r="AT39" i="110"/>
  <c r="AT45" i="110"/>
  <c r="AT8" i="110"/>
  <c r="AT42" i="110"/>
  <c r="AT19" i="110"/>
  <c r="AT31" i="110"/>
  <c r="AT44" i="110"/>
  <c r="AT27" i="110"/>
  <c r="AT26" i="110"/>
  <c r="AT25" i="110"/>
  <c r="AT23" i="110"/>
  <c r="AT29" i="110"/>
  <c r="AT34" i="110"/>
  <c r="AT40" i="110"/>
  <c r="AT46" i="110"/>
  <c r="AT52" i="110"/>
  <c r="AT21" i="110"/>
  <c r="AT35" i="110"/>
  <c r="AT41" i="110"/>
  <c r="F57" i="116"/>
  <c r="K57" i="116" s="1"/>
  <c r="AT47" i="110"/>
  <c r="F59" i="116"/>
  <c r="AT48" i="110"/>
  <c r="AT24" i="110"/>
  <c r="AT30" i="110"/>
  <c r="F67" i="116"/>
  <c r="K67" i="116" s="1"/>
  <c r="AT55" i="110"/>
  <c r="F68" i="116"/>
  <c r="K68" i="116" s="1"/>
  <c r="AT56" i="110"/>
  <c r="F62" i="116"/>
  <c r="K62" i="116" s="1"/>
  <c r="AT51" i="110"/>
  <c r="F66" i="116"/>
  <c r="K66" i="116" s="1"/>
  <c r="AT54" i="110"/>
  <c r="F61" i="116"/>
  <c r="K61" i="116" s="1"/>
  <c r="AT50" i="110"/>
  <c r="F60" i="116"/>
  <c r="K60" i="116" s="1"/>
  <c r="AT49" i="110"/>
  <c r="AT7" i="110"/>
  <c r="AT22" i="110"/>
  <c r="AT28" i="110"/>
  <c r="AT20" i="110"/>
  <c r="AT18" i="110"/>
  <c r="AT17" i="110"/>
  <c r="AT16" i="110"/>
  <c r="S23" i="117"/>
  <c r="S25" i="117" s="1"/>
  <c r="T23" i="117"/>
  <c r="AT15" i="110"/>
  <c r="AT11" i="110"/>
  <c r="H10" i="117"/>
  <c r="H15" i="117"/>
  <c r="Q21" i="116"/>
  <c r="CA17" i="109"/>
  <c r="F45" i="116"/>
  <c r="K45" i="116" s="1"/>
  <c r="F8" i="116"/>
  <c r="K8" i="116" s="1"/>
  <c r="F16" i="116"/>
  <c r="F23" i="116"/>
  <c r="K23" i="116" s="1"/>
  <c r="F30" i="116"/>
  <c r="K30" i="116" s="1"/>
  <c r="F38" i="116"/>
  <c r="H38" i="116" s="1"/>
  <c r="F46" i="116"/>
  <c r="F54" i="116"/>
  <c r="H54" i="116" s="1"/>
  <c r="F9" i="116"/>
  <c r="K9" i="116" s="1"/>
  <c r="F17" i="116"/>
  <c r="K17" i="116" s="1"/>
  <c r="F24" i="116"/>
  <c r="K24" i="116" s="1"/>
  <c r="F32" i="116"/>
  <c r="H32" i="116" s="1"/>
  <c r="F39" i="116"/>
  <c r="F18" i="116"/>
  <c r="K18" i="116" s="1"/>
  <c r="F25" i="116"/>
  <c r="K25" i="116" s="1"/>
  <c r="F33" i="116"/>
  <c r="K33" i="116" s="1"/>
  <c r="F48" i="116"/>
  <c r="K48" i="116" s="1"/>
  <c r="F52" i="116"/>
  <c r="K52" i="116" s="1"/>
  <c r="F19" i="116"/>
  <c r="F27" i="116"/>
  <c r="F34" i="116"/>
  <c r="K34" i="116" s="1"/>
  <c r="F6" i="116"/>
  <c r="F13" i="116"/>
  <c r="K13" i="116" s="1"/>
  <c r="F20" i="116"/>
  <c r="K20" i="116" s="1"/>
  <c r="F28" i="116"/>
  <c r="K28" i="116" s="1"/>
  <c r="F35" i="116"/>
  <c r="K35" i="116" s="1"/>
  <c r="F43" i="116"/>
  <c r="K43" i="116" s="1"/>
  <c r="F44" i="116"/>
  <c r="K44" i="116" s="1"/>
  <c r="F51" i="116"/>
  <c r="K51" i="116" s="1"/>
  <c r="F7" i="116"/>
  <c r="K7" i="116" s="1"/>
  <c r="F14" i="116"/>
  <c r="K14" i="116" s="1"/>
  <c r="F22" i="116"/>
  <c r="H22" i="116" s="1"/>
  <c r="F29" i="116"/>
  <c r="K29" i="116" s="1"/>
  <c r="F36" i="116"/>
  <c r="K36" i="116" s="1"/>
  <c r="CA10" i="109"/>
  <c r="BY12" i="109"/>
  <c r="BY11" i="109"/>
  <c r="BZ10" i="109"/>
  <c r="G12" i="116" s="1"/>
  <c r="N12" i="116"/>
  <c r="BZ11" i="109"/>
  <c r="G13" i="116" s="1"/>
  <c r="N13" i="116"/>
  <c r="BV10" i="109"/>
  <c r="Q12" i="116"/>
  <c r="Q15" i="116" s="1"/>
  <c r="CA16" i="109"/>
  <c r="CB16" i="109" s="1"/>
  <c r="BZ13" i="109"/>
  <c r="G16" i="116" s="1"/>
  <c r="N16" i="116"/>
  <c r="BZ15" i="109"/>
  <c r="G18" i="116" s="1"/>
  <c r="N18" i="116"/>
  <c r="Q10" i="116"/>
  <c r="BZ8" i="109"/>
  <c r="G9" i="116" s="1"/>
  <c r="N9" i="116"/>
  <c r="N10" i="116" s="1"/>
  <c r="F65" i="116"/>
  <c r="K65" i="116" s="1"/>
  <c r="F64" i="116"/>
  <c r="F56" i="116"/>
  <c r="K56" i="116" s="1"/>
  <c r="F55" i="116"/>
  <c r="K55" i="116" s="1"/>
  <c r="F50" i="116"/>
  <c r="K50" i="116" s="1"/>
  <c r="F49" i="116"/>
  <c r="K49" i="116" s="1"/>
  <c r="F41" i="116"/>
  <c r="K41" i="116" s="1"/>
  <c r="K31" i="117"/>
  <c r="BV13" i="109"/>
  <c r="BZ7" i="109"/>
  <c r="G8" i="116" s="1"/>
  <c r="BY7" i="109"/>
  <c r="BZ6" i="109"/>
  <c r="G7" i="116" s="1"/>
  <c r="BZ5" i="109"/>
  <c r="G6" i="116" s="1"/>
  <c r="G19" i="116"/>
  <c r="CA13" i="109"/>
  <c r="G47" i="116"/>
  <c r="G58" i="116"/>
  <c r="CA14" i="109"/>
  <c r="CA15" i="109"/>
  <c r="BY14" i="109"/>
  <c r="CA5" i="109"/>
  <c r="G36" i="116"/>
  <c r="G53" i="116"/>
  <c r="G63" i="116"/>
  <c r="BY13" i="109"/>
  <c r="G31" i="116"/>
  <c r="G42" i="116"/>
  <c r="G69" i="116"/>
  <c r="BZ14" i="109"/>
  <c r="BV15" i="109"/>
  <c r="CB27" i="109"/>
  <c r="CB33" i="109"/>
  <c r="CB39" i="109"/>
  <c r="CB45" i="109"/>
  <c r="CB51" i="109"/>
  <c r="CA7" i="109"/>
  <c r="BZ12" i="109"/>
  <c r="BY15" i="109"/>
  <c r="BV17" i="109"/>
  <c r="BV9" i="109"/>
  <c r="CA9" i="109"/>
  <c r="CA12" i="109"/>
  <c r="CB19" i="109"/>
  <c r="CB22" i="109"/>
  <c r="CB28" i="109"/>
  <c r="CB31" i="109"/>
  <c r="CB34" i="109"/>
  <c r="CB40" i="109"/>
  <c r="CB43" i="109"/>
  <c r="CB46" i="109"/>
  <c r="CB52" i="109"/>
  <c r="CA11" i="109"/>
  <c r="BY10" i="109"/>
  <c r="BZ9" i="109"/>
  <c r="CB55" i="109"/>
  <c r="CB23" i="109"/>
  <c r="CB26" i="109"/>
  <c r="CB35" i="109"/>
  <c r="CB50" i="109"/>
  <c r="CB24" i="109"/>
  <c r="CB30" i="109"/>
  <c r="CB36" i="109"/>
  <c r="CB42" i="109"/>
  <c r="CB48" i="109"/>
  <c r="CB29" i="109"/>
  <c r="CB32" i="109"/>
  <c r="CB56" i="109"/>
  <c r="CB53" i="109"/>
  <c r="CB41" i="109"/>
  <c r="CB54" i="109"/>
  <c r="CB44" i="109"/>
  <c r="CB25" i="109"/>
  <c r="CB37" i="109"/>
  <c r="CB49" i="109"/>
  <c r="BV12" i="109"/>
  <c r="BV5" i="109"/>
  <c r="BV6" i="109"/>
  <c r="BZ17" i="109"/>
  <c r="G20" i="116" s="1"/>
  <c r="BY8" i="109"/>
  <c r="BY9" i="109"/>
  <c r="BY6" i="109"/>
  <c r="CA6" i="109"/>
  <c r="BV7" i="109"/>
  <c r="BV11" i="109"/>
  <c r="CA8" i="109"/>
  <c r="CB21" i="109"/>
  <c r="CB38" i="109"/>
  <c r="CB47" i="109"/>
  <c r="CB20" i="109"/>
  <c r="CB18" i="109"/>
  <c r="H62" i="116" l="1"/>
  <c r="H61" i="116"/>
  <c r="H60" i="116"/>
  <c r="H66" i="116"/>
  <c r="F63" i="116"/>
  <c r="H68" i="116"/>
  <c r="H67" i="116"/>
  <c r="H59" i="116"/>
  <c r="H57" i="116"/>
  <c r="K59" i="116"/>
  <c r="H45" i="116"/>
  <c r="K19" i="116"/>
  <c r="S22" i="116"/>
  <c r="H8" i="116"/>
  <c r="K54" i="116"/>
  <c r="K38" i="116"/>
  <c r="K46" i="116"/>
  <c r="H46" i="116"/>
  <c r="H16" i="116"/>
  <c r="K39" i="116"/>
  <c r="H39" i="116"/>
  <c r="H33" i="116"/>
  <c r="H18" i="116"/>
  <c r="H23" i="116"/>
  <c r="H9" i="116"/>
  <c r="H7" i="116"/>
  <c r="H13" i="116"/>
  <c r="H44" i="116"/>
  <c r="H24" i="116"/>
  <c r="H48" i="116"/>
  <c r="F47" i="116"/>
  <c r="K47" i="116" s="1"/>
  <c r="H25" i="116"/>
  <c r="H36" i="116"/>
  <c r="CB7" i="109"/>
  <c r="H29" i="116"/>
  <c r="U51" i="116"/>
  <c r="H19" i="116"/>
  <c r="H51" i="116"/>
  <c r="H43" i="116"/>
  <c r="H34" i="116"/>
  <c r="CB5" i="109"/>
  <c r="H20" i="116"/>
  <c r="H28" i="116"/>
  <c r="F26" i="116"/>
  <c r="K26" i="116" s="1"/>
  <c r="K22" i="116"/>
  <c r="H35" i="116"/>
  <c r="F21" i="116"/>
  <c r="K21" i="116" s="1"/>
  <c r="K16" i="116"/>
  <c r="F31" i="116"/>
  <c r="K31" i="116" s="1"/>
  <c r="K27" i="116"/>
  <c r="CB11" i="109"/>
  <c r="N21" i="116"/>
  <c r="H30" i="116"/>
  <c r="H52" i="116"/>
  <c r="F37" i="116"/>
  <c r="K37" i="116" s="1"/>
  <c r="K32" i="116"/>
  <c r="H27" i="116"/>
  <c r="N15" i="116"/>
  <c r="F10" i="116"/>
  <c r="K10" i="116" s="1"/>
  <c r="K6" i="116"/>
  <c r="CB15" i="109"/>
  <c r="CB8" i="109"/>
  <c r="CB10" i="109"/>
  <c r="F26" i="103"/>
  <c r="CB13" i="109"/>
  <c r="H65" i="116"/>
  <c r="F69" i="116"/>
  <c r="K69" i="116" s="1"/>
  <c r="K64" i="116"/>
  <c r="H64" i="116"/>
  <c r="H56" i="116"/>
  <c r="F58" i="116"/>
  <c r="K58" i="116" s="1"/>
  <c r="H55" i="116"/>
  <c r="H50" i="116"/>
  <c r="F53" i="116"/>
  <c r="K53" i="116" s="1"/>
  <c r="H49" i="116"/>
  <c r="H41" i="116"/>
  <c r="CB6" i="109"/>
  <c r="CB9" i="109"/>
  <c r="G11" i="116"/>
  <c r="CB14" i="109"/>
  <c r="G17" i="116"/>
  <c r="H6" i="116"/>
  <c r="G10" i="116"/>
  <c r="CB12" i="109"/>
  <c r="G14" i="116"/>
  <c r="H14" i="116" s="1"/>
  <c r="G37" i="116"/>
  <c r="CB17" i="109"/>
  <c r="K63" i="116" l="1"/>
  <c r="H63" i="116"/>
  <c r="S23" i="116"/>
  <c r="S25" i="116" s="1"/>
  <c r="T23" i="116"/>
  <c r="H47" i="116"/>
  <c r="H26" i="103"/>
  <c r="H37" i="116"/>
  <c r="H31" i="116"/>
  <c r="H10" i="116"/>
  <c r="H26" i="116"/>
  <c r="H69" i="116"/>
  <c r="H58" i="116"/>
  <c r="H53" i="116"/>
  <c r="G21" i="116"/>
  <c r="H21" i="116" s="1"/>
  <c r="H17" i="116"/>
  <c r="G15" i="116"/>
  <c r="BF56" i="109"/>
  <c r="BE56" i="109"/>
  <c r="BD56" i="109"/>
  <c r="BA56" i="109"/>
  <c r="AX56" i="109"/>
  <c r="BF55" i="109"/>
  <c r="BE55" i="109"/>
  <c r="BD55" i="109"/>
  <c r="BA55" i="109"/>
  <c r="AX55" i="109"/>
  <c r="BF54" i="109"/>
  <c r="BE54" i="109"/>
  <c r="BD54" i="109"/>
  <c r="BA54" i="109"/>
  <c r="AX54" i="109"/>
  <c r="BF53" i="109"/>
  <c r="BE53" i="109"/>
  <c r="BD53" i="109"/>
  <c r="BA53" i="109"/>
  <c r="AX53" i="109"/>
  <c r="BF52" i="109"/>
  <c r="BE52" i="109"/>
  <c r="BD52" i="109"/>
  <c r="BA52" i="109"/>
  <c r="AX52" i="109"/>
  <c r="BF51" i="109"/>
  <c r="BE51" i="109"/>
  <c r="BD51" i="109"/>
  <c r="BA51" i="109"/>
  <c r="AX51" i="109"/>
  <c r="BF50" i="109"/>
  <c r="BE50" i="109"/>
  <c r="BD50" i="109"/>
  <c r="BA50" i="109"/>
  <c r="AX50" i="109"/>
  <c r="BF49" i="109"/>
  <c r="BE49" i="109"/>
  <c r="BD49" i="109"/>
  <c r="BA49" i="109"/>
  <c r="AX49" i="109"/>
  <c r="BF48" i="109"/>
  <c r="BE48" i="109"/>
  <c r="BD48" i="109"/>
  <c r="BA48" i="109"/>
  <c r="AX48" i="109"/>
  <c r="BF47" i="109"/>
  <c r="BE47" i="109"/>
  <c r="BD47" i="109"/>
  <c r="BA47" i="109"/>
  <c r="AX47" i="109"/>
  <c r="BF46" i="109"/>
  <c r="BE46" i="109"/>
  <c r="BD46" i="109"/>
  <c r="BA46" i="109"/>
  <c r="AX46" i="109"/>
  <c r="BF45" i="109"/>
  <c r="BE45" i="109"/>
  <c r="BD45" i="109"/>
  <c r="BA45" i="109"/>
  <c r="AX45" i="109"/>
  <c r="BF44" i="109"/>
  <c r="BE44" i="109"/>
  <c r="BD44" i="109"/>
  <c r="BA44" i="109"/>
  <c r="AX44" i="109"/>
  <c r="BF43" i="109"/>
  <c r="BE43" i="109"/>
  <c r="BD43" i="109"/>
  <c r="BA43" i="109"/>
  <c r="AX43" i="109"/>
  <c r="BF42" i="109"/>
  <c r="BE42" i="109"/>
  <c r="BD42" i="109"/>
  <c r="BA42" i="109"/>
  <c r="AX42" i="109"/>
  <c r="BF41" i="109"/>
  <c r="BE41" i="109"/>
  <c r="BD41" i="109"/>
  <c r="BA41" i="109"/>
  <c r="AX41" i="109"/>
  <c r="BF40" i="109"/>
  <c r="BE40" i="109"/>
  <c r="BD40" i="109"/>
  <c r="BA40" i="109"/>
  <c r="AX40" i="109"/>
  <c r="BF39" i="109"/>
  <c r="BE39" i="109"/>
  <c r="BD39" i="109"/>
  <c r="BA39" i="109"/>
  <c r="AX39" i="109"/>
  <c r="BF38" i="109"/>
  <c r="BE38" i="109"/>
  <c r="BD38" i="109"/>
  <c r="BA38" i="109"/>
  <c r="AX38" i="109"/>
  <c r="BF37" i="109"/>
  <c r="BE37" i="109"/>
  <c r="BD37" i="109"/>
  <c r="BA37" i="109"/>
  <c r="AX37" i="109"/>
  <c r="BF36" i="109"/>
  <c r="BE36" i="109"/>
  <c r="BD36" i="109"/>
  <c r="BA36" i="109"/>
  <c r="AX36" i="109"/>
  <c r="BF35" i="109"/>
  <c r="BE35" i="109"/>
  <c r="BD35" i="109"/>
  <c r="BA35" i="109"/>
  <c r="AX35" i="109"/>
  <c r="BF34" i="109"/>
  <c r="BE34" i="109"/>
  <c r="BD34" i="109"/>
  <c r="BA34" i="109"/>
  <c r="AX34" i="109"/>
  <c r="BF33" i="109"/>
  <c r="BE33" i="109"/>
  <c r="BD33" i="109"/>
  <c r="BA33" i="109"/>
  <c r="AX33" i="109"/>
  <c r="BF32" i="109"/>
  <c r="BE32" i="109"/>
  <c r="BD32" i="109"/>
  <c r="BA32" i="109"/>
  <c r="AX32" i="109"/>
  <c r="BF31" i="109"/>
  <c r="BE31" i="109"/>
  <c r="BD31" i="109"/>
  <c r="BA31" i="109"/>
  <c r="AX31" i="109"/>
  <c r="BF30" i="109"/>
  <c r="BE30" i="109"/>
  <c r="BD30" i="109"/>
  <c r="BA30" i="109"/>
  <c r="AX30" i="109"/>
  <c r="BF29" i="109"/>
  <c r="BE29" i="109"/>
  <c r="BD29" i="109"/>
  <c r="BA29" i="109"/>
  <c r="AX29" i="109"/>
  <c r="BF28" i="109"/>
  <c r="BE28" i="109"/>
  <c r="BD28" i="109"/>
  <c r="BA28" i="109"/>
  <c r="AX28" i="109"/>
  <c r="BF27" i="109"/>
  <c r="BE27" i="109"/>
  <c r="BD27" i="109"/>
  <c r="BA27" i="109"/>
  <c r="AX27" i="109"/>
  <c r="BF26" i="109"/>
  <c r="BE26" i="109"/>
  <c r="BD26" i="109"/>
  <c r="BA26" i="109"/>
  <c r="AX26" i="109"/>
  <c r="BF25" i="109"/>
  <c r="BE25" i="109"/>
  <c r="BD25" i="109"/>
  <c r="BA25" i="109"/>
  <c r="AX25" i="109"/>
  <c r="BF24" i="109"/>
  <c r="BE24" i="109"/>
  <c r="BD24" i="109"/>
  <c r="BA24" i="109"/>
  <c r="AX24" i="109"/>
  <c r="BF23" i="109"/>
  <c r="BE23" i="109"/>
  <c r="BD23" i="109"/>
  <c r="BA23" i="109"/>
  <c r="AX23" i="109"/>
  <c r="BF22" i="109"/>
  <c r="BE22" i="109"/>
  <c r="BD22" i="109"/>
  <c r="BA22" i="109"/>
  <c r="AX22" i="109"/>
  <c r="BF21" i="109"/>
  <c r="BE21" i="109"/>
  <c r="BD21" i="109"/>
  <c r="BA21" i="109"/>
  <c r="AX21" i="109"/>
  <c r="BF20" i="109"/>
  <c r="BE20" i="109"/>
  <c r="BD20" i="109"/>
  <c r="BA20" i="109"/>
  <c r="AX20" i="109"/>
  <c r="BF19" i="109"/>
  <c r="BE19" i="109"/>
  <c r="BD19" i="109"/>
  <c r="BA19" i="109"/>
  <c r="AX19" i="109"/>
  <c r="BF18" i="109"/>
  <c r="BE18" i="109"/>
  <c r="BD18" i="109"/>
  <c r="BA18" i="109"/>
  <c r="AX18" i="109"/>
  <c r="BF17" i="109"/>
  <c r="BE17" i="109"/>
  <c r="BD17" i="109"/>
  <c r="BA17" i="109"/>
  <c r="AX17" i="109"/>
  <c r="BF16" i="109"/>
  <c r="BE16" i="109"/>
  <c r="BD16" i="109"/>
  <c r="BA16" i="109"/>
  <c r="AX16" i="109"/>
  <c r="BF15" i="109"/>
  <c r="BE15" i="109"/>
  <c r="BD15" i="109"/>
  <c r="BA15" i="109"/>
  <c r="AX15" i="109"/>
  <c r="BF14" i="109"/>
  <c r="BE14" i="109"/>
  <c r="BD14" i="109"/>
  <c r="BA14" i="109"/>
  <c r="AX14" i="109"/>
  <c r="BF13" i="109"/>
  <c r="BE13" i="109"/>
  <c r="BD13" i="109"/>
  <c r="BA13" i="109"/>
  <c r="AX13" i="109"/>
  <c r="BF12" i="109"/>
  <c r="BE12" i="109"/>
  <c r="BD12" i="109"/>
  <c r="BA12" i="109"/>
  <c r="AX12" i="109"/>
  <c r="BF11" i="109"/>
  <c r="BE11" i="109"/>
  <c r="BD11" i="109"/>
  <c r="BA11" i="109"/>
  <c r="AX11" i="109"/>
  <c r="BF10" i="109"/>
  <c r="BE10" i="109"/>
  <c r="BD10" i="109"/>
  <c r="BA10" i="109"/>
  <c r="AX10" i="109"/>
  <c r="BF9" i="109"/>
  <c r="BE9" i="109"/>
  <c r="BD9" i="109"/>
  <c r="BA9" i="109"/>
  <c r="AX9" i="109"/>
  <c r="BF8" i="109"/>
  <c r="BE8" i="109"/>
  <c r="BD8" i="109"/>
  <c r="BA8" i="109"/>
  <c r="AX8" i="109"/>
  <c r="BF7" i="109"/>
  <c r="BE7" i="109"/>
  <c r="BD7" i="109"/>
  <c r="BA7" i="109"/>
  <c r="AX7" i="109"/>
  <c r="BF6" i="109"/>
  <c r="BE6" i="109"/>
  <c r="BD6" i="109"/>
  <c r="BA6" i="109"/>
  <c r="AX6" i="109"/>
  <c r="BF5" i="109"/>
  <c r="BE5" i="109"/>
  <c r="BD5" i="109"/>
  <c r="BA5" i="109"/>
  <c r="AX5" i="109"/>
  <c r="BR56" i="109"/>
  <c r="BQ56" i="109"/>
  <c r="BP56" i="109"/>
  <c r="BM56" i="109"/>
  <c r="BJ56" i="109"/>
  <c r="BR55" i="109"/>
  <c r="BQ55" i="109"/>
  <c r="BP55" i="109"/>
  <c r="BM55" i="109"/>
  <c r="BJ55" i="109"/>
  <c r="BR54" i="109"/>
  <c r="BQ54" i="109"/>
  <c r="BP54" i="109"/>
  <c r="BM54" i="109"/>
  <c r="BJ54" i="109"/>
  <c r="BR53" i="109"/>
  <c r="BQ53" i="109"/>
  <c r="BP53" i="109"/>
  <c r="BM53" i="109"/>
  <c r="BJ53" i="109"/>
  <c r="BR52" i="109"/>
  <c r="BQ52" i="109"/>
  <c r="BP52" i="109"/>
  <c r="BM52" i="109"/>
  <c r="BJ52" i="109"/>
  <c r="BR51" i="109"/>
  <c r="BQ51" i="109"/>
  <c r="BP51" i="109"/>
  <c r="BM51" i="109"/>
  <c r="BJ51" i="109"/>
  <c r="BR50" i="109"/>
  <c r="BQ50" i="109"/>
  <c r="BP50" i="109"/>
  <c r="BM50" i="109"/>
  <c r="BJ50" i="109"/>
  <c r="BR49" i="109"/>
  <c r="BQ49" i="109"/>
  <c r="BP49" i="109"/>
  <c r="BM49" i="109"/>
  <c r="BJ49" i="109"/>
  <c r="BR48" i="109"/>
  <c r="BQ48" i="109"/>
  <c r="BP48" i="109"/>
  <c r="BM48" i="109"/>
  <c r="BJ48" i="109"/>
  <c r="BR47" i="109"/>
  <c r="BQ47" i="109"/>
  <c r="BP47" i="109"/>
  <c r="BM47" i="109"/>
  <c r="BJ47" i="109"/>
  <c r="BR46" i="109"/>
  <c r="BQ46" i="109"/>
  <c r="BP46" i="109"/>
  <c r="BM46" i="109"/>
  <c r="BJ46" i="109"/>
  <c r="BR45" i="109"/>
  <c r="BQ45" i="109"/>
  <c r="BP45" i="109"/>
  <c r="BM45" i="109"/>
  <c r="BJ45" i="109"/>
  <c r="BR44" i="109"/>
  <c r="BQ44" i="109"/>
  <c r="BP44" i="109"/>
  <c r="BM44" i="109"/>
  <c r="BJ44" i="109"/>
  <c r="BR43" i="109"/>
  <c r="BQ43" i="109"/>
  <c r="BP43" i="109"/>
  <c r="BM43" i="109"/>
  <c r="BJ43" i="109"/>
  <c r="BR42" i="109"/>
  <c r="BQ42" i="109"/>
  <c r="BP42" i="109"/>
  <c r="BM42" i="109"/>
  <c r="BJ42" i="109"/>
  <c r="BR41" i="109"/>
  <c r="BQ41" i="109"/>
  <c r="BP41" i="109"/>
  <c r="BM41" i="109"/>
  <c r="BJ41" i="109"/>
  <c r="BR40" i="109"/>
  <c r="BQ40" i="109"/>
  <c r="BP40" i="109"/>
  <c r="BM40" i="109"/>
  <c r="BJ40" i="109"/>
  <c r="BR39" i="109"/>
  <c r="BQ39" i="109"/>
  <c r="BP39" i="109"/>
  <c r="BM39" i="109"/>
  <c r="BJ39" i="109"/>
  <c r="BR38" i="109"/>
  <c r="BQ38" i="109"/>
  <c r="BP38" i="109"/>
  <c r="BM38" i="109"/>
  <c r="BJ38" i="109"/>
  <c r="BR37" i="109"/>
  <c r="BQ37" i="109"/>
  <c r="BP37" i="109"/>
  <c r="BM37" i="109"/>
  <c r="BJ37" i="109"/>
  <c r="BR36" i="109"/>
  <c r="BQ36" i="109"/>
  <c r="BP36" i="109"/>
  <c r="BM36" i="109"/>
  <c r="BJ36" i="109"/>
  <c r="BR35" i="109"/>
  <c r="BQ35" i="109"/>
  <c r="BP35" i="109"/>
  <c r="BM35" i="109"/>
  <c r="BJ35" i="109"/>
  <c r="BR34" i="109"/>
  <c r="BQ34" i="109"/>
  <c r="BP34" i="109"/>
  <c r="BM34" i="109"/>
  <c r="BJ34" i="109"/>
  <c r="BR33" i="109"/>
  <c r="BQ33" i="109"/>
  <c r="BP33" i="109"/>
  <c r="BM33" i="109"/>
  <c r="BJ33" i="109"/>
  <c r="BR32" i="109"/>
  <c r="BQ32" i="109"/>
  <c r="BP32" i="109"/>
  <c r="BM32" i="109"/>
  <c r="BJ32" i="109"/>
  <c r="BR31" i="109"/>
  <c r="BQ31" i="109"/>
  <c r="BP31" i="109"/>
  <c r="BM31" i="109"/>
  <c r="BJ31" i="109"/>
  <c r="BR30" i="109"/>
  <c r="BQ30" i="109"/>
  <c r="BP30" i="109"/>
  <c r="BM30" i="109"/>
  <c r="BJ30" i="109"/>
  <c r="BR29" i="109"/>
  <c r="BQ29" i="109"/>
  <c r="BP29" i="109"/>
  <c r="BM29" i="109"/>
  <c r="BJ29" i="109"/>
  <c r="BR28" i="109"/>
  <c r="BQ28" i="109"/>
  <c r="BP28" i="109"/>
  <c r="BM28" i="109"/>
  <c r="BJ28" i="109"/>
  <c r="BR27" i="109"/>
  <c r="BQ27" i="109"/>
  <c r="BP27" i="109"/>
  <c r="BM27" i="109"/>
  <c r="BJ27" i="109"/>
  <c r="BR26" i="109"/>
  <c r="BQ26" i="109"/>
  <c r="BP26" i="109"/>
  <c r="BM26" i="109"/>
  <c r="BJ26" i="109"/>
  <c r="BR25" i="109"/>
  <c r="BQ25" i="109"/>
  <c r="BP25" i="109"/>
  <c r="BM25" i="109"/>
  <c r="BJ25" i="109"/>
  <c r="BR24" i="109"/>
  <c r="BQ24" i="109"/>
  <c r="BP24" i="109"/>
  <c r="BM24" i="109"/>
  <c r="BJ24" i="109"/>
  <c r="BR23" i="109"/>
  <c r="BQ23" i="109"/>
  <c r="BP23" i="109"/>
  <c r="BM23" i="109"/>
  <c r="BJ23" i="109"/>
  <c r="BR22" i="109"/>
  <c r="BQ22" i="109"/>
  <c r="BP22" i="109"/>
  <c r="BM22" i="109"/>
  <c r="BJ22" i="109"/>
  <c r="BR21" i="109"/>
  <c r="BQ21" i="109"/>
  <c r="BP21" i="109"/>
  <c r="BM21" i="109"/>
  <c r="BJ21" i="109"/>
  <c r="BR20" i="109"/>
  <c r="BQ20" i="109"/>
  <c r="BP20" i="109"/>
  <c r="BM20" i="109"/>
  <c r="BJ20" i="109"/>
  <c r="BR19" i="109"/>
  <c r="BQ19" i="109"/>
  <c r="BP19" i="109"/>
  <c r="BM19" i="109"/>
  <c r="BJ19" i="109"/>
  <c r="BR18" i="109"/>
  <c r="BQ18" i="109"/>
  <c r="BP18" i="109"/>
  <c r="BM18" i="109"/>
  <c r="BJ18" i="109"/>
  <c r="BR17" i="109"/>
  <c r="BQ17" i="109"/>
  <c r="BP17" i="109"/>
  <c r="BM17" i="109"/>
  <c r="BJ17" i="109"/>
  <c r="BR16" i="109"/>
  <c r="BQ16" i="109"/>
  <c r="BP16" i="109"/>
  <c r="BM16" i="109"/>
  <c r="BJ16" i="109"/>
  <c r="BR15" i="109"/>
  <c r="BQ15" i="109"/>
  <c r="BP15" i="109"/>
  <c r="BM15" i="109"/>
  <c r="BJ15" i="109"/>
  <c r="BR14" i="109"/>
  <c r="BQ14" i="109"/>
  <c r="BP14" i="109"/>
  <c r="BM14" i="109"/>
  <c r="BJ14" i="109"/>
  <c r="BR13" i="109"/>
  <c r="BQ13" i="109"/>
  <c r="BP13" i="109"/>
  <c r="BM13" i="109"/>
  <c r="BJ13" i="109"/>
  <c r="BR12" i="109"/>
  <c r="BQ12" i="109"/>
  <c r="BP12" i="109"/>
  <c r="BM12" i="109"/>
  <c r="BJ12" i="109"/>
  <c r="BR11" i="109"/>
  <c r="BQ11" i="109"/>
  <c r="BP11" i="109"/>
  <c r="BM11" i="109"/>
  <c r="BJ11" i="109"/>
  <c r="BR10" i="109"/>
  <c r="BQ10" i="109"/>
  <c r="BP10" i="109"/>
  <c r="BM10" i="109"/>
  <c r="BJ10" i="109"/>
  <c r="BR9" i="109"/>
  <c r="BQ9" i="109"/>
  <c r="BP9" i="109"/>
  <c r="BM9" i="109"/>
  <c r="BJ9" i="109"/>
  <c r="BR8" i="109"/>
  <c r="BQ8" i="109"/>
  <c r="BP8" i="109"/>
  <c r="BM8" i="109"/>
  <c r="BJ8" i="109"/>
  <c r="BR7" i="109"/>
  <c r="BQ7" i="109"/>
  <c r="BP7" i="109"/>
  <c r="BM7" i="109"/>
  <c r="BJ7" i="109"/>
  <c r="BR6" i="109"/>
  <c r="BQ6" i="109"/>
  <c r="BP6" i="109"/>
  <c r="BM6" i="109"/>
  <c r="BJ6" i="109"/>
  <c r="BR5" i="109"/>
  <c r="BQ5" i="109"/>
  <c r="BP5" i="109"/>
  <c r="BM5" i="109"/>
  <c r="BJ5" i="109"/>
  <c r="AJ56" i="110"/>
  <c r="AI56" i="110"/>
  <c r="AJ55" i="110"/>
  <c r="AI55" i="110"/>
  <c r="AJ54" i="110"/>
  <c r="AI54" i="110"/>
  <c r="AJ53" i="110"/>
  <c r="AI53" i="110"/>
  <c r="AJ52" i="110"/>
  <c r="AI52" i="110"/>
  <c r="AJ51" i="110"/>
  <c r="AI51" i="110"/>
  <c r="AJ50" i="110"/>
  <c r="AI50" i="110"/>
  <c r="AJ49" i="110"/>
  <c r="AI49" i="110"/>
  <c r="AJ48" i="110"/>
  <c r="AI48" i="110"/>
  <c r="AJ47" i="110"/>
  <c r="AI47" i="110"/>
  <c r="AJ46" i="110"/>
  <c r="AI46" i="110"/>
  <c r="AJ45" i="110"/>
  <c r="AI45" i="110"/>
  <c r="AJ44" i="110"/>
  <c r="AI44" i="110"/>
  <c r="AJ43" i="110"/>
  <c r="AI43" i="110"/>
  <c r="AJ42" i="110"/>
  <c r="AI42" i="110"/>
  <c r="AJ41" i="110"/>
  <c r="AI41" i="110"/>
  <c r="AJ40" i="110"/>
  <c r="AI40" i="110"/>
  <c r="AJ39" i="110"/>
  <c r="AI39" i="110"/>
  <c r="AI37" i="110"/>
  <c r="AI36" i="110"/>
  <c r="AJ35" i="110"/>
  <c r="AI35" i="110"/>
  <c r="AJ34" i="110"/>
  <c r="AI34" i="110"/>
  <c r="AJ33" i="110"/>
  <c r="AI33" i="110"/>
  <c r="AJ32" i="110"/>
  <c r="AI32" i="110"/>
  <c r="AJ31" i="110"/>
  <c r="AI31" i="110"/>
  <c r="AJ30" i="110"/>
  <c r="AI30" i="110"/>
  <c r="AJ29" i="110"/>
  <c r="AI29" i="110"/>
  <c r="AJ28" i="110"/>
  <c r="AI28" i="110"/>
  <c r="AJ27" i="110"/>
  <c r="AI27" i="110"/>
  <c r="AJ26" i="110"/>
  <c r="AI26" i="110"/>
  <c r="AJ25" i="110"/>
  <c r="AI25" i="110"/>
  <c r="AJ24" i="110"/>
  <c r="AI24" i="110"/>
  <c r="AJ23" i="110"/>
  <c r="AI23" i="110"/>
  <c r="AJ22" i="110"/>
  <c r="AI22" i="110"/>
  <c r="AJ21" i="110"/>
  <c r="AI21" i="110"/>
  <c r="AJ20" i="110"/>
  <c r="AJ19" i="110"/>
  <c r="AI19" i="110"/>
  <c r="AJ18" i="110"/>
  <c r="AI18" i="110"/>
  <c r="AJ17" i="110"/>
  <c r="AI17" i="110"/>
  <c r="AJ16" i="110"/>
  <c r="AI16" i="110"/>
  <c r="AJ15" i="110"/>
  <c r="AI15" i="110"/>
  <c r="AJ14" i="110"/>
  <c r="AI14" i="110"/>
  <c r="AJ11" i="110"/>
  <c r="AI11" i="110"/>
  <c r="AJ10" i="110"/>
  <c r="AI10" i="110"/>
  <c r="AJ9" i="110"/>
  <c r="AI9" i="110"/>
  <c r="AJ8" i="110"/>
  <c r="AI8" i="110"/>
  <c r="AJ7" i="110"/>
  <c r="AI7" i="110"/>
  <c r="AJ6" i="110"/>
  <c r="AI6" i="110"/>
  <c r="AJ5" i="110"/>
  <c r="AI5" i="110"/>
  <c r="AK32" i="110" l="1"/>
  <c r="AK50" i="110"/>
  <c r="AK28" i="110"/>
  <c r="AK34" i="110"/>
  <c r="AK40" i="110"/>
  <c r="AK46" i="110"/>
  <c r="AK6" i="110"/>
  <c r="AK52" i="110"/>
  <c r="AK29" i="110"/>
  <c r="AK35" i="110"/>
  <c r="AK27" i="110"/>
  <c r="AK33" i="110"/>
  <c r="AK39" i="110"/>
  <c r="AK45" i="110"/>
  <c r="AK51" i="110"/>
  <c r="AK41" i="110"/>
  <c r="AK47" i="110"/>
  <c r="AK53" i="110"/>
  <c r="AK5" i="110"/>
  <c r="AK44" i="110"/>
  <c r="AK31" i="110"/>
  <c r="AK43" i="110"/>
  <c r="AK49" i="110"/>
  <c r="AK55" i="110"/>
  <c r="AK56" i="110"/>
  <c r="AK7" i="110"/>
  <c r="AK26" i="110"/>
  <c r="AK25" i="110"/>
  <c r="AK23" i="110"/>
  <c r="AK8" i="110"/>
  <c r="AK24" i="110"/>
  <c r="AK9" i="110"/>
  <c r="AK22" i="110"/>
  <c r="AK21" i="110"/>
  <c r="AK30" i="110"/>
  <c r="AK42" i="110"/>
  <c r="AK48" i="110"/>
  <c r="AK54" i="110"/>
  <c r="AK20" i="110"/>
  <c r="AK19" i="110"/>
  <c r="AK18" i="110"/>
  <c r="AK17" i="110"/>
  <c r="AK16" i="110"/>
  <c r="AK15" i="110"/>
  <c r="AK14" i="110"/>
  <c r="AK11" i="110"/>
  <c r="AK10" i="110"/>
  <c r="J69" i="121"/>
  <c r="K27" i="121"/>
  <c r="F27" i="118"/>
  <c r="F6" i="118"/>
  <c r="K34" i="121"/>
  <c r="F34" i="118"/>
  <c r="K13" i="121"/>
  <c r="F13" i="118"/>
  <c r="K35" i="121"/>
  <c r="F35" i="118"/>
  <c r="F43" i="118"/>
  <c r="H43" i="121"/>
  <c r="K19" i="121"/>
  <c r="F19" i="118"/>
  <c r="S22" i="118" s="1"/>
  <c r="K14" i="121"/>
  <c r="F14" i="118"/>
  <c r="K22" i="121"/>
  <c r="F22" i="118"/>
  <c r="K36" i="121"/>
  <c r="F36" i="118"/>
  <c r="F44" i="118"/>
  <c r="K44" i="121"/>
  <c r="K12" i="121"/>
  <c r="F12" i="118"/>
  <c r="F41" i="118"/>
  <c r="K41" i="121"/>
  <c r="K28" i="121"/>
  <c r="F28" i="118"/>
  <c r="K8" i="121"/>
  <c r="F8" i="118"/>
  <c r="K16" i="121"/>
  <c r="F16" i="118"/>
  <c r="K23" i="121"/>
  <c r="F23" i="118"/>
  <c r="K30" i="121"/>
  <c r="F30" i="118"/>
  <c r="F38" i="118"/>
  <c r="H38" i="121"/>
  <c r="F45" i="118"/>
  <c r="K45" i="121"/>
  <c r="K20" i="121"/>
  <c r="F20" i="118"/>
  <c r="H29" i="121"/>
  <c r="F29" i="118"/>
  <c r="K17" i="121"/>
  <c r="F17" i="118"/>
  <c r="H32" i="121"/>
  <c r="F32" i="118"/>
  <c r="F46" i="118"/>
  <c r="H46" i="121"/>
  <c r="K7" i="121"/>
  <c r="F7" i="118"/>
  <c r="K9" i="121"/>
  <c r="F9" i="118"/>
  <c r="F19" i="103"/>
  <c r="S22" i="103" s="1"/>
  <c r="S23" i="103" s="1"/>
  <c r="S25" i="103" s="1"/>
  <c r="K24" i="121"/>
  <c r="F24" i="118"/>
  <c r="F39" i="118"/>
  <c r="K39" i="121"/>
  <c r="F11" i="118"/>
  <c r="K18" i="121"/>
  <c r="F18" i="118"/>
  <c r="K25" i="121"/>
  <c r="F25" i="118"/>
  <c r="H33" i="121"/>
  <c r="F33" i="118"/>
  <c r="F40" i="118"/>
  <c r="K40" i="121"/>
  <c r="G18" i="118"/>
  <c r="G48" i="118"/>
  <c r="G62" i="118"/>
  <c r="J63" i="121"/>
  <c r="G9" i="118"/>
  <c r="G24" i="118"/>
  <c r="G39" i="118"/>
  <c r="G54" i="118"/>
  <c r="G68" i="118"/>
  <c r="J10" i="121"/>
  <c r="G16" i="118"/>
  <c r="G30" i="118"/>
  <c r="G45" i="118"/>
  <c r="G60" i="118"/>
  <c r="J31" i="121"/>
  <c r="G7" i="118"/>
  <c r="G22" i="118"/>
  <c r="G36" i="118"/>
  <c r="J37" i="121"/>
  <c r="J53" i="121"/>
  <c r="G13" i="118"/>
  <c r="G28" i="118"/>
  <c r="G20" i="103"/>
  <c r="J42" i="121"/>
  <c r="J58" i="121"/>
  <c r="G19" i="118"/>
  <c r="G34" i="118"/>
  <c r="G49" i="118"/>
  <c r="G64" i="118"/>
  <c r="J21" i="121"/>
  <c r="G11" i="118"/>
  <c r="G25" i="118"/>
  <c r="G40" i="118"/>
  <c r="G55" i="118"/>
  <c r="J26" i="121"/>
  <c r="G17" i="118"/>
  <c r="G22" i="103"/>
  <c r="J47" i="121"/>
  <c r="G8" i="118"/>
  <c r="G23" i="118"/>
  <c r="J15" i="121"/>
  <c r="G20" i="118"/>
  <c r="G27" i="118"/>
  <c r="F68" i="118"/>
  <c r="F67" i="118"/>
  <c r="F66" i="118"/>
  <c r="F65" i="118"/>
  <c r="F64" i="118"/>
  <c r="F62" i="118"/>
  <c r="F61" i="118"/>
  <c r="F60" i="118"/>
  <c r="F59" i="118"/>
  <c r="F57" i="118"/>
  <c r="F56" i="118"/>
  <c r="F55" i="118"/>
  <c r="F48" i="118"/>
  <c r="F54" i="118"/>
  <c r="F52" i="118"/>
  <c r="F51" i="118"/>
  <c r="F50" i="118"/>
  <c r="F49" i="118"/>
  <c r="J43" i="118"/>
  <c r="J57" i="118"/>
  <c r="J11" i="118"/>
  <c r="BG5" i="109"/>
  <c r="G6" i="118"/>
  <c r="J32" i="118"/>
  <c r="J35" i="118"/>
  <c r="J12" i="118"/>
  <c r="BG42" i="109"/>
  <c r="G51" i="118"/>
  <c r="BG54" i="109"/>
  <c r="G66" i="118"/>
  <c r="J7" i="118"/>
  <c r="J22" i="118"/>
  <c r="J36" i="118"/>
  <c r="J51" i="118"/>
  <c r="J66" i="118"/>
  <c r="BG26" i="109"/>
  <c r="G32" i="118"/>
  <c r="BG38" i="109"/>
  <c r="G46" i="118"/>
  <c r="BG50" i="109"/>
  <c r="G61" i="118"/>
  <c r="J13" i="118"/>
  <c r="J28" i="118"/>
  <c r="BG31" i="109"/>
  <c r="G38" i="118"/>
  <c r="BG43" i="109"/>
  <c r="G52" i="118"/>
  <c r="BG55" i="109"/>
  <c r="G67" i="118"/>
  <c r="J19" i="118"/>
  <c r="J34" i="118"/>
  <c r="J49" i="118"/>
  <c r="J64" i="118"/>
  <c r="BG12" i="109"/>
  <c r="G14" i="118"/>
  <c r="BG24" i="109"/>
  <c r="G29" i="118"/>
  <c r="BG36" i="109"/>
  <c r="G44" i="118"/>
  <c r="BG48" i="109"/>
  <c r="G59" i="118"/>
  <c r="BG29" i="109"/>
  <c r="G35" i="118"/>
  <c r="BG41" i="109"/>
  <c r="G50" i="118"/>
  <c r="BG53" i="109"/>
  <c r="G65" i="118"/>
  <c r="J61" i="118"/>
  <c r="BG34" i="109"/>
  <c r="G41" i="118"/>
  <c r="BG46" i="109"/>
  <c r="G56" i="118"/>
  <c r="J8" i="118"/>
  <c r="J23" i="118"/>
  <c r="J38" i="118"/>
  <c r="J52" i="118"/>
  <c r="J67" i="118"/>
  <c r="BG27" i="109"/>
  <c r="G33" i="118"/>
  <c r="J14" i="118"/>
  <c r="J29" i="118"/>
  <c r="J44" i="118"/>
  <c r="J59" i="118"/>
  <c r="J20" i="118"/>
  <c r="J50" i="118"/>
  <c r="J65" i="118"/>
  <c r="J27" i="118"/>
  <c r="J41" i="118"/>
  <c r="J56" i="118"/>
  <c r="J18" i="118"/>
  <c r="J33" i="118"/>
  <c r="J48" i="118"/>
  <c r="J62" i="118"/>
  <c r="BG35" i="109"/>
  <c r="G43" i="118"/>
  <c r="BG47" i="109"/>
  <c r="G57" i="118"/>
  <c r="J9" i="118"/>
  <c r="J24" i="118"/>
  <c r="J39" i="118"/>
  <c r="J54" i="118"/>
  <c r="J68" i="118"/>
  <c r="J25" i="118"/>
  <c r="J40" i="118"/>
  <c r="J55" i="118"/>
  <c r="J17" i="118"/>
  <c r="J46" i="118"/>
  <c r="BG10" i="109"/>
  <c r="G12" i="118"/>
  <c r="J6" i="118"/>
  <c r="J16" i="118"/>
  <c r="J30" i="118"/>
  <c r="J45" i="118"/>
  <c r="J60" i="118"/>
  <c r="BG8" i="109"/>
  <c r="BG44" i="109"/>
  <c r="F22" i="103"/>
  <c r="BG30" i="109"/>
  <c r="F20" i="103"/>
  <c r="BG23" i="109"/>
  <c r="BG28" i="109"/>
  <c r="BG40" i="109"/>
  <c r="BS25" i="109"/>
  <c r="BS37" i="109"/>
  <c r="BS49" i="109"/>
  <c r="BS13" i="109"/>
  <c r="BG16" i="109"/>
  <c r="BG52" i="109"/>
  <c r="BG21" i="109"/>
  <c r="BG22" i="109"/>
  <c r="BG15" i="109"/>
  <c r="BG20" i="109"/>
  <c r="BG14" i="109"/>
  <c r="BG33" i="109"/>
  <c r="BG45" i="109"/>
  <c r="BG39" i="109"/>
  <c r="BG51" i="109"/>
  <c r="BG13" i="109"/>
  <c r="BG32" i="109"/>
  <c r="BG56" i="109"/>
  <c r="BG18" i="109"/>
  <c r="BG25" i="109"/>
  <c r="BG37" i="109"/>
  <c r="BG49" i="109"/>
  <c r="BG19" i="109"/>
  <c r="BG17" i="109"/>
  <c r="BG11" i="109"/>
  <c r="BG9" i="109"/>
  <c r="BG7" i="109"/>
  <c r="BG6" i="109"/>
  <c r="BS35" i="109"/>
  <c r="BS47" i="109"/>
  <c r="BS45" i="109"/>
  <c r="BS26" i="109"/>
  <c r="BS38" i="109"/>
  <c r="BS31" i="109"/>
  <c r="BS55" i="109"/>
  <c r="BS36" i="109"/>
  <c r="BS53" i="109"/>
  <c r="BS34" i="109"/>
  <c r="BS46" i="109"/>
  <c r="BS42" i="109"/>
  <c r="BS23" i="109"/>
  <c r="BS28" i="109"/>
  <c r="BS40" i="109"/>
  <c r="BS52" i="109"/>
  <c r="BS50" i="109"/>
  <c r="BS24" i="109"/>
  <c r="BS48" i="109"/>
  <c r="BS29" i="109"/>
  <c r="BS15" i="109"/>
  <c r="BS27" i="109"/>
  <c r="BS39" i="109"/>
  <c r="BS51" i="109"/>
  <c r="BS30" i="109"/>
  <c r="BS54" i="109"/>
  <c r="BS33" i="109"/>
  <c r="BS43" i="109"/>
  <c r="BS41" i="109"/>
  <c r="BS32" i="109"/>
  <c r="BS44" i="109"/>
  <c r="BS56" i="109"/>
  <c r="BS18" i="109"/>
  <c r="BS9" i="109"/>
  <c r="BS14" i="109"/>
  <c r="BS12" i="109"/>
  <c r="BS16" i="109"/>
  <c r="BS21" i="109"/>
  <c r="BS7" i="109"/>
  <c r="BS5" i="109"/>
  <c r="BS6" i="109"/>
  <c r="BS11" i="109"/>
  <c r="BS17" i="109"/>
  <c r="BS10" i="109"/>
  <c r="BS22" i="109"/>
  <c r="BS19" i="109"/>
  <c r="BS8" i="109"/>
  <c r="BS20" i="109"/>
  <c r="K35" i="118" l="1"/>
  <c r="S23" i="118"/>
  <c r="S25" i="118" s="1"/>
  <c r="S26" i="118" s="1"/>
  <c r="H16" i="118"/>
  <c r="H6" i="121"/>
  <c r="K6" i="121"/>
  <c r="K13" i="118"/>
  <c r="H44" i="118"/>
  <c r="H35" i="118"/>
  <c r="K44" i="118"/>
  <c r="H27" i="118"/>
  <c r="H46" i="118"/>
  <c r="K36" i="118"/>
  <c r="G69" i="121"/>
  <c r="K19" i="118"/>
  <c r="K12" i="118"/>
  <c r="H45" i="121"/>
  <c r="H41" i="118"/>
  <c r="H34" i="118"/>
  <c r="K34" i="118"/>
  <c r="H19" i="121"/>
  <c r="K14" i="118"/>
  <c r="H14" i="118"/>
  <c r="H22" i="118"/>
  <c r="K45" i="118"/>
  <c r="K28" i="118"/>
  <c r="H19" i="118"/>
  <c r="H12" i="118"/>
  <c r="H20" i="118"/>
  <c r="H44" i="121"/>
  <c r="H39" i="118"/>
  <c r="G63" i="121"/>
  <c r="G47" i="121"/>
  <c r="H20" i="103"/>
  <c r="H45" i="118"/>
  <c r="G10" i="121"/>
  <c r="H40" i="118"/>
  <c r="H62" i="118"/>
  <c r="G21" i="118"/>
  <c r="H48" i="118"/>
  <c r="H68" i="118"/>
  <c r="H55" i="118"/>
  <c r="H30" i="121"/>
  <c r="H35" i="121"/>
  <c r="K46" i="118"/>
  <c r="K8" i="118"/>
  <c r="H27" i="121"/>
  <c r="H36" i="118"/>
  <c r="H30" i="118"/>
  <c r="K24" i="118"/>
  <c r="H8" i="121"/>
  <c r="H12" i="121"/>
  <c r="H8" i="118"/>
  <c r="H36" i="121"/>
  <c r="H24" i="121"/>
  <c r="K46" i="121"/>
  <c r="F15" i="118"/>
  <c r="H33" i="118"/>
  <c r="H17" i="118"/>
  <c r="H14" i="121"/>
  <c r="H29" i="118"/>
  <c r="H23" i="118"/>
  <c r="K23" i="118"/>
  <c r="H25" i="121"/>
  <c r="K67" i="118"/>
  <c r="K32" i="121"/>
  <c r="K17" i="118"/>
  <c r="K20" i="118"/>
  <c r="H67" i="118"/>
  <c r="F15" i="121"/>
  <c r="K15" i="121" s="1"/>
  <c r="K30" i="118"/>
  <c r="K39" i="118"/>
  <c r="H11" i="118"/>
  <c r="F42" i="118"/>
  <c r="K18" i="118"/>
  <c r="H17" i="121"/>
  <c r="K11" i="121"/>
  <c r="K41" i="118"/>
  <c r="H13" i="121"/>
  <c r="K9" i="118"/>
  <c r="H23" i="121"/>
  <c r="H40" i="121"/>
  <c r="H13" i="118"/>
  <c r="H9" i="121"/>
  <c r="H7" i="118"/>
  <c r="H28" i="118"/>
  <c r="F47" i="118"/>
  <c r="H18" i="121"/>
  <c r="K33" i="121"/>
  <c r="F47" i="121"/>
  <c r="K47" i="121" s="1"/>
  <c r="K7" i="118"/>
  <c r="K25" i="118"/>
  <c r="K33" i="118"/>
  <c r="K29" i="118"/>
  <c r="H41" i="121"/>
  <c r="F31" i="118"/>
  <c r="H20" i="121"/>
  <c r="K43" i="121"/>
  <c r="H25" i="118"/>
  <c r="H39" i="121"/>
  <c r="H18" i="118"/>
  <c r="F42" i="121"/>
  <c r="K42" i="121" s="1"/>
  <c r="F31" i="121"/>
  <c r="K31" i="121" s="1"/>
  <c r="F26" i="118"/>
  <c r="F37" i="118"/>
  <c r="F26" i="121"/>
  <c r="K26" i="121" s="1"/>
  <c r="K29" i="121"/>
  <c r="H9" i="118"/>
  <c r="F37" i="121"/>
  <c r="K37" i="121" s="1"/>
  <c r="K68" i="118"/>
  <c r="H24" i="118"/>
  <c r="H7" i="121"/>
  <c r="F21" i="118"/>
  <c r="K38" i="118"/>
  <c r="F21" i="121"/>
  <c r="K21" i="121" s="1"/>
  <c r="K38" i="121"/>
  <c r="F10" i="118"/>
  <c r="F10" i="121"/>
  <c r="K10" i="121" s="1"/>
  <c r="H60" i="118"/>
  <c r="G42" i="121"/>
  <c r="G31" i="118"/>
  <c r="G15" i="121"/>
  <c r="H11" i="121"/>
  <c r="H22" i="121"/>
  <c r="G21" i="121"/>
  <c r="H16" i="121"/>
  <c r="H22" i="103"/>
  <c r="G31" i="121"/>
  <c r="H28" i="121"/>
  <c r="G37" i="121"/>
  <c r="H34" i="121"/>
  <c r="G53" i="121"/>
  <c r="G58" i="121"/>
  <c r="K66" i="118"/>
  <c r="H66" i="118"/>
  <c r="H68" i="121"/>
  <c r="K68" i="121"/>
  <c r="K67" i="121"/>
  <c r="H67" i="121"/>
  <c r="K65" i="118"/>
  <c r="H66" i="121"/>
  <c r="K66" i="121"/>
  <c r="F69" i="118"/>
  <c r="H65" i="118"/>
  <c r="K61" i="118"/>
  <c r="K65" i="121"/>
  <c r="H65" i="121"/>
  <c r="H64" i="118"/>
  <c r="K62" i="118"/>
  <c r="K64" i="121"/>
  <c r="H64" i="121"/>
  <c r="F69" i="121"/>
  <c r="H61" i="118"/>
  <c r="H62" i="121"/>
  <c r="K62" i="121"/>
  <c r="F63" i="118"/>
  <c r="K60" i="118"/>
  <c r="K61" i="121"/>
  <c r="H61" i="121"/>
  <c r="H57" i="118"/>
  <c r="H60" i="121"/>
  <c r="K60" i="121"/>
  <c r="K59" i="121"/>
  <c r="F63" i="121"/>
  <c r="H59" i="121"/>
  <c r="K57" i="118"/>
  <c r="H57" i="121"/>
  <c r="K57" i="121"/>
  <c r="H56" i="118"/>
  <c r="K56" i="118"/>
  <c r="K55" i="118"/>
  <c r="H56" i="121"/>
  <c r="K56" i="121"/>
  <c r="F58" i="118"/>
  <c r="K55" i="121"/>
  <c r="H55" i="121"/>
  <c r="H48" i="121"/>
  <c r="K48" i="121"/>
  <c r="H54" i="118"/>
  <c r="H52" i="118"/>
  <c r="K52" i="118"/>
  <c r="H54" i="121"/>
  <c r="K54" i="121"/>
  <c r="F58" i="121"/>
  <c r="K52" i="121"/>
  <c r="H52" i="121"/>
  <c r="H51" i="118"/>
  <c r="K51" i="118"/>
  <c r="H51" i="121"/>
  <c r="K51" i="121"/>
  <c r="H50" i="118"/>
  <c r="K50" i="118"/>
  <c r="F53" i="118"/>
  <c r="H50" i="121"/>
  <c r="K50" i="121"/>
  <c r="K49" i="118"/>
  <c r="H49" i="118"/>
  <c r="K49" i="121"/>
  <c r="F53" i="121"/>
  <c r="H49" i="121"/>
  <c r="J26" i="118"/>
  <c r="K22" i="118"/>
  <c r="J10" i="118"/>
  <c r="K6" i="118"/>
  <c r="H32" i="118"/>
  <c r="G37" i="118"/>
  <c r="G47" i="118"/>
  <c r="H43" i="118"/>
  <c r="J53" i="118"/>
  <c r="K48" i="118"/>
  <c r="J21" i="118"/>
  <c r="K16" i="118"/>
  <c r="J42" i="118"/>
  <c r="K40" i="118"/>
  <c r="K32" i="118"/>
  <c r="J37" i="118"/>
  <c r="G10" i="118"/>
  <c r="H6" i="118"/>
  <c r="J69" i="118"/>
  <c r="K64" i="118"/>
  <c r="G42" i="118"/>
  <c r="H38" i="118"/>
  <c r="J15" i="118"/>
  <c r="K11" i="118"/>
  <c r="G15" i="118"/>
  <c r="G69" i="118"/>
  <c r="G53" i="118"/>
  <c r="F23" i="103"/>
  <c r="F21" i="103"/>
  <c r="G58" i="118"/>
  <c r="J58" i="118"/>
  <c r="K54" i="118"/>
  <c r="J31" i="118"/>
  <c r="K27" i="118"/>
  <c r="K59" i="118"/>
  <c r="J63" i="118"/>
  <c r="H59" i="118"/>
  <c r="G63" i="118"/>
  <c r="J47" i="118"/>
  <c r="K43" i="118"/>
  <c r="H28" i="103"/>
  <c r="K15" i="118" l="1"/>
  <c r="K47" i="118"/>
  <c r="H42" i="118"/>
  <c r="K31" i="118"/>
  <c r="H21" i="118"/>
  <c r="H47" i="118"/>
  <c r="H15" i="118"/>
  <c r="H26" i="118"/>
  <c r="H47" i="121"/>
  <c r="K10" i="118"/>
  <c r="H15" i="121"/>
  <c r="H37" i="121"/>
  <c r="K42" i="118"/>
  <c r="H10" i="121"/>
  <c r="H42" i="121"/>
  <c r="K37" i="118"/>
  <c r="H31" i="118"/>
  <c r="K21" i="118"/>
  <c r="H10" i="118"/>
  <c r="H31" i="121"/>
  <c r="K63" i="118"/>
  <c r="H26" i="121"/>
  <c r="H37" i="118"/>
  <c r="H21" i="121"/>
  <c r="K26" i="118"/>
  <c r="K69" i="118"/>
  <c r="H69" i="118"/>
  <c r="H58" i="118"/>
  <c r="H63" i="118"/>
  <c r="H69" i="121"/>
  <c r="K69" i="121"/>
  <c r="H63" i="121"/>
  <c r="K63" i="121"/>
  <c r="K58" i="118"/>
  <c r="H58" i="121"/>
  <c r="K58" i="121"/>
  <c r="H53" i="118"/>
  <c r="K53" i="118"/>
  <c r="H53" i="121"/>
  <c r="K53" i="121"/>
  <c r="AT56" i="109"/>
  <c r="AS56" i="109"/>
  <c r="J68" i="119" s="1"/>
  <c r="K68" i="119" s="1"/>
  <c r="AT55" i="109"/>
  <c r="AS55" i="109"/>
  <c r="J67" i="119" s="1"/>
  <c r="K67" i="119" s="1"/>
  <c r="AT54" i="109"/>
  <c r="AS54" i="109"/>
  <c r="J66" i="119" s="1"/>
  <c r="K66" i="119" s="1"/>
  <c r="AT53" i="109"/>
  <c r="AS53" i="109"/>
  <c r="J65" i="119" s="1"/>
  <c r="K65" i="119" s="1"/>
  <c r="AT52" i="109"/>
  <c r="AS52" i="109"/>
  <c r="J64" i="119" s="1"/>
  <c r="AT51" i="109"/>
  <c r="AS51" i="109"/>
  <c r="AT50" i="109"/>
  <c r="AS50" i="109"/>
  <c r="J61" i="119" s="1"/>
  <c r="AT49" i="109"/>
  <c r="AS49" i="109"/>
  <c r="J60" i="119" s="1"/>
  <c r="AT48" i="109"/>
  <c r="AS48" i="109"/>
  <c r="J59" i="119" s="1"/>
  <c r="AT47" i="109"/>
  <c r="AS47" i="109"/>
  <c r="J57" i="119" s="1"/>
  <c r="AT46" i="109"/>
  <c r="AS46" i="109"/>
  <c r="J56" i="119" s="1"/>
  <c r="AT45" i="109"/>
  <c r="AS45" i="109"/>
  <c r="AT44" i="109"/>
  <c r="AS44" i="109"/>
  <c r="J54" i="119" s="1"/>
  <c r="AT43" i="109"/>
  <c r="AS43" i="109"/>
  <c r="J52" i="119" s="1"/>
  <c r="AT42" i="109"/>
  <c r="AS42" i="109"/>
  <c r="J51" i="119" s="1"/>
  <c r="AT41" i="109"/>
  <c r="AS41" i="109"/>
  <c r="J50" i="119" s="1"/>
  <c r="AT40" i="109"/>
  <c r="AS40" i="109"/>
  <c r="J49" i="119" s="1"/>
  <c r="AT39" i="109"/>
  <c r="AS39" i="109"/>
  <c r="AT38" i="109"/>
  <c r="AS38" i="109"/>
  <c r="J46" i="119" s="1"/>
  <c r="AT37" i="109"/>
  <c r="AS37" i="109"/>
  <c r="J45" i="119" s="1"/>
  <c r="AT36" i="109"/>
  <c r="AS36" i="109"/>
  <c r="J44" i="119" s="1"/>
  <c r="AT35" i="109"/>
  <c r="AS35" i="109"/>
  <c r="J43" i="119" s="1"/>
  <c r="AT34" i="109"/>
  <c r="AS34" i="109"/>
  <c r="J41" i="119" s="1"/>
  <c r="AT33" i="109"/>
  <c r="AS33" i="109"/>
  <c r="AT32" i="109"/>
  <c r="AS32" i="109"/>
  <c r="J39" i="119" s="1"/>
  <c r="AT31" i="109"/>
  <c r="AS31" i="109"/>
  <c r="J38" i="119" s="1"/>
  <c r="AT30" i="109"/>
  <c r="AS30" i="109"/>
  <c r="J36" i="119" s="1"/>
  <c r="AT29" i="109"/>
  <c r="AS29" i="109"/>
  <c r="J35" i="119" s="1"/>
  <c r="AT28" i="109"/>
  <c r="AS28" i="109"/>
  <c r="J34" i="119" s="1"/>
  <c r="AT27" i="109"/>
  <c r="AS27" i="109"/>
  <c r="AT26" i="109"/>
  <c r="AS26" i="109"/>
  <c r="J32" i="119" s="1"/>
  <c r="AT25" i="109"/>
  <c r="AS25" i="109"/>
  <c r="J30" i="119" s="1"/>
  <c r="AT24" i="109"/>
  <c r="AS24" i="109"/>
  <c r="J29" i="119" s="1"/>
  <c r="AT23" i="109"/>
  <c r="AS23" i="109"/>
  <c r="J28" i="119" s="1"/>
  <c r="AT22" i="109"/>
  <c r="AS22" i="109"/>
  <c r="J27" i="119" s="1"/>
  <c r="AT21" i="109"/>
  <c r="AS21" i="109"/>
  <c r="AT20" i="109"/>
  <c r="AS20" i="109"/>
  <c r="J24" i="119" s="1"/>
  <c r="AT19" i="109"/>
  <c r="AS19" i="109"/>
  <c r="J23" i="119" s="1"/>
  <c r="AT18" i="109"/>
  <c r="AS18" i="109"/>
  <c r="J22" i="119" s="1"/>
  <c r="AT17" i="109"/>
  <c r="AS17" i="109"/>
  <c r="J20" i="119" s="1"/>
  <c r="AT16" i="109"/>
  <c r="AS16" i="109"/>
  <c r="J19" i="119" s="1"/>
  <c r="AT15" i="109"/>
  <c r="AS15" i="109"/>
  <c r="AT14" i="109"/>
  <c r="AS14" i="109"/>
  <c r="J17" i="119" s="1"/>
  <c r="AT13" i="109"/>
  <c r="AS13" i="109"/>
  <c r="J16" i="119" s="1"/>
  <c r="AT12" i="109"/>
  <c r="AS12" i="109"/>
  <c r="J14" i="119" s="1"/>
  <c r="AT11" i="109"/>
  <c r="AS11" i="109"/>
  <c r="J13" i="119" s="1"/>
  <c r="AT10" i="109"/>
  <c r="AS10" i="109"/>
  <c r="J12" i="119" s="1"/>
  <c r="AT9" i="109"/>
  <c r="AS9" i="109"/>
  <c r="AT8" i="109"/>
  <c r="AS8" i="109"/>
  <c r="J9" i="119" s="1"/>
  <c r="AT7" i="109"/>
  <c r="AS7" i="109"/>
  <c r="J8" i="119" s="1"/>
  <c r="AT6" i="109"/>
  <c r="AS6" i="109"/>
  <c r="J7" i="119" s="1"/>
  <c r="AT5" i="109"/>
  <c r="AS5" i="109"/>
  <c r="AO56" i="109"/>
  <c r="AO55" i="109"/>
  <c r="AO54" i="109"/>
  <c r="AO53" i="109"/>
  <c r="AO52" i="109"/>
  <c r="AO51" i="109"/>
  <c r="AO50" i="109"/>
  <c r="AO49" i="109"/>
  <c r="AO48" i="109"/>
  <c r="AO47" i="109"/>
  <c r="AO46" i="109"/>
  <c r="AO45" i="109"/>
  <c r="AO44" i="109"/>
  <c r="AO43" i="109"/>
  <c r="AO42" i="109"/>
  <c r="AO41" i="109"/>
  <c r="AO40" i="109"/>
  <c r="AO39" i="109"/>
  <c r="AO38" i="109"/>
  <c r="AO37" i="109"/>
  <c r="AO36" i="109"/>
  <c r="AO35" i="109"/>
  <c r="AO34" i="109"/>
  <c r="AO33" i="109"/>
  <c r="AO32" i="109"/>
  <c r="AO31" i="109"/>
  <c r="AO30" i="109"/>
  <c r="AO29" i="109"/>
  <c r="AO28" i="109"/>
  <c r="AO27" i="109"/>
  <c r="AO26" i="109"/>
  <c r="AO25" i="109"/>
  <c r="AO24" i="109"/>
  <c r="AO23" i="109"/>
  <c r="AO22" i="109"/>
  <c r="AO21" i="109"/>
  <c r="AO20" i="109"/>
  <c r="AO19" i="109"/>
  <c r="AO18" i="109"/>
  <c r="AO17" i="109"/>
  <c r="AO16" i="109"/>
  <c r="AO15" i="109"/>
  <c r="AO14" i="109"/>
  <c r="AO13" i="109"/>
  <c r="AO12" i="109"/>
  <c r="AO11" i="109"/>
  <c r="AO10" i="109"/>
  <c r="AO9" i="109"/>
  <c r="AO8" i="109"/>
  <c r="AO7" i="109"/>
  <c r="AO6" i="109"/>
  <c r="AO5" i="109"/>
  <c r="AI56" i="109"/>
  <c r="AI55" i="109"/>
  <c r="AI54" i="109"/>
  <c r="AI53" i="109"/>
  <c r="AI52" i="109"/>
  <c r="AI51" i="109"/>
  <c r="AI50" i="109"/>
  <c r="AI49" i="109"/>
  <c r="AI48" i="109"/>
  <c r="AI47" i="109"/>
  <c r="AI46" i="109"/>
  <c r="AI45" i="109"/>
  <c r="AI44" i="109"/>
  <c r="AI43" i="109"/>
  <c r="AI42" i="109"/>
  <c r="AI41" i="109"/>
  <c r="AI40" i="109"/>
  <c r="AI39" i="109"/>
  <c r="AI38" i="109"/>
  <c r="AI37" i="109"/>
  <c r="AI36" i="109"/>
  <c r="AI35" i="109"/>
  <c r="AI34" i="109"/>
  <c r="AI33" i="109"/>
  <c r="AI32" i="109"/>
  <c r="AI31" i="109"/>
  <c r="AI30" i="109"/>
  <c r="AI29" i="109"/>
  <c r="AI28" i="109"/>
  <c r="AI27" i="109"/>
  <c r="AI26" i="109"/>
  <c r="AI25" i="109"/>
  <c r="AI24" i="109"/>
  <c r="AI23" i="109"/>
  <c r="AI22" i="109"/>
  <c r="AI21" i="109"/>
  <c r="AI20" i="109"/>
  <c r="AI19" i="109"/>
  <c r="AI18" i="109"/>
  <c r="AI17" i="109"/>
  <c r="AI16" i="109"/>
  <c r="AI15" i="109"/>
  <c r="AI14" i="109"/>
  <c r="AI13" i="109"/>
  <c r="AI12" i="109"/>
  <c r="AI11" i="109"/>
  <c r="AI10" i="109"/>
  <c r="AI9" i="109"/>
  <c r="AI8" i="109"/>
  <c r="AI7" i="109"/>
  <c r="AI6" i="109"/>
  <c r="AI5" i="109"/>
  <c r="AC56" i="109"/>
  <c r="AC55" i="109"/>
  <c r="AC54" i="109"/>
  <c r="AC53" i="109"/>
  <c r="AC52" i="109"/>
  <c r="AC51" i="109"/>
  <c r="AC50" i="109"/>
  <c r="AC49" i="109"/>
  <c r="AC48" i="109"/>
  <c r="AC47" i="109"/>
  <c r="AC46" i="109"/>
  <c r="AC45" i="109"/>
  <c r="AC44" i="109"/>
  <c r="AC43" i="109"/>
  <c r="AC42" i="109"/>
  <c r="AC41" i="109"/>
  <c r="AC40" i="109"/>
  <c r="AC39" i="109"/>
  <c r="AC38" i="109"/>
  <c r="AC37" i="109"/>
  <c r="AC36" i="109"/>
  <c r="AC35" i="109"/>
  <c r="AC34" i="109"/>
  <c r="AC33" i="109"/>
  <c r="AC32" i="109"/>
  <c r="AC31" i="109"/>
  <c r="AC30" i="109"/>
  <c r="AC29" i="109"/>
  <c r="AC28" i="109"/>
  <c r="AC27" i="109"/>
  <c r="AC26" i="109"/>
  <c r="AC25" i="109"/>
  <c r="AC24" i="109"/>
  <c r="AC23" i="109"/>
  <c r="AC22" i="109"/>
  <c r="AC21" i="109"/>
  <c r="AC20" i="109"/>
  <c r="AC19" i="109"/>
  <c r="AC18" i="109"/>
  <c r="AC17" i="109"/>
  <c r="AC16" i="109"/>
  <c r="AC15" i="109"/>
  <c r="AC14" i="109"/>
  <c r="AC13" i="109"/>
  <c r="AC12" i="109"/>
  <c r="AC11" i="109"/>
  <c r="AC10" i="109"/>
  <c r="AC9" i="109"/>
  <c r="AC8" i="109"/>
  <c r="AC7" i="109"/>
  <c r="AC6" i="109"/>
  <c r="AC5" i="109"/>
  <c r="AQ5" i="109"/>
  <c r="AQ6" i="109"/>
  <c r="AQ7" i="109"/>
  <c r="AQ8" i="109"/>
  <c r="AQ9" i="109"/>
  <c r="AQ10" i="109"/>
  <c r="AQ11" i="109"/>
  <c r="AQ12" i="109"/>
  <c r="AQ13" i="109"/>
  <c r="AQ14" i="109"/>
  <c r="AQ15" i="109"/>
  <c r="AQ16" i="109"/>
  <c r="AQ17" i="109"/>
  <c r="AQ18" i="109"/>
  <c r="AQ19" i="109"/>
  <c r="AQ20" i="109"/>
  <c r="AQ21" i="109"/>
  <c r="AQ22" i="109"/>
  <c r="AQ23" i="109"/>
  <c r="AQ24" i="109"/>
  <c r="AQ25" i="109"/>
  <c r="AQ26" i="109"/>
  <c r="AQ27" i="109"/>
  <c r="AQ28" i="109"/>
  <c r="AQ29" i="109"/>
  <c r="AQ30" i="109"/>
  <c r="AQ31" i="109"/>
  <c r="AQ32" i="109"/>
  <c r="AQ33" i="109"/>
  <c r="AQ34" i="109"/>
  <c r="AQ35" i="109"/>
  <c r="AQ36" i="109"/>
  <c r="AQ37" i="109"/>
  <c r="AQ38" i="109"/>
  <c r="AQ39" i="109"/>
  <c r="AQ40" i="109"/>
  <c r="AQ41" i="109"/>
  <c r="AQ42" i="109"/>
  <c r="AQ43" i="109"/>
  <c r="AQ44" i="109"/>
  <c r="AQ45" i="109"/>
  <c r="AQ46" i="109"/>
  <c r="AQ47" i="109"/>
  <c r="AQ48" i="109"/>
  <c r="AQ49" i="109"/>
  <c r="AQ50" i="109"/>
  <c r="AQ51" i="109"/>
  <c r="AQ52" i="109"/>
  <c r="AQ53" i="109"/>
  <c r="AQ54" i="109"/>
  <c r="AQ55" i="109"/>
  <c r="AQ56" i="109"/>
  <c r="AP56" i="109"/>
  <c r="AL56" i="109"/>
  <c r="AF56" i="109"/>
  <c r="Z56" i="109"/>
  <c r="AP55" i="109"/>
  <c r="G67" i="119" s="1"/>
  <c r="H67" i="119" s="1"/>
  <c r="AL55" i="109"/>
  <c r="AF55" i="109"/>
  <c r="Z55" i="109"/>
  <c r="AP54" i="109"/>
  <c r="G66" i="119" s="1"/>
  <c r="H66" i="119" s="1"/>
  <c r="AL54" i="109"/>
  <c r="AF54" i="109"/>
  <c r="Z54" i="109"/>
  <c r="AP53" i="109"/>
  <c r="G65" i="119" s="1"/>
  <c r="H65" i="119" s="1"/>
  <c r="AL53" i="109"/>
  <c r="AF53" i="109"/>
  <c r="Z53" i="109"/>
  <c r="AP52" i="109"/>
  <c r="G64" i="119" s="1"/>
  <c r="AL52" i="109"/>
  <c r="AF52" i="109"/>
  <c r="Z52" i="109"/>
  <c r="AP51" i="109"/>
  <c r="G62" i="119" s="1"/>
  <c r="AL51" i="109"/>
  <c r="AF51" i="109"/>
  <c r="Z51" i="109"/>
  <c r="AP50" i="109"/>
  <c r="G61" i="119" s="1"/>
  <c r="AL50" i="109"/>
  <c r="AF50" i="109"/>
  <c r="Z50" i="109"/>
  <c r="AP49" i="109"/>
  <c r="AL49" i="109"/>
  <c r="AF49" i="109"/>
  <c r="Z49" i="109"/>
  <c r="AP48" i="109"/>
  <c r="G59" i="119" s="1"/>
  <c r="AL48" i="109"/>
  <c r="AF48" i="109"/>
  <c r="Z48" i="109"/>
  <c r="AP47" i="109"/>
  <c r="G57" i="119" s="1"/>
  <c r="AL47" i="109"/>
  <c r="AF47" i="109"/>
  <c r="Z47" i="109"/>
  <c r="AP46" i="109"/>
  <c r="G56" i="119" s="1"/>
  <c r="AL46" i="109"/>
  <c r="AF46" i="109"/>
  <c r="Z46" i="109"/>
  <c r="AP45" i="109"/>
  <c r="G55" i="119" s="1"/>
  <c r="AL45" i="109"/>
  <c r="AF45" i="109"/>
  <c r="Z45" i="109"/>
  <c r="AP44" i="109"/>
  <c r="AL44" i="109"/>
  <c r="AF44" i="109"/>
  <c r="Z44" i="109"/>
  <c r="AP43" i="109"/>
  <c r="G52" i="119" s="1"/>
  <c r="AL43" i="109"/>
  <c r="AF43" i="109"/>
  <c r="Z43" i="109"/>
  <c r="AP42" i="109"/>
  <c r="G51" i="119" s="1"/>
  <c r="AL42" i="109"/>
  <c r="AF42" i="109"/>
  <c r="Z42" i="109"/>
  <c r="AP41" i="109"/>
  <c r="G50" i="119" s="1"/>
  <c r="AL41" i="109"/>
  <c r="AF41" i="109"/>
  <c r="Z41" i="109"/>
  <c r="AP40" i="109"/>
  <c r="G49" i="119" s="1"/>
  <c r="AL40" i="109"/>
  <c r="AF40" i="109"/>
  <c r="Z40" i="109"/>
  <c r="AP39" i="109"/>
  <c r="G48" i="119" s="1"/>
  <c r="AL39" i="109"/>
  <c r="AF39" i="109"/>
  <c r="Z39" i="109"/>
  <c r="AP38" i="109"/>
  <c r="G46" i="119" s="1"/>
  <c r="AL38" i="109"/>
  <c r="AF38" i="109"/>
  <c r="Z38" i="109"/>
  <c r="AP37" i="109"/>
  <c r="AL37" i="109"/>
  <c r="AF37" i="109"/>
  <c r="Z37" i="109"/>
  <c r="AP36" i="109"/>
  <c r="G44" i="119" s="1"/>
  <c r="AL36" i="109"/>
  <c r="AF36" i="109"/>
  <c r="Z36" i="109"/>
  <c r="AP35" i="109"/>
  <c r="G43" i="119" s="1"/>
  <c r="AL35" i="109"/>
  <c r="AF35" i="109"/>
  <c r="Z35" i="109"/>
  <c r="AP34" i="109"/>
  <c r="G41" i="119" s="1"/>
  <c r="AL34" i="109"/>
  <c r="AF34" i="109"/>
  <c r="Z34" i="109"/>
  <c r="AP33" i="109"/>
  <c r="G40" i="119" s="1"/>
  <c r="AL33" i="109"/>
  <c r="AF33" i="109"/>
  <c r="Z33" i="109"/>
  <c r="AP32" i="109"/>
  <c r="AL32" i="109"/>
  <c r="AF32" i="109"/>
  <c r="Z32" i="109"/>
  <c r="AP31" i="109"/>
  <c r="G38" i="119" s="1"/>
  <c r="AL31" i="109"/>
  <c r="AF31" i="109"/>
  <c r="Z31" i="109"/>
  <c r="AP30" i="109"/>
  <c r="AL30" i="109"/>
  <c r="AF30" i="109"/>
  <c r="Z30" i="109"/>
  <c r="AP29" i="109"/>
  <c r="G35" i="119" s="1"/>
  <c r="AL29" i="109"/>
  <c r="AF29" i="109"/>
  <c r="Z29" i="109"/>
  <c r="AP28" i="109"/>
  <c r="G34" i="119" s="1"/>
  <c r="AL28" i="109"/>
  <c r="AF28" i="109"/>
  <c r="Z28" i="109"/>
  <c r="AP27" i="109"/>
  <c r="G33" i="119" s="1"/>
  <c r="AL27" i="109"/>
  <c r="AF27" i="109"/>
  <c r="Z27" i="109"/>
  <c r="AP26" i="109"/>
  <c r="G32" i="119" s="1"/>
  <c r="AL26" i="109"/>
  <c r="AF26" i="109"/>
  <c r="Z26" i="109"/>
  <c r="AP25" i="109"/>
  <c r="AL25" i="109"/>
  <c r="AF25" i="109"/>
  <c r="Z25" i="109"/>
  <c r="AP24" i="109"/>
  <c r="G29" i="119" s="1"/>
  <c r="AL24" i="109"/>
  <c r="AF24" i="109"/>
  <c r="Z24" i="109"/>
  <c r="AP23" i="109"/>
  <c r="G28" i="119" s="1"/>
  <c r="AL23" i="109"/>
  <c r="AF23" i="109"/>
  <c r="Z23" i="109"/>
  <c r="AP22" i="109"/>
  <c r="G27" i="119" s="1"/>
  <c r="AL22" i="109"/>
  <c r="AF22" i="109"/>
  <c r="Z22" i="109"/>
  <c r="AP21" i="109"/>
  <c r="G25" i="119" s="1"/>
  <c r="AL21" i="109"/>
  <c r="AF21" i="109"/>
  <c r="Z21" i="109"/>
  <c r="AP20" i="109"/>
  <c r="AL20" i="109"/>
  <c r="AF20" i="109"/>
  <c r="Z20" i="109"/>
  <c r="AP19" i="109"/>
  <c r="G23" i="119" s="1"/>
  <c r="AL19" i="109"/>
  <c r="AF19" i="109"/>
  <c r="Z19" i="109"/>
  <c r="AP18" i="109"/>
  <c r="G22" i="119" s="1"/>
  <c r="AL18" i="109"/>
  <c r="AF18" i="109"/>
  <c r="Z18" i="109"/>
  <c r="AP17" i="109"/>
  <c r="G20" i="119" s="1"/>
  <c r="AL17" i="109"/>
  <c r="AF17" i="109"/>
  <c r="Z17" i="109"/>
  <c r="AP16" i="109"/>
  <c r="G19" i="119" s="1"/>
  <c r="AL16" i="109"/>
  <c r="AF16" i="109"/>
  <c r="Z16" i="109"/>
  <c r="AP15" i="109"/>
  <c r="G18" i="119" s="1"/>
  <c r="AL15" i="109"/>
  <c r="AF15" i="109"/>
  <c r="Z15" i="109"/>
  <c r="AP14" i="109"/>
  <c r="G17" i="119" s="1"/>
  <c r="AL14" i="109"/>
  <c r="AF14" i="109"/>
  <c r="Z14" i="109"/>
  <c r="AP13" i="109"/>
  <c r="AL13" i="109"/>
  <c r="AF13" i="109"/>
  <c r="Z13" i="109"/>
  <c r="AP12" i="109"/>
  <c r="G14" i="119" s="1"/>
  <c r="AL12" i="109"/>
  <c r="AF12" i="109"/>
  <c r="Z12" i="109"/>
  <c r="AP11" i="109"/>
  <c r="G13" i="119" s="1"/>
  <c r="AL11" i="109"/>
  <c r="AF11" i="109"/>
  <c r="Z11" i="109"/>
  <c r="AP10" i="109"/>
  <c r="G12" i="119" s="1"/>
  <c r="AL10" i="109"/>
  <c r="AF10" i="109"/>
  <c r="Z10" i="109"/>
  <c r="AP9" i="109"/>
  <c r="G11" i="119" s="1"/>
  <c r="AL9" i="109"/>
  <c r="AF9" i="109"/>
  <c r="Z9" i="109"/>
  <c r="AP8" i="109"/>
  <c r="AL8" i="109"/>
  <c r="AF8" i="109"/>
  <c r="Z8" i="109"/>
  <c r="AP7" i="109"/>
  <c r="G8" i="119" s="1"/>
  <c r="AL7" i="109"/>
  <c r="AF7" i="109"/>
  <c r="Z7" i="109"/>
  <c r="AL6" i="109"/>
  <c r="Z6" i="109"/>
  <c r="AL5" i="109"/>
  <c r="Z5" i="109"/>
  <c r="X56" i="110"/>
  <c r="Y56" i="110" s="1"/>
  <c r="X55" i="110"/>
  <c r="Y55" i="110" s="1"/>
  <c r="X54" i="110"/>
  <c r="Y54" i="110" s="1"/>
  <c r="X53" i="110"/>
  <c r="Y53" i="110" s="1"/>
  <c r="X52" i="110"/>
  <c r="Y52" i="110" s="1"/>
  <c r="X51" i="110"/>
  <c r="X50" i="110"/>
  <c r="X49" i="110"/>
  <c r="X48" i="110"/>
  <c r="X47" i="110"/>
  <c r="X46" i="110"/>
  <c r="X45" i="110"/>
  <c r="X44" i="110"/>
  <c r="X43" i="110"/>
  <c r="X42" i="110"/>
  <c r="X41" i="110"/>
  <c r="X40" i="110"/>
  <c r="X39" i="110"/>
  <c r="X35" i="110"/>
  <c r="X34" i="110"/>
  <c r="X33" i="110"/>
  <c r="X32" i="110"/>
  <c r="X31" i="110"/>
  <c r="X30" i="110"/>
  <c r="X29" i="110"/>
  <c r="X28" i="110"/>
  <c r="X27" i="110"/>
  <c r="X26" i="110"/>
  <c r="Y26" i="110" s="1"/>
  <c r="X25" i="110"/>
  <c r="X24" i="110"/>
  <c r="X23" i="110"/>
  <c r="X22" i="110"/>
  <c r="X21" i="110"/>
  <c r="X20" i="110"/>
  <c r="X19" i="110"/>
  <c r="X18" i="110"/>
  <c r="X17" i="110"/>
  <c r="X16" i="110"/>
  <c r="X15" i="110"/>
  <c r="X14" i="110"/>
  <c r="X11" i="110"/>
  <c r="X10" i="110"/>
  <c r="X9" i="110"/>
  <c r="X8" i="110"/>
  <c r="X7" i="110"/>
  <c r="X6" i="110"/>
  <c r="X5" i="110"/>
  <c r="W51" i="110"/>
  <c r="W50" i="110"/>
  <c r="W49" i="110"/>
  <c r="W48" i="110"/>
  <c r="W47" i="110"/>
  <c r="W46" i="110"/>
  <c r="W45" i="110"/>
  <c r="W44" i="110"/>
  <c r="W43" i="110"/>
  <c r="W42" i="110"/>
  <c r="W41" i="110"/>
  <c r="W40" i="110"/>
  <c r="W39" i="110"/>
  <c r="W37" i="110"/>
  <c r="W36" i="110"/>
  <c r="W35" i="110"/>
  <c r="W34" i="110"/>
  <c r="W33" i="110"/>
  <c r="W32" i="110"/>
  <c r="W31" i="110"/>
  <c r="W30" i="110"/>
  <c r="W29" i="110"/>
  <c r="W28" i="110"/>
  <c r="W27" i="110"/>
  <c r="W25" i="110"/>
  <c r="W24" i="110"/>
  <c r="W23" i="110"/>
  <c r="W22" i="110"/>
  <c r="W21" i="110"/>
  <c r="W20" i="110"/>
  <c r="W19" i="110"/>
  <c r="W18" i="110"/>
  <c r="W17" i="110"/>
  <c r="W16" i="110"/>
  <c r="W15" i="110"/>
  <c r="W14" i="110"/>
  <c r="W11" i="110"/>
  <c r="W10" i="110"/>
  <c r="W9" i="110"/>
  <c r="W8" i="110"/>
  <c r="W7" i="110"/>
  <c r="W6" i="110"/>
  <c r="W5" i="110"/>
  <c r="Y29" i="110" l="1"/>
  <c r="Y28" i="110"/>
  <c r="Y41" i="110"/>
  <c r="Y30" i="110"/>
  <c r="Y42" i="110"/>
  <c r="Y15" i="110"/>
  <c r="Y17" i="110"/>
  <c r="Y40" i="110"/>
  <c r="Y16" i="110"/>
  <c r="Y5" i="110"/>
  <c r="Y31" i="110"/>
  <c r="Y43" i="110"/>
  <c r="Y44" i="110"/>
  <c r="Y45" i="110"/>
  <c r="Y7" i="110"/>
  <c r="Y8" i="110"/>
  <c r="Y6" i="110"/>
  <c r="Y32" i="110"/>
  <c r="Y34" i="110"/>
  <c r="Y22" i="110"/>
  <c r="Y33" i="110"/>
  <c r="Y46" i="110"/>
  <c r="Y35" i="110"/>
  <c r="F57" i="119"/>
  <c r="K57" i="119" s="1"/>
  <c r="Y47" i="110"/>
  <c r="Y9" i="110"/>
  <c r="Y23" i="110"/>
  <c r="F59" i="119"/>
  <c r="Y48" i="110"/>
  <c r="Y24" i="110"/>
  <c r="F60" i="119"/>
  <c r="K60" i="119" s="1"/>
  <c r="Y49" i="110"/>
  <c r="Y25" i="110"/>
  <c r="F61" i="119"/>
  <c r="H61" i="119" s="1"/>
  <c r="Y50" i="110"/>
  <c r="Y27" i="110"/>
  <c r="Y39" i="110"/>
  <c r="F62" i="119"/>
  <c r="H62" i="119" s="1"/>
  <c r="Y51" i="110"/>
  <c r="Y21" i="110"/>
  <c r="Y20" i="110"/>
  <c r="Y19" i="110"/>
  <c r="Y18" i="110"/>
  <c r="Y14" i="110"/>
  <c r="Y11" i="110"/>
  <c r="Y10" i="110"/>
  <c r="F22" i="119"/>
  <c r="F39" i="119"/>
  <c r="K39" i="119" s="1"/>
  <c r="F8" i="119"/>
  <c r="K8" i="119" s="1"/>
  <c r="F23" i="119"/>
  <c r="F54" i="119"/>
  <c r="F9" i="119"/>
  <c r="K9" i="119" s="1"/>
  <c r="F13" i="103"/>
  <c r="F24" i="119"/>
  <c r="K24" i="119" s="1"/>
  <c r="F40" i="119"/>
  <c r="H40" i="119" s="1"/>
  <c r="F55" i="119"/>
  <c r="H55" i="119" s="1"/>
  <c r="F11" i="119"/>
  <c r="H11" i="119" s="1"/>
  <c r="F25" i="119"/>
  <c r="H25" i="119" s="1"/>
  <c r="F41" i="119"/>
  <c r="K41" i="119" s="1"/>
  <c r="F56" i="119"/>
  <c r="F38" i="119"/>
  <c r="K38" i="119" s="1"/>
  <c r="F12" i="119"/>
  <c r="K12" i="119" s="1"/>
  <c r="F7" i="119"/>
  <c r="F27" i="119"/>
  <c r="F13" i="119"/>
  <c r="K13" i="119" s="1"/>
  <c r="F29" i="119"/>
  <c r="K29" i="119" s="1"/>
  <c r="F16" i="119"/>
  <c r="K16" i="119" s="1"/>
  <c r="F30" i="119"/>
  <c r="K30" i="119" s="1"/>
  <c r="F46" i="119"/>
  <c r="K46" i="119" s="1"/>
  <c r="F17" i="119"/>
  <c r="H17" i="119" s="1"/>
  <c r="F33" i="119"/>
  <c r="F48" i="119"/>
  <c r="H48" i="119" s="1"/>
  <c r="F52" i="119"/>
  <c r="K52" i="119" s="1"/>
  <c r="F43" i="119"/>
  <c r="H43" i="119" s="1"/>
  <c r="F28" i="119"/>
  <c r="K28" i="119" s="1"/>
  <c r="F44" i="119"/>
  <c r="K44" i="119" s="1"/>
  <c r="F14" i="119"/>
  <c r="H14" i="119" s="1"/>
  <c r="F45" i="119"/>
  <c r="K45" i="119" s="1"/>
  <c r="F18" i="119"/>
  <c r="H18" i="119" s="1"/>
  <c r="F34" i="119"/>
  <c r="H34" i="119" s="1"/>
  <c r="F49" i="119"/>
  <c r="K49" i="119" s="1"/>
  <c r="F19" i="119"/>
  <c r="F35" i="119"/>
  <c r="H35" i="119" s="1"/>
  <c r="F50" i="119"/>
  <c r="K50" i="119" s="1"/>
  <c r="F6" i="119"/>
  <c r="F20" i="119"/>
  <c r="H20" i="119" s="1"/>
  <c r="F36" i="119"/>
  <c r="K36" i="119" s="1"/>
  <c r="F51" i="119"/>
  <c r="K51" i="119" s="1"/>
  <c r="K32" i="119"/>
  <c r="AU9" i="109"/>
  <c r="J11" i="119"/>
  <c r="AU15" i="109"/>
  <c r="J18" i="119"/>
  <c r="AU21" i="109"/>
  <c r="J25" i="119"/>
  <c r="AU27" i="109"/>
  <c r="J33" i="119"/>
  <c r="AU33" i="109"/>
  <c r="J40" i="119"/>
  <c r="J42" i="119" s="1"/>
  <c r="AU39" i="109"/>
  <c r="J48" i="119"/>
  <c r="J53" i="119" s="1"/>
  <c r="AU45" i="109"/>
  <c r="J55" i="119"/>
  <c r="AU51" i="109"/>
  <c r="J62" i="119"/>
  <c r="J63" i="119" s="1"/>
  <c r="J31" i="119"/>
  <c r="J69" i="119"/>
  <c r="K69" i="119" s="1"/>
  <c r="K64" i="119"/>
  <c r="J47" i="119"/>
  <c r="F16" i="103"/>
  <c r="J6" i="119"/>
  <c r="G16" i="103"/>
  <c r="G15" i="119"/>
  <c r="F14" i="103"/>
  <c r="G36" i="119"/>
  <c r="AR13" i="109"/>
  <c r="G16" i="119"/>
  <c r="AR25" i="109"/>
  <c r="G30" i="119"/>
  <c r="H64" i="119"/>
  <c r="AR8" i="109"/>
  <c r="G9" i="119"/>
  <c r="AR20" i="109"/>
  <c r="G24" i="119"/>
  <c r="H32" i="119"/>
  <c r="AR44" i="109"/>
  <c r="G54" i="119"/>
  <c r="AR56" i="109"/>
  <c r="G68" i="119"/>
  <c r="H68" i="119" s="1"/>
  <c r="G53" i="119"/>
  <c r="AR37" i="109"/>
  <c r="G45" i="119"/>
  <c r="AR49" i="109"/>
  <c r="G60" i="119"/>
  <c r="AR32" i="109"/>
  <c r="G39" i="119"/>
  <c r="G14" i="103"/>
  <c r="AU6" i="109"/>
  <c r="AU18" i="109"/>
  <c r="AU30" i="109"/>
  <c r="AU36" i="109"/>
  <c r="AU42" i="109"/>
  <c r="AU48" i="109"/>
  <c r="AU54" i="109"/>
  <c r="AU10" i="109"/>
  <c r="AU16" i="109"/>
  <c r="AU22" i="109"/>
  <c r="AU28" i="109"/>
  <c r="AU34" i="109"/>
  <c r="AU40" i="109"/>
  <c r="AU46" i="109"/>
  <c r="AU52" i="109"/>
  <c r="AU5" i="109"/>
  <c r="AU11" i="109"/>
  <c r="AU17" i="109"/>
  <c r="AU23" i="109"/>
  <c r="AU29" i="109"/>
  <c r="AU35" i="109"/>
  <c r="AU41" i="109"/>
  <c r="AU47" i="109"/>
  <c r="AU53" i="109"/>
  <c r="AU12" i="109"/>
  <c r="AU24" i="109"/>
  <c r="AU7" i="109"/>
  <c r="AU13" i="109"/>
  <c r="AU19" i="109"/>
  <c r="AU25" i="109"/>
  <c r="AU31" i="109"/>
  <c r="AU37" i="109"/>
  <c r="AU43" i="109"/>
  <c r="AU49" i="109"/>
  <c r="AU55" i="109"/>
  <c r="AU8" i="109"/>
  <c r="AU14" i="109"/>
  <c r="AU20" i="109"/>
  <c r="AU26" i="109"/>
  <c r="AU32" i="109"/>
  <c r="AU38" i="109"/>
  <c r="AU44" i="109"/>
  <c r="AU50" i="109"/>
  <c r="AU56" i="109"/>
  <c r="AR10" i="109"/>
  <c r="AR22" i="109"/>
  <c r="AR34" i="109"/>
  <c r="AR7" i="109"/>
  <c r="AR31" i="109"/>
  <c r="AR43" i="109"/>
  <c r="AR55" i="109"/>
  <c r="AR18" i="109"/>
  <c r="AR19" i="109"/>
  <c r="AR30" i="109"/>
  <c r="AR42" i="109"/>
  <c r="AR46" i="109"/>
  <c r="AR11" i="109"/>
  <c r="AR23" i="109"/>
  <c r="AR9" i="109"/>
  <c r="AR12" i="109"/>
  <c r="AR15" i="109"/>
  <c r="AR21" i="109"/>
  <c r="AR24" i="109"/>
  <c r="AR27" i="109"/>
  <c r="AR33" i="109"/>
  <c r="AR36" i="109"/>
  <c r="AR39" i="109"/>
  <c r="AR45" i="109"/>
  <c r="AR48" i="109"/>
  <c r="AR51" i="109"/>
  <c r="AR54" i="109"/>
  <c r="AR16" i="109"/>
  <c r="AR52" i="109"/>
  <c r="AR40" i="109"/>
  <c r="AR14" i="109"/>
  <c r="AR41" i="109"/>
  <c r="AR26" i="109"/>
  <c r="AR47" i="109"/>
  <c r="AR28" i="109"/>
  <c r="AR29" i="109"/>
  <c r="AR35" i="109"/>
  <c r="AR50" i="109"/>
  <c r="AR17" i="109"/>
  <c r="AR38" i="109"/>
  <c r="AR53" i="109"/>
  <c r="H57" i="119" l="1"/>
  <c r="F63" i="119"/>
  <c r="K63" i="119" s="1"/>
  <c r="K61" i="119"/>
  <c r="H60" i="119"/>
  <c r="K59" i="119"/>
  <c r="H59" i="119"/>
  <c r="K19" i="119"/>
  <c r="S22" i="119"/>
  <c r="H23" i="119"/>
  <c r="K23" i="119"/>
  <c r="H39" i="119"/>
  <c r="K22" i="119"/>
  <c r="H22" i="119"/>
  <c r="F58" i="119"/>
  <c r="K54" i="119"/>
  <c r="K56" i="119"/>
  <c r="H56" i="119"/>
  <c r="K55" i="119"/>
  <c r="H41" i="119"/>
  <c r="H9" i="119"/>
  <c r="K7" i="119"/>
  <c r="F17" i="103"/>
  <c r="H30" i="119"/>
  <c r="H36" i="119"/>
  <c r="H24" i="119"/>
  <c r="K43" i="119"/>
  <c r="H29" i="119"/>
  <c r="H51" i="119"/>
  <c r="K35" i="119"/>
  <c r="H28" i="119"/>
  <c r="H49" i="119"/>
  <c r="H13" i="119"/>
  <c r="H50" i="119"/>
  <c r="K14" i="119"/>
  <c r="H45" i="119"/>
  <c r="H8" i="119"/>
  <c r="F10" i="119"/>
  <c r="F31" i="119"/>
  <c r="K31" i="119" s="1"/>
  <c r="H38" i="119"/>
  <c r="F42" i="119"/>
  <c r="K42" i="119" s="1"/>
  <c r="F47" i="119"/>
  <c r="K47" i="119" s="1"/>
  <c r="F37" i="119"/>
  <c r="K25" i="119"/>
  <c r="H46" i="119"/>
  <c r="K20" i="119"/>
  <c r="K27" i="119"/>
  <c r="H27" i="119"/>
  <c r="H19" i="119"/>
  <c r="F53" i="119"/>
  <c r="K53" i="119" s="1"/>
  <c r="H12" i="119"/>
  <c r="H33" i="119"/>
  <c r="F21" i="119"/>
  <c r="H52" i="119"/>
  <c r="K34" i="119"/>
  <c r="K17" i="119"/>
  <c r="K18" i="119"/>
  <c r="F15" i="119"/>
  <c r="H15" i="119" s="1"/>
  <c r="F26" i="119"/>
  <c r="H44" i="119"/>
  <c r="K33" i="119"/>
  <c r="J26" i="119"/>
  <c r="K6" i="119"/>
  <c r="J10" i="119"/>
  <c r="J15" i="119"/>
  <c r="K11" i="119"/>
  <c r="J58" i="119"/>
  <c r="K62" i="119"/>
  <c r="G37" i="119"/>
  <c r="K48" i="119"/>
  <c r="J37" i="119"/>
  <c r="K40" i="119"/>
  <c r="H16" i="103"/>
  <c r="J21" i="119"/>
  <c r="G42" i="119"/>
  <c r="G69" i="119"/>
  <c r="H69" i="119" s="1"/>
  <c r="H14" i="103"/>
  <c r="F15" i="103"/>
  <c r="G58" i="119"/>
  <c r="H54" i="119"/>
  <c r="G47" i="119"/>
  <c r="H16" i="119"/>
  <c r="G21" i="119"/>
  <c r="G63" i="119"/>
  <c r="G31" i="119"/>
  <c r="D56" i="109"/>
  <c r="D55" i="109"/>
  <c r="D54" i="109"/>
  <c r="D53" i="109"/>
  <c r="D52" i="109"/>
  <c r="D51" i="109"/>
  <c r="D50" i="109"/>
  <c r="D49" i="109"/>
  <c r="D48" i="109"/>
  <c r="D47" i="109"/>
  <c r="D46" i="109"/>
  <c r="D45" i="109"/>
  <c r="D44" i="109"/>
  <c r="D43" i="109"/>
  <c r="D42" i="109"/>
  <c r="D41" i="109"/>
  <c r="D40" i="109"/>
  <c r="D39" i="109"/>
  <c r="D38" i="109"/>
  <c r="D37" i="109"/>
  <c r="D36" i="109"/>
  <c r="D35" i="109"/>
  <c r="D34" i="109"/>
  <c r="D33" i="109"/>
  <c r="D32" i="109"/>
  <c r="D31" i="109"/>
  <c r="D30" i="109"/>
  <c r="D29" i="109"/>
  <c r="D28" i="109"/>
  <c r="D27" i="109"/>
  <c r="D26" i="109"/>
  <c r="D25" i="109"/>
  <c r="D24" i="109"/>
  <c r="D23" i="109"/>
  <c r="D22" i="109"/>
  <c r="D21" i="109"/>
  <c r="D20" i="109"/>
  <c r="D19" i="109"/>
  <c r="D18" i="109"/>
  <c r="D17" i="109"/>
  <c r="D16" i="109"/>
  <c r="D15" i="109"/>
  <c r="D14" i="109"/>
  <c r="D13" i="109"/>
  <c r="D12" i="109"/>
  <c r="D11" i="109"/>
  <c r="D10" i="109"/>
  <c r="D9" i="109"/>
  <c r="D8" i="109"/>
  <c r="D7" i="109"/>
  <c r="D6" i="109"/>
  <c r="D5" i="109"/>
  <c r="F1" i="103"/>
  <c r="C56" i="110"/>
  <c r="C55" i="110"/>
  <c r="C54" i="110"/>
  <c r="C53" i="110"/>
  <c r="C52" i="110"/>
  <c r="C51" i="110"/>
  <c r="C50" i="110"/>
  <c r="C49" i="110"/>
  <c r="C48" i="110"/>
  <c r="C47" i="110"/>
  <c r="C46" i="110"/>
  <c r="C45" i="110"/>
  <c r="C44" i="110"/>
  <c r="C43" i="110"/>
  <c r="C42" i="110"/>
  <c r="C41" i="110"/>
  <c r="C40" i="110"/>
  <c r="C39" i="110"/>
  <c r="C38" i="110"/>
  <c r="C37" i="110"/>
  <c r="C36" i="110"/>
  <c r="C35" i="110"/>
  <c r="C34" i="110"/>
  <c r="C33" i="110"/>
  <c r="C32" i="110"/>
  <c r="C31" i="110"/>
  <c r="C30" i="110"/>
  <c r="C29" i="110"/>
  <c r="C28" i="110"/>
  <c r="C27" i="110"/>
  <c r="C26" i="110"/>
  <c r="C25" i="110"/>
  <c r="C24" i="110"/>
  <c r="C23" i="110"/>
  <c r="C22" i="110"/>
  <c r="C21" i="110"/>
  <c r="C20" i="110"/>
  <c r="C19" i="110"/>
  <c r="C18" i="110"/>
  <c r="C17" i="110"/>
  <c r="C16" i="110"/>
  <c r="C15" i="110"/>
  <c r="C14" i="110"/>
  <c r="C13" i="110"/>
  <c r="C11" i="110"/>
  <c r="C10" i="110"/>
  <c r="C9" i="110"/>
  <c r="C8" i="110"/>
  <c r="C7" i="110"/>
  <c r="C6" i="110"/>
  <c r="C5" i="110"/>
  <c r="H63" i="119" l="1"/>
  <c r="K58" i="119"/>
  <c r="H58" i="119"/>
  <c r="S23" i="119"/>
  <c r="S25" i="119" s="1"/>
  <c r="D24" i="134"/>
  <c r="C24" i="134"/>
  <c r="D24" i="133"/>
  <c r="C24" i="133"/>
  <c r="C91" i="134"/>
  <c r="D23" i="122"/>
  <c r="C23" i="122"/>
  <c r="C90" i="122"/>
  <c r="C76" i="134"/>
  <c r="C75" i="122"/>
  <c r="D87" i="134"/>
  <c r="C80" i="134"/>
  <c r="C87" i="122"/>
  <c r="C84" i="122"/>
  <c r="D77" i="122"/>
  <c r="C81" i="134"/>
  <c r="C82" i="122"/>
  <c r="D86" i="122"/>
  <c r="C79" i="122"/>
  <c r="D91" i="122"/>
  <c r="C89" i="134"/>
  <c r="C80" i="122"/>
  <c r="D84" i="134"/>
  <c r="C88" i="122"/>
  <c r="C75" i="134"/>
  <c r="C90" i="134"/>
  <c r="C78" i="134"/>
  <c r="C91" i="122"/>
  <c r="D83" i="122"/>
  <c r="C86" i="134"/>
  <c r="D79" i="134"/>
  <c r="D84" i="122"/>
  <c r="D78" i="134"/>
  <c r="C77" i="122"/>
  <c r="D76" i="134"/>
  <c r="D88" i="134"/>
  <c r="D85" i="134"/>
  <c r="C85" i="122"/>
  <c r="D78" i="122"/>
  <c r="D87" i="122"/>
  <c r="C82" i="134"/>
  <c r="C85" i="134"/>
  <c r="D90" i="122"/>
  <c r="D75" i="122"/>
  <c r="C77" i="134"/>
  <c r="D80" i="134"/>
  <c r="D77" i="134"/>
  <c r="D89" i="134"/>
  <c r="C89" i="122"/>
  <c r="C81" i="122"/>
  <c r="C76" i="122"/>
  <c r="D79" i="122"/>
  <c r="D76" i="122"/>
  <c r="D88" i="122"/>
  <c r="D86" i="134"/>
  <c r="C84" i="134"/>
  <c r="D81" i="134"/>
  <c r="D85" i="122"/>
  <c r="C79" i="134"/>
  <c r="C87" i="134"/>
  <c r="C88" i="134"/>
  <c r="C83" i="122"/>
  <c r="D80" i="122"/>
  <c r="D90" i="134"/>
  <c r="C78" i="122"/>
  <c r="C86" i="122"/>
  <c r="D91" i="134"/>
  <c r="C83" i="134"/>
  <c r="D89" i="122"/>
  <c r="D75" i="134"/>
  <c r="C68" i="122"/>
  <c r="C62" i="134"/>
  <c r="D62" i="134"/>
  <c r="D62" i="122"/>
  <c r="C67" i="134"/>
  <c r="C64" i="122"/>
  <c r="C54" i="134"/>
  <c r="C66" i="134"/>
  <c r="D54" i="134"/>
  <c r="D54" i="122"/>
  <c r="C61" i="122"/>
  <c r="D61" i="122"/>
  <c r="D69" i="134"/>
  <c r="C66" i="122"/>
  <c r="D66" i="134"/>
  <c r="C65" i="122"/>
  <c r="C56" i="134"/>
  <c r="D68" i="134"/>
  <c r="D68" i="122"/>
  <c r="C53" i="134"/>
  <c r="C60" i="134"/>
  <c r="C53" i="122"/>
  <c r="C55" i="134"/>
  <c r="C68" i="134"/>
  <c r="D67" i="122"/>
  <c r="C59" i="122"/>
  <c r="D64" i="134"/>
  <c r="D53" i="122"/>
  <c r="C69" i="122"/>
  <c r="C54" i="122"/>
  <c r="C67" i="122"/>
  <c r="D56" i="134"/>
  <c r="C63" i="134"/>
  <c r="D59" i="134"/>
  <c r="C69" i="134"/>
  <c r="D65" i="122"/>
  <c r="D64" i="122"/>
  <c r="D53" i="134"/>
  <c r="D63" i="134"/>
  <c r="D55" i="122"/>
  <c r="C62" i="122"/>
  <c r="D58" i="134"/>
  <c r="D58" i="122"/>
  <c r="D56" i="122"/>
  <c r="C58" i="134"/>
  <c r="D57" i="122"/>
  <c r="D65" i="134"/>
  <c r="C58" i="122"/>
  <c r="D67" i="134"/>
  <c r="C57" i="122"/>
  <c r="C61" i="134"/>
  <c r="D66" i="122"/>
  <c r="C64" i="134"/>
  <c r="D63" i="122"/>
  <c r="C55" i="122"/>
  <c r="C65" i="134"/>
  <c r="C60" i="122"/>
  <c r="D55" i="134"/>
  <c r="D57" i="134"/>
  <c r="C63" i="122"/>
  <c r="D69" i="122"/>
  <c r="C59" i="134"/>
  <c r="D109" i="122"/>
  <c r="D97" i="122"/>
  <c r="D108" i="122"/>
  <c r="C110" i="122"/>
  <c r="D100" i="122"/>
  <c r="D106" i="122"/>
  <c r="C101" i="122"/>
  <c r="D110" i="122"/>
  <c r="D112" i="122"/>
  <c r="C98" i="122"/>
  <c r="C100" i="122"/>
  <c r="C109" i="122"/>
  <c r="C111" i="122"/>
  <c r="D98" i="122"/>
  <c r="C107" i="122"/>
  <c r="C99" i="122"/>
  <c r="D99" i="122"/>
  <c r="C113" i="122"/>
  <c r="C97" i="122"/>
  <c r="C104" i="122"/>
  <c r="D102" i="122"/>
  <c r="D105" i="122"/>
  <c r="D101" i="122"/>
  <c r="C105" i="122"/>
  <c r="D111" i="122"/>
  <c r="D113" i="122"/>
  <c r="C112" i="122"/>
  <c r="C108" i="122"/>
  <c r="C102" i="122"/>
  <c r="C103" i="122"/>
  <c r="D107" i="122"/>
  <c r="C106" i="122"/>
  <c r="D36" i="133"/>
  <c r="D36" i="122"/>
  <c r="D41" i="122"/>
  <c r="C37" i="134"/>
  <c r="C38" i="122"/>
  <c r="C31" i="133"/>
  <c r="D45" i="133"/>
  <c r="C42" i="134"/>
  <c r="C34" i="133"/>
  <c r="D35" i="122"/>
  <c r="D41" i="133"/>
  <c r="C40" i="134"/>
  <c r="D43" i="133"/>
  <c r="C37" i="133"/>
  <c r="D45" i="134"/>
  <c r="C46" i="134"/>
  <c r="C32" i="122"/>
  <c r="D47" i="133"/>
  <c r="D43" i="122"/>
  <c r="D46" i="122"/>
  <c r="D42" i="133"/>
  <c r="D32" i="122"/>
  <c r="C33" i="134"/>
  <c r="D41" i="134"/>
  <c r="C40" i="133"/>
  <c r="D43" i="134"/>
  <c r="C36" i="122"/>
  <c r="C43" i="134"/>
  <c r="C32" i="134"/>
  <c r="D44" i="122"/>
  <c r="C42" i="122"/>
  <c r="C39" i="134"/>
  <c r="C46" i="133"/>
  <c r="C33" i="133"/>
  <c r="D40" i="122"/>
  <c r="C39" i="122"/>
  <c r="D42" i="122"/>
  <c r="C43" i="133"/>
  <c r="C32" i="133"/>
  <c r="C35" i="133"/>
  <c r="C31" i="122"/>
  <c r="D42" i="134"/>
  <c r="C39" i="133"/>
  <c r="D46" i="133"/>
  <c r="C45" i="122"/>
  <c r="C35" i="134"/>
  <c r="C36" i="134"/>
  <c r="C45" i="133"/>
  <c r="C38" i="133"/>
  <c r="C42" i="133"/>
  <c r="D32" i="133"/>
  <c r="C44" i="134"/>
  <c r="D47" i="134"/>
  <c r="D39" i="122"/>
  <c r="D36" i="134"/>
  <c r="D46" i="134"/>
  <c r="D35" i="134"/>
  <c r="C34" i="122"/>
  <c r="C36" i="133"/>
  <c r="C45" i="134"/>
  <c r="C38" i="134"/>
  <c r="C41" i="122"/>
  <c r="D32" i="134"/>
  <c r="C44" i="133"/>
  <c r="D44" i="133"/>
  <c r="C34" i="134"/>
  <c r="D34" i="133"/>
  <c r="D44" i="134"/>
  <c r="D37" i="134"/>
  <c r="D47" i="122"/>
  <c r="D37" i="133"/>
  <c r="C31" i="134"/>
  <c r="D45" i="122"/>
  <c r="D35" i="133"/>
  <c r="C35" i="122"/>
  <c r="D40" i="133"/>
  <c r="C41" i="134"/>
  <c r="C44" i="122"/>
  <c r="C37" i="122"/>
  <c r="D31" i="133"/>
  <c r="D31" i="122"/>
  <c r="C47" i="122"/>
  <c r="D33" i="122"/>
  <c r="C33" i="122"/>
  <c r="D34" i="122"/>
  <c r="C47" i="134"/>
  <c r="D40" i="134"/>
  <c r="C41" i="133"/>
  <c r="D34" i="134"/>
  <c r="D31" i="134"/>
  <c r="C43" i="122"/>
  <c r="C47" i="133"/>
  <c r="C40" i="122"/>
  <c r="D33" i="133"/>
  <c r="C46" i="122"/>
  <c r="D33" i="134"/>
  <c r="D12" i="110"/>
  <c r="H37" i="119"/>
  <c r="H47" i="119"/>
  <c r="K21" i="119"/>
  <c r="H21" i="119"/>
  <c r="H31" i="119"/>
  <c r="K10" i="119"/>
  <c r="H42" i="119"/>
  <c r="H53" i="119"/>
  <c r="K15" i="119"/>
  <c r="K26" i="119"/>
  <c r="K37" i="119"/>
  <c r="H26" i="119"/>
  <c r="I47" i="134"/>
  <c r="I69" i="134"/>
  <c r="H69" i="134"/>
  <c r="H47" i="133"/>
  <c r="I47" i="133"/>
  <c r="H47" i="134"/>
  <c r="H46" i="134"/>
  <c r="I46" i="134"/>
  <c r="I46" i="133"/>
  <c r="H46" i="133"/>
  <c r="H68" i="134"/>
  <c r="H45" i="134"/>
  <c r="H45" i="133"/>
  <c r="I45" i="134"/>
  <c r="I68" i="134"/>
  <c r="I45" i="133"/>
  <c r="I44" i="133"/>
  <c r="H44" i="133"/>
  <c r="I67" i="134"/>
  <c r="H67" i="134"/>
  <c r="H44" i="134"/>
  <c r="I44" i="134"/>
  <c r="I43" i="133"/>
  <c r="H43" i="133"/>
  <c r="I66" i="134"/>
  <c r="H43" i="134"/>
  <c r="H66" i="134"/>
  <c r="I43" i="134"/>
  <c r="H42" i="133"/>
  <c r="I42" i="133"/>
  <c r="I47" i="122"/>
  <c r="H65" i="134"/>
  <c r="I65" i="134"/>
  <c r="I42" i="134"/>
  <c r="H42" i="134"/>
  <c r="H47" i="122"/>
  <c r="I41" i="134"/>
  <c r="I41" i="133"/>
  <c r="H41" i="134"/>
  <c r="H64" i="134"/>
  <c r="H41" i="133"/>
  <c r="H69" i="122"/>
  <c r="I69" i="122"/>
  <c r="I64" i="134"/>
  <c r="H46" i="122"/>
  <c r="I46" i="122"/>
  <c r="I68" i="122"/>
  <c r="I40" i="133"/>
  <c r="H68" i="122"/>
  <c r="H40" i="133"/>
  <c r="H45" i="122"/>
  <c r="I45" i="122"/>
  <c r="H63" i="134"/>
  <c r="I40" i="134"/>
  <c r="I63" i="134"/>
  <c r="H40" i="134"/>
  <c r="H113" i="122"/>
  <c r="H39" i="133"/>
  <c r="I113" i="122"/>
  <c r="I67" i="122"/>
  <c r="H67" i="122"/>
  <c r="I44" i="122"/>
  <c r="H44" i="122"/>
  <c r="I66" i="122"/>
  <c r="H66" i="122"/>
  <c r="I62" i="134"/>
  <c r="I39" i="134"/>
  <c r="H62" i="134"/>
  <c r="I39" i="133"/>
  <c r="H39" i="134"/>
  <c r="H43" i="122"/>
  <c r="I38" i="133"/>
  <c r="I43" i="122"/>
  <c r="I112" i="122"/>
  <c r="H38" i="133"/>
  <c r="I42" i="122"/>
  <c r="H112" i="122"/>
  <c r="I61" i="134"/>
  <c r="I38" i="134"/>
  <c r="H61" i="134"/>
  <c r="H42" i="122"/>
  <c r="H38" i="134"/>
  <c r="I37" i="133"/>
  <c r="H111" i="122"/>
  <c r="H37" i="133"/>
  <c r="I37" i="134"/>
  <c r="H65" i="122"/>
  <c r="H41" i="122"/>
  <c r="I41" i="122"/>
  <c r="H64" i="122"/>
  <c r="I110" i="122"/>
  <c r="I64" i="122"/>
  <c r="I60" i="134"/>
  <c r="H60" i="134"/>
  <c r="H37" i="134"/>
  <c r="H110" i="122"/>
  <c r="I65" i="122"/>
  <c r="I111" i="122"/>
  <c r="H36" i="133"/>
  <c r="I40" i="122"/>
  <c r="I63" i="122"/>
  <c r="H59" i="134"/>
  <c r="H40" i="122"/>
  <c r="H63" i="122"/>
  <c r="I36" i="134"/>
  <c r="I109" i="122"/>
  <c r="I36" i="133"/>
  <c r="H109" i="122"/>
  <c r="I59" i="134"/>
  <c r="H36" i="134"/>
  <c r="H35" i="134"/>
  <c r="H62" i="122"/>
  <c r="I62" i="122"/>
  <c r="H39" i="122"/>
  <c r="I39" i="122"/>
  <c r="I35" i="133"/>
  <c r="I58" i="134"/>
  <c r="H58" i="134"/>
  <c r="H35" i="133"/>
  <c r="I108" i="122"/>
  <c r="I35" i="134"/>
  <c r="H108" i="122"/>
  <c r="I34" i="133"/>
  <c r="H107" i="122"/>
  <c r="I107" i="122"/>
  <c r="H34" i="133"/>
  <c r="I34" i="134"/>
  <c r="H34" i="134"/>
  <c r="H57" i="134"/>
  <c r="H38" i="122"/>
  <c r="I57" i="134"/>
  <c r="I38" i="122"/>
  <c r="I61" i="122"/>
  <c r="H61" i="122"/>
  <c r="H33" i="134"/>
  <c r="H37" i="122"/>
  <c r="I33" i="134"/>
  <c r="I37" i="122"/>
  <c r="I56" i="134"/>
  <c r="H56" i="134"/>
  <c r="I33" i="133"/>
  <c r="I60" i="122"/>
  <c r="H60" i="122"/>
  <c r="I106" i="122"/>
  <c r="H106" i="122"/>
  <c r="H33" i="133"/>
  <c r="H105" i="122"/>
  <c r="I105" i="122"/>
  <c r="H36" i="122"/>
  <c r="I32" i="134"/>
  <c r="I59" i="122"/>
  <c r="I32" i="133"/>
  <c r="I36" i="122"/>
  <c r="I55" i="134"/>
  <c r="H59" i="122"/>
  <c r="H32" i="134"/>
  <c r="H32" i="133"/>
  <c r="H55" i="134"/>
  <c r="I104" i="122"/>
  <c r="H35" i="122"/>
  <c r="H31" i="134"/>
  <c r="H54" i="134"/>
  <c r="I35" i="122"/>
  <c r="I58" i="122"/>
  <c r="I31" i="134"/>
  <c r="H31" i="133"/>
  <c r="I54" i="134"/>
  <c r="H104" i="122"/>
  <c r="H58" i="122"/>
  <c r="I31" i="133"/>
  <c r="I53" i="134"/>
  <c r="H34" i="122"/>
  <c r="H57" i="122"/>
  <c r="I57" i="122"/>
  <c r="H103" i="122"/>
  <c r="I34" i="122"/>
  <c r="I103" i="122"/>
  <c r="H53" i="134"/>
  <c r="I56" i="122"/>
  <c r="H56" i="122"/>
  <c r="I33" i="122"/>
  <c r="H102" i="122"/>
  <c r="I102" i="122"/>
  <c r="H33" i="122"/>
  <c r="I55" i="122"/>
  <c r="I32" i="122"/>
  <c r="H55" i="122"/>
  <c r="H101" i="122"/>
  <c r="I101" i="122"/>
  <c r="H32" i="122"/>
  <c r="I54" i="122"/>
  <c r="H54" i="122"/>
  <c r="H31" i="122"/>
  <c r="I31" i="122"/>
  <c r="I100" i="122"/>
  <c r="H100" i="122"/>
  <c r="I53" i="122"/>
  <c r="H99" i="122"/>
  <c r="I99" i="122"/>
  <c r="H53" i="122"/>
  <c r="I98" i="122"/>
  <c r="H98" i="122"/>
  <c r="I97" i="122"/>
  <c r="H97" i="122"/>
  <c r="E25" i="109"/>
  <c r="E47" i="109"/>
  <c r="D13" i="110"/>
  <c r="D25" i="110"/>
  <c r="D49" i="110"/>
  <c r="E16" i="109"/>
  <c r="E26" i="109"/>
  <c r="D37" i="110"/>
  <c r="E6" i="109"/>
  <c r="D16" i="110"/>
  <c r="D52" i="110"/>
  <c r="E29" i="109"/>
  <c r="D5" i="110"/>
  <c r="E10" i="109"/>
  <c r="D14" i="110"/>
  <c r="D38" i="110"/>
  <c r="E17" i="109"/>
  <c r="E48" i="109"/>
  <c r="D15" i="110"/>
  <c r="D39" i="110"/>
  <c r="D51" i="110"/>
  <c r="E18" i="109"/>
  <c r="E28" i="109"/>
  <c r="E38" i="109"/>
  <c r="D40" i="110"/>
  <c r="E49" i="109"/>
  <c r="D29" i="110"/>
  <c r="D53" i="110"/>
  <c r="E19" i="109"/>
  <c r="E40" i="109"/>
  <c r="D6" i="110"/>
  <c r="D30" i="110"/>
  <c r="D54" i="110"/>
  <c r="E41" i="109"/>
  <c r="D7" i="110"/>
  <c r="D31" i="110"/>
  <c r="D55" i="110"/>
  <c r="E21" i="109"/>
  <c r="E42" i="109"/>
  <c r="D8" i="110"/>
  <c r="D32" i="110"/>
  <c r="D44" i="110"/>
  <c r="E12" i="109"/>
  <c r="E22" i="109"/>
  <c r="E53" i="109"/>
  <c r="D9" i="110"/>
  <c r="D33" i="110"/>
  <c r="D45" i="110"/>
  <c r="E24" i="109"/>
  <c r="E34" i="109"/>
  <c r="D11" i="110"/>
  <c r="D23" i="110"/>
  <c r="D35" i="110"/>
  <c r="D47" i="110"/>
  <c r="E14" i="109"/>
  <c r="E35" i="109"/>
  <c r="E45" i="109"/>
  <c r="E55" i="109"/>
  <c r="D26" i="110"/>
  <c r="D50" i="110"/>
  <c r="E27" i="109"/>
  <c r="E37" i="109"/>
  <c r="D27" i="110"/>
  <c r="E7" i="109"/>
  <c r="D28" i="110"/>
  <c r="E8" i="109"/>
  <c r="E39" i="109"/>
  <c r="D17" i="110"/>
  <c r="D41" i="110"/>
  <c r="E9" i="109"/>
  <c r="E30" i="109"/>
  <c r="E50" i="109"/>
  <c r="D18" i="110"/>
  <c r="D42" i="110"/>
  <c r="E20" i="109"/>
  <c r="E51" i="109"/>
  <c r="D19" i="110"/>
  <c r="D43" i="110"/>
  <c r="E11" i="109"/>
  <c r="E31" i="109"/>
  <c r="E52" i="109"/>
  <c r="D20" i="110"/>
  <c r="D56" i="110"/>
  <c r="E32" i="109"/>
  <c r="D21" i="110"/>
  <c r="E23" i="109"/>
  <c r="E33" i="109"/>
  <c r="E43" i="109"/>
  <c r="E54" i="109"/>
  <c r="D10" i="110"/>
  <c r="D22" i="110"/>
  <c r="D34" i="110"/>
  <c r="D46" i="110"/>
  <c r="E13" i="109"/>
  <c r="E44" i="109"/>
  <c r="D24" i="110"/>
  <c r="D36" i="110"/>
  <c r="D48" i="110"/>
  <c r="E5" i="109"/>
  <c r="E15" i="109"/>
  <c r="E36" i="109"/>
  <c r="E46" i="109"/>
  <c r="E56" i="109"/>
  <c r="D4" i="103"/>
  <c r="J19" i="103" s="1"/>
  <c r="E69" i="134" l="1"/>
  <c r="K14" i="141"/>
  <c r="E47" i="133"/>
  <c r="E45" i="134"/>
  <c r="E56" i="134"/>
  <c r="O16" i="108"/>
  <c r="N16" i="108"/>
  <c r="K16" i="108"/>
  <c r="J16" i="108"/>
  <c r="E47" i="134"/>
  <c r="E91" i="134"/>
  <c r="E89" i="134"/>
  <c r="E91" i="122"/>
  <c r="E54" i="122"/>
  <c r="E68" i="122"/>
  <c r="E54" i="134"/>
  <c r="E24" i="133"/>
  <c r="E23" i="122"/>
  <c r="E47" i="122"/>
  <c r="E46" i="122"/>
  <c r="O10" i="108"/>
  <c r="N10" i="108"/>
  <c r="J10" i="108"/>
  <c r="K10" i="108"/>
  <c r="E45" i="133"/>
  <c r="E46" i="134"/>
  <c r="E111" i="122"/>
  <c r="E67" i="122"/>
  <c r="E90" i="122"/>
  <c r="E37" i="133"/>
  <c r="E100" i="122"/>
  <c r="E59" i="134"/>
  <c r="E57" i="122"/>
  <c r="E69" i="122"/>
  <c r="E64" i="122"/>
  <c r="F67" i="122"/>
  <c r="E36" i="122"/>
  <c r="F88" i="134"/>
  <c r="E85" i="134"/>
  <c r="F46" i="122"/>
  <c r="E43" i="122"/>
  <c r="E36" i="133"/>
  <c r="F42" i="122"/>
  <c r="E39" i="122"/>
  <c r="E40" i="133"/>
  <c r="F43" i="133"/>
  <c r="F101" i="122"/>
  <c r="E98" i="122"/>
  <c r="E67" i="134"/>
  <c r="E76" i="122"/>
  <c r="F79" i="122"/>
  <c r="E79" i="122"/>
  <c r="F31" i="134"/>
  <c r="F32" i="134"/>
  <c r="E31" i="134"/>
  <c r="F33" i="134"/>
  <c r="F34" i="134"/>
  <c r="E34" i="122"/>
  <c r="E36" i="134"/>
  <c r="E40" i="134"/>
  <c r="F43" i="134"/>
  <c r="E106" i="122"/>
  <c r="F109" i="122"/>
  <c r="F66" i="122"/>
  <c r="E63" i="122"/>
  <c r="E58" i="122"/>
  <c r="F68" i="122"/>
  <c r="E65" i="122"/>
  <c r="E83" i="122"/>
  <c r="F86" i="122"/>
  <c r="F81" i="134"/>
  <c r="E78" i="134"/>
  <c r="E66" i="134"/>
  <c r="F69" i="134"/>
  <c r="E43" i="133"/>
  <c r="F46" i="133"/>
  <c r="F89" i="134"/>
  <c r="E86" i="134"/>
  <c r="E44" i="122"/>
  <c r="F47" i="122"/>
  <c r="E35" i="134"/>
  <c r="E33" i="133"/>
  <c r="F36" i="133"/>
  <c r="E33" i="134"/>
  <c r="F36" i="134"/>
  <c r="F91" i="134"/>
  <c r="E88" i="134"/>
  <c r="F88" i="122"/>
  <c r="E85" i="122"/>
  <c r="F45" i="133"/>
  <c r="E42" i="133"/>
  <c r="E109" i="122"/>
  <c r="F112" i="122"/>
  <c r="E41" i="133"/>
  <c r="F44" i="133"/>
  <c r="E41" i="134"/>
  <c r="F44" i="134"/>
  <c r="E45" i="122"/>
  <c r="E46" i="133"/>
  <c r="F98" i="122"/>
  <c r="E97" i="122"/>
  <c r="F99" i="122"/>
  <c r="F100" i="122"/>
  <c r="F97" i="122"/>
  <c r="E101" i="122"/>
  <c r="E66" i="122"/>
  <c r="F69" i="122"/>
  <c r="F65" i="134"/>
  <c r="E62" i="134"/>
  <c r="F90" i="134"/>
  <c r="E87" i="134"/>
  <c r="E89" i="122"/>
  <c r="E90" i="134"/>
  <c r="E81" i="134"/>
  <c r="E37" i="134"/>
  <c r="F53" i="134"/>
  <c r="F55" i="134"/>
  <c r="E53" i="134"/>
  <c r="F56" i="134"/>
  <c r="F54" i="134"/>
  <c r="E105" i="122"/>
  <c r="F108" i="122"/>
  <c r="F79" i="134"/>
  <c r="F37" i="134"/>
  <c r="E34" i="134"/>
  <c r="E34" i="133"/>
  <c r="F37" i="133"/>
  <c r="E102" i="122"/>
  <c r="E113" i="122"/>
  <c r="E58" i="134"/>
  <c r="E79" i="134"/>
  <c r="E75" i="134"/>
  <c r="F77" i="134"/>
  <c r="F78" i="134"/>
  <c r="F76" i="134"/>
  <c r="F75" i="134"/>
  <c r="F65" i="122"/>
  <c r="E62" i="122"/>
  <c r="F45" i="134"/>
  <c r="E42" i="134"/>
  <c r="E108" i="122"/>
  <c r="F111" i="122"/>
  <c r="F68" i="134"/>
  <c r="E65" i="134"/>
  <c r="E68" i="134"/>
  <c r="E76" i="134"/>
  <c r="F87" i="122"/>
  <c r="E84" i="122"/>
  <c r="E24" i="134"/>
  <c r="E32" i="133"/>
  <c r="F35" i="133"/>
  <c r="F89" i="122"/>
  <c r="E86" i="122"/>
  <c r="E35" i="122"/>
  <c r="E42" i="122"/>
  <c r="F45" i="122"/>
  <c r="F102" i="122"/>
  <c r="E99" i="122"/>
  <c r="E55" i="122"/>
  <c r="E55" i="134"/>
  <c r="F64" i="122"/>
  <c r="E61" i="122"/>
  <c r="F80" i="122"/>
  <c r="E77" i="122"/>
  <c r="F91" i="122"/>
  <c r="E88" i="122"/>
  <c r="F90" i="122"/>
  <c r="E87" i="122"/>
  <c r="F77" i="122"/>
  <c r="F78" i="122"/>
  <c r="E75" i="122"/>
  <c r="F76" i="122"/>
  <c r="F75" i="122"/>
  <c r="E44" i="133"/>
  <c r="F47" i="133"/>
  <c r="E44" i="134"/>
  <c r="F47" i="134"/>
  <c r="F31" i="122"/>
  <c r="F34" i="122"/>
  <c r="F33" i="122"/>
  <c r="F32" i="122"/>
  <c r="E31" i="122"/>
  <c r="F34" i="133"/>
  <c r="E31" i="133"/>
  <c r="F31" i="133"/>
  <c r="F33" i="133"/>
  <c r="F32" i="133"/>
  <c r="E112" i="122"/>
  <c r="E107" i="122"/>
  <c r="F110" i="122"/>
  <c r="F113" i="122"/>
  <c r="E110" i="122"/>
  <c r="E63" i="134"/>
  <c r="F66" i="134"/>
  <c r="F54" i="122"/>
  <c r="F55" i="122"/>
  <c r="F53" i="122"/>
  <c r="E53" i="122"/>
  <c r="F87" i="134"/>
  <c r="E84" i="134"/>
  <c r="E77" i="134"/>
  <c r="F80" i="134"/>
  <c r="E80" i="134"/>
  <c r="S26" i="119"/>
  <c r="E43" i="134"/>
  <c r="F46" i="134"/>
  <c r="E40" i="122"/>
  <c r="F43" i="122"/>
  <c r="E78" i="122"/>
  <c r="F36" i="122"/>
  <c r="E33" i="122"/>
  <c r="F44" i="122"/>
  <c r="E41" i="122"/>
  <c r="E35" i="133"/>
  <c r="F35" i="134"/>
  <c r="E32" i="134"/>
  <c r="E32" i="122"/>
  <c r="F35" i="122"/>
  <c r="F67" i="134"/>
  <c r="E64" i="134"/>
  <c r="E80" i="122"/>
  <c r="O32" i="103"/>
  <c r="O14" i="141"/>
  <c r="O8" i="141"/>
  <c r="N32" i="103"/>
  <c r="N14" i="141"/>
  <c r="N8" i="141"/>
  <c r="N7" i="141"/>
  <c r="N31" i="103"/>
  <c r="N13" i="141"/>
  <c r="J14" i="141"/>
  <c r="J8" i="141"/>
  <c r="K8" i="141"/>
  <c r="J31" i="103"/>
  <c r="J32" i="103"/>
  <c r="K32" i="103"/>
  <c r="N40" i="103"/>
  <c r="N28" i="103"/>
  <c r="O40" i="103"/>
  <c r="O28" i="103"/>
  <c r="J40" i="103"/>
  <c r="K40" i="103"/>
  <c r="K28" i="103"/>
  <c r="J28" i="103"/>
  <c r="O14" i="120"/>
  <c r="O8" i="120"/>
  <c r="J41" i="134"/>
  <c r="K20" i="120"/>
  <c r="K21" i="120" s="1"/>
  <c r="K8" i="120"/>
  <c r="K14" i="120"/>
  <c r="O20" i="120"/>
  <c r="O19" i="120"/>
  <c r="N20" i="120"/>
  <c r="N8" i="120"/>
  <c r="N14" i="120"/>
  <c r="J14" i="120"/>
  <c r="J20" i="120"/>
  <c r="J8" i="120"/>
  <c r="N19" i="120"/>
  <c r="N7" i="120"/>
  <c r="N11" i="120" s="1"/>
  <c r="N13" i="120"/>
  <c r="N17" i="120" s="1"/>
  <c r="J38" i="134"/>
  <c r="J63" i="122"/>
  <c r="J108" i="122"/>
  <c r="J32" i="134"/>
  <c r="J47" i="122"/>
  <c r="J44" i="133"/>
  <c r="J38" i="122"/>
  <c r="J32" i="122"/>
  <c r="J40" i="133"/>
  <c r="O44" i="103"/>
  <c r="N44" i="103"/>
  <c r="K44" i="103"/>
  <c r="J44" i="103"/>
  <c r="J41" i="122"/>
  <c r="J98" i="122"/>
  <c r="J40" i="134"/>
  <c r="J37" i="134"/>
  <c r="J46" i="122"/>
  <c r="J44" i="134"/>
  <c r="J31" i="133"/>
  <c r="J34" i="134"/>
  <c r="J33" i="122"/>
  <c r="J34" i="122"/>
  <c r="J47" i="133"/>
  <c r="J59" i="122"/>
  <c r="J61" i="134"/>
  <c r="J97" i="122"/>
  <c r="J54" i="122"/>
  <c r="J56" i="122"/>
  <c r="J104" i="122"/>
  <c r="J43" i="133"/>
  <c r="J39" i="133"/>
  <c r="J46" i="133"/>
  <c r="J42" i="122"/>
  <c r="J103" i="122"/>
  <c r="J40" i="122"/>
  <c r="J55" i="122"/>
  <c r="J99" i="122"/>
  <c r="J54" i="134"/>
  <c r="J64" i="122"/>
  <c r="J63" i="134"/>
  <c r="J41" i="133"/>
  <c r="J105" i="122"/>
  <c r="J36" i="133"/>
  <c r="J44" i="122"/>
  <c r="J45" i="122"/>
  <c r="J33" i="133"/>
  <c r="J31" i="122"/>
  <c r="J106" i="122"/>
  <c r="J65" i="122"/>
  <c r="J37" i="133"/>
  <c r="J68" i="122"/>
  <c r="J45" i="133"/>
  <c r="J53" i="134"/>
  <c r="J58" i="122"/>
  <c r="J55" i="134"/>
  <c r="J34" i="133"/>
  <c r="J58" i="134"/>
  <c r="J36" i="134"/>
  <c r="J39" i="134"/>
  <c r="J68" i="134"/>
  <c r="J31" i="134"/>
  <c r="J100" i="122"/>
  <c r="J36" i="122"/>
  <c r="J61" i="122"/>
  <c r="J109" i="122"/>
  <c r="J111" i="122"/>
  <c r="J38" i="133"/>
  <c r="J69" i="134"/>
  <c r="J57" i="122"/>
  <c r="J32" i="133"/>
  <c r="J56" i="134"/>
  <c r="J107" i="122"/>
  <c r="J62" i="134"/>
  <c r="J42" i="133"/>
  <c r="J42" i="134"/>
  <c r="J102" i="122"/>
  <c r="J39" i="122"/>
  <c r="J57" i="134"/>
  <c r="J66" i="122"/>
  <c r="J113" i="122"/>
  <c r="J69" i="122"/>
  <c r="J37" i="122"/>
  <c r="J62" i="122"/>
  <c r="J110" i="122"/>
  <c r="J43" i="122"/>
  <c r="J64" i="134"/>
  <c r="J65" i="134"/>
  <c r="J67" i="134"/>
  <c r="J45" i="134"/>
  <c r="J46" i="134"/>
  <c r="J53" i="122"/>
  <c r="J66" i="134"/>
  <c r="J47" i="134"/>
  <c r="J101" i="122"/>
  <c r="J35" i="122"/>
  <c r="J33" i="134"/>
  <c r="J60" i="122"/>
  <c r="J35" i="133"/>
  <c r="J35" i="134"/>
  <c r="J59" i="134"/>
  <c r="J60" i="134"/>
  <c r="J112" i="122"/>
  <c r="J67" i="122"/>
  <c r="J43" i="134"/>
  <c r="N43" i="103"/>
  <c r="J43" i="103"/>
  <c r="O8" i="104"/>
  <c r="J16" i="104"/>
  <c r="J17" i="104" s="1"/>
  <c r="J14" i="104"/>
  <c r="J15" i="104" s="1"/>
  <c r="J8" i="104"/>
  <c r="J9" i="104" s="1"/>
  <c r="J10" i="104"/>
  <c r="J8" i="105"/>
  <c r="J9" i="105" s="1"/>
  <c r="K16" i="106"/>
  <c r="J8" i="106"/>
  <c r="J16" i="106"/>
  <c r="K10" i="106"/>
  <c r="K8" i="106"/>
  <c r="J10" i="106"/>
  <c r="K22" i="103"/>
  <c r="J22" i="103"/>
  <c r="O16" i="106"/>
  <c r="N16" i="106"/>
  <c r="O8" i="106"/>
  <c r="O22" i="103"/>
  <c r="N10" i="106"/>
  <c r="O10" i="106"/>
  <c r="N8" i="106"/>
  <c r="N22" i="103"/>
  <c r="J26" i="103"/>
  <c r="J14" i="103"/>
  <c r="J20" i="103"/>
  <c r="K38" i="103"/>
  <c r="J16" i="103"/>
  <c r="K26" i="103"/>
  <c r="K16" i="103"/>
  <c r="K20" i="103"/>
  <c r="K14" i="103"/>
  <c r="K8" i="105"/>
  <c r="K14" i="108"/>
  <c r="K8" i="104"/>
  <c r="K16" i="107"/>
  <c r="K14" i="104"/>
  <c r="J16" i="107"/>
  <c r="J22" i="107"/>
  <c r="J10" i="107"/>
  <c r="K14" i="106"/>
  <c r="K20" i="105"/>
  <c r="K8" i="108"/>
  <c r="J14" i="107"/>
  <c r="J14" i="105"/>
  <c r="J15" i="105" s="1"/>
  <c r="J8" i="107"/>
  <c r="K22" i="107"/>
  <c r="K22" i="105"/>
  <c r="K10" i="107"/>
  <c r="J14" i="106"/>
  <c r="K8" i="107"/>
  <c r="K16" i="104"/>
  <c r="K10" i="105"/>
  <c r="J14" i="108"/>
  <c r="J15" i="108" s="1"/>
  <c r="K14" i="107"/>
  <c r="K14" i="105"/>
  <c r="K10" i="104"/>
  <c r="J22" i="105"/>
  <c r="Q19" i="105" s="1"/>
  <c r="J20" i="107"/>
  <c r="J20" i="105"/>
  <c r="K20" i="107"/>
  <c r="J16" i="105"/>
  <c r="J10" i="105"/>
  <c r="K16" i="105"/>
  <c r="N16" i="107"/>
  <c r="O14" i="105"/>
  <c r="O16" i="107"/>
  <c r="O8" i="105"/>
  <c r="G8" i="104"/>
  <c r="G16" i="104"/>
  <c r="G14" i="104"/>
  <c r="G10" i="104"/>
  <c r="N13" i="103"/>
  <c r="N7" i="108"/>
  <c r="N7" i="104"/>
  <c r="N13" i="108"/>
  <c r="N13" i="106"/>
  <c r="N7" i="107"/>
  <c r="N13" i="104"/>
  <c r="N7" i="105"/>
  <c r="N13" i="107"/>
  <c r="N19" i="105"/>
  <c r="N19" i="107"/>
  <c r="N13" i="105"/>
  <c r="O8" i="108"/>
  <c r="O22" i="107"/>
  <c r="N8" i="107"/>
  <c r="N10" i="107"/>
  <c r="O20" i="107"/>
  <c r="N14" i="107"/>
  <c r="O14" i="107"/>
  <c r="N22" i="107"/>
  <c r="O8" i="107"/>
  <c r="N8" i="104"/>
  <c r="O14" i="108"/>
  <c r="N14" i="108"/>
  <c r="O10" i="107"/>
  <c r="N10" i="104"/>
  <c r="O14" i="106"/>
  <c r="N14" i="106"/>
  <c r="N20" i="107"/>
  <c r="O22" i="105"/>
  <c r="O16" i="105"/>
  <c r="N20" i="105"/>
  <c r="O10" i="105"/>
  <c r="O16" i="104"/>
  <c r="N22" i="105"/>
  <c r="N16" i="104"/>
  <c r="N10" i="105"/>
  <c r="N16" i="105"/>
  <c r="O10" i="104"/>
  <c r="N8" i="105"/>
  <c r="O14" i="104"/>
  <c r="N14" i="104"/>
  <c r="O20" i="105"/>
  <c r="J37" i="103"/>
  <c r="J13" i="103"/>
  <c r="O38" i="103"/>
  <c r="O26" i="103"/>
  <c r="N26" i="103"/>
  <c r="O20" i="103"/>
  <c r="N20" i="103"/>
  <c r="N16" i="103"/>
  <c r="N37" i="103"/>
  <c r="N19" i="103"/>
  <c r="O16" i="103"/>
  <c r="O14" i="103"/>
  <c r="Q56" i="109"/>
  <c r="Q55" i="109"/>
  <c r="Q54" i="109"/>
  <c r="Q53" i="109"/>
  <c r="Q52" i="109"/>
  <c r="Q51" i="109"/>
  <c r="Q50" i="109"/>
  <c r="Q49" i="109"/>
  <c r="Q48" i="109"/>
  <c r="Q47" i="109"/>
  <c r="Q46" i="109"/>
  <c r="Q45" i="109"/>
  <c r="Q44" i="109"/>
  <c r="Q43" i="109"/>
  <c r="Q42" i="109"/>
  <c r="Q41" i="109"/>
  <c r="Q40" i="109"/>
  <c r="Q39" i="109"/>
  <c r="Q38" i="109"/>
  <c r="Q37" i="109"/>
  <c r="Q36" i="109"/>
  <c r="Q35" i="109"/>
  <c r="Q34" i="109"/>
  <c r="Q33" i="109"/>
  <c r="Q32" i="109"/>
  <c r="Q31" i="109"/>
  <c r="Q30" i="109"/>
  <c r="Q29" i="109"/>
  <c r="Q28" i="109"/>
  <c r="Q27" i="109"/>
  <c r="Q26" i="109"/>
  <c r="Q25" i="109"/>
  <c r="Q24" i="109"/>
  <c r="Q23" i="109"/>
  <c r="Q22" i="109"/>
  <c r="Q21" i="109"/>
  <c r="Q20" i="109"/>
  <c r="Q19" i="109"/>
  <c r="Q18" i="109"/>
  <c r="Q17" i="109"/>
  <c r="Q16" i="109"/>
  <c r="Q15" i="109"/>
  <c r="Q14" i="109"/>
  <c r="Q13" i="109"/>
  <c r="Q12" i="109"/>
  <c r="Q11" i="109"/>
  <c r="Q10" i="109"/>
  <c r="Q9" i="109"/>
  <c r="Q8" i="109"/>
  <c r="Q7" i="109"/>
  <c r="Q6" i="109"/>
  <c r="Q5" i="109"/>
  <c r="K56" i="109"/>
  <c r="K55" i="109"/>
  <c r="K54" i="109"/>
  <c r="K53" i="109"/>
  <c r="K52" i="109"/>
  <c r="K51" i="109"/>
  <c r="K50" i="109"/>
  <c r="K49" i="109"/>
  <c r="K48" i="109"/>
  <c r="K47" i="109"/>
  <c r="K46" i="109"/>
  <c r="K45" i="109"/>
  <c r="K44" i="109"/>
  <c r="K43" i="109"/>
  <c r="K42" i="109"/>
  <c r="K41" i="109"/>
  <c r="K40" i="109"/>
  <c r="K39" i="109"/>
  <c r="K38" i="109"/>
  <c r="K37" i="109"/>
  <c r="K36" i="109"/>
  <c r="K35" i="109"/>
  <c r="K34" i="109"/>
  <c r="K33" i="109"/>
  <c r="K32" i="109"/>
  <c r="K31" i="109"/>
  <c r="K30" i="109"/>
  <c r="K29" i="109"/>
  <c r="K28" i="109"/>
  <c r="K27" i="109"/>
  <c r="K26" i="109"/>
  <c r="K25" i="109"/>
  <c r="K24" i="109"/>
  <c r="K23" i="109"/>
  <c r="K22" i="109"/>
  <c r="K21" i="109"/>
  <c r="K20" i="109"/>
  <c r="K19" i="109"/>
  <c r="K18" i="109"/>
  <c r="K17" i="109"/>
  <c r="K16" i="109"/>
  <c r="K15" i="109"/>
  <c r="K14" i="109"/>
  <c r="K13" i="109"/>
  <c r="K12" i="109"/>
  <c r="K11" i="109"/>
  <c r="K10" i="109"/>
  <c r="K9" i="109"/>
  <c r="K8" i="109"/>
  <c r="K7" i="109"/>
  <c r="K6" i="109"/>
  <c r="K5" i="109"/>
  <c r="U5" i="109"/>
  <c r="V56" i="109"/>
  <c r="U56" i="109"/>
  <c r="J68" i="115" s="1"/>
  <c r="K68" i="115" s="1"/>
  <c r="V55" i="109"/>
  <c r="U55" i="109"/>
  <c r="J67" i="115" s="1"/>
  <c r="K67" i="115" s="1"/>
  <c r="V54" i="109"/>
  <c r="U54" i="109"/>
  <c r="J66" i="115" s="1"/>
  <c r="K66" i="115" s="1"/>
  <c r="V53" i="109"/>
  <c r="U53" i="109"/>
  <c r="J65" i="115" s="1"/>
  <c r="K65" i="115" s="1"/>
  <c r="V52" i="109"/>
  <c r="U52" i="109"/>
  <c r="J64" i="115" s="1"/>
  <c r="V51" i="109"/>
  <c r="U51" i="109"/>
  <c r="J62" i="115" s="1"/>
  <c r="V50" i="109"/>
  <c r="U50" i="109"/>
  <c r="J61" i="115" s="1"/>
  <c r="V49" i="109"/>
  <c r="U49" i="109"/>
  <c r="J60" i="115" s="1"/>
  <c r="V48" i="109"/>
  <c r="U48" i="109"/>
  <c r="J59" i="115" s="1"/>
  <c r="V47" i="109"/>
  <c r="U47" i="109"/>
  <c r="J57" i="115" s="1"/>
  <c r="V46" i="109"/>
  <c r="U46" i="109"/>
  <c r="J56" i="115" s="1"/>
  <c r="V45" i="109"/>
  <c r="U45" i="109"/>
  <c r="J55" i="115" s="1"/>
  <c r="V44" i="109"/>
  <c r="U44" i="109"/>
  <c r="J54" i="115" s="1"/>
  <c r="V43" i="109"/>
  <c r="U43" i="109"/>
  <c r="J52" i="115" s="1"/>
  <c r="V42" i="109"/>
  <c r="U42" i="109"/>
  <c r="J51" i="115" s="1"/>
  <c r="V41" i="109"/>
  <c r="U41" i="109"/>
  <c r="J50" i="115" s="1"/>
  <c r="V40" i="109"/>
  <c r="U40" i="109"/>
  <c r="J49" i="115" s="1"/>
  <c r="V39" i="109"/>
  <c r="U39" i="109"/>
  <c r="J48" i="115" s="1"/>
  <c r="V38" i="109"/>
  <c r="U38" i="109"/>
  <c r="J46" i="115" s="1"/>
  <c r="V37" i="109"/>
  <c r="U37" i="109"/>
  <c r="J45" i="115" s="1"/>
  <c r="V36" i="109"/>
  <c r="U36" i="109"/>
  <c r="J44" i="115" s="1"/>
  <c r="V35" i="109"/>
  <c r="U35" i="109"/>
  <c r="J43" i="115" s="1"/>
  <c r="V34" i="109"/>
  <c r="U34" i="109"/>
  <c r="J41" i="115" s="1"/>
  <c r="V33" i="109"/>
  <c r="U33" i="109"/>
  <c r="J40" i="115" s="1"/>
  <c r="V32" i="109"/>
  <c r="U32" i="109"/>
  <c r="J39" i="115" s="1"/>
  <c r="V31" i="109"/>
  <c r="U31" i="109"/>
  <c r="J38" i="115" s="1"/>
  <c r="V30" i="109"/>
  <c r="U30" i="109"/>
  <c r="V29" i="109"/>
  <c r="U29" i="109"/>
  <c r="J35" i="115" s="1"/>
  <c r="V28" i="109"/>
  <c r="U28" i="109"/>
  <c r="J34" i="115" s="1"/>
  <c r="V27" i="109"/>
  <c r="U27" i="109"/>
  <c r="V26" i="109"/>
  <c r="U26" i="109"/>
  <c r="J32" i="115" s="1"/>
  <c r="V25" i="109"/>
  <c r="U25" i="109"/>
  <c r="J30" i="115" s="1"/>
  <c r="V24" i="109"/>
  <c r="U24" i="109"/>
  <c r="J29" i="115" s="1"/>
  <c r="V23" i="109"/>
  <c r="U23" i="109"/>
  <c r="J28" i="115" s="1"/>
  <c r="V22" i="109"/>
  <c r="U22" i="109"/>
  <c r="J27" i="115" s="1"/>
  <c r="V21" i="109"/>
  <c r="U21" i="109"/>
  <c r="J25" i="115" s="1"/>
  <c r="V20" i="109"/>
  <c r="U20" i="109"/>
  <c r="J24" i="115" s="1"/>
  <c r="V19" i="109"/>
  <c r="U19" i="109"/>
  <c r="J23" i="115" s="1"/>
  <c r="V18" i="109"/>
  <c r="U18" i="109"/>
  <c r="J22" i="115" s="1"/>
  <c r="V17" i="109"/>
  <c r="U17" i="109"/>
  <c r="J20" i="115" s="1"/>
  <c r="V16" i="109"/>
  <c r="U16" i="109"/>
  <c r="J19" i="115" s="1"/>
  <c r="V15" i="109"/>
  <c r="U15" i="109"/>
  <c r="J18" i="115" s="1"/>
  <c r="V14" i="109"/>
  <c r="U14" i="109"/>
  <c r="J17" i="115" s="1"/>
  <c r="V13" i="109"/>
  <c r="U13" i="109"/>
  <c r="J16" i="115" s="1"/>
  <c r="V12" i="109"/>
  <c r="U12" i="109"/>
  <c r="J14" i="115" s="1"/>
  <c r="V11" i="109"/>
  <c r="U11" i="109"/>
  <c r="J13" i="115" s="1"/>
  <c r="V10" i="109"/>
  <c r="U10" i="109"/>
  <c r="J12" i="115" s="1"/>
  <c r="V9" i="109"/>
  <c r="U9" i="109"/>
  <c r="J11" i="115" s="1"/>
  <c r="V8" i="109"/>
  <c r="U8" i="109"/>
  <c r="J9" i="115" s="1"/>
  <c r="V7" i="109"/>
  <c r="U7" i="109"/>
  <c r="J8" i="115" s="1"/>
  <c r="V6" i="109"/>
  <c r="U6" i="109"/>
  <c r="J7" i="115" s="1"/>
  <c r="V5" i="109"/>
  <c r="S56" i="109"/>
  <c r="S55" i="109"/>
  <c r="S54" i="109"/>
  <c r="S53" i="109"/>
  <c r="S52" i="109"/>
  <c r="S51" i="109"/>
  <c r="S50" i="109"/>
  <c r="S49" i="109"/>
  <c r="S48" i="109"/>
  <c r="S47" i="109"/>
  <c r="S46" i="109"/>
  <c r="I25" i="122" s="1"/>
  <c r="S45" i="109"/>
  <c r="S44" i="109"/>
  <c r="S43" i="109"/>
  <c r="S42" i="109"/>
  <c r="S41" i="109"/>
  <c r="S40" i="109"/>
  <c r="S39" i="109"/>
  <c r="S38" i="109"/>
  <c r="S37" i="109"/>
  <c r="S36" i="109"/>
  <c r="S35" i="109"/>
  <c r="S34" i="109"/>
  <c r="S33" i="109"/>
  <c r="S32" i="109"/>
  <c r="S31" i="109"/>
  <c r="S30" i="109"/>
  <c r="S29" i="109"/>
  <c r="S28" i="109"/>
  <c r="S27" i="109"/>
  <c r="S26" i="109"/>
  <c r="K8" i="103" s="1"/>
  <c r="S25" i="109"/>
  <c r="S24" i="109"/>
  <c r="S23" i="109"/>
  <c r="S22" i="109"/>
  <c r="S21" i="109"/>
  <c r="S20" i="109"/>
  <c r="S19" i="109"/>
  <c r="S18" i="109"/>
  <c r="S17" i="109"/>
  <c r="S16" i="109"/>
  <c r="S15" i="109"/>
  <c r="S14" i="109"/>
  <c r="S13" i="109"/>
  <c r="S12" i="109"/>
  <c r="S11" i="109"/>
  <c r="S10" i="109"/>
  <c r="S9" i="109"/>
  <c r="S8" i="109"/>
  <c r="S7" i="109"/>
  <c r="S6" i="109"/>
  <c r="S5" i="109"/>
  <c r="G69" i="134" l="1"/>
  <c r="G67" i="122"/>
  <c r="N11" i="108"/>
  <c r="P16" i="108"/>
  <c r="G90" i="122"/>
  <c r="G47" i="133"/>
  <c r="G45" i="134"/>
  <c r="G56" i="134"/>
  <c r="G91" i="122"/>
  <c r="G77" i="134"/>
  <c r="G54" i="122"/>
  <c r="G36" i="122"/>
  <c r="G35" i="122"/>
  <c r="G47" i="134"/>
  <c r="G45" i="133"/>
  <c r="G91" i="134"/>
  <c r="G89" i="134"/>
  <c r="G68" i="122"/>
  <c r="G54" i="134"/>
  <c r="G111" i="122"/>
  <c r="G102" i="122"/>
  <c r="P10" i="108"/>
  <c r="L16" i="108"/>
  <c r="J17" i="108"/>
  <c r="G36" i="133"/>
  <c r="G87" i="122"/>
  <c r="G46" i="122"/>
  <c r="G35" i="134"/>
  <c r="G37" i="133"/>
  <c r="G44" i="122"/>
  <c r="G32" i="133"/>
  <c r="G46" i="134"/>
  <c r="G47" i="122"/>
  <c r="G90" i="134"/>
  <c r="G80" i="134"/>
  <c r="G87" i="134"/>
  <c r="G76" i="122"/>
  <c r="G100" i="122"/>
  <c r="G55" i="122"/>
  <c r="G68" i="134"/>
  <c r="G53" i="134"/>
  <c r="G67" i="134"/>
  <c r="G55" i="134"/>
  <c r="G69" i="122"/>
  <c r="L10" i="108"/>
  <c r="J11" i="108"/>
  <c r="G79" i="122"/>
  <c r="G33" i="122"/>
  <c r="G65" i="122"/>
  <c r="G34" i="122"/>
  <c r="G98" i="122"/>
  <c r="G78" i="134"/>
  <c r="G43" i="134"/>
  <c r="G43" i="122"/>
  <c r="G81" i="134"/>
  <c r="G32" i="134"/>
  <c r="G53" i="122"/>
  <c r="G31" i="133"/>
  <c r="G75" i="122"/>
  <c r="G89" i="122"/>
  <c r="G33" i="133"/>
  <c r="G44" i="134"/>
  <c r="G86" i="122"/>
  <c r="G31" i="134"/>
  <c r="G42" i="122"/>
  <c r="G80" i="122"/>
  <c r="G88" i="122"/>
  <c r="G35" i="133"/>
  <c r="G37" i="134"/>
  <c r="G44" i="133"/>
  <c r="G34" i="133"/>
  <c r="G64" i="122"/>
  <c r="G79" i="134"/>
  <c r="G97" i="122"/>
  <c r="G66" i="134"/>
  <c r="G78" i="122"/>
  <c r="G108" i="122"/>
  <c r="G112" i="122"/>
  <c r="G32" i="122"/>
  <c r="G77" i="122"/>
  <c r="G99" i="122"/>
  <c r="G88" i="134"/>
  <c r="G33" i="134"/>
  <c r="G46" i="133"/>
  <c r="G113" i="122"/>
  <c r="G75" i="134"/>
  <c r="G66" i="122"/>
  <c r="G101" i="122"/>
  <c r="K50" i="103"/>
  <c r="G110" i="122"/>
  <c r="G31" i="122"/>
  <c r="G45" i="122"/>
  <c r="G76" i="134"/>
  <c r="G65" i="134"/>
  <c r="G36" i="134"/>
  <c r="G109" i="122"/>
  <c r="G34" i="134"/>
  <c r="G43" i="133"/>
  <c r="O20" i="141"/>
  <c r="P20" i="120"/>
  <c r="N11" i="141"/>
  <c r="N9" i="141"/>
  <c r="N19" i="141"/>
  <c r="N17" i="141"/>
  <c r="P19" i="120"/>
  <c r="N20" i="141"/>
  <c r="P8" i="141"/>
  <c r="N15" i="141"/>
  <c r="P14" i="141"/>
  <c r="J35" i="103"/>
  <c r="K20" i="141"/>
  <c r="L8" i="141"/>
  <c r="J20" i="141"/>
  <c r="J9" i="141"/>
  <c r="L14" i="141"/>
  <c r="J15" i="141"/>
  <c r="O21" i="120"/>
  <c r="O23" i="120"/>
  <c r="L40" i="103"/>
  <c r="P40" i="103"/>
  <c r="J21" i="120"/>
  <c r="L20" i="120"/>
  <c r="L21" i="120" s="1"/>
  <c r="N21" i="120"/>
  <c r="N23" i="120"/>
  <c r="G8" i="103"/>
  <c r="G50" i="103" s="1"/>
  <c r="L44" i="103"/>
  <c r="I18" i="133"/>
  <c r="I17" i="122"/>
  <c r="I18" i="134"/>
  <c r="I12" i="134"/>
  <c r="I12" i="133"/>
  <c r="I11" i="122"/>
  <c r="I24" i="133"/>
  <c r="I24" i="134"/>
  <c r="I23" i="122"/>
  <c r="I13" i="133"/>
  <c r="I12" i="122"/>
  <c r="I13" i="134"/>
  <c r="I25" i="134"/>
  <c r="I25" i="133"/>
  <c r="I24" i="122"/>
  <c r="G10" i="103"/>
  <c r="G52" i="103" s="1"/>
  <c r="I13" i="122"/>
  <c r="I14" i="134"/>
  <c r="I14" i="133"/>
  <c r="I15" i="134"/>
  <c r="I14" i="122"/>
  <c r="I15" i="133"/>
  <c r="I20" i="134"/>
  <c r="I20" i="133"/>
  <c r="I19" i="122"/>
  <c r="I16" i="134"/>
  <c r="I16" i="133"/>
  <c r="I15" i="122"/>
  <c r="I18" i="122"/>
  <c r="I19" i="134"/>
  <c r="I19" i="133"/>
  <c r="I17" i="134"/>
  <c r="I16" i="122"/>
  <c r="I17" i="133"/>
  <c r="I9" i="133"/>
  <c r="I9" i="134"/>
  <c r="I21" i="134"/>
  <c r="I20" i="122"/>
  <c r="I21" i="133"/>
  <c r="I10" i="134"/>
  <c r="I9" i="122"/>
  <c r="I10" i="133"/>
  <c r="I22" i="133"/>
  <c r="I22" i="134"/>
  <c r="I21" i="122"/>
  <c r="I11" i="133"/>
  <c r="I11" i="134"/>
  <c r="I10" i="122"/>
  <c r="I22" i="122"/>
  <c r="I23" i="133"/>
  <c r="I23" i="134"/>
  <c r="J45" i="103"/>
  <c r="J47" i="103"/>
  <c r="N45" i="103"/>
  <c r="K28" i="105"/>
  <c r="L20" i="103"/>
  <c r="P14" i="120"/>
  <c r="P44" i="103"/>
  <c r="P8" i="120"/>
  <c r="O28" i="120"/>
  <c r="N28" i="120"/>
  <c r="L8" i="120"/>
  <c r="J9" i="120"/>
  <c r="K28" i="120"/>
  <c r="L14" i="120"/>
  <c r="J15" i="120"/>
  <c r="J28" i="120"/>
  <c r="K26" i="120"/>
  <c r="N26" i="120"/>
  <c r="N15" i="120"/>
  <c r="N9" i="120"/>
  <c r="J26" i="120"/>
  <c r="O26" i="120"/>
  <c r="N25" i="120"/>
  <c r="O22" i="104"/>
  <c r="N47" i="103"/>
  <c r="P28" i="103"/>
  <c r="P16" i="106"/>
  <c r="J20" i="104"/>
  <c r="J21" i="104" s="1"/>
  <c r="J11" i="104"/>
  <c r="J22" i="104"/>
  <c r="J23" i="104" s="1"/>
  <c r="L28" i="103"/>
  <c r="J31" i="115"/>
  <c r="K27" i="115"/>
  <c r="J34" i="106"/>
  <c r="L10" i="106"/>
  <c r="J26" i="115"/>
  <c r="F10" i="103"/>
  <c r="F52" i="103" s="1"/>
  <c r="J36" i="115"/>
  <c r="J63" i="115"/>
  <c r="O34" i="106"/>
  <c r="P10" i="106"/>
  <c r="N34" i="106"/>
  <c r="K34" i="106"/>
  <c r="J15" i="115"/>
  <c r="J10" i="103"/>
  <c r="J52" i="103" s="1"/>
  <c r="J33" i="115"/>
  <c r="N10" i="103"/>
  <c r="N52" i="103" s="1"/>
  <c r="J6" i="115"/>
  <c r="J69" i="115"/>
  <c r="K69" i="115" s="1"/>
  <c r="K64" i="115"/>
  <c r="J47" i="115"/>
  <c r="J21" i="115"/>
  <c r="J42" i="115"/>
  <c r="L16" i="106"/>
  <c r="J53" i="115"/>
  <c r="K10" i="103"/>
  <c r="K52" i="103" s="1"/>
  <c r="J58" i="115"/>
  <c r="N17" i="106"/>
  <c r="O10" i="103"/>
  <c r="O52" i="103" s="1"/>
  <c r="N11" i="104"/>
  <c r="N15" i="108"/>
  <c r="N17" i="108"/>
  <c r="N41" i="103"/>
  <c r="J41" i="103"/>
  <c r="N22" i="104"/>
  <c r="G22" i="104"/>
  <c r="K22" i="104"/>
  <c r="N17" i="104"/>
  <c r="N15" i="104"/>
  <c r="H14" i="104"/>
  <c r="L16" i="104"/>
  <c r="L14" i="104"/>
  <c r="Q15" i="104" s="1"/>
  <c r="H16" i="104"/>
  <c r="N9" i="104"/>
  <c r="J21" i="103"/>
  <c r="J23" i="103"/>
  <c r="N21" i="103"/>
  <c r="N23" i="103"/>
  <c r="P20" i="103"/>
  <c r="N17" i="107"/>
  <c r="S7" i="105"/>
  <c r="S8" i="105" s="1"/>
  <c r="L8" i="105"/>
  <c r="P16" i="103"/>
  <c r="J15" i="103"/>
  <c r="J17" i="103"/>
  <c r="N17" i="103"/>
  <c r="K28" i="107"/>
  <c r="N21" i="105"/>
  <c r="N23" i="105"/>
  <c r="L20" i="105"/>
  <c r="J21" i="105"/>
  <c r="L22" i="107"/>
  <c r="J23" i="107"/>
  <c r="L20" i="107"/>
  <c r="J21" i="107"/>
  <c r="J26" i="107"/>
  <c r="J27" i="107" s="1"/>
  <c r="J17" i="107"/>
  <c r="L16" i="107"/>
  <c r="L10" i="104"/>
  <c r="L8" i="107"/>
  <c r="J9" i="107"/>
  <c r="L14" i="105"/>
  <c r="L14" i="108"/>
  <c r="J32" i="106"/>
  <c r="L8" i="106"/>
  <c r="H10" i="104"/>
  <c r="J11" i="105"/>
  <c r="L10" i="105"/>
  <c r="J28" i="105"/>
  <c r="N15" i="106"/>
  <c r="J17" i="105"/>
  <c r="L16" i="105"/>
  <c r="K32" i="106"/>
  <c r="J23" i="105"/>
  <c r="L22" i="105"/>
  <c r="P16" i="107"/>
  <c r="J26" i="105"/>
  <c r="J27" i="105" s="1"/>
  <c r="K20" i="104"/>
  <c r="L8" i="104"/>
  <c r="L14" i="107"/>
  <c r="J15" i="107"/>
  <c r="K26" i="105"/>
  <c r="K20" i="108"/>
  <c r="H8" i="104"/>
  <c r="G20" i="104"/>
  <c r="K26" i="107"/>
  <c r="L14" i="106"/>
  <c r="J28" i="107"/>
  <c r="J29" i="107" s="1"/>
  <c r="J11" i="107"/>
  <c r="L10" i="107"/>
  <c r="P14" i="106"/>
  <c r="N23" i="107"/>
  <c r="N21" i="107"/>
  <c r="N15" i="107"/>
  <c r="N11" i="107"/>
  <c r="N9" i="107"/>
  <c r="N17" i="105"/>
  <c r="N11" i="105"/>
  <c r="N9" i="105"/>
  <c r="L26" i="103"/>
  <c r="P14" i="108"/>
  <c r="P22" i="103"/>
  <c r="L16" i="103"/>
  <c r="P14" i="104"/>
  <c r="L14" i="103"/>
  <c r="O26" i="107"/>
  <c r="P16" i="104"/>
  <c r="P26" i="103"/>
  <c r="L22" i="103"/>
  <c r="P22" i="107"/>
  <c r="P22" i="105"/>
  <c r="O28" i="107"/>
  <c r="P8" i="106"/>
  <c r="N32" i="106"/>
  <c r="N28" i="105"/>
  <c r="P10" i="105"/>
  <c r="N26" i="107"/>
  <c r="P20" i="107"/>
  <c r="N25" i="105"/>
  <c r="P14" i="107"/>
  <c r="N25" i="107"/>
  <c r="P10" i="104"/>
  <c r="N28" i="107"/>
  <c r="P10" i="107"/>
  <c r="P8" i="105"/>
  <c r="P20" i="105"/>
  <c r="P8" i="107"/>
  <c r="N19" i="108"/>
  <c r="O28" i="105"/>
  <c r="O32" i="106"/>
  <c r="O26" i="105"/>
  <c r="O20" i="104"/>
  <c r="O20" i="108"/>
  <c r="P16" i="105"/>
  <c r="N20" i="104"/>
  <c r="P8" i="104"/>
  <c r="N19" i="104"/>
  <c r="O8" i="103"/>
  <c r="O50" i="103" s="1"/>
  <c r="W10" i="109"/>
  <c r="W16" i="109"/>
  <c r="W22" i="109"/>
  <c r="W28" i="109"/>
  <c r="W34" i="109"/>
  <c r="W40" i="109"/>
  <c r="W46" i="109"/>
  <c r="W52" i="109"/>
  <c r="W25" i="109"/>
  <c r="W37" i="109"/>
  <c r="W49" i="109"/>
  <c r="W17" i="109"/>
  <c r="W29" i="109"/>
  <c r="W41" i="109"/>
  <c r="W53" i="109"/>
  <c r="W19" i="109"/>
  <c r="W5" i="109"/>
  <c r="W13" i="109"/>
  <c r="W15" i="109"/>
  <c r="W27" i="109"/>
  <c r="W39" i="109"/>
  <c r="W51" i="109"/>
  <c r="W11" i="109"/>
  <c r="W23" i="109"/>
  <c r="W35" i="109"/>
  <c r="W47" i="109"/>
  <c r="W6" i="109"/>
  <c r="W12" i="109"/>
  <c r="W18" i="109"/>
  <c r="W24" i="109"/>
  <c r="W30" i="109"/>
  <c r="W36" i="109"/>
  <c r="W42" i="109"/>
  <c r="W48" i="109"/>
  <c r="W54" i="109"/>
  <c r="W31" i="109"/>
  <c r="W43" i="109"/>
  <c r="W55" i="109"/>
  <c r="W7" i="109"/>
  <c r="W8" i="109"/>
  <c r="W14" i="109"/>
  <c r="W20" i="109"/>
  <c r="W26" i="109"/>
  <c r="W32" i="109"/>
  <c r="W38" i="109"/>
  <c r="W44" i="109"/>
  <c r="W50" i="109"/>
  <c r="W56" i="109"/>
  <c r="W9" i="109"/>
  <c r="W21" i="109"/>
  <c r="W33" i="109"/>
  <c r="W45" i="109"/>
  <c r="P28" i="120" l="1"/>
  <c r="N29" i="120"/>
  <c r="L28" i="120"/>
  <c r="J29" i="120"/>
  <c r="P20" i="141"/>
  <c r="J21" i="141"/>
  <c r="L20" i="141"/>
  <c r="Q15" i="141"/>
  <c r="Q9" i="141"/>
  <c r="N23" i="141"/>
  <c r="N21" i="141"/>
  <c r="P32" i="103"/>
  <c r="P21" i="120"/>
  <c r="P23" i="120"/>
  <c r="P26" i="120"/>
  <c r="P22" i="104"/>
  <c r="L26" i="120"/>
  <c r="J27" i="120"/>
  <c r="N27" i="120"/>
  <c r="J29" i="105"/>
  <c r="L28" i="105"/>
  <c r="L10" i="103"/>
  <c r="L52" i="103"/>
  <c r="P10" i="103"/>
  <c r="P34" i="106"/>
  <c r="J37" i="115"/>
  <c r="J10" i="115"/>
  <c r="H10" i="103"/>
  <c r="H52" i="103"/>
  <c r="L34" i="106"/>
  <c r="N23" i="108"/>
  <c r="N27" i="107"/>
  <c r="N29" i="107"/>
  <c r="N21" i="104"/>
  <c r="N23" i="104"/>
  <c r="L22" i="104"/>
  <c r="H22" i="104"/>
  <c r="N29" i="105"/>
  <c r="L20" i="104"/>
  <c r="H20" i="104"/>
  <c r="Q9" i="104"/>
  <c r="L28" i="107"/>
  <c r="Q9" i="105"/>
  <c r="L32" i="106"/>
  <c r="L26" i="105"/>
  <c r="P52" i="103"/>
  <c r="L26" i="107"/>
  <c r="P26" i="107"/>
  <c r="P32" i="106"/>
  <c r="P28" i="107"/>
  <c r="P20" i="104"/>
  <c r="P28" i="105"/>
  <c r="H56" i="109"/>
  <c r="H55" i="109"/>
  <c r="H54" i="109"/>
  <c r="H53" i="109"/>
  <c r="H52" i="109"/>
  <c r="H51" i="109"/>
  <c r="H50" i="109"/>
  <c r="H49" i="109"/>
  <c r="H48" i="109"/>
  <c r="H47" i="109"/>
  <c r="H46" i="109"/>
  <c r="H45" i="109"/>
  <c r="H44" i="109"/>
  <c r="H43" i="109"/>
  <c r="H42" i="109"/>
  <c r="H41" i="109"/>
  <c r="H40" i="109"/>
  <c r="H39" i="109"/>
  <c r="H38" i="109"/>
  <c r="H37" i="109"/>
  <c r="H36" i="109"/>
  <c r="H35" i="109"/>
  <c r="H34" i="109"/>
  <c r="H33" i="109"/>
  <c r="H32" i="109"/>
  <c r="H31" i="109"/>
  <c r="H30" i="109"/>
  <c r="H29" i="109"/>
  <c r="H28" i="109"/>
  <c r="H27" i="109"/>
  <c r="H26" i="109"/>
  <c r="H25" i="109"/>
  <c r="H24" i="109"/>
  <c r="H23" i="109"/>
  <c r="H22" i="109"/>
  <c r="H21" i="109"/>
  <c r="H20" i="109"/>
  <c r="H19" i="109"/>
  <c r="H18" i="109"/>
  <c r="H17" i="109"/>
  <c r="H16" i="109"/>
  <c r="H15" i="109"/>
  <c r="H14" i="109"/>
  <c r="H13" i="109"/>
  <c r="H12" i="109"/>
  <c r="H11" i="109"/>
  <c r="H10" i="109"/>
  <c r="H9" i="109"/>
  <c r="H8" i="109"/>
  <c r="H7" i="109"/>
  <c r="H6" i="109"/>
  <c r="H5" i="109"/>
  <c r="F4" i="103"/>
  <c r="L56" i="110"/>
  <c r="M56" i="110" s="1"/>
  <c r="L55" i="110"/>
  <c r="M55" i="110" s="1"/>
  <c r="L54" i="110"/>
  <c r="M54" i="110" s="1"/>
  <c r="L53" i="110"/>
  <c r="M53" i="110" s="1"/>
  <c r="L52" i="110"/>
  <c r="M52" i="110" s="1"/>
  <c r="L51" i="110"/>
  <c r="K51" i="110"/>
  <c r="L50" i="110"/>
  <c r="K50" i="110"/>
  <c r="L49" i="110"/>
  <c r="K49" i="110"/>
  <c r="L48" i="110"/>
  <c r="K48" i="110"/>
  <c r="L47" i="110"/>
  <c r="K47" i="110"/>
  <c r="L46" i="110"/>
  <c r="K46" i="110"/>
  <c r="L45" i="110"/>
  <c r="K45" i="110"/>
  <c r="F54" i="115"/>
  <c r="L43" i="110"/>
  <c r="K43" i="110"/>
  <c r="L42" i="110"/>
  <c r="K42" i="110"/>
  <c r="L41" i="110"/>
  <c r="K41" i="110"/>
  <c r="L40" i="110"/>
  <c r="K40" i="110"/>
  <c r="L39" i="110"/>
  <c r="K39" i="110"/>
  <c r="K37" i="110"/>
  <c r="K36" i="110"/>
  <c r="L35" i="110"/>
  <c r="K35" i="110"/>
  <c r="L34" i="110"/>
  <c r="K34" i="110"/>
  <c r="L33" i="110"/>
  <c r="K33" i="110"/>
  <c r="L32" i="110"/>
  <c r="K32" i="110"/>
  <c r="L31" i="110"/>
  <c r="K31" i="110"/>
  <c r="K30" i="110"/>
  <c r="L29" i="110"/>
  <c r="K29" i="110"/>
  <c r="L28" i="110"/>
  <c r="K28" i="110"/>
  <c r="L27" i="110"/>
  <c r="K27" i="110"/>
  <c r="K26" i="110"/>
  <c r="L25" i="110"/>
  <c r="K25" i="110"/>
  <c r="L24" i="110"/>
  <c r="K24" i="110"/>
  <c r="L23" i="110"/>
  <c r="K23" i="110"/>
  <c r="L22" i="110"/>
  <c r="M22" i="110" s="1"/>
  <c r="L21" i="110"/>
  <c r="K21" i="110"/>
  <c r="L20" i="110"/>
  <c r="K20" i="110"/>
  <c r="L19" i="110"/>
  <c r="K19" i="110"/>
  <c r="L18" i="110"/>
  <c r="K18" i="110"/>
  <c r="L17" i="110"/>
  <c r="K17" i="110"/>
  <c r="L16" i="110"/>
  <c r="K16" i="110"/>
  <c r="L15" i="110"/>
  <c r="K15" i="110"/>
  <c r="L14" i="110"/>
  <c r="K14" i="110"/>
  <c r="L11" i="110"/>
  <c r="K11" i="110"/>
  <c r="L10" i="110"/>
  <c r="K10" i="110"/>
  <c r="L9" i="110"/>
  <c r="K9" i="110"/>
  <c r="L8" i="110"/>
  <c r="K8" i="110"/>
  <c r="L7" i="110"/>
  <c r="K7" i="110"/>
  <c r="L6" i="110"/>
  <c r="K6" i="110"/>
  <c r="L5" i="110"/>
  <c r="K5" i="110"/>
  <c r="N56" i="109"/>
  <c r="N55" i="109"/>
  <c r="N54" i="109"/>
  <c r="N53" i="109"/>
  <c r="N52" i="109"/>
  <c r="N51" i="109"/>
  <c r="N50" i="109"/>
  <c r="N49" i="109"/>
  <c r="N48" i="109"/>
  <c r="N47" i="109"/>
  <c r="N46" i="109"/>
  <c r="N45" i="109"/>
  <c r="N44" i="109"/>
  <c r="N43" i="109"/>
  <c r="N42" i="109"/>
  <c r="N41" i="109"/>
  <c r="N40" i="109"/>
  <c r="N39" i="109"/>
  <c r="N38" i="109"/>
  <c r="N37" i="109"/>
  <c r="N36" i="109"/>
  <c r="N35" i="109"/>
  <c r="N34" i="109"/>
  <c r="N33" i="109"/>
  <c r="N32" i="109"/>
  <c r="N31" i="109"/>
  <c r="N30" i="109"/>
  <c r="N29" i="109"/>
  <c r="N28" i="109"/>
  <c r="N27" i="109"/>
  <c r="N26" i="109"/>
  <c r="N25" i="109"/>
  <c r="N24" i="109"/>
  <c r="N23" i="109"/>
  <c r="N22" i="109"/>
  <c r="N21" i="109"/>
  <c r="N20" i="109"/>
  <c r="N19" i="109"/>
  <c r="N18" i="109"/>
  <c r="N17" i="109"/>
  <c r="N16" i="109"/>
  <c r="N15" i="109"/>
  <c r="N14" i="109"/>
  <c r="N13" i="109"/>
  <c r="N12" i="109"/>
  <c r="N11" i="109"/>
  <c r="N10" i="109"/>
  <c r="N9" i="109"/>
  <c r="N8" i="109"/>
  <c r="N7" i="109"/>
  <c r="N6" i="109"/>
  <c r="N5" i="109"/>
  <c r="R56" i="109"/>
  <c r="R55" i="109"/>
  <c r="R54" i="109"/>
  <c r="R53" i="109"/>
  <c r="R52" i="109"/>
  <c r="R51" i="109"/>
  <c r="R50" i="109"/>
  <c r="R49" i="109"/>
  <c r="R48" i="109"/>
  <c r="R47" i="109"/>
  <c r="R46" i="109"/>
  <c r="H25" i="122" s="1"/>
  <c r="J25" i="122" s="1"/>
  <c r="R45" i="109"/>
  <c r="R44" i="109"/>
  <c r="R43" i="109"/>
  <c r="R42" i="109"/>
  <c r="R41" i="109"/>
  <c r="R40" i="109"/>
  <c r="R39" i="109"/>
  <c r="R38" i="109"/>
  <c r="R37" i="109"/>
  <c r="R36" i="109"/>
  <c r="R35" i="109"/>
  <c r="R34" i="109"/>
  <c r="R33" i="109"/>
  <c r="R32" i="109"/>
  <c r="R31" i="109"/>
  <c r="R30" i="109"/>
  <c r="R29" i="109"/>
  <c r="R28" i="109"/>
  <c r="R27" i="109"/>
  <c r="R26" i="109"/>
  <c r="G32" i="115" s="1"/>
  <c r="R25" i="109"/>
  <c r="R24" i="109"/>
  <c r="R23" i="109"/>
  <c r="R22" i="109"/>
  <c r="R21" i="109"/>
  <c r="R20" i="109"/>
  <c r="R19" i="109"/>
  <c r="R18" i="109"/>
  <c r="R17" i="109"/>
  <c r="G20" i="115" s="1"/>
  <c r="R16" i="109"/>
  <c r="R15" i="109"/>
  <c r="R14" i="109"/>
  <c r="R13" i="109"/>
  <c r="G16" i="115" s="1"/>
  <c r="R12" i="109"/>
  <c r="R11" i="109"/>
  <c r="R10" i="109"/>
  <c r="R9" i="109"/>
  <c r="R8" i="109"/>
  <c r="R7" i="109"/>
  <c r="R6" i="109"/>
  <c r="R5" i="109"/>
  <c r="M8" i="110" l="1"/>
  <c r="M35" i="110"/>
  <c r="M41" i="110"/>
  <c r="M9" i="110"/>
  <c r="M17" i="110"/>
  <c r="M30" i="110"/>
  <c r="M42" i="110"/>
  <c r="M45" i="110"/>
  <c r="M51" i="110"/>
  <c r="M50" i="110"/>
  <c r="M47" i="110"/>
  <c r="M6" i="110"/>
  <c r="M33" i="110"/>
  <c r="M39" i="110"/>
  <c r="M23" i="110"/>
  <c r="M48" i="110"/>
  <c r="M27" i="110"/>
  <c r="M29" i="110"/>
  <c r="M24" i="110"/>
  <c r="M5" i="110"/>
  <c r="M11" i="110"/>
  <c r="M19" i="110"/>
  <c r="M26" i="110"/>
  <c r="M32" i="110"/>
  <c r="M7" i="110"/>
  <c r="M21" i="110"/>
  <c r="M46" i="110"/>
  <c r="M28" i="110"/>
  <c r="M34" i="110"/>
  <c r="M40" i="110"/>
  <c r="M10" i="110"/>
  <c r="M49" i="110"/>
  <c r="M25" i="110"/>
  <c r="M31" i="110"/>
  <c r="M43" i="110"/>
  <c r="M20" i="110"/>
  <c r="M18" i="110"/>
  <c r="M15" i="110"/>
  <c r="M14" i="110"/>
  <c r="Q21" i="141"/>
  <c r="N35" i="103"/>
  <c r="N33" i="103"/>
  <c r="L32" i="103"/>
  <c r="J33" i="103"/>
  <c r="M16" i="110"/>
  <c r="C10" i="133"/>
  <c r="C10" i="134"/>
  <c r="F36" i="115"/>
  <c r="K36" i="115" s="1"/>
  <c r="C9" i="122"/>
  <c r="F29" i="115"/>
  <c r="K29" i="115" s="1"/>
  <c r="F34" i="115"/>
  <c r="K34" i="115" s="1"/>
  <c r="F39" i="115"/>
  <c r="K39" i="115" s="1"/>
  <c r="C12" i="134"/>
  <c r="C12" i="133"/>
  <c r="C11" i="122"/>
  <c r="F44" i="115"/>
  <c r="K44" i="115" s="1"/>
  <c r="C16" i="134"/>
  <c r="C16" i="133"/>
  <c r="C15" i="122"/>
  <c r="F49" i="115"/>
  <c r="K49" i="115" s="1"/>
  <c r="C20" i="134"/>
  <c r="C20" i="133"/>
  <c r="C19" i="122"/>
  <c r="F30" i="115"/>
  <c r="K30" i="115" s="1"/>
  <c r="C9" i="133"/>
  <c r="C9" i="134"/>
  <c r="F35" i="115"/>
  <c r="K35" i="115" s="1"/>
  <c r="C13" i="133"/>
  <c r="C13" i="134"/>
  <c r="C12" i="122"/>
  <c r="C17" i="133"/>
  <c r="C17" i="134"/>
  <c r="C16" i="122"/>
  <c r="C21" i="133"/>
  <c r="C21" i="134"/>
  <c r="C20" i="122"/>
  <c r="C25" i="133"/>
  <c r="C25" i="134"/>
  <c r="C24" i="122"/>
  <c r="F6" i="115"/>
  <c r="F11" i="115"/>
  <c r="F16" i="115"/>
  <c r="H16" i="115" s="1"/>
  <c r="F20" i="115"/>
  <c r="K20" i="115" s="1"/>
  <c r="F25" i="115"/>
  <c r="K25" i="115" s="1"/>
  <c r="D9" i="134"/>
  <c r="D9" i="133"/>
  <c r="D13" i="133"/>
  <c r="D13" i="134"/>
  <c r="D12" i="122"/>
  <c r="D21" i="134"/>
  <c r="D21" i="133"/>
  <c r="D20" i="122"/>
  <c r="D25" i="134"/>
  <c r="D25" i="133"/>
  <c r="D24" i="122"/>
  <c r="F9" i="115"/>
  <c r="K9" i="115" s="1"/>
  <c r="F14" i="115"/>
  <c r="K14" i="115" s="1"/>
  <c r="D12" i="133"/>
  <c r="D12" i="134"/>
  <c r="D11" i="122"/>
  <c r="F24" i="115"/>
  <c r="K24" i="115" s="1"/>
  <c r="F32" i="115"/>
  <c r="H32" i="115" s="1"/>
  <c r="F41" i="115"/>
  <c r="K41" i="115" s="1"/>
  <c r="C14" i="134"/>
  <c r="C14" i="133"/>
  <c r="C13" i="122"/>
  <c r="C25" i="122"/>
  <c r="D10" i="133"/>
  <c r="D10" i="134"/>
  <c r="D9" i="122"/>
  <c r="D14" i="134"/>
  <c r="D14" i="133"/>
  <c r="D13" i="122"/>
  <c r="D18" i="133"/>
  <c r="D18" i="134"/>
  <c r="D17" i="122"/>
  <c r="D22" i="134"/>
  <c r="D22" i="133"/>
  <c r="D21" i="122"/>
  <c r="D25" i="122"/>
  <c r="C18" i="134"/>
  <c r="C18" i="133"/>
  <c r="C17" i="122"/>
  <c r="F7" i="115"/>
  <c r="K7" i="115" s="1"/>
  <c r="F12" i="115"/>
  <c r="K12" i="115" s="1"/>
  <c r="F17" i="115"/>
  <c r="K17" i="115" s="1"/>
  <c r="F22" i="115"/>
  <c r="F28" i="115"/>
  <c r="F33" i="115"/>
  <c r="K33" i="115" s="1"/>
  <c r="C11" i="133"/>
  <c r="C11" i="134"/>
  <c r="C10" i="122"/>
  <c r="F43" i="115"/>
  <c r="K43" i="115" s="1"/>
  <c r="C15" i="133"/>
  <c r="C15" i="134"/>
  <c r="C14" i="122"/>
  <c r="F48" i="115"/>
  <c r="K48" i="115" s="1"/>
  <c r="C19" i="133"/>
  <c r="C19" i="134"/>
  <c r="C18" i="122"/>
  <c r="F52" i="115"/>
  <c r="K52" i="115" s="1"/>
  <c r="C23" i="133"/>
  <c r="C23" i="134"/>
  <c r="C22" i="122"/>
  <c r="F19" i="115"/>
  <c r="D11" i="134"/>
  <c r="D11" i="133"/>
  <c r="D10" i="122"/>
  <c r="D15" i="133"/>
  <c r="D15" i="134"/>
  <c r="D14" i="122"/>
  <c r="D19" i="134"/>
  <c r="D19" i="133"/>
  <c r="D18" i="122"/>
  <c r="D23" i="133"/>
  <c r="D23" i="134"/>
  <c r="D22" i="122"/>
  <c r="D20" i="133"/>
  <c r="D20" i="134"/>
  <c r="D19" i="122"/>
  <c r="F51" i="115"/>
  <c r="K51" i="115" s="1"/>
  <c r="C22" i="134"/>
  <c r="C22" i="133"/>
  <c r="C21" i="122"/>
  <c r="F8" i="115"/>
  <c r="K8" i="115" s="1"/>
  <c r="F13" i="115"/>
  <c r="K13" i="115" s="1"/>
  <c r="F18" i="115"/>
  <c r="K18" i="115" s="1"/>
  <c r="F23" i="115"/>
  <c r="K23" i="115" s="1"/>
  <c r="H17" i="133"/>
  <c r="J17" i="133" s="1"/>
  <c r="H16" i="122"/>
  <c r="J16" i="122" s="1"/>
  <c r="H17" i="134"/>
  <c r="J17" i="134" s="1"/>
  <c r="H20" i="134"/>
  <c r="J20" i="134" s="1"/>
  <c r="H20" i="133"/>
  <c r="J20" i="133" s="1"/>
  <c r="H19" i="122"/>
  <c r="J19" i="122" s="1"/>
  <c r="G6" i="115"/>
  <c r="F8" i="103"/>
  <c r="H21" i="133"/>
  <c r="J21" i="133" s="1"/>
  <c r="H21" i="134"/>
  <c r="J21" i="134" s="1"/>
  <c r="H20" i="122"/>
  <c r="J20" i="122" s="1"/>
  <c r="H10" i="134"/>
  <c r="J10" i="134" s="1"/>
  <c r="H9" i="122"/>
  <c r="J9" i="122" s="1"/>
  <c r="H10" i="133"/>
  <c r="J10" i="133" s="1"/>
  <c r="H11" i="134"/>
  <c r="J11" i="134" s="1"/>
  <c r="H11" i="133"/>
  <c r="J11" i="133" s="1"/>
  <c r="H10" i="122"/>
  <c r="J10" i="122" s="1"/>
  <c r="H22" i="122"/>
  <c r="J22" i="122" s="1"/>
  <c r="H23" i="133"/>
  <c r="J23" i="133" s="1"/>
  <c r="H23" i="134"/>
  <c r="J23" i="134" s="1"/>
  <c r="H22" i="133"/>
  <c r="J22" i="133" s="1"/>
  <c r="H22" i="134"/>
  <c r="J22" i="134" s="1"/>
  <c r="H21" i="122"/>
  <c r="J21" i="122" s="1"/>
  <c r="H12" i="133"/>
  <c r="J12" i="133" s="1"/>
  <c r="H12" i="134"/>
  <c r="J12" i="134" s="1"/>
  <c r="H11" i="122"/>
  <c r="J11" i="122" s="1"/>
  <c r="H23" i="122"/>
  <c r="J23" i="122" s="1"/>
  <c r="H24" i="134"/>
  <c r="J24" i="134" s="1"/>
  <c r="H24" i="133"/>
  <c r="J24" i="133" s="1"/>
  <c r="H9" i="133"/>
  <c r="J9" i="133" s="1"/>
  <c r="H9" i="134"/>
  <c r="J9" i="134" s="1"/>
  <c r="H12" i="122"/>
  <c r="J12" i="122" s="1"/>
  <c r="H13" i="134"/>
  <c r="J13" i="134" s="1"/>
  <c r="H13" i="133"/>
  <c r="J13" i="133" s="1"/>
  <c r="H25" i="134"/>
  <c r="J25" i="134" s="1"/>
  <c r="H25" i="133"/>
  <c r="J25" i="133" s="1"/>
  <c r="H24" i="122"/>
  <c r="J24" i="122" s="1"/>
  <c r="H15" i="133"/>
  <c r="J15" i="133" s="1"/>
  <c r="H15" i="134"/>
  <c r="J15" i="134" s="1"/>
  <c r="H14" i="122"/>
  <c r="J14" i="122" s="1"/>
  <c r="H16" i="134"/>
  <c r="J16" i="134" s="1"/>
  <c r="H16" i="133"/>
  <c r="J16" i="133" s="1"/>
  <c r="H15" i="122"/>
  <c r="J15" i="122" s="1"/>
  <c r="H14" i="133"/>
  <c r="J14" i="133" s="1"/>
  <c r="H13" i="122"/>
  <c r="J13" i="122" s="1"/>
  <c r="H14" i="134"/>
  <c r="J14" i="134" s="1"/>
  <c r="H17" i="122"/>
  <c r="J17" i="122" s="1"/>
  <c r="H18" i="134"/>
  <c r="J18" i="134" s="1"/>
  <c r="H18" i="133"/>
  <c r="J18" i="133" s="1"/>
  <c r="H19" i="133"/>
  <c r="J19" i="133" s="1"/>
  <c r="H19" i="134"/>
  <c r="J19" i="134" s="1"/>
  <c r="H18" i="122"/>
  <c r="J18" i="122" s="1"/>
  <c r="F62" i="115"/>
  <c r="K62" i="115" s="1"/>
  <c r="F61" i="115"/>
  <c r="K61" i="115" s="1"/>
  <c r="F60" i="115"/>
  <c r="K60" i="115" s="1"/>
  <c r="F59" i="115"/>
  <c r="F57" i="115"/>
  <c r="K57" i="115" s="1"/>
  <c r="F56" i="115"/>
  <c r="K56" i="115" s="1"/>
  <c r="F55" i="115"/>
  <c r="K55" i="115" s="1"/>
  <c r="K54" i="115"/>
  <c r="F50" i="115"/>
  <c r="K50" i="115" s="1"/>
  <c r="F46" i="115"/>
  <c r="K46" i="115" s="1"/>
  <c r="F45" i="115"/>
  <c r="K45" i="115" s="1"/>
  <c r="F40" i="115"/>
  <c r="K40" i="115" s="1"/>
  <c r="F38" i="115"/>
  <c r="T42" i="109"/>
  <c r="G51" i="115"/>
  <c r="T32" i="109"/>
  <c r="G39" i="115"/>
  <c r="T47" i="109"/>
  <c r="G57" i="115"/>
  <c r="T25" i="109"/>
  <c r="G30" i="115"/>
  <c r="T37" i="109"/>
  <c r="G45" i="115"/>
  <c r="T49" i="109"/>
  <c r="G60" i="115"/>
  <c r="T29" i="109"/>
  <c r="G35" i="115"/>
  <c r="T41" i="109"/>
  <c r="G50" i="115"/>
  <c r="T53" i="109"/>
  <c r="G65" i="115"/>
  <c r="H65" i="115" s="1"/>
  <c r="T6" i="109"/>
  <c r="G7" i="115"/>
  <c r="T18" i="109"/>
  <c r="G22" i="115"/>
  <c r="T30" i="109"/>
  <c r="G36" i="115"/>
  <c r="T54" i="109"/>
  <c r="G66" i="115"/>
  <c r="H66" i="115" s="1"/>
  <c r="T7" i="109"/>
  <c r="G8" i="115"/>
  <c r="T19" i="109"/>
  <c r="G23" i="115"/>
  <c r="T31" i="109"/>
  <c r="G38" i="115"/>
  <c r="T43" i="109"/>
  <c r="G52" i="115"/>
  <c r="T55" i="109"/>
  <c r="G67" i="115"/>
  <c r="H67" i="115" s="1"/>
  <c r="T8" i="109"/>
  <c r="G9" i="115"/>
  <c r="T20" i="109"/>
  <c r="G24" i="115"/>
  <c r="T44" i="109"/>
  <c r="G54" i="115"/>
  <c r="T56" i="109"/>
  <c r="G68" i="115"/>
  <c r="H68" i="115" s="1"/>
  <c r="T9" i="109"/>
  <c r="G11" i="115"/>
  <c r="T21" i="109"/>
  <c r="G25" i="115"/>
  <c r="T33" i="109"/>
  <c r="G40" i="115"/>
  <c r="T45" i="109"/>
  <c r="G55" i="115"/>
  <c r="T10" i="109"/>
  <c r="G12" i="115"/>
  <c r="T22" i="109"/>
  <c r="G27" i="115"/>
  <c r="T34" i="109"/>
  <c r="G41" i="115"/>
  <c r="T46" i="109"/>
  <c r="G56" i="115"/>
  <c r="T11" i="109"/>
  <c r="G13" i="115"/>
  <c r="T23" i="109"/>
  <c r="G28" i="115"/>
  <c r="T35" i="109"/>
  <c r="G43" i="115"/>
  <c r="T12" i="109"/>
  <c r="G14" i="115"/>
  <c r="T24" i="109"/>
  <c r="G29" i="115"/>
  <c r="T36" i="109"/>
  <c r="G44" i="115"/>
  <c r="T48" i="109"/>
  <c r="G59" i="115"/>
  <c r="T14" i="109"/>
  <c r="G17" i="115"/>
  <c r="T38" i="109"/>
  <c r="G46" i="115"/>
  <c r="T50" i="109"/>
  <c r="G61" i="115"/>
  <c r="T15" i="109"/>
  <c r="G18" i="115"/>
  <c r="T27" i="109"/>
  <c r="G33" i="115"/>
  <c r="T39" i="109"/>
  <c r="G48" i="115"/>
  <c r="T51" i="109"/>
  <c r="G62" i="115"/>
  <c r="T16" i="109"/>
  <c r="G19" i="115"/>
  <c r="T28" i="109"/>
  <c r="G34" i="115"/>
  <c r="T40" i="109"/>
  <c r="G49" i="115"/>
  <c r="T52" i="109"/>
  <c r="G64" i="115"/>
  <c r="T26" i="109"/>
  <c r="J8" i="103"/>
  <c r="N8" i="103"/>
  <c r="Q21" i="104"/>
  <c r="J7" i="103"/>
  <c r="F7" i="103"/>
  <c r="N7" i="103"/>
  <c r="T17" i="109"/>
  <c r="T5" i="109"/>
  <c r="T13" i="109"/>
  <c r="H6" i="115" l="1"/>
  <c r="K19" i="115"/>
  <c r="S22" i="115"/>
  <c r="H36" i="115"/>
  <c r="H29" i="115"/>
  <c r="H30" i="115"/>
  <c r="H34" i="115"/>
  <c r="H49" i="115"/>
  <c r="H28" i="115"/>
  <c r="H24" i="115"/>
  <c r="H44" i="115"/>
  <c r="H7" i="115"/>
  <c r="H39" i="115"/>
  <c r="H35" i="115"/>
  <c r="H17" i="115"/>
  <c r="H8" i="115"/>
  <c r="H9" i="115"/>
  <c r="H33" i="115"/>
  <c r="H14" i="115"/>
  <c r="H25" i="115"/>
  <c r="E23" i="133"/>
  <c r="H62" i="115"/>
  <c r="H18" i="115"/>
  <c r="H41" i="115"/>
  <c r="H52" i="115"/>
  <c r="E22" i="134"/>
  <c r="F25" i="134"/>
  <c r="F25" i="122"/>
  <c r="E22" i="122"/>
  <c r="H12" i="115"/>
  <c r="H23" i="115"/>
  <c r="E10" i="122"/>
  <c r="F13" i="122"/>
  <c r="E13" i="122"/>
  <c r="E24" i="122"/>
  <c r="E12" i="122"/>
  <c r="E11" i="134"/>
  <c r="F14" i="134"/>
  <c r="E14" i="133"/>
  <c r="E13" i="134"/>
  <c r="E20" i="133"/>
  <c r="F23" i="133"/>
  <c r="E18" i="122"/>
  <c r="F21" i="122"/>
  <c r="E11" i="133"/>
  <c r="F14" i="133"/>
  <c r="E14" i="134"/>
  <c r="E25" i="134"/>
  <c r="E13" i="133"/>
  <c r="F23" i="134"/>
  <c r="E20" i="134"/>
  <c r="E25" i="133"/>
  <c r="E15" i="133"/>
  <c r="H13" i="115"/>
  <c r="F22" i="133"/>
  <c r="E19" i="133"/>
  <c r="E20" i="122"/>
  <c r="F23" i="122"/>
  <c r="G23" i="122" s="1"/>
  <c r="F26" i="115"/>
  <c r="K26" i="115" s="1"/>
  <c r="K22" i="115"/>
  <c r="E19" i="134"/>
  <c r="F22" i="134"/>
  <c r="H51" i="115"/>
  <c r="F37" i="115"/>
  <c r="K37" i="115" s="1"/>
  <c r="K32" i="115"/>
  <c r="F21" i="115"/>
  <c r="K21" i="115" s="1"/>
  <c r="K16" i="115"/>
  <c r="F11" i="134"/>
  <c r="F10" i="134"/>
  <c r="F9" i="134"/>
  <c r="E9" i="134"/>
  <c r="F12" i="134"/>
  <c r="F24" i="122"/>
  <c r="E21" i="122"/>
  <c r="F31" i="115"/>
  <c r="K31" i="115" s="1"/>
  <c r="K28" i="115"/>
  <c r="F20" i="122"/>
  <c r="E17" i="122"/>
  <c r="E21" i="134"/>
  <c r="F24" i="134"/>
  <c r="G24" i="134" s="1"/>
  <c r="F11" i="133"/>
  <c r="F9" i="133"/>
  <c r="F12" i="133"/>
  <c r="F10" i="133"/>
  <c r="E9" i="133"/>
  <c r="H20" i="115"/>
  <c r="E14" i="122"/>
  <c r="F21" i="133"/>
  <c r="E18" i="133"/>
  <c r="F15" i="115"/>
  <c r="K15" i="115" s="1"/>
  <c r="K11" i="115"/>
  <c r="F24" i="133"/>
  <c r="G24" i="133" s="1"/>
  <c r="E21" i="133"/>
  <c r="F12" i="122"/>
  <c r="F10" i="122"/>
  <c r="E9" i="122"/>
  <c r="F11" i="122"/>
  <c r="F9" i="122"/>
  <c r="E15" i="134"/>
  <c r="F21" i="134"/>
  <c r="E18" i="134"/>
  <c r="E22" i="133"/>
  <c r="F25" i="133"/>
  <c r="F14" i="122"/>
  <c r="E11" i="122"/>
  <c r="E10" i="134"/>
  <c r="F13" i="134"/>
  <c r="E25" i="122"/>
  <c r="F10" i="115"/>
  <c r="K10" i="115" s="1"/>
  <c r="K6" i="115"/>
  <c r="F15" i="133"/>
  <c r="E12" i="133"/>
  <c r="F13" i="133"/>
  <c r="E10" i="133"/>
  <c r="H19" i="115"/>
  <c r="E23" i="134"/>
  <c r="E19" i="122"/>
  <c r="F22" i="122"/>
  <c r="F15" i="134"/>
  <c r="E12" i="134"/>
  <c r="H8" i="103"/>
  <c r="H61" i="115"/>
  <c r="H60" i="115"/>
  <c r="F63" i="115"/>
  <c r="K63" i="115" s="1"/>
  <c r="K59" i="115"/>
  <c r="H57" i="115"/>
  <c r="H56" i="115"/>
  <c r="H55" i="115"/>
  <c r="F58" i="115"/>
  <c r="K58" i="115" s="1"/>
  <c r="H50" i="115"/>
  <c r="F53" i="115"/>
  <c r="K53" i="115" s="1"/>
  <c r="H46" i="115"/>
  <c r="H45" i="115"/>
  <c r="F47" i="115"/>
  <c r="K47" i="115" s="1"/>
  <c r="H40" i="115"/>
  <c r="F42" i="115"/>
  <c r="K42" i="115" s="1"/>
  <c r="K38" i="115"/>
  <c r="G37" i="115"/>
  <c r="H27" i="115"/>
  <c r="G31" i="115"/>
  <c r="H54" i="115"/>
  <c r="G58" i="115"/>
  <c r="H64" i="115"/>
  <c r="G69" i="115"/>
  <c r="H69" i="115" s="1"/>
  <c r="H59" i="115"/>
  <c r="G63" i="115"/>
  <c r="H43" i="115"/>
  <c r="G47" i="115"/>
  <c r="G21" i="115"/>
  <c r="G15" i="115"/>
  <c r="H11" i="115"/>
  <c r="H22" i="115"/>
  <c r="G10" i="115"/>
  <c r="H38" i="115"/>
  <c r="G42" i="115"/>
  <c r="G53" i="115"/>
  <c r="H48" i="115"/>
  <c r="L8" i="103"/>
  <c r="P8" i="103"/>
  <c r="N11" i="103"/>
  <c r="J11" i="103"/>
  <c r="F11" i="103"/>
  <c r="J9" i="103"/>
  <c r="N9" i="103"/>
  <c r="F9" i="103"/>
  <c r="J4" i="103"/>
  <c r="S23" i="115" l="1"/>
  <c r="S25" i="115" s="1"/>
  <c r="T23" i="115"/>
  <c r="G22" i="122"/>
  <c r="G24" i="122"/>
  <c r="G20" i="122"/>
  <c r="G23" i="133"/>
  <c r="G21" i="134"/>
  <c r="G15" i="133"/>
  <c r="G12" i="122"/>
  <c r="H37" i="115"/>
  <c r="G10" i="122"/>
  <c r="G13" i="134"/>
  <c r="G11" i="134"/>
  <c r="G10" i="134"/>
  <c r="H21" i="115"/>
  <c r="G10" i="133"/>
  <c r="H31" i="115"/>
  <c r="G15" i="134"/>
  <c r="G9" i="134"/>
  <c r="H15" i="115"/>
  <c r="G9" i="122"/>
  <c r="G21" i="122"/>
  <c r="G22" i="134"/>
  <c r="H10" i="115"/>
  <c r="H26" i="115"/>
  <c r="G25" i="133"/>
  <c r="G9" i="133"/>
  <c r="G12" i="134"/>
  <c r="G13" i="122"/>
  <c r="G11" i="133"/>
  <c r="G23" i="134"/>
  <c r="G21" i="133"/>
  <c r="G12" i="133"/>
  <c r="G25" i="122"/>
  <c r="G25" i="134"/>
  <c r="G14" i="134"/>
  <c r="G14" i="122"/>
  <c r="G11" i="122"/>
  <c r="G13" i="133"/>
  <c r="G22" i="133"/>
  <c r="G14" i="133"/>
  <c r="H63" i="115"/>
  <c r="H58" i="115"/>
  <c r="H53" i="115"/>
  <c r="H47" i="115"/>
  <c r="H42" i="115"/>
  <c r="X38" i="103"/>
  <c r="W38" i="103"/>
  <c r="V38" i="103"/>
  <c r="U38" i="103"/>
  <c r="AG37" i="103"/>
  <c r="AF37" i="103"/>
  <c r="AE37" i="103"/>
  <c r="AD37" i="103"/>
  <c r="X37" i="103"/>
  <c r="W37" i="103"/>
  <c r="V37" i="103"/>
  <c r="U37" i="103"/>
  <c r="AG36" i="103"/>
  <c r="AF36" i="103"/>
  <c r="AE36" i="103"/>
  <c r="AD36" i="103"/>
  <c r="X36" i="103"/>
  <c r="W36" i="103"/>
  <c r="V36" i="103"/>
  <c r="U36" i="103"/>
  <c r="C4" i="108"/>
  <c r="C4" i="107"/>
  <c r="C4" i="106"/>
  <c r="C4" i="105"/>
  <c r="C4" i="104"/>
  <c r="H79" i="103"/>
  <c r="H78" i="103"/>
  <c r="L79" i="103"/>
  <c r="L78" i="103"/>
  <c r="X69" i="103"/>
  <c r="W69" i="103"/>
  <c r="V69" i="103"/>
  <c r="U69" i="103"/>
  <c r="X68" i="103"/>
  <c r="W68" i="103"/>
  <c r="V68" i="103"/>
  <c r="U68" i="103"/>
  <c r="X66" i="103"/>
  <c r="W66" i="103"/>
  <c r="V66" i="103"/>
  <c r="U66" i="103"/>
  <c r="X65" i="103"/>
  <c r="W65" i="103"/>
  <c r="V65" i="103"/>
  <c r="U65" i="103"/>
  <c r="X62" i="103"/>
  <c r="W62" i="103"/>
  <c r="V62" i="103"/>
  <c r="U62" i="103"/>
  <c r="X59" i="103"/>
  <c r="W59" i="103"/>
  <c r="V59" i="103"/>
  <c r="U59" i="103"/>
  <c r="X56" i="103"/>
  <c r="W56" i="103"/>
  <c r="V56" i="103"/>
  <c r="U56" i="103"/>
  <c r="X54" i="103"/>
  <c r="W54" i="103"/>
  <c r="V54" i="103"/>
  <c r="U54" i="103"/>
  <c r="X49" i="103"/>
  <c r="W49" i="103"/>
  <c r="V49" i="103"/>
  <c r="U49" i="103"/>
  <c r="AG25" i="103"/>
  <c r="AF25" i="103"/>
  <c r="AE25" i="103"/>
  <c r="AD25" i="103"/>
  <c r="AG24" i="103"/>
  <c r="AF24" i="103"/>
  <c r="AE24" i="103"/>
  <c r="AD24" i="103"/>
  <c r="C4" i="103"/>
  <c r="M223" i="80"/>
  <c r="K223" i="80"/>
  <c r="I223" i="80"/>
  <c r="G223" i="80"/>
  <c r="F223" i="80"/>
  <c r="AQ222" i="80"/>
  <c r="AP222" i="80"/>
  <c r="AO222" i="80"/>
  <c r="AN222" i="80"/>
  <c r="AQ218" i="80"/>
  <c r="AP218" i="80"/>
  <c r="AO218" i="80"/>
  <c r="AN218" i="80"/>
  <c r="AQ215" i="80"/>
  <c r="AP215" i="80"/>
  <c r="AO215" i="80"/>
  <c r="AN215" i="80"/>
  <c r="AQ212" i="80"/>
  <c r="AP212" i="80"/>
  <c r="AO212" i="80"/>
  <c r="AN212" i="80"/>
  <c r="G57" i="103" l="1"/>
  <c r="O57" i="103"/>
  <c r="O223" i="80"/>
  <c r="P223" i="80" s="1"/>
  <c r="H223" i="80"/>
  <c r="N223" i="80"/>
  <c r="J223" i="80"/>
  <c r="L223" i="80"/>
  <c r="M205" i="80"/>
  <c r="M218" i="80" s="1"/>
  <c r="M202" i="80"/>
  <c r="M196" i="80"/>
  <c r="Z205" i="80"/>
  <c r="Z218" i="80" s="1"/>
  <c r="Z196" i="80"/>
  <c r="Z199" i="80"/>
  <c r="Z202" i="80"/>
  <c r="K205" i="80"/>
  <c r="K218" i="80" s="1"/>
  <c r="K202" i="80"/>
  <c r="K199" i="80"/>
  <c r="K196" i="80"/>
  <c r="M199" i="80"/>
  <c r="G60" i="103" l="1"/>
  <c r="G63" i="103" s="1"/>
  <c r="K57" i="103"/>
  <c r="O60" i="103"/>
  <c r="K208" i="80"/>
  <c r="AQ210" i="80"/>
  <c r="AP210" i="80"/>
  <c r="AO210" i="80"/>
  <c r="AN210" i="80"/>
  <c r="AZ205" i="80"/>
  <c r="AY205" i="80"/>
  <c r="AX205" i="80"/>
  <c r="AW205" i="80"/>
  <c r="AZ204" i="80"/>
  <c r="AY204" i="80"/>
  <c r="AX204" i="80"/>
  <c r="AW204" i="80"/>
  <c r="AQ224" i="80"/>
  <c r="AP225" i="80"/>
  <c r="AP224" i="80"/>
  <c r="AO225" i="80"/>
  <c r="AO224" i="80"/>
  <c r="AN225" i="80"/>
  <c r="AN224" i="80"/>
  <c r="K235" i="80"/>
  <c r="K234" i="80"/>
  <c r="J235" i="80"/>
  <c r="J234" i="80"/>
  <c r="I234" i="80"/>
  <c r="G67" i="103" l="1"/>
  <c r="K60" i="103"/>
  <c r="O63" i="103"/>
  <c r="O67" i="103" s="1"/>
  <c r="K212" i="80"/>
  <c r="H234" i="80"/>
  <c r="I235" i="80"/>
  <c r="H235" i="80"/>
  <c r="K63" i="103" l="1"/>
  <c r="K67" i="103" s="1"/>
  <c r="K215" i="80"/>
  <c r="AQ221" i="80"/>
  <c r="AQ208" i="80"/>
  <c r="AQ205" i="80"/>
  <c r="AQ204" i="80"/>
  <c r="AP221" i="80"/>
  <c r="AQ206" i="80"/>
  <c r="AP204" i="80"/>
  <c r="AO221" i="80"/>
  <c r="AO204" i="80"/>
  <c r="AO205" i="80"/>
  <c r="AN221" i="80"/>
  <c r="AP208" i="80"/>
  <c r="AO208" i="80"/>
  <c r="AN208" i="80"/>
  <c r="AP206" i="80"/>
  <c r="AP205" i="80"/>
  <c r="AO206" i="80"/>
  <c r="I20" i="80"/>
  <c r="I42" i="80" s="1"/>
  <c r="AN206" i="80"/>
  <c r="AN205" i="80"/>
  <c r="F42" i="80"/>
  <c r="AN204" i="80"/>
  <c r="F38" i="80"/>
  <c r="F36" i="80"/>
  <c r="D191" i="80"/>
  <c r="Z206" i="80"/>
  <c r="X206" i="80"/>
  <c r="V206" i="80"/>
  <c r="T206" i="80"/>
  <c r="S206" i="80"/>
  <c r="Z203" i="80"/>
  <c r="X203" i="80"/>
  <c r="V203" i="80"/>
  <c r="T203" i="80"/>
  <c r="S203" i="80"/>
  <c r="Z197" i="80"/>
  <c r="X197" i="80"/>
  <c r="V197" i="80"/>
  <c r="T197" i="80"/>
  <c r="S197" i="80"/>
  <c r="F197" i="80"/>
  <c r="C193" i="80"/>
  <c r="I196" i="80"/>
  <c r="G206" i="80"/>
  <c r="F206" i="80"/>
  <c r="M206" i="80"/>
  <c r="K206" i="80"/>
  <c r="K203" i="80"/>
  <c r="I203" i="80"/>
  <c r="M203" i="80"/>
  <c r="G203" i="80"/>
  <c r="F203" i="80"/>
  <c r="Y203" i="80" l="1"/>
  <c r="AA203" i="80"/>
  <c r="Y206" i="80"/>
  <c r="U206" i="80"/>
  <c r="N206" i="80"/>
  <c r="W197" i="80"/>
  <c r="W206" i="80"/>
  <c r="U197" i="80"/>
  <c r="Y197" i="80"/>
  <c r="U203" i="80"/>
  <c r="AA206" i="80"/>
  <c r="AA197" i="80"/>
  <c r="W203" i="80"/>
  <c r="H206" i="80"/>
  <c r="H203" i="80"/>
  <c r="L203" i="80"/>
  <c r="L206" i="80"/>
  <c r="AB197" i="80"/>
  <c r="N203" i="80"/>
  <c r="AB203" i="80"/>
  <c r="AB206" i="80"/>
  <c r="J203" i="80"/>
  <c r="I206" i="80"/>
  <c r="O203" i="80"/>
  <c r="P203" i="80" s="1"/>
  <c r="AC206" i="80" l="1"/>
  <c r="J206" i="80"/>
  <c r="AC203" i="80"/>
  <c r="AC197" i="80"/>
  <c r="O206" i="80"/>
  <c r="P206" i="80" s="1"/>
  <c r="X205" i="80" l="1"/>
  <c r="X218" i="80" s="1"/>
  <c r="X202" i="80"/>
  <c r="X199" i="80"/>
  <c r="X196" i="80"/>
  <c r="V202" i="80"/>
  <c r="V205" i="80"/>
  <c r="V218" i="80" s="1"/>
  <c r="V199" i="80"/>
  <c r="V196" i="80"/>
  <c r="I205" i="80"/>
  <c r="I218" i="80" s="1"/>
  <c r="I202" i="80"/>
  <c r="I199" i="80"/>
  <c r="T205" i="80"/>
  <c r="T218" i="80" s="1"/>
  <c r="T202" i="80"/>
  <c r="T199" i="80"/>
  <c r="T196" i="80"/>
  <c r="G196" i="80"/>
  <c r="S205" i="80"/>
  <c r="S218" i="80" s="1"/>
  <c r="S202" i="80"/>
  <c r="S199" i="80"/>
  <c r="S196" i="80"/>
  <c r="F196" i="80"/>
  <c r="F32" i="80"/>
  <c r="I24" i="80"/>
  <c r="F26" i="80"/>
  <c r="F25" i="80"/>
  <c r="F24" i="80"/>
  <c r="F23" i="80"/>
  <c r="F22" i="80"/>
  <c r="G205" i="80"/>
  <c r="G218" i="80" s="1"/>
  <c r="M14" i="80"/>
  <c r="G202" i="80"/>
  <c r="G199" i="80"/>
  <c r="I14" i="80"/>
  <c r="F14" i="80"/>
  <c r="F18" i="80"/>
  <c r="F205" i="80"/>
  <c r="F218" i="80" s="1"/>
  <c r="F202" i="80"/>
  <c r="F199" i="80"/>
  <c r="I13" i="80"/>
  <c r="F13" i="80"/>
  <c r="D9" i="80"/>
  <c r="O218" i="80" l="1"/>
  <c r="AB218" i="80"/>
  <c r="U196" i="80"/>
  <c r="W199" i="80"/>
  <c r="U199" i="80"/>
  <c r="O205" i="80"/>
  <c r="P205" i="80" s="1"/>
  <c r="H202" i="80"/>
  <c r="H196" i="80"/>
  <c r="W196" i="80"/>
  <c r="L205" i="80"/>
  <c r="Y196" i="80"/>
  <c r="AA196" i="80"/>
  <c r="W205" i="80"/>
  <c r="Y199" i="80"/>
  <c r="AA199" i="80"/>
  <c r="U202" i="80"/>
  <c r="W202" i="80"/>
  <c r="Y202" i="80"/>
  <c r="AA202" i="80"/>
  <c r="U205" i="80"/>
  <c r="Y205" i="80"/>
  <c r="AA205" i="80"/>
  <c r="N205" i="80"/>
  <c r="H205" i="80"/>
  <c r="G18" i="80"/>
  <c r="J202" i="80"/>
  <c r="L199" i="80"/>
  <c r="N199" i="80"/>
  <c r="H199" i="80"/>
  <c r="AB205" i="80"/>
  <c r="AC205" i="80" s="1"/>
  <c r="J205" i="80"/>
  <c r="L202" i="80"/>
  <c r="N202" i="80"/>
  <c r="J199" i="80"/>
  <c r="N196" i="80"/>
  <c r="L196" i="80"/>
  <c r="X208" i="80"/>
  <c r="X212" i="80" s="1"/>
  <c r="Z208" i="80"/>
  <c r="J196" i="80"/>
  <c r="T208" i="80"/>
  <c r="T212" i="80" s="1"/>
  <c r="AB196" i="80"/>
  <c r="AB199" i="80"/>
  <c r="AC199" i="80" s="1"/>
  <c r="AB202" i="80"/>
  <c r="AC202" i="80" s="1"/>
  <c r="S208" i="80"/>
  <c r="S212" i="80" s="1"/>
  <c r="V208" i="80"/>
  <c r="V212" i="80" s="1"/>
  <c r="M208" i="80"/>
  <c r="O202" i="80"/>
  <c r="P202" i="80" s="1"/>
  <c r="O199" i="80"/>
  <c r="P199" i="80" s="1"/>
  <c r="O196" i="80"/>
  <c r="P196" i="80" s="1"/>
  <c r="G208" i="80"/>
  <c r="F208" i="80"/>
  <c r="F212" i="80" s="1"/>
  <c r="F215" i="80" s="1"/>
  <c r="I208" i="80"/>
  <c r="I212" i="80" s="1"/>
  <c r="F28" i="80"/>
  <c r="T215" i="80" l="1"/>
  <c r="G212" i="80"/>
  <c r="H212" i="80" s="1"/>
  <c r="J212" i="80"/>
  <c r="I215" i="80"/>
  <c r="J215" i="80" s="1"/>
  <c r="J218" i="80"/>
  <c r="W212" i="80"/>
  <c r="S215" i="80"/>
  <c r="Y212" i="80"/>
  <c r="U212" i="80"/>
  <c r="Z212" i="80"/>
  <c r="Z215" i="80"/>
  <c r="M212" i="80"/>
  <c r="N212" i="80" s="1"/>
  <c r="V215" i="80"/>
  <c r="L218" i="80"/>
  <c r="L215" i="80"/>
  <c r="L212" i="80"/>
  <c r="X215" i="80"/>
  <c r="AC196" i="80"/>
  <c r="Y208" i="80"/>
  <c r="W208" i="80"/>
  <c r="AA208" i="80"/>
  <c r="U208" i="80"/>
  <c r="N208" i="80"/>
  <c r="J208" i="80"/>
  <c r="H208" i="80"/>
  <c r="L208" i="80"/>
  <c r="AB208" i="80"/>
  <c r="AC208" i="80" s="1"/>
  <c r="O208" i="80"/>
  <c r="P208" i="80" s="1"/>
  <c r="Y215" i="80" l="1"/>
  <c r="W215" i="80"/>
  <c r="M215" i="80"/>
  <c r="N215" i="80" s="1"/>
  <c r="AA215" i="80"/>
  <c r="G215" i="80"/>
  <c r="H215" i="80" s="1"/>
  <c r="AA212" i="80"/>
  <c r="U215" i="80"/>
  <c r="O212" i="80"/>
  <c r="P212" i="80" s="1"/>
  <c r="AA218" i="80"/>
  <c r="Y218" i="80"/>
  <c r="AB215" i="80"/>
  <c r="AC215" i="80" s="1"/>
  <c r="AB212" i="80"/>
  <c r="AC212" i="80" s="1"/>
  <c r="W218" i="80"/>
  <c r="U218" i="80"/>
  <c r="Q14" i="80"/>
  <c r="Q13" i="80"/>
  <c r="M13" i="80"/>
  <c r="N218" i="80" l="1"/>
  <c r="O215" i="80"/>
  <c r="P215" i="80" s="1"/>
  <c r="AC218" i="80"/>
  <c r="H218" i="80" l="1"/>
  <c r="P218" i="80"/>
  <c r="X40" i="80" l="1"/>
  <c r="X39" i="80"/>
  <c r="X38" i="80"/>
  <c r="Q40" i="80"/>
  <c r="Q39" i="80"/>
  <c r="AG112" i="80"/>
  <c r="AE112" i="80"/>
  <c r="AB112" i="80"/>
  <c r="X112" i="80"/>
  <c r="AG111" i="80"/>
  <c r="AE111" i="80"/>
  <c r="AB111" i="80"/>
  <c r="X111" i="80"/>
  <c r="AG110" i="80"/>
  <c r="AE110" i="80"/>
  <c r="AB110" i="80"/>
  <c r="X110" i="80"/>
  <c r="AG92" i="80"/>
  <c r="AE92" i="80"/>
  <c r="AB92" i="80"/>
  <c r="X92" i="80"/>
  <c r="AG83" i="80"/>
  <c r="AG108" i="80" s="1"/>
  <c r="AE83" i="80"/>
  <c r="AE108" i="80" s="1"/>
  <c r="AB83" i="80"/>
  <c r="AB108" i="80" s="1"/>
  <c r="X83" i="80"/>
  <c r="X108" i="80" s="1"/>
  <c r="AG60" i="80"/>
  <c r="AE60" i="80"/>
  <c r="AB60" i="80"/>
  <c r="X60" i="80"/>
  <c r="AG40" i="80"/>
  <c r="AE40" i="80"/>
  <c r="AB40" i="80"/>
  <c r="AG39" i="80"/>
  <c r="AE39" i="80"/>
  <c r="AB39" i="80"/>
  <c r="AG38" i="80"/>
  <c r="AE38" i="80"/>
  <c r="AB38" i="80"/>
  <c r="AG36" i="80"/>
  <c r="AE36" i="80"/>
  <c r="AB36" i="80"/>
  <c r="X36" i="80"/>
  <c r="AG20" i="80"/>
  <c r="AE20" i="80"/>
  <c r="AB20" i="80"/>
  <c r="X20" i="80"/>
  <c r="X3" i="80"/>
  <c r="X4" i="80" s="1"/>
  <c r="X5" i="80" s="1"/>
  <c r="X6" i="80" s="1"/>
  <c r="X7" i="80" s="1"/>
  <c r="D2" i="80"/>
  <c r="BE169" i="80"/>
  <c r="BC169" i="80"/>
  <c r="BE163" i="80"/>
  <c r="BC163" i="80"/>
  <c r="BE162" i="80"/>
  <c r="BC162" i="80"/>
  <c r="BE161" i="80"/>
  <c r="BC161" i="80"/>
  <c r="BE160" i="80"/>
  <c r="BC160" i="80"/>
  <c r="BE159" i="80"/>
  <c r="BC159" i="80"/>
  <c r="BE158" i="80"/>
  <c r="BC158" i="80"/>
  <c r="BE157" i="80"/>
  <c r="BC157" i="80"/>
  <c r="BE156" i="80"/>
  <c r="BC156" i="80"/>
  <c r="BE155" i="80"/>
  <c r="BC155" i="80"/>
  <c r="BE151" i="80"/>
  <c r="BC151" i="80"/>
  <c r="BE150" i="80"/>
  <c r="BF150" i="80" s="1"/>
  <c r="BC150" i="80"/>
  <c r="BD150" i="80" s="1"/>
  <c r="Q112" i="80"/>
  <c r="M112" i="80"/>
  <c r="I112" i="80"/>
  <c r="F112" i="80"/>
  <c r="Q111" i="80"/>
  <c r="M111" i="80"/>
  <c r="I111" i="80"/>
  <c r="F111" i="80"/>
  <c r="Q110" i="80"/>
  <c r="M110" i="80"/>
  <c r="I110" i="80"/>
  <c r="F110" i="80"/>
  <c r="Q104" i="80"/>
  <c r="M104" i="80"/>
  <c r="I104" i="80"/>
  <c r="F104" i="80"/>
  <c r="AU104" i="80" s="1"/>
  <c r="Q98" i="80"/>
  <c r="M98" i="80"/>
  <c r="I98" i="80"/>
  <c r="F98" i="80"/>
  <c r="Q97" i="80"/>
  <c r="M97" i="80"/>
  <c r="I97" i="80"/>
  <c r="F97" i="80"/>
  <c r="AU97" i="80" s="1"/>
  <c r="Q95" i="80"/>
  <c r="M95" i="80"/>
  <c r="I95" i="80"/>
  <c r="F95" i="80"/>
  <c r="AU95" i="80" s="1"/>
  <c r="Q93" i="80"/>
  <c r="M93" i="80"/>
  <c r="I93" i="80"/>
  <c r="F93" i="80"/>
  <c r="AU93" i="80" s="1"/>
  <c r="Q92" i="80"/>
  <c r="Q91" i="80" s="1"/>
  <c r="M92" i="80"/>
  <c r="M91" i="80" s="1"/>
  <c r="I92" i="80"/>
  <c r="F92" i="80"/>
  <c r="Q90" i="80"/>
  <c r="M90" i="80"/>
  <c r="I90" i="80"/>
  <c r="F90" i="80"/>
  <c r="AU90" i="80" s="1"/>
  <c r="Q86" i="80"/>
  <c r="M86" i="80"/>
  <c r="I86" i="80"/>
  <c r="F86" i="80"/>
  <c r="Q85" i="80"/>
  <c r="M85" i="80"/>
  <c r="O85" i="80" s="1"/>
  <c r="I85" i="80"/>
  <c r="F85" i="80"/>
  <c r="G85" i="80" s="1"/>
  <c r="X81" i="80"/>
  <c r="X146" i="80" s="1"/>
  <c r="F81" i="80"/>
  <c r="F146" i="80" s="1"/>
  <c r="D76" i="80"/>
  <c r="M40" i="80"/>
  <c r="I40" i="80"/>
  <c r="F40" i="80"/>
  <c r="M39" i="80"/>
  <c r="I39" i="80"/>
  <c r="F39" i="80"/>
  <c r="Q38" i="80"/>
  <c r="M38" i="80"/>
  <c r="I38" i="80"/>
  <c r="Q32" i="80"/>
  <c r="X104" i="80" s="1"/>
  <c r="M32" i="80"/>
  <c r="I32" i="80"/>
  <c r="AU32" i="80"/>
  <c r="Q26" i="80"/>
  <c r="AG26" i="80" s="1"/>
  <c r="M26" i="80"/>
  <c r="I26" i="80"/>
  <c r="Q25" i="80"/>
  <c r="M25" i="80"/>
  <c r="I25" i="80"/>
  <c r="Q24" i="80"/>
  <c r="AB96" i="80" s="1"/>
  <c r="M24" i="80"/>
  <c r="Q23" i="80"/>
  <c r="AG95" i="80" s="1"/>
  <c r="M23" i="80"/>
  <c r="I23" i="80"/>
  <c r="M22" i="80"/>
  <c r="I22" i="80"/>
  <c r="Q21" i="80"/>
  <c r="M21" i="80"/>
  <c r="I21" i="80"/>
  <c r="F21" i="80"/>
  <c r="Q20" i="80"/>
  <c r="Q19" i="80" s="1"/>
  <c r="M20" i="80"/>
  <c r="M19" i="80" s="1"/>
  <c r="I19" i="80"/>
  <c r="F19" i="80"/>
  <c r="Q18" i="80"/>
  <c r="M18" i="80"/>
  <c r="I18" i="80"/>
  <c r="AU14" i="80"/>
  <c r="AB13" i="80"/>
  <c r="AB148" i="80" l="1"/>
  <c r="Q162" i="80"/>
  <c r="BF160" i="80"/>
  <c r="AF20" i="80"/>
  <c r="AG19" i="80"/>
  <c r="AH19" i="80" s="1"/>
  <c r="BF155" i="80"/>
  <c r="BF161" i="80"/>
  <c r="AF92" i="80"/>
  <c r="AH92" i="80"/>
  <c r="AG98" i="80"/>
  <c r="AG163" i="80" s="1"/>
  <c r="AB24" i="80"/>
  <c r="AD24" i="80" s="1"/>
  <c r="X96" i="80"/>
  <c r="O22" i="80"/>
  <c r="M160" i="80"/>
  <c r="M158" i="80"/>
  <c r="M169" i="80"/>
  <c r="M155" i="80"/>
  <c r="AY95" i="80"/>
  <c r="BC95" i="80" s="1"/>
  <c r="I158" i="80"/>
  <c r="I163" i="80"/>
  <c r="F155" i="80"/>
  <c r="AU155" i="80" s="1"/>
  <c r="AE13" i="80"/>
  <c r="AF13" i="80" s="1"/>
  <c r="AE97" i="80"/>
  <c r="AG13" i="80"/>
  <c r="AG61" i="80" s="1"/>
  <c r="AG97" i="80"/>
  <c r="X19" i="80"/>
  <c r="Z19" i="80" s="1"/>
  <c r="Q22" i="80"/>
  <c r="AB85" i="80"/>
  <c r="AD96" i="80" s="1"/>
  <c r="AG25" i="80"/>
  <c r="AE26" i="80"/>
  <c r="Q151" i="80"/>
  <c r="F157" i="80"/>
  <c r="AU157" i="80" s="1"/>
  <c r="AB157" i="80"/>
  <c r="M162" i="80"/>
  <c r="O90" i="80"/>
  <c r="S90" i="80"/>
  <c r="O86" i="80"/>
  <c r="AG24" i="80"/>
  <c r="X32" i="80"/>
  <c r="AE96" i="80"/>
  <c r="AB104" i="80"/>
  <c r="X25" i="80"/>
  <c r="AG96" i="80"/>
  <c r="AE104" i="80"/>
  <c r="AH20" i="80"/>
  <c r="AB32" i="80"/>
  <c r="X97" i="80"/>
  <c r="AG104" i="80"/>
  <c r="K24" i="80"/>
  <c r="BD151" i="80"/>
  <c r="AB25" i="80"/>
  <c r="AE32" i="80"/>
  <c r="X85" i="80"/>
  <c r="Z85" i="80" s="1"/>
  <c r="AG91" i="80"/>
  <c r="AH91" i="80" s="1"/>
  <c r="AB97" i="80"/>
  <c r="X23" i="80"/>
  <c r="AG32" i="80"/>
  <c r="BD155" i="80"/>
  <c r="AE25" i="80"/>
  <c r="AE85" i="80"/>
  <c r="AB91" i="80"/>
  <c r="AD91" i="80" s="1"/>
  <c r="X91" i="80"/>
  <c r="Z91" i="80" s="1"/>
  <c r="AG42" i="80"/>
  <c r="AG85" i="80"/>
  <c r="X95" i="80"/>
  <c r="BD156" i="80"/>
  <c r="BD162" i="80"/>
  <c r="AE23" i="80"/>
  <c r="X26" i="80"/>
  <c r="AB95" i="80"/>
  <c r="X98" i="80"/>
  <c r="AB23" i="80"/>
  <c r="AD23" i="80" s="1"/>
  <c r="X13" i="80"/>
  <c r="AG23" i="80"/>
  <c r="AG160" i="80" s="1"/>
  <c r="AE95" i="80"/>
  <c r="AB98" i="80"/>
  <c r="Q42" i="80"/>
  <c r="X24" i="80"/>
  <c r="AB26" i="80"/>
  <c r="AE98" i="80"/>
  <c r="AE24" i="80"/>
  <c r="AE91" i="80"/>
  <c r="AF91" i="80" s="1"/>
  <c r="X148" i="80"/>
  <c r="AE157" i="80"/>
  <c r="AE148" i="80"/>
  <c r="AG157" i="80"/>
  <c r="AG148" i="80"/>
  <c r="AD20" i="80"/>
  <c r="AB19" i="80"/>
  <c r="AB61" i="80"/>
  <c r="Z92" i="80"/>
  <c r="Z20" i="80"/>
  <c r="AE19" i="80"/>
  <c r="X42" i="80"/>
  <c r="AD92" i="80"/>
  <c r="X157" i="80"/>
  <c r="AB42" i="80"/>
  <c r="AE42" i="80"/>
  <c r="AD13" i="80"/>
  <c r="BD157" i="80"/>
  <c r="BD163" i="80"/>
  <c r="BD158" i="80"/>
  <c r="BD169" i="80"/>
  <c r="M151" i="80"/>
  <c r="S24" i="80"/>
  <c r="M88" i="80"/>
  <c r="O88" i="80" s="1"/>
  <c r="AY104" i="80"/>
  <c r="BC104" i="80" s="1"/>
  <c r="O97" i="80"/>
  <c r="Q156" i="80"/>
  <c r="BD161" i="80"/>
  <c r="G23" i="80"/>
  <c r="K98" i="80"/>
  <c r="F151" i="80"/>
  <c r="AU151" i="80" s="1"/>
  <c r="AU22" i="80"/>
  <c r="AY22" i="80" s="1"/>
  <c r="BC22" i="80" s="1"/>
  <c r="O98" i="80"/>
  <c r="BF151" i="80"/>
  <c r="BD160" i="80"/>
  <c r="BC153" i="80"/>
  <c r="BD153" i="80" s="1"/>
  <c r="I155" i="80"/>
  <c r="AY14" i="80"/>
  <c r="BC14" i="80" s="1"/>
  <c r="F158" i="80"/>
  <c r="AU158" i="80" s="1"/>
  <c r="F160" i="80"/>
  <c r="AU160" i="80" s="1"/>
  <c r="AU24" i="80"/>
  <c r="AY24" i="80" s="1"/>
  <c r="I169" i="80"/>
  <c r="G92" i="80"/>
  <c r="O23" i="80"/>
  <c r="BF156" i="80"/>
  <c r="BF162" i="80"/>
  <c r="K85" i="80"/>
  <c r="G90" i="80"/>
  <c r="BF157" i="80"/>
  <c r="BF163" i="80"/>
  <c r="AU85" i="80"/>
  <c r="AY85" i="80" s="1"/>
  <c r="BF158" i="80"/>
  <c r="BF169" i="80"/>
  <c r="BE165" i="80"/>
  <c r="BF165" i="80" s="1"/>
  <c r="F60" i="80"/>
  <c r="F61" i="80" s="1"/>
  <c r="F83" i="80"/>
  <c r="M156" i="80"/>
  <c r="O19" i="80"/>
  <c r="K19" i="80"/>
  <c r="G24" i="80"/>
  <c r="I16" i="80"/>
  <c r="Q16" i="80"/>
  <c r="AG86" i="80" s="1"/>
  <c r="K18" i="80"/>
  <c r="K86" i="80"/>
  <c r="F150" i="80"/>
  <c r="I160" i="80"/>
  <c r="K23" i="80"/>
  <c r="Q88" i="80"/>
  <c r="S97" i="80"/>
  <c r="G13" i="80"/>
  <c r="O18" i="80"/>
  <c r="AU18" i="80"/>
  <c r="S85" i="80"/>
  <c r="S86" i="80"/>
  <c r="AY93" i="80"/>
  <c r="BC93" i="80" s="1"/>
  <c r="K13" i="80"/>
  <c r="G20" i="80"/>
  <c r="Q160" i="80"/>
  <c r="S23" i="80"/>
  <c r="AU23" i="80"/>
  <c r="Q155" i="80"/>
  <c r="S18" i="80"/>
  <c r="I157" i="80"/>
  <c r="K20" i="80"/>
  <c r="G25" i="80"/>
  <c r="F162" i="80"/>
  <c r="F163" i="80"/>
  <c r="G26" i="80"/>
  <c r="K32" i="80"/>
  <c r="S93" i="80"/>
  <c r="M157" i="80"/>
  <c r="M42" i="80"/>
  <c r="G21" i="80"/>
  <c r="I162" i="80"/>
  <c r="K25" i="80"/>
  <c r="I91" i="80"/>
  <c r="K92" i="80"/>
  <c r="I150" i="80"/>
  <c r="I151" i="80"/>
  <c r="K14" i="80"/>
  <c r="S19" i="80"/>
  <c r="F16" i="80"/>
  <c r="O20" i="80"/>
  <c r="AU20" i="80"/>
  <c r="O24" i="80"/>
  <c r="K26" i="80"/>
  <c r="AU26" i="80"/>
  <c r="AY26" i="80" s="1"/>
  <c r="BC26" i="80" s="1"/>
  <c r="Q169" i="80"/>
  <c r="S32" i="80"/>
  <c r="F169" i="80"/>
  <c r="G32" i="80"/>
  <c r="M150" i="80"/>
  <c r="G14" i="80"/>
  <c r="O13" i="80"/>
  <c r="AU13" i="80"/>
  <c r="AV14" i="80" s="1"/>
  <c r="I28" i="80"/>
  <c r="K28" i="80" s="1"/>
  <c r="Q150" i="80"/>
  <c r="S13" i="80"/>
  <c r="O14" i="80"/>
  <c r="Q157" i="80"/>
  <c r="S20" i="80"/>
  <c r="K21" i="80"/>
  <c r="O25" i="80"/>
  <c r="AU25" i="80"/>
  <c r="AY25" i="80" s="1"/>
  <c r="M163" i="80"/>
  <c r="O26" i="80"/>
  <c r="M28" i="80"/>
  <c r="O28" i="80" s="1"/>
  <c r="AY32" i="80"/>
  <c r="BC32" i="80" s="1"/>
  <c r="K95" i="80"/>
  <c r="K90" i="80"/>
  <c r="G22" i="80"/>
  <c r="Q163" i="80"/>
  <c r="S26" i="80"/>
  <c r="S14" i="80"/>
  <c r="M16" i="80"/>
  <c r="O21" i="80"/>
  <c r="AU21" i="80"/>
  <c r="K22" i="80"/>
  <c r="S25" i="80"/>
  <c r="I88" i="80"/>
  <c r="O91" i="80"/>
  <c r="S95" i="80"/>
  <c r="Q158" i="80"/>
  <c r="S21" i="80"/>
  <c r="AU86" i="80"/>
  <c r="G86" i="80"/>
  <c r="S91" i="80"/>
  <c r="O95" i="80"/>
  <c r="G104" i="80"/>
  <c r="AY90" i="80"/>
  <c r="BC90" i="80" s="1"/>
  <c r="G97" i="80"/>
  <c r="K104" i="80"/>
  <c r="G93" i="80"/>
  <c r="K97" i="80"/>
  <c r="F88" i="80"/>
  <c r="O92" i="80"/>
  <c r="AU92" i="80"/>
  <c r="G98" i="80"/>
  <c r="O104" i="80"/>
  <c r="S92" i="80"/>
  <c r="K93" i="80"/>
  <c r="S104" i="80"/>
  <c r="O32" i="80"/>
  <c r="O93" i="80"/>
  <c r="BC165" i="80"/>
  <c r="BD165" i="80" s="1"/>
  <c r="G95" i="80"/>
  <c r="AU98" i="80"/>
  <c r="F91" i="80"/>
  <c r="AY97" i="80"/>
  <c r="S98" i="80"/>
  <c r="BE153" i="80"/>
  <c r="BD159" i="80"/>
  <c r="BF159" i="80"/>
  <c r="AB94" i="80" l="1"/>
  <c r="AD94" i="80" s="1"/>
  <c r="AG22" i="80"/>
  <c r="AG94" i="80"/>
  <c r="AH94" i="80" s="1"/>
  <c r="Q28" i="80"/>
  <c r="S28" i="80" s="1"/>
  <c r="S22" i="80"/>
  <c r="F30" i="80"/>
  <c r="F34" i="80" s="1"/>
  <c r="G16" i="80"/>
  <c r="G28" i="80"/>
  <c r="AE94" i="80"/>
  <c r="AF94" i="80" s="1"/>
  <c r="X22" i="80"/>
  <c r="Z22" i="80" s="1"/>
  <c r="AB22" i="80"/>
  <c r="AB159" i="80" s="1"/>
  <c r="AH24" i="80"/>
  <c r="AH25" i="80"/>
  <c r="AH26" i="80"/>
  <c r="AH86" i="80"/>
  <c r="AH32" i="80"/>
  <c r="AH13" i="80"/>
  <c r="X94" i="80"/>
  <c r="Z94" i="80" s="1"/>
  <c r="AB161" i="80"/>
  <c r="G155" i="80"/>
  <c r="K163" i="80"/>
  <c r="X161" i="80"/>
  <c r="AF23" i="80"/>
  <c r="AF26" i="80"/>
  <c r="AE61" i="80"/>
  <c r="AE150" i="80"/>
  <c r="AF150" i="80" s="1"/>
  <c r="AY158" i="80"/>
  <c r="AV93" i="80"/>
  <c r="AV97" i="80"/>
  <c r="Z98" i="80"/>
  <c r="Z95" i="80"/>
  <c r="AD104" i="80"/>
  <c r="AD95" i="80"/>
  <c r="AH97" i="80"/>
  <c r="AG162" i="80"/>
  <c r="AG156" i="80"/>
  <c r="AH156" i="80" s="1"/>
  <c r="AE162" i="80"/>
  <c r="AE169" i="80"/>
  <c r="AE161" i="80"/>
  <c r="AB150" i="80"/>
  <c r="AZ104" i="80"/>
  <c r="AD85" i="80"/>
  <c r="AD98" i="80"/>
  <c r="AD97" i="80"/>
  <c r="Z96" i="80"/>
  <c r="AV98" i="80"/>
  <c r="AH23" i="80"/>
  <c r="Z24" i="80"/>
  <c r="AE22" i="80"/>
  <c r="AF32" i="80"/>
  <c r="X156" i="80"/>
  <c r="Z156" i="80" s="1"/>
  <c r="AB160" i="80"/>
  <c r="AH85" i="80"/>
  <c r="AF85" i="80"/>
  <c r="AD157" i="80"/>
  <c r="AF98" i="80"/>
  <c r="AB163" i="80"/>
  <c r="AE160" i="80"/>
  <c r="AF157" i="80"/>
  <c r="AG169" i="80"/>
  <c r="O151" i="80"/>
  <c r="AG161" i="80"/>
  <c r="AB169" i="80"/>
  <c r="AF96" i="80"/>
  <c r="X169" i="80"/>
  <c r="Z32" i="80"/>
  <c r="AG88" i="80"/>
  <c r="AE14" i="80"/>
  <c r="AE163" i="80"/>
  <c r="X160" i="80"/>
  <c r="Z23" i="80"/>
  <c r="AB14" i="80"/>
  <c r="AG14" i="80"/>
  <c r="AE93" i="80"/>
  <c r="AF93" i="80" s="1"/>
  <c r="AG21" i="80"/>
  <c r="X93" i="80"/>
  <c r="Z93" i="80" s="1"/>
  <c r="AE21" i="80"/>
  <c r="AB93" i="80"/>
  <c r="AD93" i="80" s="1"/>
  <c r="AB21" i="80"/>
  <c r="X21" i="80"/>
  <c r="AG93" i="80"/>
  <c r="AH93" i="80" s="1"/>
  <c r="Z157" i="80"/>
  <c r="AE86" i="80"/>
  <c r="AF86" i="80" s="1"/>
  <c r="X86" i="80"/>
  <c r="Z86" i="80" s="1"/>
  <c r="X14" i="80"/>
  <c r="X16" i="80" s="1"/>
  <c r="AF104" i="80"/>
  <c r="AF97" i="80"/>
  <c r="AY155" i="80"/>
  <c r="AF24" i="80"/>
  <c r="X150" i="80"/>
  <c r="AF95" i="80"/>
  <c r="X61" i="80"/>
  <c r="AG150" i="80"/>
  <c r="AH96" i="80"/>
  <c r="X163" i="80"/>
  <c r="Z26" i="80"/>
  <c r="AF25" i="80"/>
  <c r="AB162" i="80"/>
  <c r="AD25" i="80"/>
  <c r="Z13" i="80"/>
  <c r="AD32" i="80"/>
  <c r="AB86" i="80"/>
  <c r="AD26" i="80"/>
  <c r="AH157" i="80"/>
  <c r="AH98" i="80"/>
  <c r="AH104" i="80"/>
  <c r="Z97" i="80"/>
  <c r="X162" i="80"/>
  <c r="Z25" i="80"/>
  <c r="AH95" i="80"/>
  <c r="Z104" i="80"/>
  <c r="AD19" i="80"/>
  <c r="AB156" i="80"/>
  <c r="AD156" i="80" s="1"/>
  <c r="AF19" i="80"/>
  <c r="AE156" i="80"/>
  <c r="AF156" i="80" s="1"/>
  <c r="S162" i="80"/>
  <c r="K169" i="80"/>
  <c r="G158" i="80"/>
  <c r="S156" i="80"/>
  <c r="G160" i="80"/>
  <c r="AV95" i="80"/>
  <c r="AV85" i="80"/>
  <c r="G151" i="80"/>
  <c r="AZ97" i="80"/>
  <c r="K158" i="80"/>
  <c r="K155" i="80"/>
  <c r="AV20" i="80"/>
  <c r="AZ95" i="80"/>
  <c r="AV104" i="80"/>
  <c r="AU88" i="80"/>
  <c r="AV92" i="80"/>
  <c r="AV86" i="80"/>
  <c r="AV24" i="80"/>
  <c r="AV18" i="80"/>
  <c r="AV90" i="80"/>
  <c r="AV23" i="80"/>
  <c r="BC85" i="80"/>
  <c r="AZ85" i="80"/>
  <c r="O169" i="80"/>
  <c r="S169" i="80"/>
  <c r="AY98" i="80"/>
  <c r="O158" i="80"/>
  <c r="AV26" i="80"/>
  <c r="AY92" i="80"/>
  <c r="AU162" i="80"/>
  <c r="AY162" i="80" s="1"/>
  <c r="G162" i="80"/>
  <c r="AV32" i="80"/>
  <c r="BC25" i="80"/>
  <c r="M30" i="80"/>
  <c r="O16" i="80"/>
  <c r="O162" i="80"/>
  <c r="S155" i="80"/>
  <c r="K16" i="80"/>
  <c r="I30" i="80"/>
  <c r="BC97" i="80"/>
  <c r="G169" i="80"/>
  <c r="AU169" i="80"/>
  <c r="S160" i="80"/>
  <c r="F153" i="80"/>
  <c r="G150" i="80"/>
  <c r="AU150" i="80"/>
  <c r="AY150" i="80" s="1"/>
  <c r="S151" i="80"/>
  <c r="G157" i="80"/>
  <c r="K91" i="80"/>
  <c r="BE167" i="80"/>
  <c r="BF153" i="80"/>
  <c r="O163" i="80"/>
  <c r="S157" i="80"/>
  <c r="AV13" i="80"/>
  <c r="AU16" i="80"/>
  <c r="BC24" i="80"/>
  <c r="F148" i="80"/>
  <c r="F108" i="80"/>
  <c r="O150" i="80"/>
  <c r="M153" i="80"/>
  <c r="O155" i="80"/>
  <c r="BC167" i="80"/>
  <c r="G88" i="80"/>
  <c r="AZ90" i="80"/>
  <c r="AV25" i="80"/>
  <c r="K162" i="80"/>
  <c r="AZ93" i="80"/>
  <c r="K160" i="80"/>
  <c r="AY160" i="80"/>
  <c r="AY13" i="80"/>
  <c r="AZ24" i="80" s="1"/>
  <c r="I156" i="80"/>
  <c r="K151" i="80"/>
  <c r="AY151" i="80"/>
  <c r="AY23" i="80"/>
  <c r="AY18" i="80"/>
  <c r="K157" i="80"/>
  <c r="AY157" i="80"/>
  <c r="O160" i="80"/>
  <c r="F156" i="80"/>
  <c r="AU19" i="80"/>
  <c r="G19" i="80"/>
  <c r="AU28" i="80"/>
  <c r="AV28" i="80" s="1"/>
  <c r="S158" i="80"/>
  <c r="S150" i="80"/>
  <c r="Q153" i="80"/>
  <c r="I153" i="80"/>
  <c r="K150" i="80"/>
  <c r="AV22" i="80"/>
  <c r="G91" i="80"/>
  <c r="AU91" i="80"/>
  <c r="AV91" i="80" s="1"/>
  <c r="AY20" i="80"/>
  <c r="K88" i="80"/>
  <c r="AY86" i="80"/>
  <c r="S16" i="80"/>
  <c r="AV21" i="80"/>
  <c r="AY21" i="80"/>
  <c r="S163" i="80"/>
  <c r="O157" i="80"/>
  <c r="G163" i="80"/>
  <c r="AU163" i="80"/>
  <c r="S88" i="80"/>
  <c r="O156" i="80"/>
  <c r="AG159" i="80" l="1"/>
  <c r="AH159" i="80" s="1"/>
  <c r="AH22" i="80"/>
  <c r="AG18" i="80"/>
  <c r="AH18" i="80" s="1"/>
  <c r="X90" i="80"/>
  <c r="Z90" i="80" s="1"/>
  <c r="AB90" i="80"/>
  <c r="AD90" i="80" s="1"/>
  <c r="AE90" i="80"/>
  <c r="AF90" i="80" s="1"/>
  <c r="AE18" i="80"/>
  <c r="Q30" i="80"/>
  <c r="AB18" i="80"/>
  <c r="AG90" i="80"/>
  <c r="X18" i="80"/>
  <c r="Z18" i="80" s="1"/>
  <c r="AB28" i="80"/>
  <c r="AD28" i="80" s="1"/>
  <c r="AF169" i="80"/>
  <c r="AD22" i="80"/>
  <c r="AE159" i="80"/>
  <c r="AF159" i="80" s="1"/>
  <c r="AE28" i="80"/>
  <c r="AF28" i="80" s="1"/>
  <c r="X159" i="80"/>
  <c r="Z159" i="80" s="1"/>
  <c r="AF160" i="80"/>
  <c r="AD161" i="80"/>
  <c r="Z161" i="80"/>
  <c r="AF162" i="80"/>
  <c r="AF161" i="80"/>
  <c r="AF163" i="80"/>
  <c r="AF22" i="80"/>
  <c r="AD150" i="80"/>
  <c r="Q96" i="80"/>
  <c r="Q94" i="80"/>
  <c r="M94" i="80"/>
  <c r="M96" i="80"/>
  <c r="AD159" i="80"/>
  <c r="AD169" i="80"/>
  <c r="I94" i="80"/>
  <c r="I96" i="80"/>
  <c r="F96" i="80"/>
  <c r="F94" i="80"/>
  <c r="AD160" i="80"/>
  <c r="AD162" i="80"/>
  <c r="AD163" i="80"/>
  <c r="BD93" i="80"/>
  <c r="Z169" i="80"/>
  <c r="X100" i="80"/>
  <c r="Z100" i="80" s="1"/>
  <c r="Z150" i="80"/>
  <c r="Z163" i="80"/>
  <c r="Z162" i="80"/>
  <c r="AV88" i="80"/>
  <c r="AG100" i="80"/>
  <c r="AH100" i="80" s="1"/>
  <c r="Z160" i="80"/>
  <c r="AH160" i="80"/>
  <c r="Z16" i="80"/>
  <c r="AB100" i="80"/>
  <c r="AD100" i="80" s="1"/>
  <c r="AH14" i="80"/>
  <c r="AG151" i="80"/>
  <c r="AH151" i="80" s="1"/>
  <c r="AG16" i="80"/>
  <c r="AH88" i="80"/>
  <c r="AB151" i="80"/>
  <c r="AD14" i="80"/>
  <c r="AB16" i="80"/>
  <c r="AH169" i="80"/>
  <c r="AH163" i="80"/>
  <c r="AH150" i="80"/>
  <c r="AH161" i="80"/>
  <c r="AH162" i="80"/>
  <c r="X158" i="80"/>
  <c r="Z158" i="80" s="1"/>
  <c r="Z21" i="80"/>
  <c r="AE100" i="80"/>
  <c r="AF100" i="80" s="1"/>
  <c r="AB158" i="80"/>
  <c r="AD158" i="80" s="1"/>
  <c r="AD21" i="80"/>
  <c r="X88" i="80"/>
  <c r="X28" i="80"/>
  <c r="Z28" i="80" s="1"/>
  <c r="AE88" i="80"/>
  <c r="AD86" i="80"/>
  <c r="AB88" i="80"/>
  <c r="AG28" i="80"/>
  <c r="AH28" i="80" s="1"/>
  <c r="AE158" i="80"/>
  <c r="AF158" i="80" s="1"/>
  <c r="AF21" i="80"/>
  <c r="Z14" i="80"/>
  <c r="X151" i="80"/>
  <c r="AG158" i="80"/>
  <c r="AH158" i="80" s="1"/>
  <c r="AH21" i="80"/>
  <c r="AF14" i="80"/>
  <c r="AE151" i="80"/>
  <c r="AE16" i="80"/>
  <c r="BD104" i="80"/>
  <c r="AZ162" i="80"/>
  <c r="AY91" i="80"/>
  <c r="AZ91" i="80" s="1"/>
  <c r="BD90" i="80"/>
  <c r="AV163" i="80"/>
  <c r="AY163" i="80"/>
  <c r="AZ163" i="80" s="1"/>
  <c r="K30" i="80"/>
  <c r="I34" i="80"/>
  <c r="K34" i="80" s="1"/>
  <c r="AZ98" i="80"/>
  <c r="BC98" i="80"/>
  <c r="AY153" i="80"/>
  <c r="AZ150" i="80"/>
  <c r="AZ86" i="80"/>
  <c r="BC86" i="80"/>
  <c r="BC88" i="80" s="1"/>
  <c r="AZ151" i="80"/>
  <c r="AU153" i="80"/>
  <c r="AV150" i="80"/>
  <c r="AZ157" i="80"/>
  <c r="AV155" i="80"/>
  <c r="AV158" i="80"/>
  <c r="BC171" i="80"/>
  <c r="BD171" i="80" s="1"/>
  <c r="BD167" i="80"/>
  <c r="AZ26" i="80"/>
  <c r="AU30" i="80"/>
  <c r="AV16" i="80"/>
  <c r="G153" i="80"/>
  <c r="AZ21" i="80"/>
  <c r="BC21" i="80"/>
  <c r="AV151" i="80"/>
  <c r="AZ158" i="80"/>
  <c r="AZ20" i="80"/>
  <c r="BC20" i="80"/>
  <c r="S153" i="80"/>
  <c r="O153" i="80"/>
  <c r="AV160" i="80"/>
  <c r="O30" i="80"/>
  <c r="M34" i="80"/>
  <c r="O34" i="80" s="1"/>
  <c r="AZ155" i="80"/>
  <c r="K156" i="80"/>
  <c r="AV162" i="80"/>
  <c r="I83" i="80"/>
  <c r="I36" i="80"/>
  <c r="I60" i="80"/>
  <c r="I61" i="80" s="1"/>
  <c r="AZ13" i="80"/>
  <c r="AY16" i="80"/>
  <c r="BC13" i="80"/>
  <c r="BD25" i="80" s="1"/>
  <c r="AZ14" i="80"/>
  <c r="AZ22" i="80"/>
  <c r="AV19" i="80"/>
  <c r="AY19" i="80"/>
  <c r="AZ25" i="80"/>
  <c r="AZ92" i="80"/>
  <c r="BC92" i="80"/>
  <c r="AU156" i="80"/>
  <c r="AV156" i="80" s="1"/>
  <c r="G156" i="80"/>
  <c r="G30" i="80"/>
  <c r="AZ32" i="80"/>
  <c r="AY88" i="80"/>
  <c r="AZ18" i="80"/>
  <c r="BC18" i="80"/>
  <c r="K153" i="80"/>
  <c r="BC23" i="80"/>
  <c r="AZ23" i="80"/>
  <c r="AY28" i="80"/>
  <c r="AZ28" i="80" s="1"/>
  <c r="AZ160" i="80"/>
  <c r="BD97" i="80"/>
  <c r="BE171" i="80"/>
  <c r="BF171" i="80" s="1"/>
  <c r="BF167" i="80"/>
  <c r="AV169" i="80"/>
  <c r="AY169" i="80"/>
  <c r="AZ169" i="80" s="1"/>
  <c r="AV157" i="80"/>
  <c r="BD85" i="80"/>
  <c r="BD95" i="80"/>
  <c r="AE155" i="80" l="1"/>
  <c r="AF155" i="80" s="1"/>
  <c r="AF18" i="80"/>
  <c r="S30" i="80"/>
  <c r="Q34" i="80"/>
  <c r="S34" i="80" s="1"/>
  <c r="AD18" i="80"/>
  <c r="AB155" i="80"/>
  <c r="AH90" i="80"/>
  <c r="AG155" i="80"/>
  <c r="X155" i="80"/>
  <c r="Z155" i="80" s="1"/>
  <c r="AG102" i="80"/>
  <c r="AH102" i="80" s="1"/>
  <c r="S94" i="80"/>
  <c r="Q100" i="80"/>
  <c r="Q159" i="80"/>
  <c r="Q161" i="80"/>
  <c r="S161" i="80" s="1"/>
  <c r="S96" i="80"/>
  <c r="M100" i="80"/>
  <c r="M159" i="80"/>
  <c r="O94" i="80"/>
  <c r="M161" i="80"/>
  <c r="O161" i="80" s="1"/>
  <c r="O96" i="80"/>
  <c r="I161" i="80"/>
  <c r="K161" i="80" s="1"/>
  <c r="K96" i="80"/>
  <c r="BC91" i="80"/>
  <c r="BD91" i="80" s="1"/>
  <c r="I159" i="80"/>
  <c r="K94" i="80"/>
  <c r="I100" i="80"/>
  <c r="AU94" i="80"/>
  <c r="F100" i="80"/>
  <c r="G94" i="80"/>
  <c r="F159" i="80"/>
  <c r="AU96" i="80"/>
  <c r="F161" i="80"/>
  <c r="G96" i="80"/>
  <c r="AD88" i="80"/>
  <c r="AB102" i="80"/>
  <c r="AE165" i="80"/>
  <c r="AF165" i="80" s="1"/>
  <c r="X30" i="80"/>
  <c r="AF151" i="80"/>
  <c r="AE153" i="80"/>
  <c r="Z151" i="80"/>
  <c r="X153" i="80"/>
  <c r="AG153" i="80"/>
  <c r="AH155" i="80"/>
  <c r="AG165" i="80"/>
  <c r="AH165" i="80" s="1"/>
  <c r="AG30" i="80"/>
  <c r="AH16" i="80"/>
  <c r="X102" i="80"/>
  <c r="Z88" i="80"/>
  <c r="AD155" i="80"/>
  <c r="AB165" i="80"/>
  <c r="AD165" i="80" s="1"/>
  <c r="AB30" i="80"/>
  <c r="AD16" i="80"/>
  <c r="AF16" i="80"/>
  <c r="AE30" i="80"/>
  <c r="AF88" i="80"/>
  <c r="AE102" i="80"/>
  <c r="X165" i="80"/>
  <c r="Z165" i="80" s="1"/>
  <c r="AD151" i="80"/>
  <c r="AB153" i="80"/>
  <c r="M83" i="80"/>
  <c r="M60" i="80"/>
  <c r="M61" i="80" s="1"/>
  <c r="M36" i="80"/>
  <c r="BD23" i="80"/>
  <c r="BC28" i="80"/>
  <c r="BD28" i="80" s="1"/>
  <c r="AY156" i="80"/>
  <c r="AZ156" i="80" s="1"/>
  <c r="BD21" i="80"/>
  <c r="BD98" i="80"/>
  <c r="AZ153" i="80"/>
  <c r="BD20" i="80"/>
  <c r="BD92" i="80"/>
  <c r="AV153" i="80"/>
  <c r="I108" i="80"/>
  <c r="I148" i="80"/>
  <c r="BD88" i="80"/>
  <c r="AU34" i="80"/>
  <c r="AV34" i="80" s="1"/>
  <c r="AV30" i="80"/>
  <c r="AZ19" i="80"/>
  <c r="BC19" i="80"/>
  <c r="BC16" i="80"/>
  <c r="BD13" i="80"/>
  <c r="BD26" i="80"/>
  <c r="BD32" i="80"/>
  <c r="BD14" i="80"/>
  <c r="BD22" i="80"/>
  <c r="BD24" i="80"/>
  <c r="BD18" i="80"/>
  <c r="AY30" i="80"/>
  <c r="AZ16" i="80"/>
  <c r="BD86" i="80"/>
  <c r="F57" i="80"/>
  <c r="G34" i="80"/>
  <c r="AZ88" i="80"/>
  <c r="AG106" i="80" l="1"/>
  <c r="AH106" i="80" s="1"/>
  <c r="S159" i="80"/>
  <c r="Q165" i="80"/>
  <c r="S100" i="80"/>
  <c r="Q102" i="80"/>
  <c r="M165" i="80"/>
  <c r="O159" i="80"/>
  <c r="O100" i="80"/>
  <c r="M102" i="80"/>
  <c r="K159" i="80"/>
  <c r="I165" i="80"/>
  <c r="K100" i="80"/>
  <c r="I102" i="80"/>
  <c r="AY96" i="80"/>
  <c r="AV96" i="80"/>
  <c r="AU159" i="80"/>
  <c r="G159" i="80"/>
  <c r="F165" i="80"/>
  <c r="AY94" i="80"/>
  <c r="AV94" i="80"/>
  <c r="AU100" i="80"/>
  <c r="G100" i="80"/>
  <c r="F102" i="80"/>
  <c r="AU161" i="80"/>
  <c r="G161" i="80"/>
  <c r="AH30" i="80"/>
  <c r="AG34" i="80"/>
  <c r="AH34" i="80" s="1"/>
  <c r="AD102" i="80"/>
  <c r="AB106" i="80"/>
  <c r="AD106" i="80" s="1"/>
  <c r="AE106" i="80"/>
  <c r="AF106" i="80" s="1"/>
  <c r="AF102" i="80"/>
  <c r="X106" i="80"/>
  <c r="Z106" i="80" s="1"/>
  <c r="Z102" i="80"/>
  <c r="AE34" i="80"/>
  <c r="AF34" i="80" s="1"/>
  <c r="AF30" i="80"/>
  <c r="AG167" i="80"/>
  <c r="AH153" i="80"/>
  <c r="X167" i="80"/>
  <c r="Z153" i="80"/>
  <c r="AB34" i="80"/>
  <c r="AD34" i="80" s="1"/>
  <c r="AD30" i="80"/>
  <c r="AB167" i="80"/>
  <c r="AD153" i="80"/>
  <c r="X34" i="80"/>
  <c r="Z30" i="80"/>
  <c r="AF153" i="80"/>
  <c r="AE167" i="80"/>
  <c r="BD19" i="80"/>
  <c r="AZ30" i="80"/>
  <c r="AY34" i="80"/>
  <c r="AZ34" i="80" s="1"/>
  <c r="BC30" i="80"/>
  <c r="BD16" i="80"/>
  <c r="Q83" i="80"/>
  <c r="Q36" i="80"/>
  <c r="Q60" i="80"/>
  <c r="Q61" i="80" s="1"/>
  <c r="M148" i="80"/>
  <c r="M108" i="80"/>
  <c r="Q106" i="80" l="1"/>
  <c r="S106" i="80" s="1"/>
  <c r="S102" i="80"/>
  <c r="S165" i="80"/>
  <c r="Q167" i="80"/>
  <c r="M106" i="80"/>
  <c r="O106" i="80" s="1"/>
  <c r="O102" i="80"/>
  <c r="O165" i="80"/>
  <c r="M167" i="80"/>
  <c r="K102" i="80"/>
  <c r="I106" i="80"/>
  <c r="K106" i="80" s="1"/>
  <c r="K165" i="80"/>
  <c r="I167" i="80"/>
  <c r="BC94" i="80"/>
  <c r="AZ94" i="80"/>
  <c r="AY100" i="80"/>
  <c r="G165" i="80"/>
  <c r="F167" i="80"/>
  <c r="BC96" i="80"/>
  <c r="BD96" i="80" s="1"/>
  <c r="AZ96" i="80"/>
  <c r="AV100" i="80"/>
  <c r="AU102" i="80"/>
  <c r="AY159" i="80"/>
  <c r="AV159" i="80"/>
  <c r="AU165" i="80"/>
  <c r="AY161" i="80"/>
  <c r="AZ161" i="80" s="1"/>
  <c r="AV161" i="80"/>
  <c r="F106" i="80"/>
  <c r="G106" i="80" s="1"/>
  <c r="G102" i="80"/>
  <c r="X171" i="80"/>
  <c r="Z171" i="80" s="1"/>
  <c r="Z167" i="80"/>
  <c r="AG171" i="80"/>
  <c r="AH171" i="80" s="1"/>
  <c r="AH167" i="80"/>
  <c r="AE171" i="80"/>
  <c r="AF171" i="80" s="1"/>
  <c r="AF167" i="80"/>
  <c r="Z34" i="80"/>
  <c r="X57" i="80"/>
  <c r="AD167" i="80"/>
  <c r="AB171" i="80"/>
  <c r="AD171" i="80" s="1"/>
  <c r="Q108" i="80"/>
  <c r="Q148" i="80"/>
  <c r="BC34" i="80"/>
  <c r="BD34" i="80" s="1"/>
  <c r="BD30" i="80"/>
  <c r="AG37" i="110" l="1" a="1"/>
  <c r="Q171" i="80"/>
  <c r="S171" i="80" s="1"/>
  <c r="S167" i="80"/>
  <c r="O167" i="80"/>
  <c r="M171" i="80"/>
  <c r="O171" i="80" s="1"/>
  <c r="I171" i="80"/>
  <c r="K171" i="80" s="1"/>
  <c r="K167" i="80"/>
  <c r="BD94" i="80"/>
  <c r="BC100" i="80"/>
  <c r="AV165" i="80"/>
  <c r="AU167" i="80"/>
  <c r="AZ159" i="80"/>
  <c r="AY165" i="80"/>
  <c r="AV102" i="80"/>
  <c r="AU106" i="80"/>
  <c r="AV106" i="80" s="1"/>
  <c r="F171" i="80"/>
  <c r="G171" i="80" s="1"/>
  <c r="G167" i="80"/>
  <c r="AZ100" i="80"/>
  <c r="AY102" i="80"/>
  <c r="BQ37" i="110" l="1" a="1"/>
  <c r="G19" i="107"/>
  <c r="AH37" i="110"/>
  <c r="AY106" i="80"/>
  <c r="AZ106" i="80" s="1"/>
  <c r="AZ102" i="80"/>
  <c r="AZ165" i="80"/>
  <c r="AY167" i="80"/>
  <c r="AV167" i="80"/>
  <c r="AU171" i="80"/>
  <c r="AV171" i="80" s="1"/>
  <c r="BD100" i="80"/>
  <c r="BC102" i="80"/>
  <c r="G7" i="141" l="1"/>
  <c r="BR37" i="110"/>
  <c r="H19" i="107"/>
  <c r="G23" i="107"/>
  <c r="G21" i="107"/>
  <c r="BC106" i="80"/>
  <c r="BD106" i="80" s="1"/>
  <c r="BD102" i="80"/>
  <c r="AY171" i="80"/>
  <c r="AZ171" i="80" s="1"/>
  <c r="AZ167" i="80"/>
  <c r="H7" i="141" l="1"/>
  <c r="G11" i="141"/>
  <c r="G9" i="141"/>
  <c r="H21" i="107"/>
  <c r="H23" i="107"/>
  <c r="F3" i="80"/>
  <c r="H9" i="141" l="1"/>
  <c r="H11" i="141"/>
  <c r="F4" i="80"/>
  <c r="D3" i="80"/>
  <c r="AK9" i="80" l="1"/>
  <c r="AK81" i="80" s="1"/>
  <c r="AK146" i="80" s="1"/>
  <c r="AU9" i="80"/>
  <c r="AU81" i="80" s="1"/>
  <c r="AU146" i="80" s="1"/>
  <c r="D4" i="80"/>
  <c r="F5" i="80"/>
  <c r="F6" i="80" l="1"/>
  <c r="D5" i="80"/>
  <c r="AM9" i="80"/>
  <c r="AM81" i="80" s="1"/>
  <c r="AM146" i="80" s="1"/>
  <c r="AY9" i="80"/>
  <c r="AY81" i="80" s="1"/>
  <c r="AY146" i="80" s="1"/>
  <c r="BC9" i="80" l="1"/>
  <c r="BC81" i="80" s="1"/>
  <c r="BC146" i="80" s="1"/>
  <c r="AO9" i="80"/>
  <c r="AO81" i="80" s="1"/>
  <c r="AO146" i="80" s="1"/>
  <c r="D6" i="80"/>
  <c r="F7" i="80"/>
  <c r="D7" i="80" s="1"/>
  <c r="C3" i="35"/>
  <c r="C4" i="35" s="1"/>
  <c r="C5" i="35" s="1"/>
  <c r="AQ9" i="80" l="1"/>
  <c r="AQ81" i="80" s="1"/>
  <c r="AQ146" i="80" s="1"/>
  <c r="C9" i="80" l="1"/>
  <c r="B9" i="80"/>
  <c r="AO13" i="80" l="1"/>
  <c r="AQ13" i="80"/>
  <c r="AK13" i="80"/>
  <c r="AM13" i="80"/>
  <c r="AP13" i="80" l="1"/>
  <c r="AL13" i="80"/>
  <c r="AW13" i="80"/>
  <c r="AX13" i="80" s="1"/>
  <c r="AR13" i="80"/>
  <c r="AN13" i="80"/>
  <c r="BA13" i="80" l="1"/>
  <c r="BB13" i="80" s="1"/>
  <c r="BE13" i="80" l="1"/>
  <c r="BF13" i="80" s="1"/>
  <c r="AK98" i="80" l="1"/>
  <c r="AM98" i="80" l="1"/>
  <c r="AW98" i="80"/>
  <c r="AK85" i="80"/>
  <c r="AW85" i="80" l="1"/>
  <c r="AX98" i="80" s="1"/>
  <c r="AL85" i="80"/>
  <c r="AM85" i="80"/>
  <c r="AN98" i="80" s="1"/>
  <c r="AK150" i="80"/>
  <c r="AL98" i="80"/>
  <c r="AO98" i="80"/>
  <c r="BA98" i="80"/>
  <c r="AK93" i="80"/>
  <c r="AK94" i="80"/>
  <c r="AK92" i="80"/>
  <c r="AK91" i="80"/>
  <c r="AQ98" i="80" l="1"/>
  <c r="BE98" i="80"/>
  <c r="AW92" i="80"/>
  <c r="AX92" i="80" s="1"/>
  <c r="AL92" i="80"/>
  <c r="AM92" i="80"/>
  <c r="AW93" i="80"/>
  <c r="AX93" i="80" s="1"/>
  <c r="AL93" i="80"/>
  <c r="AM93" i="80"/>
  <c r="AW150" i="80"/>
  <c r="AX150" i="80" s="1"/>
  <c r="AL150" i="80"/>
  <c r="AN85" i="80"/>
  <c r="BA85" i="80"/>
  <c r="AO85" i="80"/>
  <c r="AM150" i="80"/>
  <c r="AM91" i="80"/>
  <c r="AL91" i="80"/>
  <c r="AW91" i="80"/>
  <c r="AX91" i="80" s="1"/>
  <c r="AX85" i="80"/>
  <c r="AW94" i="80"/>
  <c r="AL94" i="80"/>
  <c r="AM94" i="80"/>
  <c r="AK104" i="80"/>
  <c r="AK96" i="80"/>
  <c r="AW96" i="80" l="1"/>
  <c r="AX96" i="80" s="1"/>
  <c r="AL96" i="80"/>
  <c r="AM96" i="80"/>
  <c r="BA93" i="80"/>
  <c r="BB93" i="80" s="1"/>
  <c r="AO93" i="80"/>
  <c r="AN93" i="80"/>
  <c r="AN91" i="80"/>
  <c r="AO91" i="80"/>
  <c r="BA91" i="80"/>
  <c r="BB91" i="80" s="1"/>
  <c r="AO94" i="80"/>
  <c r="BA94" i="80"/>
  <c r="AN94" i="80"/>
  <c r="AN150" i="80"/>
  <c r="BA150" i="80"/>
  <c r="BB150" i="80" s="1"/>
  <c r="AK86" i="80"/>
  <c r="BE85" i="80"/>
  <c r="BF98" i="80" s="1"/>
  <c r="AP85" i="80"/>
  <c r="AQ85" i="80"/>
  <c r="AO86" i="80"/>
  <c r="AO150" i="80"/>
  <c r="AP150" i="80" s="1"/>
  <c r="BA92" i="80"/>
  <c r="BB92" i="80" s="1"/>
  <c r="AN92" i="80"/>
  <c r="AO92" i="80"/>
  <c r="AM86" i="80"/>
  <c r="AX94" i="80"/>
  <c r="BB85" i="80"/>
  <c r="AP98" i="80"/>
  <c r="AW104" i="80"/>
  <c r="AX104" i="80" s="1"/>
  <c r="AM104" i="80"/>
  <c r="AL104" i="80"/>
  <c r="BB98" i="80"/>
  <c r="BA104" i="80" l="1"/>
  <c r="BB104" i="80" s="1"/>
  <c r="AO104" i="80"/>
  <c r="AN104" i="80"/>
  <c r="BB94" i="80"/>
  <c r="AP94" i="80"/>
  <c r="AQ94" i="80"/>
  <c r="BE94" i="80"/>
  <c r="AO88" i="80"/>
  <c r="AP86" i="80"/>
  <c r="AR85" i="80"/>
  <c r="AQ86" i="80"/>
  <c r="AQ150" i="80"/>
  <c r="AR150" i="80" s="1"/>
  <c r="AQ91" i="80"/>
  <c r="AR91" i="80" s="1"/>
  <c r="AP91" i="80"/>
  <c r="BE91" i="80"/>
  <c r="BF91" i="80" s="1"/>
  <c r="BF85" i="80"/>
  <c r="AR98" i="80"/>
  <c r="AL86" i="80"/>
  <c r="AW86" i="80"/>
  <c r="BA86" i="80" s="1"/>
  <c r="AK88" i="80"/>
  <c r="AP93" i="80"/>
  <c r="BE93" i="80"/>
  <c r="BF93" i="80" s="1"/>
  <c r="AQ93" i="80"/>
  <c r="AR93" i="80" s="1"/>
  <c r="AO96" i="80"/>
  <c r="BA96" i="80"/>
  <c r="BB96" i="80" s="1"/>
  <c r="AN96" i="80"/>
  <c r="AM88" i="80"/>
  <c r="AN86" i="80"/>
  <c r="AQ92" i="80"/>
  <c r="AR92" i="80" s="1"/>
  <c r="AP92" i="80"/>
  <c r="BE92" i="80"/>
  <c r="BF92" i="80" s="1"/>
  <c r="BB86" i="80" l="1"/>
  <c r="BA88" i="80"/>
  <c r="BE86" i="80"/>
  <c r="AQ96" i="80"/>
  <c r="AR96" i="80" s="1"/>
  <c r="BE96" i="80"/>
  <c r="BF96" i="80" s="1"/>
  <c r="AP96" i="80"/>
  <c r="AP88" i="80"/>
  <c r="BF94" i="80"/>
  <c r="AR94" i="80"/>
  <c r="AQ88" i="80"/>
  <c r="AR86" i="80"/>
  <c r="AL88" i="80"/>
  <c r="BE104" i="80"/>
  <c r="BF104" i="80" s="1"/>
  <c r="AQ104" i="80"/>
  <c r="AR104" i="80" s="1"/>
  <c r="AP104" i="80"/>
  <c r="AN88" i="80"/>
  <c r="AX86" i="80"/>
  <c r="AW88" i="80"/>
  <c r="AR88" i="80" l="1"/>
  <c r="AX88" i="80"/>
  <c r="BF86" i="80"/>
  <c r="BE88" i="80"/>
  <c r="BB88" i="80"/>
  <c r="AK90" i="80"/>
  <c r="AM90" i="80" l="1"/>
  <c r="AL90" i="80"/>
  <c r="AW90" i="80"/>
  <c r="AX90" i="80" s="1"/>
  <c r="BF88" i="80"/>
  <c r="M200" i="80"/>
  <c r="I200" i="80" l="1"/>
  <c r="G200" i="80"/>
  <c r="F200" i="80"/>
  <c r="N200" i="80" s="1"/>
  <c r="V200" i="80"/>
  <c r="BA90" i="80"/>
  <c r="BB90" i="80" s="1"/>
  <c r="AO90" i="80"/>
  <c r="AN90" i="80"/>
  <c r="H200" i="80" l="1"/>
  <c r="J200" i="80"/>
  <c r="V209" i="80"/>
  <c r="V213" i="80" s="1"/>
  <c r="AQ90" i="80"/>
  <c r="AR90" i="80" s="1"/>
  <c r="BE90" i="80"/>
  <c r="BF90" i="80" s="1"/>
  <c r="AP90" i="80"/>
  <c r="Z200" i="80" l="1"/>
  <c r="V223" i="80"/>
  <c r="S200" i="80"/>
  <c r="V216" i="80"/>
  <c r="V219" i="80" s="1"/>
  <c r="V222" i="80"/>
  <c r="T200" i="80"/>
  <c r="S209" i="80" l="1"/>
  <c r="S213" i="80" s="1"/>
  <c r="W200" i="80"/>
  <c r="AA200" i="80"/>
  <c r="Z209" i="80"/>
  <c r="U200" i="80"/>
  <c r="T209" i="80"/>
  <c r="T213" i="80" s="1"/>
  <c r="T216" i="80" l="1"/>
  <c r="T219" i="80" s="1"/>
  <c r="T223" i="80"/>
  <c r="U213" i="80"/>
  <c r="U209" i="80"/>
  <c r="T222" i="80"/>
  <c r="Z213" i="80"/>
  <c r="Z216" i="80" s="1"/>
  <c r="AA209" i="80"/>
  <c r="Z222" i="80"/>
  <c r="S223" i="80"/>
  <c r="W213" i="80"/>
  <c r="S216" i="80"/>
  <c r="W216" i="80" s="1"/>
  <c r="S222" i="80"/>
  <c r="W209" i="80"/>
  <c r="AA222" i="80" l="1"/>
  <c r="AA216" i="80"/>
  <c r="U222" i="80"/>
  <c r="Z219" i="80"/>
  <c r="Z223" i="80"/>
  <c r="AA223" i="80" s="1"/>
  <c r="AA213" i="80"/>
  <c r="W222" i="80"/>
  <c r="S219" i="80"/>
  <c r="W219" i="80" s="1"/>
  <c r="U223" i="80"/>
  <c r="W223" i="80"/>
  <c r="U216" i="80"/>
  <c r="U219" i="80" l="1"/>
  <c r="AA219" i="80"/>
  <c r="AK26" i="80" l="1"/>
  <c r="AK20" i="80"/>
  <c r="AK24" i="80" l="1"/>
  <c r="AK157" i="80"/>
  <c r="AW20" i="80"/>
  <c r="AX20" i="80" s="1"/>
  <c r="AM20" i="80"/>
  <c r="AL20" i="80"/>
  <c r="AM26" i="80"/>
  <c r="AK163" i="80"/>
  <c r="AW26" i="80"/>
  <c r="AX26" i="80" s="1"/>
  <c r="AL26" i="80"/>
  <c r="AK32" i="80"/>
  <c r="AM163" i="80" l="1"/>
  <c r="AO26" i="80"/>
  <c r="BA26" i="80"/>
  <c r="BB26" i="80" s="1"/>
  <c r="AN26" i="80"/>
  <c r="AO20" i="80"/>
  <c r="BA20" i="80"/>
  <c r="BB20" i="80" s="1"/>
  <c r="AM157" i="80"/>
  <c r="AN20" i="80"/>
  <c r="AW157" i="80"/>
  <c r="AX157" i="80" s="1"/>
  <c r="AL157" i="80"/>
  <c r="AK169" i="80"/>
  <c r="AM32" i="80"/>
  <c r="AW32" i="80"/>
  <c r="AX32" i="80" s="1"/>
  <c r="AL32" i="80"/>
  <c r="AW24" i="80"/>
  <c r="AX24" i="80" s="1"/>
  <c r="AK161" i="80"/>
  <c r="AM24" i="80"/>
  <c r="AL24" i="80"/>
  <c r="AK14" i="80"/>
  <c r="AL163" i="80"/>
  <c r="AW163" i="80"/>
  <c r="AX163" i="80" s="1"/>
  <c r="BA24" i="80" l="1"/>
  <c r="BB24" i="80" s="1"/>
  <c r="AO24" i="80"/>
  <c r="AM161" i="80"/>
  <c r="AN24" i="80"/>
  <c r="BA157" i="80"/>
  <c r="BB157" i="80" s="1"/>
  <c r="AN157" i="80"/>
  <c r="AK151" i="80"/>
  <c r="AW14" i="80"/>
  <c r="AL14" i="80"/>
  <c r="AK16" i="80"/>
  <c r="AW161" i="80"/>
  <c r="AX161" i="80" s="1"/>
  <c r="AL161" i="80"/>
  <c r="AQ20" i="80"/>
  <c r="BE20" i="80"/>
  <c r="BF20" i="80" s="1"/>
  <c r="AO157" i="80"/>
  <c r="AP157" i="80" s="1"/>
  <c r="AP20" i="80"/>
  <c r="AM169" i="80"/>
  <c r="AO32" i="80"/>
  <c r="BA32" i="80"/>
  <c r="BB32" i="80" s="1"/>
  <c r="AN32" i="80"/>
  <c r="BE26" i="80"/>
  <c r="BF26" i="80" s="1"/>
  <c r="AQ26" i="80"/>
  <c r="AO163" i="80"/>
  <c r="AP163" i="80" s="1"/>
  <c r="AP26" i="80"/>
  <c r="AW169" i="80"/>
  <c r="AX169" i="80" s="1"/>
  <c r="AL169" i="80"/>
  <c r="BA163" i="80"/>
  <c r="BB163" i="80" s="1"/>
  <c r="AN163" i="80"/>
  <c r="AQ163" i="80" l="1"/>
  <c r="AR163" i="80" s="1"/>
  <c r="AR26" i="80"/>
  <c r="AL16" i="80"/>
  <c r="AW151" i="80"/>
  <c r="AL151" i="80"/>
  <c r="AK153" i="80"/>
  <c r="AQ32" i="80"/>
  <c r="BE32" i="80"/>
  <c r="BF32" i="80" s="1"/>
  <c r="AO169" i="80"/>
  <c r="AP169" i="80" s="1"/>
  <c r="AP32" i="80"/>
  <c r="BA169" i="80"/>
  <c r="BB169" i="80" s="1"/>
  <c r="AN169" i="80"/>
  <c r="BA161" i="80"/>
  <c r="BB161" i="80" s="1"/>
  <c r="AN161" i="80"/>
  <c r="AM14" i="80"/>
  <c r="BE24" i="80"/>
  <c r="BF24" i="80" s="1"/>
  <c r="AQ24" i="80"/>
  <c r="AO161" i="80"/>
  <c r="AP161" i="80" s="1"/>
  <c r="AP24" i="80"/>
  <c r="AX14" i="80"/>
  <c r="AW16" i="80"/>
  <c r="AQ157" i="80"/>
  <c r="AR157" i="80" s="1"/>
  <c r="AR20" i="80"/>
  <c r="AQ161" i="80" l="1"/>
  <c r="AR161" i="80" s="1"/>
  <c r="AR24" i="80"/>
  <c r="AQ169" i="80"/>
  <c r="AR169" i="80" s="1"/>
  <c r="AR32" i="80"/>
  <c r="BA14" i="80"/>
  <c r="AM151" i="80"/>
  <c r="AN14" i="80"/>
  <c r="AM16" i="80"/>
  <c r="AX16" i="80"/>
  <c r="AL153" i="80"/>
  <c r="AO14" i="80"/>
  <c r="AX151" i="80"/>
  <c r="AW153" i="80"/>
  <c r="G197" i="80"/>
  <c r="M197" i="80"/>
  <c r="G209" i="80" l="1"/>
  <c r="G219" i="80" s="1"/>
  <c r="H197" i="80"/>
  <c r="M209" i="80"/>
  <c r="M219" i="80" s="1"/>
  <c r="N197" i="80"/>
  <c r="F209" i="80"/>
  <c r="AN16" i="80"/>
  <c r="AX153" i="80"/>
  <c r="AN151" i="80"/>
  <c r="BA151" i="80"/>
  <c r="AM153" i="80"/>
  <c r="BB14" i="80"/>
  <c r="BA16" i="80"/>
  <c r="BE14" i="80"/>
  <c r="AP14" i="80"/>
  <c r="AQ14" i="80" s="1"/>
  <c r="AO151" i="80"/>
  <c r="AO16" i="80"/>
  <c r="F213" i="80" l="1"/>
  <c r="F219" i="80" s="1"/>
  <c r="M213" i="80"/>
  <c r="G213" i="80"/>
  <c r="H209" i="80"/>
  <c r="N209" i="80"/>
  <c r="BB151" i="80"/>
  <c r="BA153" i="80"/>
  <c r="AP16" i="80"/>
  <c r="AP151" i="80"/>
  <c r="AO153" i="80"/>
  <c r="AQ16" i="80"/>
  <c r="AQ151" i="80"/>
  <c r="AR14" i="80"/>
  <c r="BF14" i="80"/>
  <c r="BE16" i="80"/>
  <c r="AN153" i="80"/>
  <c r="BB16" i="80"/>
  <c r="N213" i="80" l="1"/>
  <c r="H213" i="80"/>
  <c r="M216" i="80"/>
  <c r="F216" i="80"/>
  <c r="G216" i="80"/>
  <c r="AR151" i="80"/>
  <c r="AQ153" i="80"/>
  <c r="AR16" i="80"/>
  <c r="AP153" i="80"/>
  <c r="BF16" i="80"/>
  <c r="BB153" i="80"/>
  <c r="H216" i="80" l="1"/>
  <c r="H219" i="80"/>
  <c r="F222" i="80"/>
  <c r="N216" i="80"/>
  <c r="N219" i="80"/>
  <c r="AK21" i="80"/>
  <c r="AK19" i="80"/>
  <c r="AR153" i="80"/>
  <c r="M222" i="80" l="1"/>
  <c r="N222" i="80" s="1"/>
  <c r="G222" i="80"/>
  <c r="H222" i="80" s="1"/>
  <c r="AK156" i="80"/>
  <c r="AM19" i="80"/>
  <c r="AW19" i="80"/>
  <c r="AX19" i="80" s="1"/>
  <c r="AL19" i="80"/>
  <c r="AW21" i="80"/>
  <c r="AX21" i="80" s="1"/>
  <c r="AK158" i="80"/>
  <c r="AM21" i="80"/>
  <c r="AL21" i="80"/>
  <c r="AW156" i="80" l="1"/>
  <c r="AX156" i="80" s="1"/>
  <c r="AL156" i="80"/>
  <c r="BA21" i="80"/>
  <c r="BB21" i="80" s="1"/>
  <c r="AO21" i="80"/>
  <c r="AM158" i="80"/>
  <c r="AN21" i="80"/>
  <c r="AW158" i="80"/>
  <c r="AX158" i="80" s="1"/>
  <c r="AL158" i="80"/>
  <c r="AO19" i="80"/>
  <c r="AM156" i="80"/>
  <c r="BA19" i="80"/>
  <c r="BB19" i="80" s="1"/>
  <c r="AN19" i="80"/>
  <c r="BA158" i="80" l="1"/>
  <c r="BB158" i="80" s="1"/>
  <c r="AN158" i="80"/>
  <c r="AP21" i="80"/>
  <c r="AO158" i="80"/>
  <c r="AP158" i="80" s="1"/>
  <c r="AQ21" i="80"/>
  <c r="BE21" i="80"/>
  <c r="BF21" i="80" s="1"/>
  <c r="BA156" i="80"/>
  <c r="BB156" i="80" s="1"/>
  <c r="AN156" i="80"/>
  <c r="AO156" i="80"/>
  <c r="AP156" i="80" s="1"/>
  <c r="AP19" i="80"/>
  <c r="AQ19" i="80"/>
  <c r="BE19" i="80"/>
  <c r="BF19" i="80" s="1"/>
  <c r="AQ156" i="80" l="1"/>
  <c r="AR156" i="80" s="1"/>
  <c r="AR19" i="80"/>
  <c r="AQ158" i="80"/>
  <c r="AR158" i="80" s="1"/>
  <c r="AR21" i="80"/>
  <c r="I197" i="80"/>
  <c r="J197" i="80" s="1"/>
  <c r="AV37" i="110" l="1" a="1"/>
  <c r="U37" i="110" a="1"/>
  <c r="V37" i="110" s="1"/>
  <c r="I209" i="80"/>
  <c r="I219" i="80" s="1"/>
  <c r="AK18" i="80"/>
  <c r="AW37" i="110" l="1"/>
  <c r="G13" i="108"/>
  <c r="AY37" i="110" a="1"/>
  <c r="G19" i="105"/>
  <c r="J209" i="80"/>
  <c r="I213" i="80"/>
  <c r="AK155" i="80"/>
  <c r="AW18" i="80"/>
  <c r="AX18" i="80" s="1"/>
  <c r="AL18" i="80"/>
  <c r="AM18" i="80"/>
  <c r="G15" i="108" l="1"/>
  <c r="H13" i="108"/>
  <c r="G17" i="108"/>
  <c r="G7" i="108"/>
  <c r="AZ37" i="110"/>
  <c r="BB37" i="110"/>
  <c r="G23" i="105"/>
  <c r="G21" i="105"/>
  <c r="H19" i="105"/>
  <c r="J213" i="80"/>
  <c r="I216" i="80"/>
  <c r="BA18" i="80"/>
  <c r="BB18" i="80" s="1"/>
  <c r="AM155" i="80"/>
  <c r="AO18" i="80"/>
  <c r="AN18" i="80"/>
  <c r="AL155" i="80"/>
  <c r="AW155" i="80"/>
  <c r="AX155" i="80" s="1"/>
  <c r="H17" i="108" l="1"/>
  <c r="H15" i="108"/>
  <c r="G19" i="108"/>
  <c r="G11" i="108"/>
  <c r="G9" i="108"/>
  <c r="H7" i="108"/>
  <c r="H11" i="108" s="1"/>
  <c r="D83" i="134"/>
  <c r="D82" i="122"/>
  <c r="BC37" i="110"/>
  <c r="G37" i="103"/>
  <c r="H23" i="105"/>
  <c r="H21" i="105"/>
  <c r="J216" i="80"/>
  <c r="I222" i="80"/>
  <c r="AQ18" i="80"/>
  <c r="BE18" i="80"/>
  <c r="BF18" i="80" s="1"/>
  <c r="AO155" i="80"/>
  <c r="AP155" i="80" s="1"/>
  <c r="AP18" i="80"/>
  <c r="BA155" i="80"/>
  <c r="BB155" i="80" s="1"/>
  <c r="AN155" i="80"/>
  <c r="G23" i="108" l="1"/>
  <c r="G21" i="108"/>
  <c r="H19" i="108"/>
  <c r="H23" i="108" s="1"/>
  <c r="F86" i="134"/>
  <c r="G86" i="134" s="1"/>
  <c r="E83" i="134"/>
  <c r="E82" i="122"/>
  <c r="F85" i="122"/>
  <c r="G85" i="122" s="1"/>
  <c r="G39" i="103"/>
  <c r="G41" i="103"/>
  <c r="H37" i="103"/>
  <c r="H41" i="103" s="1"/>
  <c r="J222" i="80"/>
  <c r="J219" i="80"/>
  <c r="AQ155" i="80"/>
  <c r="AR155" i="80" s="1"/>
  <c r="AR18" i="80"/>
  <c r="AK22" i="80" l="1"/>
  <c r="BT37" i="110" l="1" a="1"/>
  <c r="AM22" i="80"/>
  <c r="AW22" i="80"/>
  <c r="AX22" i="80" s="1"/>
  <c r="AK159" i="80"/>
  <c r="AL22" i="80"/>
  <c r="G13" i="141" l="1"/>
  <c r="BW37" i="110"/>
  <c r="BU37" i="110"/>
  <c r="AW159" i="80"/>
  <c r="AX159" i="80" s="1"/>
  <c r="AL159" i="80"/>
  <c r="AO22" i="80"/>
  <c r="AM159" i="80"/>
  <c r="BA22" i="80"/>
  <c r="BB22" i="80" s="1"/>
  <c r="AN22" i="80"/>
  <c r="G15" i="141" l="1"/>
  <c r="G17" i="141"/>
  <c r="H13" i="141"/>
  <c r="G19" i="141"/>
  <c r="G31" i="103"/>
  <c r="BX37" i="110"/>
  <c r="AQ22" i="80"/>
  <c r="AO159" i="80"/>
  <c r="AP159" i="80" s="1"/>
  <c r="BE22" i="80"/>
  <c r="BF22" i="80" s="1"/>
  <c r="AP22" i="80"/>
  <c r="BA159" i="80"/>
  <c r="BB159" i="80" s="1"/>
  <c r="AN159" i="80"/>
  <c r="H15" i="141" l="1"/>
  <c r="H17" i="141"/>
  <c r="H19" i="141"/>
  <c r="G21" i="141"/>
  <c r="G23" i="141"/>
  <c r="G33" i="103"/>
  <c r="G35" i="103"/>
  <c r="H31" i="103"/>
  <c r="AQ159" i="80"/>
  <c r="AR159" i="80" s="1"/>
  <c r="AR22" i="80"/>
  <c r="H21" i="141" l="1"/>
  <c r="H23" i="141"/>
  <c r="H35" i="103"/>
  <c r="H33" i="103"/>
  <c r="AK95" i="80"/>
  <c r="AW95" i="80" l="1"/>
  <c r="AL95" i="80"/>
  <c r="AM95" i="80"/>
  <c r="AO95" i="80" l="1"/>
  <c r="BA95" i="80"/>
  <c r="AN95" i="80"/>
  <c r="AX95" i="80"/>
  <c r="AK97" i="80"/>
  <c r="AW97" i="80" l="1"/>
  <c r="AM97" i="80"/>
  <c r="AL97" i="80"/>
  <c r="AK100" i="80"/>
  <c r="BB95" i="80"/>
  <c r="AQ95" i="80"/>
  <c r="BE95" i="80"/>
  <c r="AP95" i="80"/>
  <c r="AK23" i="80"/>
  <c r="X200" i="80" l="1"/>
  <c r="K200" i="80"/>
  <c r="BF95" i="80"/>
  <c r="AR95" i="80"/>
  <c r="AL100" i="80"/>
  <c r="AK102" i="80"/>
  <c r="AN97" i="80"/>
  <c r="AO97" i="80"/>
  <c r="BA97" i="80"/>
  <c r="AM100" i="80"/>
  <c r="AX97" i="80"/>
  <c r="AW100" i="80"/>
  <c r="AM23" i="80"/>
  <c r="AW23" i="80"/>
  <c r="AK160" i="80"/>
  <c r="AL23" i="80"/>
  <c r="X209" i="80" l="1"/>
  <c r="X213" i="80" s="1"/>
  <c r="Y200" i="80"/>
  <c r="AB200" i="80"/>
  <c r="O200" i="80"/>
  <c r="P200" i="80" s="1"/>
  <c r="L200" i="80"/>
  <c r="K197" i="80"/>
  <c r="L197" i="80" s="1"/>
  <c r="AX100" i="80"/>
  <c r="AW102" i="80"/>
  <c r="AN100" i="80"/>
  <c r="AM102" i="80"/>
  <c r="BB97" i="80"/>
  <c r="BA100" i="80"/>
  <c r="AQ97" i="80"/>
  <c r="BE97" i="80"/>
  <c r="AP97" i="80"/>
  <c r="AO100" i="80"/>
  <c r="AL102" i="80"/>
  <c r="AK106" i="80"/>
  <c r="AL106" i="80" s="1"/>
  <c r="AK25" i="80"/>
  <c r="AL160" i="80"/>
  <c r="AW160" i="80"/>
  <c r="AX23" i="80"/>
  <c r="AO23" i="80"/>
  <c r="AM160" i="80"/>
  <c r="BA23" i="80"/>
  <c r="AN23" i="80"/>
  <c r="AC200" i="80" l="1"/>
  <c r="AB209" i="80"/>
  <c r="AB213" i="80" s="1"/>
  <c r="Y213" i="80"/>
  <c r="X223" i="80"/>
  <c r="Y223" i="80" s="1"/>
  <c r="X216" i="80"/>
  <c r="Y216" i="80" s="1"/>
  <c r="Y209" i="80"/>
  <c r="X222" i="80"/>
  <c r="K209" i="80"/>
  <c r="K219" i="80" s="1"/>
  <c r="O219" i="80" s="1"/>
  <c r="O197" i="80"/>
  <c r="P197" i="80" s="1"/>
  <c r="AP100" i="80"/>
  <c r="AO102" i="80"/>
  <c r="BF97" i="80"/>
  <c r="BE100" i="80"/>
  <c r="AR97" i="80"/>
  <c r="AQ100" i="80"/>
  <c r="BB100" i="80"/>
  <c r="BA102" i="80"/>
  <c r="AN102" i="80"/>
  <c r="AM106" i="80"/>
  <c r="AN106" i="80" s="1"/>
  <c r="AX102" i="80"/>
  <c r="AW106" i="80"/>
  <c r="AX106" i="80" s="1"/>
  <c r="BA160" i="80"/>
  <c r="AN160" i="80"/>
  <c r="AO160" i="80"/>
  <c r="BE23" i="80"/>
  <c r="AQ23" i="80"/>
  <c r="AP23" i="80"/>
  <c r="AX160" i="80"/>
  <c r="BB23" i="80"/>
  <c r="AM25" i="80"/>
  <c r="AW25" i="80"/>
  <c r="AK162" i="80"/>
  <c r="AL25" i="80"/>
  <c r="AK28" i="80"/>
  <c r="X219" i="80" l="1"/>
  <c r="Y219" i="80" s="1"/>
  <c r="Y222" i="80"/>
  <c r="AB222" i="80"/>
  <c r="AC222" i="80" s="1"/>
  <c r="AC209" i="80"/>
  <c r="AB216" i="80"/>
  <c r="AC216" i="80" s="1"/>
  <c r="AC213" i="80"/>
  <c r="AB223" i="80"/>
  <c r="AC223" i="80" s="1"/>
  <c r="K213" i="80"/>
  <c r="O209" i="80"/>
  <c r="P209" i="80" s="1"/>
  <c r="L209" i="80"/>
  <c r="BB102" i="80"/>
  <c r="BA106" i="80"/>
  <c r="BB106" i="80" s="1"/>
  <c r="AR100" i="80"/>
  <c r="AQ102" i="80"/>
  <c r="BF100" i="80"/>
  <c r="BE102" i="80"/>
  <c r="AP102" i="80"/>
  <c r="AO106" i="80"/>
  <c r="AP106" i="80" s="1"/>
  <c r="AQ160" i="80"/>
  <c r="AR23" i="80"/>
  <c r="AL28" i="80"/>
  <c r="AK30" i="80"/>
  <c r="BF23" i="80"/>
  <c r="AP160" i="80"/>
  <c r="AW162" i="80"/>
  <c r="AL162" i="80"/>
  <c r="AK165" i="80"/>
  <c r="AX25" i="80"/>
  <c r="AW28" i="80"/>
  <c r="BA25" i="80"/>
  <c r="AO25" i="80"/>
  <c r="AM162" i="80"/>
  <c r="AN25" i="80"/>
  <c r="AM28" i="80"/>
  <c r="BB160" i="80"/>
  <c r="I37" i="110" l="1" a="1"/>
  <c r="F37" i="110" a="1"/>
  <c r="AB219" i="80"/>
  <c r="AC219" i="80" s="1"/>
  <c r="L213" i="80"/>
  <c r="O213" i="80"/>
  <c r="P213" i="80" s="1"/>
  <c r="K216" i="80"/>
  <c r="BE106" i="80"/>
  <c r="BF106" i="80" s="1"/>
  <c r="BF102" i="80"/>
  <c r="AQ106" i="80"/>
  <c r="AR106" i="80" s="1"/>
  <c r="AR102" i="80"/>
  <c r="AL165" i="80"/>
  <c r="AK167" i="80"/>
  <c r="AN28" i="80"/>
  <c r="AM30" i="80"/>
  <c r="AX162" i="80"/>
  <c r="AW165" i="80"/>
  <c r="BA162" i="80"/>
  <c r="AN162" i="80"/>
  <c r="AM165" i="80"/>
  <c r="BE25" i="80"/>
  <c r="AQ25" i="80"/>
  <c r="AO162" i="80"/>
  <c r="AP25" i="80"/>
  <c r="AO28" i="80"/>
  <c r="BB25" i="80"/>
  <c r="BA28" i="80"/>
  <c r="AL30" i="80"/>
  <c r="AK34" i="80"/>
  <c r="AL34" i="80" s="1"/>
  <c r="AX28" i="80"/>
  <c r="AW30" i="80"/>
  <c r="AR160" i="80"/>
  <c r="G13" i="104" l="1"/>
  <c r="J37" i="110"/>
  <c r="L37" i="110"/>
  <c r="G7" i="104"/>
  <c r="G37" i="110"/>
  <c r="K222" i="80"/>
  <c r="L219" i="80"/>
  <c r="P219" i="80"/>
  <c r="L216" i="80"/>
  <c r="O216" i="80"/>
  <c r="P216" i="80" s="1"/>
  <c r="AP162" i="80"/>
  <c r="AO165" i="80"/>
  <c r="AQ162" i="80"/>
  <c r="AR25" i="80"/>
  <c r="AQ28" i="80"/>
  <c r="BF25" i="80"/>
  <c r="BE28" i="80"/>
  <c r="AW34" i="80"/>
  <c r="AX34" i="80" s="1"/>
  <c r="AX30" i="80"/>
  <c r="AN165" i="80"/>
  <c r="AM167" i="80"/>
  <c r="BB162" i="80"/>
  <c r="BA165" i="80"/>
  <c r="AX165" i="80"/>
  <c r="AW167" i="80"/>
  <c r="BB28" i="80"/>
  <c r="BA30" i="80"/>
  <c r="AN30" i="80"/>
  <c r="AM34" i="80"/>
  <c r="AN34" i="80" s="1"/>
  <c r="AP28" i="80"/>
  <c r="AO30" i="80"/>
  <c r="AK171" i="80"/>
  <c r="AL171" i="80" s="1"/>
  <c r="AL167" i="80"/>
  <c r="H13" i="104" l="1"/>
  <c r="G27" i="104"/>
  <c r="G15" i="104"/>
  <c r="G17" i="104"/>
  <c r="G7" i="103"/>
  <c r="D16" i="122"/>
  <c r="D17" i="133"/>
  <c r="M37" i="110"/>
  <c r="D17" i="134"/>
  <c r="G19" i="104"/>
  <c r="G11" i="104"/>
  <c r="G9" i="104"/>
  <c r="H7" i="104"/>
  <c r="L222" i="80"/>
  <c r="O222" i="80"/>
  <c r="P222" i="80" s="1"/>
  <c r="AM171" i="80"/>
  <c r="AN171" i="80" s="1"/>
  <c r="AN167" i="80"/>
  <c r="AP30" i="80"/>
  <c r="AO34" i="80"/>
  <c r="AP34" i="80" s="1"/>
  <c r="BF28" i="80"/>
  <c r="BE30" i="80"/>
  <c r="BA34" i="80"/>
  <c r="BB34" i="80" s="1"/>
  <c r="BB30" i="80"/>
  <c r="AR28" i="80"/>
  <c r="AQ30" i="80"/>
  <c r="AX167" i="80"/>
  <c r="AW171" i="80"/>
  <c r="AX171" i="80" s="1"/>
  <c r="AR162" i="80"/>
  <c r="AQ165" i="80"/>
  <c r="AP165" i="80"/>
  <c r="AO167" i="80"/>
  <c r="BB165" i="80"/>
  <c r="BA167" i="80"/>
  <c r="H15" i="104" l="1"/>
  <c r="H17" i="104"/>
  <c r="G9" i="103"/>
  <c r="G11" i="103"/>
  <c r="H7" i="103"/>
  <c r="F19" i="122"/>
  <c r="G19" i="122" s="1"/>
  <c r="E16" i="122"/>
  <c r="E17" i="133"/>
  <c r="F20" i="133"/>
  <c r="G20" i="133" s="1"/>
  <c r="F20" i="134"/>
  <c r="G20" i="134" s="1"/>
  <c r="E17" i="134"/>
  <c r="H19" i="104"/>
  <c r="G23" i="104"/>
  <c r="G21" i="104"/>
  <c r="H9" i="104"/>
  <c r="H11" i="104"/>
  <c r="AR30" i="80"/>
  <c r="AQ34" i="80"/>
  <c r="AR34" i="80" s="1"/>
  <c r="BA171" i="80"/>
  <c r="BB171" i="80" s="1"/>
  <c r="BB167" i="80"/>
  <c r="BF30" i="80"/>
  <c r="BE34" i="80"/>
  <c r="BF34" i="80" s="1"/>
  <c r="AO171" i="80"/>
  <c r="AP171" i="80" s="1"/>
  <c r="AP167" i="80"/>
  <c r="AR165" i="80"/>
  <c r="AQ167" i="80"/>
  <c r="H11" i="103" l="1"/>
  <c r="H9" i="103"/>
  <c r="H23" i="104"/>
  <c r="H21" i="104"/>
  <c r="AQ171" i="80"/>
  <c r="AR171" i="80" s="1"/>
  <c r="AR167" i="80"/>
  <c r="AQ225" i="80" l="1"/>
  <c r="P40" i="116"/>
  <c r="P42" i="116" s="1"/>
  <c r="AR33" i="110"/>
  <c r="AT33" i="110" l="1"/>
  <c r="D7" i="144"/>
  <c r="C57" i="134"/>
  <c r="C56" i="122"/>
  <c r="F40" i="116"/>
  <c r="M40" i="116"/>
  <c r="M42" i="116" s="1"/>
  <c r="E56" i="122" l="1"/>
  <c r="F57" i="122"/>
  <c r="G57" i="122" s="1"/>
  <c r="F58" i="122"/>
  <c r="G58" i="122" s="1"/>
  <c r="F56" i="122"/>
  <c r="E57" i="134"/>
  <c r="F58" i="134"/>
  <c r="G58" i="134" s="1"/>
  <c r="F57" i="134"/>
  <c r="F59" i="134"/>
  <c r="G59" i="134" s="1"/>
  <c r="F42" i="116"/>
  <c r="H40" i="116"/>
  <c r="K40" i="116"/>
  <c r="G56" i="122" l="1"/>
  <c r="G57" i="134"/>
  <c r="H42" i="116"/>
  <c r="K42" i="116"/>
  <c r="AS53" i="110" l="1"/>
  <c r="AT53" i="110" s="1"/>
  <c r="R37" i="110" l="1" a="1"/>
  <c r="S37" i="110" s="1"/>
  <c r="G13" i="105" l="1"/>
  <c r="G17" i="105" l="1"/>
  <c r="H13" i="105"/>
  <c r="G15" i="105"/>
  <c r="H17" i="105" l="1"/>
  <c r="H15" i="105"/>
  <c r="J13" i="106"/>
  <c r="J15" i="106" s="1"/>
  <c r="P12" i="116"/>
  <c r="P15" i="116" s="1"/>
  <c r="AO10" i="110"/>
  <c r="AQ10" i="110" s="1"/>
  <c r="AN10" i="110"/>
  <c r="M12" i="116" l="1"/>
  <c r="AR10" i="110"/>
  <c r="J17" i="106"/>
  <c r="AT10" i="110" l="1"/>
  <c r="F12" i="116"/>
  <c r="J7" i="106"/>
  <c r="J31" i="106" s="1"/>
  <c r="M11" i="116"/>
  <c r="M15" i="116" s="1"/>
  <c r="N7" i="106"/>
  <c r="N31" i="106" s="1"/>
  <c r="AR9" i="110"/>
  <c r="AT9" i="110" s="1"/>
  <c r="F7" i="106"/>
  <c r="F9" i="106" s="1"/>
  <c r="AQ9" i="110"/>
  <c r="F11" i="116" l="1"/>
  <c r="H11" i="116" s="1"/>
  <c r="H12" i="116"/>
  <c r="K12" i="116"/>
  <c r="F11" i="106"/>
  <c r="N35" i="106"/>
  <c r="N33" i="106"/>
  <c r="J33" i="106"/>
  <c r="J35" i="106"/>
  <c r="N25" i="103"/>
  <c r="N49" i="103" s="1"/>
  <c r="J25" i="103"/>
  <c r="J49" i="103" s="1"/>
  <c r="F31" i="106"/>
  <c r="F25" i="103"/>
  <c r="F49" i="103" s="1"/>
  <c r="N9" i="106"/>
  <c r="J11" i="106"/>
  <c r="N11" i="106"/>
  <c r="J9" i="106"/>
  <c r="F15" i="116" l="1"/>
  <c r="H15" i="116" s="1"/>
  <c r="K11" i="116"/>
  <c r="F35" i="106"/>
  <c r="F33" i="106"/>
  <c r="F29" i="103"/>
  <c r="F27" i="103"/>
  <c r="J29" i="103"/>
  <c r="J27" i="103"/>
  <c r="N29" i="103"/>
  <c r="N56" i="103"/>
  <c r="N27" i="103"/>
  <c r="K15" i="116" l="1"/>
  <c r="N53" i="103"/>
  <c r="N59" i="103"/>
  <c r="N62" i="103" s="1"/>
  <c r="F53" i="103"/>
  <c r="J53" i="103"/>
  <c r="F56" i="103"/>
  <c r="J56" i="103"/>
  <c r="N66" i="103" l="1"/>
  <c r="F59" i="103"/>
  <c r="F62" i="103" s="1"/>
  <c r="J59" i="103"/>
  <c r="J62" i="103" s="1"/>
  <c r="F66" i="103" l="1"/>
  <c r="J66" i="103"/>
  <c r="DA38" i="109" l="1"/>
  <c r="N25" i="117"/>
  <c r="DA21" i="109"/>
  <c r="N60" i="117"/>
  <c r="DA49" i="109"/>
  <c r="N49" i="117"/>
  <c r="DA40" i="109"/>
  <c r="N40" i="117"/>
  <c r="DA33" i="109"/>
  <c r="DA14" i="109"/>
  <c r="N17" i="117"/>
  <c r="N64" i="117"/>
  <c r="DA52" i="109"/>
  <c r="N55" i="117"/>
  <c r="DA45" i="109"/>
  <c r="N32" i="117"/>
  <c r="DA26" i="109"/>
  <c r="N28" i="117"/>
  <c r="DA23" i="109"/>
  <c r="N23" i="117"/>
  <c r="DA19" i="109"/>
  <c r="N30" i="117"/>
  <c r="DA25" i="109"/>
  <c r="DA17" i="109"/>
  <c r="N20" i="117"/>
  <c r="N38" i="117"/>
  <c r="DA31" i="109"/>
  <c r="N27" i="117"/>
  <c r="DA22" i="109"/>
  <c r="N61" i="117"/>
  <c r="DA50" i="109"/>
  <c r="N35" i="117"/>
  <c r="DA29" i="109"/>
  <c r="N52" i="117"/>
  <c r="DA43" i="109"/>
  <c r="N41" i="117"/>
  <c r="DA34" i="109"/>
  <c r="N45" i="117"/>
  <c r="DA37" i="109"/>
  <c r="N50" i="117"/>
  <c r="DA41" i="109"/>
  <c r="N67" i="117"/>
  <c r="DA55" i="109"/>
  <c r="N56" i="117"/>
  <c r="DA46" i="109"/>
  <c r="DA15" i="109"/>
  <c r="N18" i="117"/>
  <c r="N65" i="117"/>
  <c r="DA53" i="109"/>
  <c r="N24" i="117"/>
  <c r="F8" i="108"/>
  <c r="DA20" i="109"/>
  <c r="N57" i="117"/>
  <c r="DA47" i="109"/>
  <c r="N33" i="117"/>
  <c r="DA27" i="109"/>
  <c r="DA13" i="109"/>
  <c r="N16" i="117"/>
  <c r="N8" i="108"/>
  <c r="N39" i="117"/>
  <c r="DA32" i="109"/>
  <c r="N43" i="117"/>
  <c r="DA35" i="109"/>
  <c r="N48" i="117"/>
  <c r="DA39" i="109"/>
  <c r="N36" i="117"/>
  <c r="DA30" i="109"/>
  <c r="N54" i="117"/>
  <c r="DA44" i="109"/>
  <c r="N29" i="117"/>
  <c r="DA24" i="109"/>
  <c r="N62" i="117"/>
  <c r="DA51" i="109"/>
  <c r="N51" i="117"/>
  <c r="DA42" i="109"/>
  <c r="N68" i="117"/>
  <c r="DA56" i="109"/>
  <c r="N44" i="117"/>
  <c r="DA36" i="109"/>
  <c r="DA16" i="109"/>
  <c r="N19" i="117"/>
  <c r="N66" i="117"/>
  <c r="DA54" i="109"/>
  <c r="DA18" i="109"/>
  <c r="N22" i="117"/>
  <c r="J8" i="108"/>
  <c r="N59" i="117"/>
  <c r="DA48" i="109"/>
  <c r="N34" i="117"/>
  <c r="DA28" i="109"/>
  <c r="N46" i="117" l="1"/>
  <c r="N47" i="117" s="1"/>
  <c r="N42" i="117"/>
  <c r="G19" i="117"/>
  <c r="H19" i="117" s="1"/>
  <c r="DC16" i="109"/>
  <c r="N53" i="117"/>
  <c r="G33" i="117"/>
  <c r="H33" i="117" s="1"/>
  <c r="DC27" i="109"/>
  <c r="G45" i="117"/>
  <c r="H45" i="117" s="1"/>
  <c r="DC37" i="109"/>
  <c r="DC48" i="109"/>
  <c r="G59" i="117"/>
  <c r="G61" i="117"/>
  <c r="H61" i="117" s="1"/>
  <c r="DC50" i="109"/>
  <c r="DC38" i="109"/>
  <c r="G46" i="117"/>
  <c r="H46" i="117" s="1"/>
  <c r="DC26" i="109"/>
  <c r="G32" i="117"/>
  <c r="DC33" i="109"/>
  <c r="G40" i="117"/>
  <c r="H40" i="117" s="1"/>
  <c r="N63" i="117"/>
  <c r="DC36" i="109"/>
  <c r="G44" i="117"/>
  <c r="H44" i="117" s="1"/>
  <c r="DC24" i="109"/>
  <c r="G29" i="117"/>
  <c r="H29" i="117" s="1"/>
  <c r="DC35" i="109"/>
  <c r="G43" i="117"/>
  <c r="G18" i="117"/>
  <c r="H18" i="117" s="1"/>
  <c r="DC15" i="109"/>
  <c r="N37" i="117"/>
  <c r="L8" i="108"/>
  <c r="J9" i="108"/>
  <c r="J20" i="108"/>
  <c r="G57" i="117"/>
  <c r="H57" i="117" s="1"/>
  <c r="DC47" i="109"/>
  <c r="G56" i="117"/>
  <c r="H56" i="117" s="1"/>
  <c r="DC46" i="109"/>
  <c r="DC34" i="109"/>
  <c r="G41" i="117"/>
  <c r="H41" i="117" s="1"/>
  <c r="DC22" i="109"/>
  <c r="G27" i="117"/>
  <c r="DC25" i="109"/>
  <c r="G30" i="117"/>
  <c r="H30" i="117" s="1"/>
  <c r="DC40" i="109"/>
  <c r="G49" i="117"/>
  <c r="H49" i="117" s="1"/>
  <c r="DC45" i="109"/>
  <c r="G55" i="117"/>
  <c r="H55" i="117" s="1"/>
  <c r="N26" i="117"/>
  <c r="G68" i="117"/>
  <c r="H68" i="117" s="1"/>
  <c r="DC56" i="109"/>
  <c r="DC44" i="109"/>
  <c r="G54" i="117"/>
  <c r="DC32" i="109"/>
  <c r="G39" i="117"/>
  <c r="H39" i="117" s="1"/>
  <c r="N31" i="117"/>
  <c r="G22" i="117"/>
  <c r="DC18" i="109"/>
  <c r="J38" i="103"/>
  <c r="N58" i="117"/>
  <c r="F38" i="103"/>
  <c r="DC20" i="109"/>
  <c r="G24" i="117"/>
  <c r="H24" i="117" s="1"/>
  <c r="G67" i="117"/>
  <c r="H67" i="117" s="1"/>
  <c r="DC55" i="109"/>
  <c r="G52" i="117"/>
  <c r="H52" i="117" s="1"/>
  <c r="DC43" i="109"/>
  <c r="DC31" i="109"/>
  <c r="G38" i="117"/>
  <c r="G23" i="117"/>
  <c r="H23" i="117" s="1"/>
  <c r="DC19" i="109"/>
  <c r="DC52" i="109"/>
  <c r="G64" i="117"/>
  <c r="DC49" i="109"/>
  <c r="G60" i="117"/>
  <c r="H60" i="117" s="1"/>
  <c r="N9" i="108"/>
  <c r="P8" i="108"/>
  <c r="N20" i="108"/>
  <c r="H8" i="108"/>
  <c r="H9" i="108" s="1"/>
  <c r="F20" i="108"/>
  <c r="F9" i="108"/>
  <c r="DC54" i="109"/>
  <c r="G66" i="117"/>
  <c r="H66" i="117" s="1"/>
  <c r="DC42" i="109"/>
  <c r="G51" i="117"/>
  <c r="H51" i="117" s="1"/>
  <c r="K36" i="117"/>
  <c r="G36" i="117"/>
  <c r="H36" i="117" s="1"/>
  <c r="DC30" i="109"/>
  <c r="N69" i="117"/>
  <c r="DC28" i="109"/>
  <c r="G34" i="117"/>
  <c r="H34" i="117" s="1"/>
  <c r="N21" i="117"/>
  <c r="G16" i="117"/>
  <c r="DC13" i="109"/>
  <c r="N38" i="103"/>
  <c r="G65" i="117"/>
  <c r="H65" i="117" s="1"/>
  <c r="DC53" i="109"/>
  <c r="G50" i="117"/>
  <c r="H50" i="117" s="1"/>
  <c r="DC41" i="109"/>
  <c r="DC29" i="109"/>
  <c r="G35" i="117"/>
  <c r="H35" i="117" s="1"/>
  <c r="DC23" i="109"/>
  <c r="G28" i="117"/>
  <c r="H28" i="117" s="1"/>
  <c r="G25" i="117"/>
  <c r="H25" i="117" s="1"/>
  <c r="DC21" i="109"/>
  <c r="DC51" i="109"/>
  <c r="G62" i="117"/>
  <c r="H62" i="117" s="1"/>
  <c r="DC39" i="109"/>
  <c r="G48" i="117"/>
  <c r="DC17" i="109"/>
  <c r="G20" i="117"/>
  <c r="H20" i="117" s="1"/>
  <c r="G17" i="117"/>
  <c r="H17" i="117" s="1"/>
  <c r="DC14" i="109"/>
  <c r="H22" i="117" l="1"/>
  <c r="G26" i="117"/>
  <c r="H26" i="117" s="1"/>
  <c r="G47" i="117"/>
  <c r="H47" i="117" s="1"/>
  <c r="H43" i="117"/>
  <c r="G53" i="117"/>
  <c r="H53" i="117" s="1"/>
  <c r="H48" i="117"/>
  <c r="G69" i="117"/>
  <c r="H69" i="117" s="1"/>
  <c r="H64" i="117"/>
  <c r="H38" i="103"/>
  <c r="H39" i="103" s="1"/>
  <c r="F39" i="103"/>
  <c r="F50" i="103"/>
  <c r="G63" i="117"/>
  <c r="H63" i="117" s="1"/>
  <c r="H59" i="117"/>
  <c r="P38" i="103"/>
  <c r="N39" i="103"/>
  <c r="J39" i="103"/>
  <c r="L38" i="103"/>
  <c r="J50" i="103"/>
  <c r="G21" i="117"/>
  <c r="H21" i="117" s="1"/>
  <c r="H16" i="117"/>
  <c r="G42" i="117"/>
  <c r="H42" i="117" s="1"/>
  <c r="H38" i="117"/>
  <c r="J21" i="108"/>
  <c r="L20" i="108"/>
  <c r="H20" i="108"/>
  <c r="H21" i="108" s="1"/>
  <c r="F21" i="108"/>
  <c r="P20" i="108"/>
  <c r="N21" i="108"/>
  <c r="G31" i="117"/>
  <c r="H31" i="117" s="1"/>
  <c r="H27" i="117"/>
  <c r="G37" i="117"/>
  <c r="H37" i="117" s="1"/>
  <c r="H32" i="117"/>
  <c r="G58" i="117"/>
  <c r="H58" i="117" s="1"/>
  <c r="H54" i="117"/>
  <c r="H50" i="103" l="1"/>
  <c r="F57" i="103"/>
  <c r="F60" i="103" s="1"/>
  <c r="F63" i="103" s="1"/>
  <c r="F51" i="103"/>
  <c r="L50" i="103"/>
  <c r="J57" i="103"/>
  <c r="J60" i="103" s="1"/>
  <c r="J51" i="103"/>
  <c r="J63" i="103" l="1"/>
  <c r="J67" i="103" s="1"/>
  <c r="L57" i="103"/>
  <c r="L60" i="103" s="1"/>
  <c r="F67" i="103"/>
  <c r="H57" i="103"/>
  <c r="H60" i="103" s="1"/>
  <c r="H63" i="103" l="1"/>
  <c r="H67" i="103" s="1"/>
  <c r="L63" i="103"/>
  <c r="L67" i="103" s="1"/>
  <c r="Q6" i="119" l="1"/>
  <c r="AP5" i="109"/>
  <c r="AF5" i="109"/>
  <c r="N14" i="105"/>
  <c r="Q7" i="119"/>
  <c r="AP6" i="109"/>
  <c r="AF6" i="109"/>
  <c r="B14" i="144" a="1"/>
  <c r="B7" i="144" a="1"/>
  <c r="E7" i="144" s="1"/>
  <c r="D21" i="144" l="1"/>
  <c r="G7" i="119"/>
  <c r="H7" i="119" s="1"/>
  <c r="AR6" i="109"/>
  <c r="G6" i="119"/>
  <c r="AR5" i="109"/>
  <c r="N14" i="103"/>
  <c r="N26" i="105"/>
  <c r="P14" i="105"/>
  <c r="N15" i="105"/>
  <c r="Q10" i="119"/>
  <c r="N27" i="105" l="1"/>
  <c r="P26" i="105"/>
  <c r="P14" i="103"/>
  <c r="N15" i="103"/>
  <c r="N50" i="103"/>
  <c r="N57" i="103" s="1"/>
  <c r="N60" i="103" s="1"/>
  <c r="N63" i="103" s="1"/>
  <c r="N67" i="103" s="1"/>
  <c r="G10" i="119"/>
  <c r="H10" i="119" s="1"/>
  <c r="H6" i="119"/>
  <c r="P50" i="103" l="1"/>
  <c r="N51" i="103"/>
  <c r="P57" i="103" l="1"/>
  <c r="P60" i="103" s="1"/>
  <c r="P63" i="103" s="1"/>
  <c r="P67" i="103" s="1"/>
  <c r="E9" i="144" l="1"/>
  <c r="AM37" i="110" l="1" a="1"/>
  <c r="AP37" i="110" l="1" a="1"/>
  <c r="AS37" i="110" s="1"/>
  <c r="G13" i="106"/>
  <c r="AN37" i="110"/>
  <c r="G7" i="106" l="1"/>
  <c r="AQ37" i="110"/>
  <c r="D61" i="134"/>
  <c r="D60" i="122"/>
  <c r="AT37" i="110"/>
  <c r="G25" i="103"/>
  <c r="H25" i="103" s="1"/>
  <c r="G17" i="106"/>
  <c r="H13" i="106"/>
  <c r="G15" i="106"/>
  <c r="H7" i="106" l="1"/>
  <c r="G31" i="106"/>
  <c r="H27" i="103"/>
  <c r="H29" i="103"/>
  <c r="G11" i="106"/>
  <c r="G9" i="106"/>
  <c r="F64" i="134"/>
  <c r="G64" i="134" s="1"/>
  <c r="E61" i="134"/>
  <c r="E60" i="122"/>
  <c r="F63" i="122"/>
  <c r="G63" i="122" s="1"/>
  <c r="G27" i="103"/>
  <c r="G29" i="103"/>
  <c r="H15" i="106"/>
  <c r="H17" i="106"/>
  <c r="H9" i="106" l="1"/>
  <c r="H11" i="106"/>
  <c r="H31" i="106"/>
  <c r="G33" i="106"/>
  <c r="G35" i="106"/>
  <c r="U36" i="110" a="1"/>
  <c r="R36" i="110" a="1"/>
  <c r="H33" i="106" l="1"/>
  <c r="H35" i="106"/>
  <c r="V36" i="110"/>
  <c r="O19" i="105"/>
  <c r="K19" i="105"/>
  <c r="O13" i="105"/>
  <c r="K13" i="105"/>
  <c r="S36" i="110"/>
  <c r="O37" i="110" l="1" a="1"/>
  <c r="O21" i="105"/>
  <c r="P19" i="105"/>
  <c r="O23" i="105"/>
  <c r="L19" i="105"/>
  <c r="K21" i="105"/>
  <c r="K23" i="105"/>
  <c r="O17" i="105"/>
  <c r="O15" i="105"/>
  <c r="P13" i="105"/>
  <c r="K15" i="105"/>
  <c r="L13" i="105"/>
  <c r="K17" i="105"/>
  <c r="G7" i="105" l="1"/>
  <c r="X37" i="110"/>
  <c r="P37" i="110"/>
  <c r="P23" i="105"/>
  <c r="P21" i="105"/>
  <c r="L21" i="105"/>
  <c r="L23" i="105"/>
  <c r="P15" i="105"/>
  <c r="P17" i="105"/>
  <c r="L17" i="105"/>
  <c r="L15" i="105"/>
  <c r="G11" i="105" l="1"/>
  <c r="G9" i="105"/>
  <c r="H7" i="105"/>
  <c r="G25" i="105"/>
  <c r="G13" i="103"/>
  <c r="D39" i="133"/>
  <c r="D38" i="122"/>
  <c r="D39" i="134"/>
  <c r="Y37" i="110"/>
  <c r="H9" i="105" l="1"/>
  <c r="H11" i="105"/>
  <c r="G27" i="105"/>
  <c r="G29" i="105"/>
  <c r="H25" i="105"/>
  <c r="G15" i="103"/>
  <c r="G17" i="103"/>
  <c r="H13" i="103"/>
  <c r="F42" i="133"/>
  <c r="G42" i="133" s="1"/>
  <c r="E39" i="133"/>
  <c r="F41" i="122"/>
  <c r="G41" i="122" s="1"/>
  <c r="E38" i="122"/>
  <c r="E39" i="134"/>
  <c r="F42" i="134"/>
  <c r="G42" i="134" s="1"/>
  <c r="H29" i="105" l="1"/>
  <c r="H27" i="105"/>
  <c r="H17" i="103"/>
  <c r="H15" i="103"/>
  <c r="AG36" i="110" l="1" a="1"/>
  <c r="K19" i="107" l="1"/>
  <c r="O19" i="107"/>
  <c r="AH36" i="110"/>
  <c r="AD37" i="110" a="1"/>
  <c r="L19" i="107" l="1"/>
  <c r="K23" i="107"/>
  <c r="K21" i="107"/>
  <c r="O23" i="107"/>
  <c r="O21" i="107"/>
  <c r="P19" i="107"/>
  <c r="G13" i="107"/>
  <c r="AE37" i="110"/>
  <c r="L23" i="107" l="1"/>
  <c r="L21" i="107"/>
  <c r="P23" i="107"/>
  <c r="P21" i="107"/>
  <c r="H13" i="107"/>
  <c r="G17" i="107"/>
  <c r="G15" i="107"/>
  <c r="AA37" i="110" a="1"/>
  <c r="H17" i="107" l="1"/>
  <c r="H15" i="107"/>
  <c r="AJ37" i="110"/>
  <c r="G7" i="107"/>
  <c r="AB37" i="110"/>
  <c r="G19" i="103" l="1"/>
  <c r="AK37" i="110"/>
  <c r="D104" i="122"/>
  <c r="G25" i="107"/>
  <c r="G11" i="107"/>
  <c r="H7" i="107"/>
  <c r="G9" i="107"/>
  <c r="H19" i="103" l="1"/>
  <c r="G23" i="103"/>
  <c r="G21" i="103"/>
  <c r="F107" i="122"/>
  <c r="G107" i="122" s="1"/>
  <c r="E104" i="122"/>
  <c r="H25" i="107"/>
  <c r="G29" i="107"/>
  <c r="G27" i="107"/>
  <c r="H9" i="107"/>
  <c r="H11" i="107"/>
  <c r="H21" i="103" l="1"/>
  <c r="H23" i="103"/>
  <c r="H29" i="107"/>
  <c r="H27" i="107"/>
  <c r="BE37" i="110" l="1" a="1"/>
  <c r="BH37" i="110" l="1" a="1"/>
  <c r="G7" i="120"/>
  <c r="G13" i="120"/>
  <c r="BF37" i="110"/>
  <c r="G25" i="120" l="1"/>
  <c r="BN37" i="110"/>
  <c r="BO37" i="110" s="1"/>
  <c r="BI37" i="110"/>
  <c r="G11" i="120"/>
  <c r="G9" i="120"/>
  <c r="H7" i="120"/>
  <c r="G43" i="103"/>
  <c r="G49" i="103" s="1"/>
  <c r="H13" i="120"/>
  <c r="G15" i="120"/>
  <c r="G17" i="120"/>
  <c r="H25" i="120" l="1"/>
  <c r="G29" i="120"/>
  <c r="G27" i="120"/>
  <c r="H49" i="103"/>
  <c r="G56" i="103"/>
  <c r="G59" i="103" s="1"/>
  <c r="G62" i="103" s="1"/>
  <c r="G66" i="103" s="1"/>
  <c r="G53" i="103"/>
  <c r="G51" i="103"/>
  <c r="H9" i="120"/>
  <c r="H11" i="120"/>
  <c r="G45" i="103"/>
  <c r="H43" i="103"/>
  <c r="G47" i="103"/>
  <c r="H15" i="120"/>
  <c r="H17" i="120"/>
  <c r="H29" i="120" l="1"/>
  <c r="H27" i="120"/>
  <c r="H51" i="103"/>
  <c r="H53" i="103"/>
  <c r="H56" i="103"/>
  <c r="H45" i="103"/>
  <c r="H47" i="103"/>
  <c r="H59" i="103" l="1"/>
  <c r="H62" i="103" s="1"/>
  <c r="H66" i="103" s="1"/>
  <c r="O36" i="110" l="1" a="1"/>
  <c r="X36" i="110" l="1"/>
  <c r="P36" i="110"/>
  <c r="K7" i="105"/>
  <c r="O7" i="105"/>
  <c r="Y36" i="110" l="1"/>
  <c r="D38" i="133"/>
  <c r="D37" i="122"/>
  <c r="O13" i="103"/>
  <c r="D38" i="134"/>
  <c r="K13" i="103"/>
  <c r="K25" i="105"/>
  <c r="R11" i="105"/>
  <c r="L7" i="105"/>
  <c r="K9" i="105"/>
  <c r="T7" i="105"/>
  <c r="K11" i="105"/>
  <c r="O25" i="105"/>
  <c r="O9" i="105"/>
  <c r="O11" i="105"/>
  <c r="P7" i="105"/>
  <c r="T8" i="105" l="1"/>
  <c r="F38" i="133"/>
  <c r="F39" i="133"/>
  <c r="G39" i="133" s="1"/>
  <c r="E38" i="133"/>
  <c r="F40" i="133"/>
  <c r="G40" i="133" s="1"/>
  <c r="F41" i="133"/>
  <c r="G41" i="133" s="1"/>
  <c r="F39" i="122"/>
  <c r="G39" i="122" s="1"/>
  <c r="F40" i="122"/>
  <c r="G40" i="122" s="1"/>
  <c r="F38" i="122"/>
  <c r="G38" i="122" s="1"/>
  <c r="E37" i="122"/>
  <c r="F37" i="122"/>
  <c r="O17" i="103"/>
  <c r="O15" i="103"/>
  <c r="P13" i="103"/>
  <c r="E38" i="134"/>
  <c r="F41" i="134"/>
  <c r="G41" i="134" s="1"/>
  <c r="F39" i="134"/>
  <c r="G39" i="134" s="1"/>
  <c r="F38" i="134"/>
  <c r="F40" i="134"/>
  <c r="G40" i="134" s="1"/>
  <c r="K15" i="103"/>
  <c r="K17" i="103"/>
  <c r="L13" i="103"/>
  <c r="L25" i="105"/>
  <c r="K27" i="105"/>
  <c r="K29" i="105"/>
  <c r="Q8" i="105"/>
  <c r="L11" i="105"/>
  <c r="L9" i="105"/>
  <c r="S13" i="105" s="1"/>
  <c r="U7" i="105"/>
  <c r="U8" i="105" s="1"/>
  <c r="P25" i="105"/>
  <c r="O27" i="105"/>
  <c r="O29" i="105"/>
  <c r="P9" i="105"/>
  <c r="P11" i="105"/>
  <c r="G38" i="134" l="1"/>
  <c r="G37" i="122"/>
  <c r="U9" i="105"/>
  <c r="P15" i="103"/>
  <c r="P17" i="103"/>
  <c r="L17" i="103"/>
  <c r="L15" i="103"/>
  <c r="L29" i="105"/>
  <c r="L27" i="105"/>
  <c r="P27" i="105"/>
  <c r="P29" i="105"/>
  <c r="G38" i="133"/>
  <c r="BH36" i="110" l="1" a="1"/>
  <c r="BE36" i="110" a="1"/>
  <c r="O13" i="120" l="1"/>
  <c r="K13" i="120"/>
  <c r="BI36" i="110"/>
  <c r="O7" i="120"/>
  <c r="K7" i="120"/>
  <c r="BN36" i="110"/>
  <c r="BF36" i="110"/>
  <c r="O17" i="120" l="1"/>
  <c r="O15" i="120"/>
  <c r="P13" i="120"/>
  <c r="O25" i="120"/>
  <c r="K17" i="120"/>
  <c r="L13" i="120"/>
  <c r="K15" i="120"/>
  <c r="K25" i="120"/>
  <c r="O9" i="120"/>
  <c r="P7" i="120"/>
  <c r="O11" i="120"/>
  <c r="K9" i="120"/>
  <c r="L7" i="120"/>
  <c r="K11" i="120"/>
  <c r="O43" i="103"/>
  <c r="K43" i="103"/>
  <c r="BO36" i="110"/>
  <c r="P15" i="120" l="1"/>
  <c r="P17" i="120"/>
  <c r="P25" i="120"/>
  <c r="O27" i="120"/>
  <c r="O29" i="120"/>
  <c r="L15" i="120"/>
  <c r="L17" i="120"/>
  <c r="K27" i="120"/>
  <c r="K29" i="120"/>
  <c r="L25" i="120"/>
  <c r="P11" i="120"/>
  <c r="P9" i="120"/>
  <c r="L9" i="120"/>
  <c r="L11" i="120"/>
  <c r="O45" i="103"/>
  <c r="O47" i="103"/>
  <c r="P43" i="103"/>
  <c r="L43" i="103"/>
  <c r="K45" i="103"/>
  <c r="K47" i="103"/>
  <c r="P29" i="120" l="1"/>
  <c r="P27" i="120"/>
  <c r="L29" i="120"/>
  <c r="L27" i="120"/>
  <c r="P47" i="103"/>
  <c r="P45" i="103"/>
  <c r="L45" i="103"/>
  <c r="L47" i="103"/>
  <c r="AY36" i="110" l="1" a="1"/>
  <c r="I36" i="110" a="1"/>
  <c r="K7" i="108" l="1"/>
  <c r="O7" i="108"/>
  <c r="AZ36" i="110"/>
  <c r="AV36" i="110" a="1"/>
  <c r="BB36" i="110" s="1"/>
  <c r="F36" i="110" a="1"/>
  <c r="J36" i="110"/>
  <c r="K13" i="104"/>
  <c r="O13" i="104"/>
  <c r="K9" i="108" l="1"/>
  <c r="K11" i="108"/>
  <c r="L7" i="108"/>
  <c r="O11" i="108"/>
  <c r="P7" i="108"/>
  <c r="O9" i="108"/>
  <c r="BC36" i="110"/>
  <c r="D82" i="134"/>
  <c r="D81" i="122"/>
  <c r="O37" i="103"/>
  <c r="K37" i="103"/>
  <c r="AW36" i="110"/>
  <c r="K13" i="108"/>
  <c r="O13" i="108"/>
  <c r="L36" i="110"/>
  <c r="O7" i="104"/>
  <c r="K7" i="104"/>
  <c r="G36" i="110"/>
  <c r="L13" i="104"/>
  <c r="K17" i="104"/>
  <c r="K15" i="104"/>
  <c r="P13" i="104"/>
  <c r="O17" i="104"/>
  <c r="O15" i="104"/>
  <c r="L11" i="108" l="1"/>
  <c r="L9" i="108"/>
  <c r="P11" i="108"/>
  <c r="P9" i="108"/>
  <c r="F84" i="134"/>
  <c r="G84" i="134" s="1"/>
  <c r="F85" i="134"/>
  <c r="G85" i="134" s="1"/>
  <c r="E82" i="134"/>
  <c r="F83" i="134"/>
  <c r="G83" i="134" s="1"/>
  <c r="F82" i="134"/>
  <c r="G82" i="134" s="1"/>
  <c r="F81" i="122"/>
  <c r="E81" i="122"/>
  <c r="F83" i="122"/>
  <c r="G83" i="122" s="1"/>
  <c r="F84" i="122"/>
  <c r="G84" i="122" s="1"/>
  <c r="F82" i="122"/>
  <c r="G82" i="122" s="1"/>
  <c r="O39" i="103"/>
  <c r="P37" i="103"/>
  <c r="O41" i="103"/>
  <c r="K39" i="103"/>
  <c r="L37" i="103"/>
  <c r="K41" i="103"/>
  <c r="K15" i="108"/>
  <c r="K17" i="108"/>
  <c r="K19" i="108"/>
  <c r="L13" i="108"/>
  <c r="O17" i="108"/>
  <c r="P13" i="108"/>
  <c r="O19" i="108"/>
  <c r="O15" i="108"/>
  <c r="M36" i="110"/>
  <c r="D16" i="133"/>
  <c r="D15" i="122"/>
  <c r="O7" i="103"/>
  <c r="K7" i="103"/>
  <c r="D16" i="134"/>
  <c r="O19" i="104"/>
  <c r="P7" i="104"/>
  <c r="O11" i="104"/>
  <c r="O9" i="104"/>
  <c r="K19" i="104"/>
  <c r="K11" i="104"/>
  <c r="K9" i="104"/>
  <c r="L7" i="104"/>
  <c r="L17" i="104"/>
  <c r="L15" i="104"/>
  <c r="P15" i="104"/>
  <c r="P17" i="104"/>
  <c r="G81" i="122" l="1"/>
  <c r="P41" i="103"/>
  <c r="P39" i="103"/>
  <c r="L41" i="103"/>
  <c r="L39" i="103"/>
  <c r="K21" i="108"/>
  <c r="L19" i="108"/>
  <c r="K23" i="108"/>
  <c r="L17" i="108"/>
  <c r="L15" i="108"/>
  <c r="P17" i="108"/>
  <c r="P15" i="108"/>
  <c r="P19" i="108"/>
  <c r="O21" i="108"/>
  <c r="O23" i="108"/>
  <c r="F17" i="133"/>
  <c r="G17" i="133" s="1"/>
  <c r="F16" i="133"/>
  <c r="F18" i="133"/>
  <c r="G18" i="133" s="1"/>
  <c r="F19" i="133"/>
  <c r="G19" i="133" s="1"/>
  <c r="E16" i="133"/>
  <c r="F16" i="122"/>
  <c r="G16" i="122" s="1"/>
  <c r="E15" i="122"/>
  <c r="F17" i="122"/>
  <c r="G17" i="122" s="1"/>
  <c r="F18" i="122"/>
  <c r="G18" i="122" s="1"/>
  <c r="F15" i="122"/>
  <c r="O11" i="103"/>
  <c r="P7" i="103"/>
  <c r="O9" i="103"/>
  <c r="L7" i="103"/>
  <c r="K9" i="103"/>
  <c r="K11" i="103"/>
  <c r="F16" i="134"/>
  <c r="E16" i="134"/>
  <c r="F17" i="134"/>
  <c r="G17" i="134" s="1"/>
  <c r="F18" i="134"/>
  <c r="G18" i="134" s="1"/>
  <c r="F19" i="134"/>
  <c r="G19" i="134" s="1"/>
  <c r="O23" i="104"/>
  <c r="O21" i="104"/>
  <c r="P19" i="104"/>
  <c r="P9" i="104"/>
  <c r="P11" i="104"/>
  <c r="L19" i="104"/>
  <c r="K21" i="104"/>
  <c r="K23" i="104"/>
  <c r="L9" i="104"/>
  <c r="L11" i="104"/>
  <c r="G15" i="122" l="1"/>
  <c r="L23" i="108"/>
  <c r="L21" i="108"/>
  <c r="P23" i="108"/>
  <c r="P21" i="108"/>
  <c r="G16" i="134"/>
  <c r="P11" i="103"/>
  <c r="P9" i="103"/>
  <c r="L11" i="103"/>
  <c r="L9" i="103"/>
  <c r="P21" i="104"/>
  <c r="P23" i="104"/>
  <c r="L23" i="104"/>
  <c r="L21" i="104"/>
  <c r="G16" i="133"/>
  <c r="AD36" i="110" l="1" a="1"/>
  <c r="K13" i="107" l="1"/>
  <c r="O13" i="107"/>
  <c r="AE36" i="110"/>
  <c r="L13" i="107" l="1"/>
  <c r="K17" i="107"/>
  <c r="K15" i="107"/>
  <c r="O15" i="107"/>
  <c r="O17" i="107"/>
  <c r="P13" i="107"/>
  <c r="L17" i="107" l="1"/>
  <c r="L15" i="107"/>
  <c r="P15" i="107"/>
  <c r="P17" i="107"/>
  <c r="BT36" i="110" l="1" a="1"/>
  <c r="BQ36" i="110" l="1" a="1"/>
  <c r="BW36" i="110" s="1"/>
  <c r="K13" i="141"/>
  <c r="O13" i="141"/>
  <c r="BU36" i="110"/>
  <c r="K7" i="141" l="1"/>
  <c r="O7" i="141"/>
  <c r="BR36" i="110"/>
  <c r="K15" i="141"/>
  <c r="K17" i="141"/>
  <c r="L13" i="141"/>
  <c r="O15" i="141"/>
  <c r="O17" i="141"/>
  <c r="P13" i="141"/>
  <c r="K31" i="103"/>
  <c r="O31" i="103"/>
  <c r="BX36" i="110"/>
  <c r="K19" i="141" l="1"/>
  <c r="L7" i="141"/>
  <c r="K9" i="141"/>
  <c r="K11" i="141"/>
  <c r="O19" i="141"/>
  <c r="P7" i="141"/>
  <c r="O11" i="141"/>
  <c r="O9" i="141"/>
  <c r="L15" i="141"/>
  <c r="L17" i="141"/>
  <c r="P15" i="141"/>
  <c r="P17" i="141"/>
  <c r="K33" i="103"/>
  <c r="L31" i="103"/>
  <c r="K35" i="103"/>
  <c r="O33" i="103"/>
  <c r="O35" i="103"/>
  <c r="P31" i="103"/>
  <c r="L19" i="141" l="1"/>
  <c r="K23" i="141"/>
  <c r="K21" i="141"/>
  <c r="L9" i="141"/>
  <c r="L11" i="141"/>
  <c r="O23" i="141"/>
  <c r="O21" i="141"/>
  <c r="P19" i="141"/>
  <c r="P11" i="141"/>
  <c r="P9" i="141"/>
  <c r="L35" i="103"/>
  <c r="L33" i="103"/>
  <c r="P33" i="103"/>
  <c r="P35" i="103"/>
  <c r="L21" i="141" l="1"/>
  <c r="L23" i="141"/>
  <c r="P21" i="141"/>
  <c r="P23" i="141"/>
  <c r="AM36" i="110" l="1" a="1"/>
  <c r="AA36" i="110" a="1"/>
  <c r="AP36" i="110" l="1" a="1"/>
  <c r="O13" i="106"/>
  <c r="K13" i="106"/>
  <c r="AN36" i="110"/>
  <c r="K7" i="107"/>
  <c r="O7" i="107"/>
  <c r="AJ36" i="110"/>
  <c r="AB36" i="110"/>
  <c r="O7" i="106" l="1"/>
  <c r="K7" i="106"/>
  <c r="AS36" i="110"/>
  <c r="AQ36" i="110"/>
  <c r="O17" i="106"/>
  <c r="O15" i="106"/>
  <c r="P13" i="106"/>
  <c r="K17" i="106"/>
  <c r="K15" i="106"/>
  <c r="L13" i="106"/>
  <c r="K25" i="107"/>
  <c r="K9" i="107"/>
  <c r="L7" i="107"/>
  <c r="K11" i="107"/>
  <c r="O25" i="107"/>
  <c r="P7" i="107"/>
  <c r="O11" i="107"/>
  <c r="O9" i="107"/>
  <c r="O19" i="103"/>
  <c r="K19" i="103"/>
  <c r="D103" i="122"/>
  <c r="AK36" i="110"/>
  <c r="O11" i="106" l="1"/>
  <c r="O9" i="106"/>
  <c r="P7" i="106"/>
  <c r="O31" i="106"/>
  <c r="K9" i="106"/>
  <c r="K31" i="106"/>
  <c r="K11" i="106"/>
  <c r="L7" i="106"/>
  <c r="O25" i="103"/>
  <c r="O49" i="103" s="1"/>
  <c r="O56" i="103" s="1"/>
  <c r="O59" i="103" s="1"/>
  <c r="O62" i="103" s="1"/>
  <c r="O66" i="103" s="1"/>
  <c r="K25" i="103"/>
  <c r="K49" i="103" s="1"/>
  <c r="K56" i="103" s="1"/>
  <c r="K59" i="103" s="1"/>
  <c r="K62" i="103" s="1"/>
  <c r="K66" i="103" s="1"/>
  <c r="D59" i="122"/>
  <c r="D60" i="134"/>
  <c r="AT36" i="110"/>
  <c r="P17" i="106"/>
  <c r="P15" i="106"/>
  <c r="L15" i="106"/>
  <c r="L17" i="106"/>
  <c r="L25" i="107"/>
  <c r="K29" i="107"/>
  <c r="K27" i="107"/>
  <c r="L9" i="107"/>
  <c r="L11" i="107"/>
  <c r="O27" i="107"/>
  <c r="P25" i="107"/>
  <c r="O29" i="107"/>
  <c r="P11" i="107"/>
  <c r="P9" i="107"/>
  <c r="P19" i="103"/>
  <c r="O21" i="103"/>
  <c r="O23" i="103"/>
  <c r="L19" i="103"/>
  <c r="K23" i="103"/>
  <c r="K21" i="103"/>
  <c r="F105" i="122"/>
  <c r="G105" i="122" s="1"/>
  <c r="F104" i="122"/>
  <c r="G104" i="122" s="1"/>
  <c r="F106" i="122"/>
  <c r="G106" i="122" s="1"/>
  <c r="E103" i="122"/>
  <c r="F103" i="122"/>
  <c r="G103" i="122" l="1"/>
  <c r="P11" i="106"/>
  <c r="P9" i="106"/>
  <c r="O33" i="106"/>
  <c r="O35" i="106"/>
  <c r="P31" i="106"/>
  <c r="K35" i="106"/>
  <c r="K33" i="106"/>
  <c r="L31" i="106"/>
  <c r="L11" i="106"/>
  <c r="L9" i="106"/>
  <c r="O29" i="103"/>
  <c r="O27" i="103"/>
  <c r="P25" i="103"/>
  <c r="K29" i="103"/>
  <c r="K27" i="103"/>
  <c r="L25" i="103"/>
  <c r="F61" i="122"/>
  <c r="G61" i="122" s="1"/>
  <c r="F60" i="122"/>
  <c r="G60" i="122" s="1"/>
  <c r="F62" i="122"/>
  <c r="G62" i="122" s="1"/>
  <c r="F59" i="122"/>
  <c r="E59" i="122"/>
  <c r="F63" i="134"/>
  <c r="G63" i="134" s="1"/>
  <c r="F62" i="134"/>
  <c r="G62" i="134" s="1"/>
  <c r="F61" i="134"/>
  <c r="G61" i="134" s="1"/>
  <c r="F60" i="134"/>
  <c r="E60" i="134"/>
  <c r="L29" i="107"/>
  <c r="L27" i="107"/>
  <c r="P29" i="107"/>
  <c r="P27" i="107"/>
  <c r="O53" i="103"/>
  <c r="O51" i="103"/>
  <c r="P49" i="103"/>
  <c r="P23" i="103"/>
  <c r="P21" i="103"/>
  <c r="K53" i="103"/>
  <c r="L49" i="103"/>
  <c r="K51" i="103"/>
  <c r="L23" i="103"/>
  <c r="L21" i="103"/>
  <c r="L56" i="103" l="1"/>
  <c r="L59" i="103" s="1"/>
  <c r="L62" i="103" s="1"/>
  <c r="L66" i="103" s="1"/>
  <c r="G59" i="122"/>
  <c r="P35" i="106"/>
  <c r="P33" i="106"/>
  <c r="L35" i="106"/>
  <c r="L33" i="106"/>
  <c r="P27" i="103"/>
  <c r="P29" i="103"/>
  <c r="L27" i="103"/>
  <c r="L29" i="103"/>
  <c r="P56" i="103"/>
  <c r="P59" i="103" s="1"/>
  <c r="P62" i="103" s="1"/>
  <c r="P66" i="103" s="1"/>
  <c r="G60" i="134"/>
  <c r="P53" i="103"/>
  <c r="P51" i="103"/>
  <c r="L51" i="103"/>
  <c r="L53" i="103"/>
  <c r="BT38" i="110"/>
  <c r="BQ38" i="110"/>
  <c r="BH38" i="110"/>
  <c r="BE38" i="110"/>
  <c r="AY38" i="110"/>
  <c r="AX38" i="110"/>
  <c r="AV38" i="110"/>
  <c r="AU38" i="110"/>
  <c r="AP38" i="110"/>
  <c r="AO38" i="110"/>
  <c r="AM38" i="110"/>
  <c r="AL38" i="110"/>
  <c r="AG38" i="110"/>
  <c r="AD38" i="110"/>
  <c r="AC38" i="110"/>
  <c r="AA38" i="110"/>
  <c r="Z38" i="110"/>
  <c r="U38" i="110"/>
  <c r="T38" i="110"/>
  <c r="R38" i="110"/>
  <c r="Q38" i="110"/>
  <c r="O38" i="110"/>
  <c r="N38" i="110"/>
  <c r="I38" i="110"/>
  <c r="H38" i="110"/>
  <c r="F38" i="110"/>
  <c r="E38" i="110"/>
  <c r="BT37" i="110"/>
  <c r="BQ37" i="110"/>
  <c r="BH37" i="110"/>
  <c r="BE37" i="110"/>
  <c r="AY37" i="110"/>
  <c r="AX37" i="110"/>
  <c r="AV37" i="110"/>
  <c r="AU37" i="110"/>
  <c r="AP37" i="110"/>
  <c r="AO37" i="110"/>
  <c r="AM37" i="110"/>
  <c r="AL37" i="110"/>
  <c r="AG37" i="110"/>
  <c r="AD37" i="110"/>
  <c r="AC37" i="110"/>
  <c r="AA37" i="110"/>
  <c r="Z37" i="110"/>
  <c r="U37" i="110"/>
  <c r="T37" i="110"/>
  <c r="R37" i="110"/>
  <c r="Q37" i="110"/>
  <c r="O37" i="110"/>
  <c r="N37" i="110"/>
  <c r="I37" i="110"/>
  <c r="H37" i="110"/>
  <c r="F37" i="110"/>
  <c r="E37" i="110"/>
  <c r="BT36" i="110"/>
  <c r="BQ36" i="110"/>
  <c r="BH36" i="110"/>
  <c r="BE36" i="110"/>
  <c r="AY36" i="110"/>
  <c r="AX36" i="110"/>
  <c r="AV36" i="110"/>
  <c r="AU36" i="110"/>
  <c r="AP36" i="110"/>
  <c r="AO36" i="110"/>
  <c r="AM36" i="110"/>
  <c r="AL36" i="110"/>
  <c r="AG36" i="110"/>
  <c r="AD36" i="110"/>
  <c r="AC36" i="110"/>
  <c r="AA36" i="110"/>
  <c r="Z36" i="110"/>
  <c r="U36" i="110"/>
  <c r="T36" i="110"/>
  <c r="R36" i="110"/>
  <c r="Q36" i="110"/>
  <c r="O36" i="110"/>
  <c r="N36" i="110"/>
  <c r="I36" i="110"/>
  <c r="H36" i="110"/>
  <c r="F36" i="110"/>
  <c r="E36" i="110"/>
  <c r="AX35" i="110"/>
  <c r="AU35" i="110"/>
  <c r="AO35" i="110"/>
  <c r="AL35" i="110"/>
  <c r="AC35" i="110"/>
  <c r="Z35" i="110"/>
  <c r="T35" i="110"/>
  <c r="Q35" i="110"/>
  <c r="N35" i="110"/>
  <c r="H35" i="110"/>
  <c r="E35" i="110"/>
  <c r="AX34" i="110"/>
  <c r="AU34" i="110"/>
  <c r="AO34" i="110"/>
  <c r="AL34" i="110"/>
  <c r="AC34" i="110"/>
  <c r="Z34" i="110"/>
  <c r="T34" i="110"/>
  <c r="Q34" i="110"/>
  <c r="N34" i="110"/>
  <c r="H34" i="110"/>
  <c r="E34" i="110"/>
  <c r="AX33" i="110"/>
  <c r="AU33" i="110"/>
  <c r="AO33" i="110"/>
  <c r="AL33" i="110"/>
  <c r="AC33" i="110"/>
  <c r="Z33" i="110"/>
  <c r="T33" i="110"/>
  <c r="Q33" i="110"/>
  <c r="N33" i="110"/>
  <c r="H33" i="110"/>
  <c r="E33" i="110"/>
  <c r="AX32" i="110"/>
  <c r="AU32" i="110"/>
  <c r="AO32" i="110"/>
  <c r="AL32" i="110"/>
  <c r="AC32" i="110"/>
  <c r="Z32" i="110"/>
  <c r="T32" i="110"/>
  <c r="Q32" i="110"/>
  <c r="N32" i="110"/>
  <c r="H32" i="110"/>
  <c r="E32" i="110"/>
  <c r="AX31" i="110"/>
  <c r="AU31" i="110"/>
  <c r="AO31" i="110"/>
  <c r="AL31" i="110"/>
  <c r="Z31" i="110"/>
  <c r="T31" i="110"/>
  <c r="Q31" i="110"/>
  <c r="N31" i="110"/>
  <c r="H31" i="110"/>
  <c r="E31" i="110"/>
  <c r="AX30" i="110"/>
  <c r="AU30" i="110"/>
  <c r="AO30" i="110"/>
  <c r="AL30" i="110"/>
  <c r="Z30" i="110"/>
  <c r="T30" i="110"/>
  <c r="Q30" i="110"/>
  <c r="N30" i="110"/>
  <c r="H30" i="110"/>
  <c r="E30" i="110"/>
  <c r="AX28" i="110"/>
  <c r="AU28" i="110"/>
  <c r="AO28" i="110"/>
  <c r="AL28" i="110"/>
  <c r="Z28" i="110"/>
  <c r="T28" i="110"/>
  <c r="Q28" i="110"/>
  <c r="N28" i="110"/>
  <c r="H28" i="110"/>
  <c r="E28" i="110"/>
  <c r="AX27" i="110"/>
  <c r="E27" i="110"/>
  <c r="AX26" i="110"/>
  <c r="E26" i="110"/>
  <c r="AX25" i="110"/>
  <c r="E25" i="110"/>
  <c r="AX24" i="110"/>
  <c r="E24" i="110"/>
  <c r="N243" i="143"/>
  <c r="N242" i="143"/>
  <c r="N241" i="143"/>
  <c r="N240" i="143"/>
  <c r="N239" i="143"/>
  <c r="N238" i="143"/>
  <c r="N237" i="143"/>
  <c r="N236" i="143"/>
  <c r="N235" i="143"/>
  <c r="N234" i="143"/>
  <c r="N233" i="143"/>
  <c r="N232" i="143"/>
  <c r="N231" i="143"/>
  <c r="N230" i="143"/>
  <c r="N229" i="143"/>
  <c r="N228" i="143"/>
  <c r="N227" i="143"/>
  <c r="N226" i="143"/>
  <c r="N225" i="143"/>
  <c r="N224" i="143"/>
  <c r="N223" i="143"/>
  <c r="N222" i="143"/>
  <c r="N221" i="143"/>
  <c r="N220" i="143"/>
  <c r="N219" i="143"/>
  <c r="N218" i="143"/>
  <c r="N217" i="143"/>
  <c r="N216" i="143"/>
  <c r="N215" i="143"/>
  <c r="N214" i="143"/>
  <c r="N213" i="143"/>
  <c r="N212" i="143"/>
  <c r="N211" i="143"/>
  <c r="N210" i="143"/>
  <c r="N209" i="143"/>
  <c r="N208" i="143"/>
  <c r="N207" i="143"/>
  <c r="N206" i="143"/>
  <c r="N205" i="143"/>
  <c r="N204" i="143"/>
  <c r="N203" i="143"/>
  <c r="N202" i="143"/>
  <c r="N201" i="143"/>
  <c r="N200" i="143"/>
  <c r="N199" i="143"/>
  <c r="N198" i="143"/>
  <c r="N197" i="143"/>
  <c r="N196" i="143"/>
  <c r="N195" i="143"/>
  <c r="N194" i="143"/>
  <c r="N193" i="143"/>
  <c r="N192" i="143"/>
  <c r="N191" i="143"/>
  <c r="N190" i="143"/>
  <c r="N189" i="143"/>
  <c r="N188" i="143"/>
  <c r="N187" i="143"/>
  <c r="N186" i="143"/>
  <c r="N185" i="143"/>
  <c r="N184" i="143"/>
  <c r="N183" i="143"/>
  <c r="N182" i="143"/>
  <c r="N181" i="143"/>
  <c r="N180" i="143"/>
  <c r="N179" i="143"/>
  <c r="N178" i="143"/>
  <c r="N177" i="143"/>
  <c r="N176" i="143"/>
  <c r="N175" i="143"/>
  <c r="N174" i="143"/>
  <c r="N173" i="143"/>
  <c r="N172" i="143"/>
  <c r="N171" i="143"/>
  <c r="N170" i="143"/>
  <c r="N169" i="143"/>
  <c r="N168" i="143"/>
  <c r="N167" i="143"/>
  <c r="N166" i="143"/>
  <c r="N165" i="143"/>
  <c r="N164" i="143"/>
  <c r="N163" i="143"/>
  <c r="N162" i="143"/>
  <c r="N161" i="143"/>
  <c r="N160" i="143"/>
  <c r="N159" i="143"/>
  <c r="N158" i="143"/>
  <c r="N157" i="143"/>
  <c r="N156" i="143"/>
  <c r="N155" i="143"/>
  <c r="N154" i="143"/>
  <c r="N153" i="143"/>
  <c r="N152" i="143"/>
  <c r="N151" i="143"/>
  <c r="N150" i="143"/>
  <c r="N149" i="143"/>
  <c r="N148" i="143"/>
  <c r="N147" i="143"/>
  <c r="N146" i="143"/>
  <c r="N145" i="143"/>
  <c r="N144" i="143"/>
  <c r="N143" i="143"/>
  <c r="N142" i="143"/>
  <c r="N141" i="143"/>
  <c r="N140" i="143"/>
  <c r="N139" i="143"/>
  <c r="N138" i="143"/>
  <c r="N137" i="143"/>
  <c r="N136" i="143"/>
  <c r="N135" i="143"/>
  <c r="N134" i="143"/>
  <c r="N133" i="143"/>
  <c r="N132" i="143"/>
  <c r="N131" i="143"/>
  <c r="N130" i="143"/>
  <c r="N129" i="143"/>
  <c r="N128" i="143"/>
  <c r="N127" i="143"/>
  <c r="N126" i="143"/>
  <c r="N125" i="143"/>
  <c r="N124" i="143"/>
  <c r="N123" i="143"/>
  <c r="N122" i="143"/>
  <c r="N121" i="143"/>
  <c r="N120" i="143"/>
  <c r="N119" i="143"/>
  <c r="N118" i="143"/>
  <c r="N117" i="143"/>
  <c r="N116" i="143"/>
  <c r="N115" i="143"/>
  <c r="N114" i="143"/>
  <c r="N113" i="143"/>
  <c r="N112" i="143"/>
  <c r="N111" i="143"/>
  <c r="N110" i="143"/>
  <c r="N109" i="143"/>
  <c r="N108" i="143"/>
  <c r="N107" i="143"/>
  <c r="N106" i="143"/>
  <c r="N105" i="143"/>
  <c r="N104" i="143"/>
  <c r="N103" i="143"/>
  <c r="N102" i="143"/>
  <c r="N101" i="143"/>
  <c r="N100" i="143"/>
  <c r="N99" i="143"/>
  <c r="N98" i="143"/>
  <c r="N97" i="143"/>
  <c r="N96" i="143"/>
  <c r="N95" i="143"/>
  <c r="N94" i="143"/>
  <c r="N93" i="143"/>
  <c r="N92" i="143"/>
  <c r="N91" i="143"/>
  <c r="N90" i="143"/>
  <c r="N89" i="143"/>
  <c r="N88" i="143"/>
  <c r="N87" i="143"/>
  <c r="N86" i="143"/>
  <c r="N85" i="143"/>
  <c r="N84" i="143"/>
  <c r="N83" i="143"/>
  <c r="N82" i="143"/>
  <c r="N81" i="143"/>
  <c r="N80" i="143"/>
  <c r="N79" i="143"/>
  <c r="N78" i="143"/>
  <c r="N77" i="143"/>
  <c r="N76" i="143"/>
  <c r="N75" i="143"/>
  <c r="N74" i="143"/>
  <c r="N73" i="143"/>
  <c r="N72" i="143"/>
  <c r="N71" i="143"/>
  <c r="N70" i="143"/>
  <c r="N69" i="143"/>
  <c r="N68" i="143"/>
  <c r="N67" i="143"/>
  <c r="N66" i="143"/>
  <c r="N65" i="143"/>
  <c r="N64" i="143"/>
  <c r="N63" i="143"/>
  <c r="N62" i="143"/>
  <c r="N61" i="143"/>
  <c r="N60" i="143"/>
  <c r="N59" i="143"/>
  <c r="N58" i="143"/>
  <c r="N57" i="143"/>
  <c r="N56" i="143"/>
  <c r="N55" i="143"/>
  <c r="N54" i="143"/>
  <c r="N53" i="143"/>
  <c r="N52" i="143"/>
  <c r="N51" i="143"/>
  <c r="N50" i="143"/>
  <c r="N49" i="143"/>
  <c r="N48" i="143"/>
  <c r="N47" i="143"/>
  <c r="N46" i="143"/>
  <c r="N45" i="143"/>
  <c r="N44" i="143"/>
  <c r="N43" i="143"/>
  <c r="N42" i="143"/>
  <c r="N41" i="143"/>
  <c r="N40" i="143"/>
  <c r="N39" i="143"/>
  <c r="N38" i="143"/>
  <c r="N37" i="143"/>
  <c r="N36" i="143"/>
  <c r="N35" i="143"/>
  <c r="N34" i="143"/>
  <c r="N33" i="143"/>
  <c r="N32" i="143"/>
  <c r="N31" i="143"/>
  <c r="N30" i="143"/>
  <c r="N29" i="143"/>
  <c r="N28" i="143"/>
  <c r="N27" i="143"/>
  <c r="N26" i="143"/>
  <c r="N25" i="143"/>
  <c r="N24" i="143"/>
  <c r="N23" i="143"/>
  <c r="N22" i="143"/>
  <c r="N21" i="143"/>
  <c r="N20" i="143"/>
  <c r="N19" i="143"/>
  <c r="N18" i="143"/>
  <c r="N17" i="143"/>
  <c r="N16" i="143"/>
  <c r="N15" i="143"/>
  <c r="N14" i="143"/>
  <c r="N13" i="143"/>
  <c r="N12" i="143"/>
  <c r="N11" i="143"/>
  <c r="N10" i="143"/>
  <c r="N9" i="143"/>
  <c r="N8" i="143"/>
  <c r="N7" i="143"/>
  <c r="N6" i="143"/>
  <c r="B14" i="144"/>
  <c r="E8" i="144"/>
  <c r="B7" i="144"/>
  <c r="C3" i="14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3E076E-BFC5-4C95-ABDE-2BA4B6AB6700}" keepAlive="1" name="ModelConnection_ExternalData_1" description="Data Model" type="5" refreshedVersion="8" minRefreshableVersion="5" saveData="1">
    <dbPr connection="Data Model Connection" command="Omakas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8A52D5F-94CE-41E0-9CA6-A57640019C12}" keepAlive="1" name="ModelConnection_ExternalData_11" description="Data Model" type="5" refreshedVersion="8" minRefreshableVersion="5" saveData="1">
    <dbPr connection="Data Model Connection" command="_26DinnerSalesACT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B0C7D8B-DE2F-436B-89D1-BC2D7ACD80AA}" keepAlive="1" name="ModelConnection_ExternalData_12" description="Data Model" type="5" refreshedVersion="8" minRefreshableVersion="5" saveData="1">
    <dbPr connection="Data Model Connection" command="Dinner  2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106B1C62-D475-42D7-BE6D-F01B87F94A6D}" keepAlive="1" name="ModelConnection_ExternalData_13" description="Data Model" type="5" refreshedVersion="8" minRefreshableVersion="5" saveData="1">
    <dbPr connection="Data Model Connection" command="Brunch  2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AEDC2309-684B-478E-B471-FD5DA726CC0D}" keepAlive="1" name="ModelConnection_ExternalData_14" description="Data Model" type="5" refreshedVersion="8" minRefreshableVersion="5" saveData="1">
    <dbPr connection="Data Model Connection" command="_2026DinnerSale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0395322D-8760-4856-A6A7-53E145173B82}" keepAlive="1" name="ModelConnection_ExternalData_15" description="Data Model" type="5" refreshedVersion="8" minRefreshableVersion="5" saveData="1">
    <dbPr connection="Data Model Connection" command="Lounge  2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40C9328A-1EB3-43C7-BB45-282DE0625915}" keepAlive="1" name="ModelConnection_ExternalData_2" description="Data Model" type="5" refreshedVersion="8" minRefreshableVersion="5" saveData="1">
    <dbPr connection="Data Model Connection" command="MM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6BFDFB44-74E4-407A-B5B9-69221A735C10}" keepAlive="1" name="ModelConnection_ExternalData_21" description="Data Model" type="5" refreshedVersion="8" minRefreshableVersion="5" saveData="1">
    <dbPr connection="Data Model Connection" command="_26LunchSalesACT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D5F68FC3-D75C-40D7-A7DA-B03C4FAE7ED4}" keepAlive="1" name="ModelConnection_ExternalData_22" description="Data Model" type="5" refreshedVersion="8" minRefreshableVersion="5" saveData="1">
    <dbPr connection="Data Model Connection" command="Brunch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1F60FD7C-D4D1-47E3-8E68-75728DA581E6}" keepAlive="1" name="ModelConnection_ExternalData_23" description="Data Model" type="5" refreshedVersion="8" minRefreshableVersion="5" saveData="1">
    <dbPr connection="Data Model Connection" command="Dinner  3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19A31804-DC5C-4DAB-8562-8F725C662DA1}" keepAlive="1" name="ModelConnection_ExternalData_24" description="Data Model" type="5" refreshedVersion="8" minRefreshableVersion="5" saveData="1">
    <dbPr connection="Data Model Connection" command="_2026BrunchSales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1E2432EF-218A-4090-B793-2F5DF864582C}" keepAlive="1" name="ModelConnection_ExternalData_25" description="Data Model" type="5" refreshedVersion="8" minRefreshableVersion="5" saveData="1">
    <dbPr connection="Data Model Connection" command="MM  2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B929EFFD-2BF2-4F6E-98B1-B260D12AFBBD}" keepAlive="1" name="ModelConnection_ExternalData_3" description="Data Model" type="5" refreshedVersion="8" minRefreshableVersion="5" saveData="1">
    <dbPr connection="Data Model Connection" command="Lounge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CEDC6E88-BB78-4304-A37D-E99857D6EF7B}" keepAlive="1" name="ModelConnection_ExternalData_31" description="Data Model" type="5" refreshedVersion="8" minRefreshableVersion="5" saveData="1">
    <dbPr connection="Data Model Connection" command="_26MMSalesACT" commandType="3"/>
    <extLst>
      <ext xmlns:x15="http://schemas.microsoft.com/office/spreadsheetml/2010/11/main" uri="{DE250136-89BD-433C-8126-D09CA5730AF9}">
        <x15:connection id="" model="1"/>
      </ext>
    </extLst>
  </connection>
  <connection id="15" xr16:uid="{27B9918A-4E69-4DB3-A024-2A156994FDC3}" keepAlive="1" name="ModelConnection_ExternalData_32" description="Data Model" type="5" refreshedVersion="8" minRefreshableVersion="5" saveData="1">
    <dbPr connection="Data Model Connection" command="Sales Categories  2" commandType="3"/>
    <extLst>
      <ext xmlns:x15="http://schemas.microsoft.com/office/spreadsheetml/2010/11/main" uri="{DE250136-89BD-433C-8126-D09CA5730AF9}">
        <x15:connection id="" model="1"/>
      </ext>
    </extLst>
  </connection>
  <connection id="16" xr16:uid="{3D1E0252-D98C-4745-8CCB-5BFA982F55B6}" keepAlive="1" name="ModelConnection_ExternalData_33" description="Data Model" type="5" refreshedVersion="8" minRefreshableVersion="5" saveData="1">
    <dbPr connection="Data Model Connection" command="Sales Categories  3" commandType="3"/>
    <extLst>
      <ext xmlns:x15="http://schemas.microsoft.com/office/spreadsheetml/2010/11/main" uri="{DE250136-89BD-433C-8126-D09CA5730AF9}">
        <x15:connection id="" model="1"/>
      </ext>
    </extLst>
  </connection>
  <connection id="17" xr16:uid="{7C4924C3-9F89-4862-856F-2AEC5DC851C7}" keepAlive="1" name="ModelConnection_ExternalData_34" description="Data Model" type="5" refreshedVersion="8" minRefreshableVersion="5" saveData="1">
    <dbPr connection="Data Model Connection" command="_2026TotalSalesCat" commandType="3"/>
    <extLst>
      <ext xmlns:x15="http://schemas.microsoft.com/office/spreadsheetml/2010/11/main" uri="{DE250136-89BD-433C-8126-D09CA5730AF9}">
        <x15:connection id="" model="1"/>
      </ext>
    </extLst>
  </connection>
  <connection id="18" xr16:uid="{5E05911D-FF98-458C-9546-C1392D71D043}" keepAlive="1" name="ModelConnection_ExternalData_35" description="Data Model" type="5" refreshedVersion="8" minRefreshableVersion="5" saveData="1">
    <dbPr connection="Data Model Connection" command="Sales Categories  4" commandType="3"/>
    <extLst>
      <ext xmlns:x15="http://schemas.microsoft.com/office/spreadsheetml/2010/11/main" uri="{DE250136-89BD-433C-8126-D09CA5730AF9}">
        <x15:connection id="" model="1"/>
      </ext>
    </extLst>
  </connection>
  <connection id="19" xr16:uid="{A563E8E3-A514-4557-9467-2E8FBA255A20}" keepAlive="1" name="ModelConnection_ExternalData_4" description="Data Model" type="5" refreshedVersion="8" minRefreshableVersion="5" saveData="1">
    <dbPr connection="Data Model Connection" command="Sales Categories" commandType="3"/>
    <extLst>
      <ext xmlns:x15="http://schemas.microsoft.com/office/spreadsheetml/2010/11/main" uri="{DE250136-89BD-433C-8126-D09CA5730AF9}">
        <x15:connection id="" model="1"/>
      </ext>
    </extLst>
  </connection>
  <connection id="20" xr16:uid="{5133278A-F15E-48A2-A11B-E2E6B0913509}" keepAlive="1" name="ModelConnection_ExternalData_41" description="Data Model" type="5" refreshedVersion="8" minRefreshableVersion="5" saveData="1">
    <dbPr connection="Data Model Connection" command="_2026AVATotalSalesCat" commandType="3"/>
    <extLst>
      <ext xmlns:x15="http://schemas.microsoft.com/office/spreadsheetml/2010/11/main" uri="{DE250136-89BD-433C-8126-D09CA5730AF9}">
        <x15:connection id="" model="1"/>
      </ext>
    </extLst>
  </connection>
  <connection id="21" xr16:uid="{B0B3ECB3-4C6E-445A-B0B2-2FC6B2D9C26D}" name="Query - _2026AVATotalSalesCat" description="Connection to the '_2026AVATotalSalesCat' query in the workbook." type="100" refreshedVersion="8" minRefreshableVersion="5">
    <extLst>
      <ext xmlns:x15="http://schemas.microsoft.com/office/spreadsheetml/2010/11/main" uri="{DE250136-89BD-433C-8126-D09CA5730AF9}">
        <x15:connection id="ea26f0c6-56a7-4d18-8ca4-6ec8ba7f9c07"/>
      </ext>
    </extLst>
  </connection>
  <connection id="22" xr16:uid="{144BED0D-C8B5-4C64-B655-2FC4E5C6096D}" name="Query - _2026BrunchSales" description="Connection to the '_2026BrunchSales' query in the workbook." type="100" refreshedVersion="8" minRefreshableVersion="5">
    <extLst>
      <ext xmlns:x15="http://schemas.microsoft.com/office/spreadsheetml/2010/11/main" uri="{DE250136-89BD-433C-8126-D09CA5730AF9}">
        <x15:connection id="30748f91-519f-411c-9876-414617a5063b"/>
      </ext>
    </extLst>
  </connection>
  <connection id="23" xr16:uid="{8A254121-FF8F-49E3-B3AC-09B7650DAEC7}" name="Query - _2026DinnerSales" description="Connection to the '_2026DinnerSales' query in the workbook." type="100" refreshedVersion="8" minRefreshableVersion="5">
    <extLst>
      <ext xmlns:x15="http://schemas.microsoft.com/office/spreadsheetml/2010/11/main" uri="{DE250136-89BD-433C-8126-D09CA5730AF9}">
        <x15:connection id="4bcbaa32-6506-4246-a456-be2e4201e8f1"/>
      </ext>
    </extLst>
  </connection>
  <connection id="24" xr16:uid="{ACF5129C-0914-4460-8E26-9EA5AD001AE9}" name="Query - _2026TotalSalesCat" description="Connection to the '_2026TotalSalesCat' query in the workbook." type="100" refreshedVersion="8" minRefreshableVersion="5">
    <extLst>
      <ext xmlns:x15="http://schemas.microsoft.com/office/spreadsheetml/2010/11/main" uri="{DE250136-89BD-433C-8126-D09CA5730AF9}">
        <x15:connection id="607d8bf8-e72a-410e-bd43-ae0dca3c7e8c"/>
      </ext>
    </extLst>
  </connection>
  <connection id="25" xr16:uid="{1F2061B7-567A-442E-8280-94E375256F21}" name="Query - _26DinnerSalesACT" description="Connection to the '_26DinnerSalesACT' query in the workbook." type="100" refreshedVersion="8" minRefreshableVersion="5">
    <extLst>
      <ext xmlns:x15="http://schemas.microsoft.com/office/spreadsheetml/2010/11/main" uri="{DE250136-89BD-433C-8126-D09CA5730AF9}">
        <x15:connection id="27f69654-4d8f-47ce-8159-56d8523b0433"/>
      </ext>
    </extLst>
  </connection>
  <connection id="26" xr16:uid="{9166FC05-274E-4E4F-8EB6-D8188A0AE973}" name="Query - _26LunchSalesACT" description="Connection to the '_26LunchSalesACT' query in the workbook." type="100" refreshedVersion="8" minRefreshableVersion="5">
    <extLst>
      <ext xmlns:x15="http://schemas.microsoft.com/office/spreadsheetml/2010/11/main" uri="{DE250136-89BD-433C-8126-D09CA5730AF9}">
        <x15:connection id="ffc99763-0424-4913-b0ed-7537dfa25358"/>
      </ext>
    </extLst>
  </connection>
  <connection id="27" xr16:uid="{4EA6748C-ECA2-4013-9A06-0698FC170855}" name="Query - _26MMSalesACT" description="Connection to the '_26MMSalesACT' query in the workbook." type="100" refreshedVersion="8" minRefreshableVersion="5">
    <extLst>
      <ext xmlns:x15="http://schemas.microsoft.com/office/spreadsheetml/2010/11/main" uri="{DE250136-89BD-433C-8126-D09CA5730AF9}">
        <x15:connection id="e1e907d2-7c2c-458a-8a12-bb054e85dcb9"/>
      </ext>
    </extLst>
  </connection>
  <connection id="28" xr16:uid="{19BBC5D5-BF9F-4652-99D8-AD9E07BFB444}" name="Query - 2026 MM Sales" description="Connection to the '2026 MM Sales' query in the workbook." type="100" refreshedVersion="8" minRefreshableVersion="5">
    <extLst>
      <ext xmlns:x15="http://schemas.microsoft.com/office/spreadsheetml/2010/11/main" uri="{DE250136-89BD-433C-8126-D09CA5730AF9}">
        <x15:connection id="dc0490b3-8362-42b4-ba89-bda333d31030"/>
      </ext>
    </extLst>
  </connection>
  <connection id="29" xr16:uid="{0B5309A3-8C42-40A2-94AF-8B21DAE10258}" name="Query - Brunch" description="Connection to the 'Brunch' query in the workbook." type="100" refreshedVersion="8" minRefreshableVersion="5">
    <extLst>
      <ext xmlns:x15="http://schemas.microsoft.com/office/spreadsheetml/2010/11/main" uri="{DE250136-89BD-433C-8126-D09CA5730AF9}">
        <x15:connection id="b0d71c7c-0d3b-4535-b1fd-a74387f26842"/>
      </ext>
    </extLst>
  </connection>
  <connection id="30" xr16:uid="{839335F6-8A68-4F38-8CC3-4DFF95F4E60E}" name="Query - Brunch (2)" description="Connection to the 'Brunch (2)' query in the workbook." type="100" refreshedVersion="8" minRefreshableVersion="5">
    <extLst>
      <ext xmlns:x15="http://schemas.microsoft.com/office/spreadsheetml/2010/11/main" uri="{DE250136-89BD-433C-8126-D09CA5730AF9}">
        <x15:connection id="eea35582-1df1-4909-9602-9501dccb73f6"/>
      </ext>
    </extLst>
  </connection>
  <connection id="31" xr16:uid="{C0C2AD53-8108-4B0C-AAFB-548738F4B291}" keepAlive="1" name="Query - Dinner" description="Connection to the 'Dinner' query in the workbook." type="5" refreshedVersion="8" saveData="1">
    <dbPr connection="Provider=Microsoft.Mashup.OleDb.1;Data Source=$Workbook$;Location=Dinner;Extended Properties=&quot;&quot;" command="SELECT * FROM [Dinner]"/>
  </connection>
  <connection id="32" xr16:uid="{799E2F3C-57F8-4A69-A901-9D0580E05FCC}" name="Query - Dinner (2)" description="Connection to the 'Dinner (2)' query in the workbook." type="100" refreshedVersion="8" minRefreshableVersion="5">
    <extLst>
      <ext xmlns:x15="http://schemas.microsoft.com/office/spreadsheetml/2010/11/main" uri="{DE250136-89BD-433C-8126-D09CA5730AF9}">
        <x15:connection id="c656536a-c902-45a5-8b0c-6e97dd01af17"/>
      </ext>
    </extLst>
  </connection>
  <connection id="33" xr16:uid="{8A9BD2C9-9BA5-4A91-A43F-34F62371B27F}" name="Query - Dinner (3)" description="Connection to the 'Dinner (3)' query in the workbook." type="100" refreshedVersion="8" minRefreshableVersion="5">
    <extLst>
      <ext xmlns:x15="http://schemas.microsoft.com/office/spreadsheetml/2010/11/main" uri="{DE250136-89BD-433C-8126-D09CA5730AF9}">
        <x15:connection id="446f61e4-18ae-4070-87e3-b0b051c0a069"/>
      </ext>
    </extLst>
  </connection>
  <connection id="34" xr16:uid="{D022B146-C628-467A-96CB-A4182248A94E}" name="Query - Lounge" description="Connection to the 'Lounge' query in the workbook." type="100" refreshedVersion="8" minRefreshableVersion="5">
    <extLst>
      <ext xmlns:x15="http://schemas.microsoft.com/office/spreadsheetml/2010/11/main" uri="{DE250136-89BD-433C-8126-D09CA5730AF9}">
        <x15:connection id="5c4933dc-b2ad-4272-ad00-a3a06fa90eec"/>
      </ext>
    </extLst>
  </connection>
  <connection id="35" xr16:uid="{67201AF5-E0F8-450F-915B-499062E15545}" name="Query - Lounge (2)" description="Connection to the 'Lounge (2)' query in the workbook." type="100" refreshedVersion="8" minRefreshableVersion="5">
    <extLst>
      <ext xmlns:x15="http://schemas.microsoft.com/office/spreadsheetml/2010/11/main" uri="{DE250136-89BD-433C-8126-D09CA5730AF9}">
        <x15:connection id="c20d2607-7672-4574-972f-ebd4306346d2"/>
      </ext>
    </extLst>
  </connection>
  <connection id="36" xr16:uid="{693C7AB1-CD76-4F50-8B5C-9043E5D5A258}" keepAlive="1" name="Query - Lunch" description="Connection to the 'Lunch' query in the workbook." type="5" refreshedVersion="8" saveData="1">
    <dbPr connection="Provider=Microsoft.Mashup.OleDb.1;Data Source=$Workbook$;Location=Lunch;Extended Properties=&quot;&quot;" command="SELECT * FROM [Lunch]"/>
  </connection>
  <connection id="37" xr16:uid="{99DF2B7E-54DD-4506-8F20-DD67C64E8FC7}" name="Query - MM" description="Connection to the 'MM' query in the workbook." type="100" refreshedVersion="8" minRefreshableVersion="5">
    <extLst>
      <ext xmlns:x15="http://schemas.microsoft.com/office/spreadsheetml/2010/11/main" uri="{DE250136-89BD-433C-8126-D09CA5730AF9}">
        <x15:connection id="5f2c7567-e7f2-4b1c-b0bd-35e39c3ff2b6"/>
      </ext>
    </extLst>
  </connection>
  <connection id="38" xr16:uid="{DF9D9ADD-71B4-4209-95C2-DB93D55D0A7F}" name="Query - MM (2)" description="Connection to the 'MM (2)' query in the workbook." type="100" refreshedVersion="8" minRefreshableVersion="5">
    <extLst>
      <ext xmlns:x15="http://schemas.microsoft.com/office/spreadsheetml/2010/11/main" uri="{DE250136-89BD-433C-8126-D09CA5730AF9}">
        <x15:connection id="87abac3a-6378-4154-8832-f2c9fe1f9db9"/>
      </ext>
    </extLst>
  </connection>
  <connection id="39" xr16:uid="{1E60E3CC-3673-46E8-9FCA-0D2061D435E2}" keepAlive="1" name="Query - Non-Grat Serv Chrg" description="Connection to the 'Non-Grat Serv Chrg' query in the workbook." type="5" refreshedVersion="8" saveData="1">
    <dbPr connection="Provider=Microsoft.Mashup.OleDb.1;Data Source=$Workbook$;Location=&quot;Non-Grat Serv Chrg&quot;;Extended Properties=&quot;&quot;" command="SELECT * FROM [Non-Grat Serv Chrg]"/>
  </connection>
  <connection id="40" xr16:uid="{F20A1F6D-5078-4278-970A-FD23A95F1CAB}" name="Query - Omakase" description="Connection to the 'Omakase' query in the workbook." type="100" refreshedVersion="8" minRefreshableVersion="5">
    <extLst>
      <ext xmlns:x15="http://schemas.microsoft.com/office/spreadsheetml/2010/11/main" uri="{DE250136-89BD-433C-8126-D09CA5730AF9}">
        <x15:connection id="d9b0821a-8921-4ed0-aa8b-bcb93c1d5f4c"/>
      </ext>
    </extLst>
  </connection>
  <connection id="41" xr16:uid="{8918A55C-8FD2-4643-B593-EED4BB8A88BE}" name="Query - Sales Categories" description="Connection to the 'Sales Categories' query in the workbook." type="100" refreshedVersion="8" minRefreshableVersion="5">
    <extLst>
      <ext xmlns:x15="http://schemas.microsoft.com/office/spreadsheetml/2010/11/main" uri="{DE250136-89BD-433C-8126-D09CA5730AF9}">
        <x15:connection id="ea7b25ef-3370-4e9d-a85d-677c99fac4f0"/>
      </ext>
    </extLst>
  </connection>
  <connection id="42" xr16:uid="{EC75D718-3E27-4CFB-B474-4830F939A192}" name="Query - Sales Categories (2)" description="Connection to the 'Sales Categories (2)' query in the workbook." type="100" refreshedVersion="8" minRefreshableVersion="5">
    <extLst>
      <ext xmlns:x15="http://schemas.microsoft.com/office/spreadsheetml/2010/11/main" uri="{DE250136-89BD-433C-8126-D09CA5730AF9}">
        <x15:connection id="b234a888-94b8-45fd-a690-c09b12233bda"/>
      </ext>
    </extLst>
  </connection>
  <connection id="43" xr16:uid="{C1E9299E-AEE1-4879-8F92-08F60B633811}" name="Query - Sales Categories (3)" description="Connection to the 'Sales Categories (3)' query in the workbook." type="100" refreshedVersion="8" minRefreshableVersion="5">
    <extLst>
      <ext xmlns:x15="http://schemas.microsoft.com/office/spreadsheetml/2010/11/main" uri="{DE250136-89BD-433C-8126-D09CA5730AF9}">
        <x15:connection id="8319fd1e-c7c2-4250-bd9b-5d252950f3db"/>
      </ext>
    </extLst>
  </connection>
  <connection id="44" xr16:uid="{A5939328-4EFC-4226-9263-F8641FC7E979}" name="Query - Sales Categories (4)" description="Connection to the 'Sales Categories (4)' query in the workbook." type="100" refreshedVersion="8" minRefreshableVersion="5">
    <extLst>
      <ext xmlns:x15="http://schemas.microsoft.com/office/spreadsheetml/2010/11/main" uri="{DE250136-89BD-433C-8126-D09CA5730AF9}">
        <x15:connection id="d07a4b2c-34a9-4f11-9a79-76bdf609a008"/>
      </ext>
    </extLst>
  </connection>
  <connection id="45" xr16:uid="{D859F53D-EAD7-400F-B1AE-6C62BAA1FE8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<sst xmlns="http://schemas.openxmlformats.org/spreadsheetml/2006/main" count="14566" uniqueCount="349">
  <si>
    <t>Weekly Budget</t>
  </si>
  <si>
    <t>Month to Date</t>
  </si>
  <si>
    <t>Week</t>
  </si>
  <si>
    <t>ACT.</t>
  </si>
  <si>
    <t>eUD.</t>
  </si>
  <si>
    <t>BUD.</t>
  </si>
  <si>
    <t>MTD</t>
  </si>
  <si>
    <t>YTD</t>
  </si>
  <si>
    <t>MILA 3F</t>
  </si>
  <si>
    <t>MILA 2F</t>
  </si>
  <si>
    <t>AVA</t>
  </si>
  <si>
    <t>CASA NEOS</t>
  </si>
  <si>
    <t>MILA</t>
  </si>
  <si>
    <t>MILA MM</t>
  </si>
  <si>
    <t>BAOLI</t>
  </si>
  <si>
    <t>BUDGET</t>
  </si>
  <si>
    <t>Total Sales</t>
  </si>
  <si>
    <t>Net Sales</t>
  </si>
  <si>
    <t>Total Food Cost</t>
  </si>
  <si>
    <t>Cost of Goods Sold</t>
  </si>
  <si>
    <t>5080 - Purchase N/A Beverages</t>
  </si>
  <si>
    <t>Total LBW Cost</t>
  </si>
  <si>
    <t>Gross Profit</t>
  </si>
  <si>
    <t>Total Payroll Expenses</t>
  </si>
  <si>
    <t>Total Salaries and Wages</t>
  </si>
  <si>
    <t>Cost of Labor</t>
  </si>
  <si>
    <t>FOH - Hourly</t>
  </si>
  <si>
    <t>BOH - Hourly</t>
  </si>
  <si>
    <t>Management</t>
  </si>
  <si>
    <t>Total Occupancy</t>
  </si>
  <si>
    <t>Total Payroll Taxes</t>
  </si>
  <si>
    <t>Occupancy</t>
  </si>
  <si>
    <t>Total Direct Operating Expenses</t>
  </si>
  <si>
    <t>5970 - Group Health Insurance</t>
  </si>
  <si>
    <t>Operating Expenses</t>
  </si>
  <si>
    <t>Total General and Administrative</t>
  </si>
  <si>
    <t>General &amp; Administrative</t>
  </si>
  <si>
    <t>Total Utilities</t>
  </si>
  <si>
    <t>Utilities</t>
  </si>
  <si>
    <t>Total Other (Income) Expenses</t>
  </si>
  <si>
    <t>Other Income</t>
  </si>
  <si>
    <t>Total Operating Expenses</t>
  </si>
  <si>
    <t>Net Operating Income</t>
  </si>
  <si>
    <t>Total Corporate Overhead</t>
  </si>
  <si>
    <t>Other G&amp;A</t>
  </si>
  <si>
    <t>9205 - Depreciation Expense</t>
  </si>
  <si>
    <t>Total New Location</t>
  </si>
  <si>
    <t>EBITDA</t>
  </si>
  <si>
    <t>9010 - Interest Expense</t>
  </si>
  <si>
    <t>Key Performing Indicators</t>
  </si>
  <si>
    <t>Food Cost %</t>
  </si>
  <si>
    <t>Liqour %</t>
  </si>
  <si>
    <t>Wine %</t>
  </si>
  <si>
    <t>BOH Labour Cost %</t>
  </si>
  <si>
    <t>Commentary</t>
  </si>
  <si>
    <t>Food cost upside in wk 5 with the buyout, liqour cost was steady with minimal variance of 6 btls which were rail product. Champ consumption during Brunch is till relativly high</t>
  </si>
  <si>
    <t>Cost of Labour</t>
  </si>
  <si>
    <t>BOH Casa Neo's chefs impacting MILA budget, along with RDG re-billing (Marketing/IT)</t>
  </si>
  <si>
    <t>Turnover rent is higher due to higher sales vs budget</t>
  </si>
  <si>
    <t>Tight spending for whole month of July, 38k upside within restaurant supplies (new napkins) that was realized within P5 accounts.</t>
  </si>
  <si>
    <r>
      <t>Overage driven by storage fee 5k (no budget) &amp; General liability insurance.</t>
    </r>
    <r>
      <rPr>
        <b/>
        <sz val="11"/>
        <color theme="1"/>
        <rFont val="Calibri"/>
        <family val="2"/>
      </rPr>
      <t xml:space="preserve"> (15k)</t>
    </r>
  </si>
  <si>
    <t>RDG Ownership</t>
  </si>
  <si>
    <t>EBITDA by Ownership</t>
  </si>
  <si>
    <t>Covers</t>
  </si>
  <si>
    <t>ASPH</t>
  </si>
  <si>
    <t>MILA II - P6</t>
  </si>
  <si>
    <t>Further reduction of labour with relative good sales is for wk 22.</t>
  </si>
  <si>
    <t>Slow purchasing week despite a 10k purchase for branded coasters &amp; menu covers</t>
  </si>
  <si>
    <t>No areas to flag at the moment</t>
  </si>
  <si>
    <t>MILA Combined - Profit &amp; Loss</t>
  </si>
  <si>
    <t>MILA COMBINED - P6</t>
  </si>
  <si>
    <t>Sales</t>
  </si>
  <si>
    <t>COGS</t>
  </si>
  <si>
    <t>WAGES</t>
  </si>
  <si>
    <t>OPEX</t>
  </si>
  <si>
    <t>EBIDTA</t>
  </si>
  <si>
    <t>P10</t>
  </si>
  <si>
    <t>SALES</t>
  </si>
  <si>
    <t>Budget</t>
  </si>
  <si>
    <t>AVA - WP</t>
  </si>
  <si>
    <t>Food Cost</t>
  </si>
  <si>
    <t>COVERS</t>
  </si>
  <si>
    <t>AVC</t>
  </si>
  <si>
    <t>TOTAL RDG OPS</t>
  </si>
  <si>
    <t>MM at SEA</t>
  </si>
  <si>
    <t>4180 - Wine Sales</t>
  </si>
  <si>
    <t>4105 - Liquor Sales</t>
  </si>
  <si>
    <t>MMEMBERS</t>
  </si>
  <si>
    <t>TOTAL MEMBERSHIP</t>
  </si>
  <si>
    <t>5131 - Purchase Wine</t>
  </si>
  <si>
    <t>5811 - BOH Wages</t>
  </si>
  <si>
    <t>5132 - Purchase Wine Reserve</t>
  </si>
  <si>
    <t>TOTAL RDG CONSOLIDATED</t>
  </si>
  <si>
    <t>5431 - Prep Cook</t>
  </si>
  <si>
    <t>5432 - Pastry Cook</t>
  </si>
  <si>
    <t>5433 - Sushi Cook</t>
  </si>
  <si>
    <t>5435 - Chef de Partie</t>
  </si>
  <si>
    <t>5436 - Butcher</t>
  </si>
  <si>
    <t>5440 - Dishwashers</t>
  </si>
  <si>
    <t>5447 - Receiver</t>
  </si>
  <si>
    <t>Week #</t>
  </si>
  <si>
    <t>Week 34</t>
  </si>
  <si>
    <t>Period</t>
  </si>
  <si>
    <t>Consolidated $</t>
  </si>
  <si>
    <t>Actual - 2026</t>
  </si>
  <si>
    <t>Variance</t>
  </si>
  <si>
    <t>Non-Grat Svc Charges</t>
  </si>
  <si>
    <t>Total</t>
  </si>
  <si>
    <t>Day of Week</t>
  </si>
  <si>
    <t>DATE TABLE</t>
  </si>
  <si>
    <t>TOTAL SALES</t>
  </si>
  <si>
    <t>NON-GRATUITY SERVICE CHARGE</t>
  </si>
  <si>
    <t>Start Date</t>
  </si>
  <si>
    <t>End Date</t>
  </si>
  <si>
    <t>Period 1</t>
  </si>
  <si>
    <t>yyyyMMdd</t>
  </si>
  <si>
    <t>Net sales</t>
  </si>
  <si>
    <t>Total orders</t>
  </si>
  <si>
    <t>Total guests</t>
  </si>
  <si>
    <t>Date</t>
  </si>
  <si>
    <t>Non-Grat Service $</t>
  </si>
  <si>
    <t>P1</t>
  </si>
  <si>
    <t>Week 1</t>
  </si>
  <si>
    <t>Week 2</t>
  </si>
  <si>
    <t>Week 3</t>
  </si>
  <si>
    <t>Week 4</t>
  </si>
  <si>
    <t>Period 2</t>
  </si>
  <si>
    <t>P2</t>
  </si>
  <si>
    <t>Week 5</t>
  </si>
  <si>
    <t>Week 6</t>
  </si>
  <si>
    <t>Week 7</t>
  </si>
  <si>
    <t>Week 8</t>
  </si>
  <si>
    <t>Period 3</t>
  </si>
  <si>
    <t>P3</t>
  </si>
  <si>
    <t>Week 9</t>
  </si>
  <si>
    <t>Week 10</t>
  </si>
  <si>
    <t>Week 11</t>
  </si>
  <si>
    <t>Week 12</t>
  </si>
  <si>
    <t>Week 13</t>
  </si>
  <si>
    <t>Period 4</t>
  </si>
  <si>
    <t>P4</t>
  </si>
  <si>
    <t>Week 14</t>
  </si>
  <si>
    <t>Week 15</t>
  </si>
  <si>
    <t>Week 16</t>
  </si>
  <si>
    <t>Week 17</t>
  </si>
  <si>
    <t>Period 5</t>
  </si>
  <si>
    <t>P5</t>
  </si>
  <si>
    <t>Week 18</t>
  </si>
  <si>
    <t>Week 19</t>
  </si>
  <si>
    <t>Week 20</t>
  </si>
  <si>
    <t>Week 21</t>
  </si>
  <si>
    <t>Period 6</t>
  </si>
  <si>
    <t>P6</t>
  </si>
  <si>
    <t>Week 22</t>
  </si>
  <si>
    <t>Week 23</t>
  </si>
  <si>
    <t>Week 24</t>
  </si>
  <si>
    <t>Week 25</t>
  </si>
  <si>
    <t>Week 26</t>
  </si>
  <si>
    <t>Period 7</t>
  </si>
  <si>
    <t>P7</t>
  </si>
  <si>
    <t>Week 27</t>
  </si>
  <si>
    <t>Week 28</t>
  </si>
  <si>
    <t>Week 29</t>
  </si>
  <si>
    <t>Week 30</t>
  </si>
  <si>
    <t>Period 8</t>
  </si>
  <si>
    <t>P8</t>
  </si>
  <si>
    <t>Week 31</t>
  </si>
  <si>
    <t>Week 32</t>
  </si>
  <si>
    <t>Week 33</t>
  </si>
  <si>
    <t>Period 9</t>
  </si>
  <si>
    <t>P9</t>
  </si>
  <si>
    <t>Week 35</t>
  </si>
  <si>
    <t>Week 36</t>
  </si>
  <si>
    <t>Week 37</t>
  </si>
  <si>
    <t>Week 38</t>
  </si>
  <si>
    <t>Week 39</t>
  </si>
  <si>
    <t>Period 10</t>
  </si>
  <si>
    <t>Week 40</t>
  </si>
  <si>
    <t>Week 41</t>
  </si>
  <si>
    <t>Week 42</t>
  </si>
  <si>
    <t>Week 43</t>
  </si>
  <si>
    <t>Period 11</t>
  </si>
  <si>
    <t>P11</t>
  </si>
  <si>
    <t>Week 44</t>
  </si>
  <si>
    <t>Week 45</t>
  </si>
  <si>
    <t>Week 46</t>
  </si>
  <si>
    <t>Week 47</t>
  </si>
  <si>
    <t>Period 12</t>
  </si>
  <si>
    <t>P12</t>
  </si>
  <si>
    <t>Week 48</t>
  </si>
  <si>
    <t>Week 49</t>
  </si>
  <si>
    <t>Week 50</t>
  </si>
  <si>
    <t>Week 51</t>
  </si>
  <si>
    <t>Week 52</t>
  </si>
  <si>
    <t>RDG OPS</t>
  </si>
  <si>
    <t>MILA 3F - 2026</t>
  </si>
  <si>
    <t>MILA 2F - 2026</t>
  </si>
  <si>
    <t>AVA WP - 2026</t>
  </si>
  <si>
    <t>AVA WP - 2025</t>
  </si>
  <si>
    <t>CASA NEOS - 2026</t>
  </si>
  <si>
    <t>CLAUDIE - 2026</t>
  </si>
  <si>
    <t>AVA CG - 2026</t>
  </si>
  <si>
    <t>CASA NEOS LOUNGE - 2026</t>
  </si>
  <si>
    <t>AVA CG - 2025</t>
  </si>
  <si>
    <t>Dinner</t>
  </si>
  <si>
    <t>Brunch</t>
  </si>
  <si>
    <t>Omakase</t>
  </si>
  <si>
    <t>MM</t>
  </si>
  <si>
    <t>Lounge</t>
  </si>
  <si>
    <t>avg ck</t>
  </si>
  <si>
    <t>MILA 3F - 2025</t>
  </si>
  <si>
    <t>MILA 2F - 2025</t>
  </si>
  <si>
    <t>CASA NEOS - 2025</t>
  </si>
  <si>
    <t>CLAUDIE - 2025</t>
  </si>
  <si>
    <t>Prior to 7</t>
  </si>
  <si>
    <t>After 10:30</t>
  </si>
  <si>
    <t>AVERAGE CHECK - MOVEMENT</t>
  </si>
  <si>
    <t>Sales By Segment</t>
  </si>
  <si>
    <t>Avg Check</t>
  </si>
  <si>
    <t>4-Wk MA</t>
  </si>
  <si>
    <t>% Change</t>
  </si>
  <si>
    <t>LY Covers</t>
  </si>
  <si>
    <t>LY Avg Check</t>
  </si>
  <si>
    <t>EARLY</t>
  </si>
  <si>
    <t>MID</t>
  </si>
  <si>
    <t>LATE</t>
  </si>
  <si>
    <t>LY EARLY</t>
  </si>
  <si>
    <t>LY MID</t>
  </si>
  <si>
    <t>LY LATE</t>
  </si>
  <si>
    <t>CLAUDIE</t>
  </si>
  <si>
    <t>OMAKASE</t>
  </si>
  <si>
    <t>LOUNGE</t>
  </si>
  <si>
    <t>Monday</t>
  </si>
  <si>
    <t>Tuesday</t>
  </si>
  <si>
    <t>Wednesday</t>
  </si>
  <si>
    <t>Thursday</t>
  </si>
  <si>
    <t>Friday</t>
  </si>
  <si>
    <t>AVG CHECK</t>
  </si>
  <si>
    <t>CASA NEOS 3F/4F</t>
  </si>
  <si>
    <t>AVA - CG</t>
  </si>
  <si>
    <t>DINNER</t>
  </si>
  <si>
    <t>BRUNCH</t>
  </si>
  <si>
    <t>TOTAL</t>
  </si>
  <si>
    <t>Sales Breakout</t>
  </si>
  <si>
    <t>Saturday</t>
  </si>
  <si>
    <t>Sunday</t>
  </si>
  <si>
    <t>Casa Neos</t>
  </si>
  <si>
    <t>CN Lounge</t>
  </si>
  <si>
    <t>PA</t>
  </si>
  <si>
    <t>COMBINED</t>
  </si>
  <si>
    <t>WEEKLY SALES</t>
  </si>
  <si>
    <t>VARIANCE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</si>
  <si>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</si>
  <si>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</si>
  <si>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</si>
  <si>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</si>
  <si>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</si>
  <si>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</si>
  <si>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</si>
  <si>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</si>
  <si>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</si>
  <si>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</si>
  <si>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</si>
  <si>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</si>
  <si>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LUNCH</t>
  </si>
  <si>
    <t>MM CLUB</t>
  </si>
  <si>
    <t>Sales category</t>
  </si>
  <si>
    <t>Items</t>
  </si>
  <si>
    <t>Discount amount</t>
  </si>
  <si>
    <t>Refund amount</t>
  </si>
  <si>
    <t>Gross sales</t>
  </si>
  <si>
    <t>Tax amount</t>
  </si>
  <si>
    <t>Week -51</t>
  </si>
  <si>
    <t>Retail Mila</t>
  </si>
  <si>
    <t>Week -50</t>
  </si>
  <si>
    <t>Food Brunch - Packages</t>
  </si>
  <si>
    <t>Week -49</t>
  </si>
  <si>
    <t>Wine</t>
  </si>
  <si>
    <t>Week -48</t>
  </si>
  <si>
    <t>Bottled Beer</t>
  </si>
  <si>
    <t>Week -47</t>
  </si>
  <si>
    <t>Liquor</t>
  </si>
  <si>
    <t>Week -46</t>
  </si>
  <si>
    <t>N/A Beverages</t>
  </si>
  <si>
    <t>Week -45</t>
  </si>
  <si>
    <t>Food</t>
  </si>
  <si>
    <t>Week -44</t>
  </si>
  <si>
    <t>Wine BTG</t>
  </si>
  <si>
    <t>Week -43</t>
  </si>
  <si>
    <t>Wine Reserve</t>
  </si>
  <si>
    <t>Week -42</t>
  </si>
  <si>
    <t>RETAIL</t>
  </si>
  <si>
    <t>Week -41</t>
  </si>
  <si>
    <t>No Sales Category Assigned</t>
  </si>
  <si>
    <t>Week -40</t>
  </si>
  <si>
    <t>Week -39</t>
  </si>
  <si>
    <t>Week -38</t>
  </si>
  <si>
    <t>Week -37</t>
  </si>
  <si>
    <t>Week -36</t>
  </si>
  <si>
    <t>Week -35</t>
  </si>
  <si>
    <t>Week -34</t>
  </si>
  <si>
    <t>Week -33</t>
  </si>
  <si>
    <t>Week -32</t>
  </si>
  <si>
    <t>Week -31</t>
  </si>
  <si>
    <t>Week -30</t>
  </si>
  <si>
    <t>Week -29</t>
  </si>
  <si>
    <t>Week -28</t>
  </si>
  <si>
    <t>Week -27</t>
  </si>
  <si>
    <t>Week -26</t>
  </si>
  <si>
    <t>Week -25</t>
  </si>
  <si>
    <t>Week -24</t>
  </si>
  <si>
    <t>Week -23</t>
  </si>
  <si>
    <t>Week -22</t>
  </si>
  <si>
    <t>Week -21</t>
  </si>
  <si>
    <t>Week -20</t>
  </si>
  <si>
    <t>Week -19</t>
  </si>
  <si>
    <t>Week -18</t>
  </si>
  <si>
    <t>Week -17</t>
  </si>
  <si>
    <t>Week -16</t>
  </si>
  <si>
    <t>Week -15</t>
  </si>
  <si>
    <t>Week -14</t>
  </si>
  <si>
    <t>Week -13</t>
  </si>
  <si>
    <t>Week -12</t>
  </si>
  <si>
    <t>Week -11</t>
  </si>
  <si>
    <t>Week -10</t>
  </si>
  <si>
    <t>Week -9</t>
  </si>
  <si>
    <t>Week -8</t>
  </si>
  <si>
    <t>Week -7</t>
  </si>
  <si>
    <t>Week -6</t>
  </si>
  <si>
    <t>Week -5</t>
  </si>
  <si>
    <t>Week -4</t>
  </si>
  <si>
    <t>Week -3</t>
  </si>
  <si>
    <t>Week -2</t>
  </si>
  <si>
    <t>Week -1</t>
  </si>
  <si>
    <t>Week 0</t>
  </si>
  <si>
    <t>Custom Amount Refunds</t>
  </si>
  <si>
    <t>Food Brunch - Cold Dishes</t>
  </si>
  <si>
    <t>Retail MM Mila</t>
  </si>
  <si>
    <t/>
  </si>
  <si>
    <t>Retail Ava</t>
  </si>
  <si>
    <t>Retail MM Ava</t>
  </si>
  <si>
    <t>Cancellation Sales</t>
  </si>
  <si>
    <t>NA Beverage</t>
  </si>
  <si>
    <t>Retail</t>
  </si>
  <si>
    <t>Docking Fees</t>
  </si>
  <si>
    <t>Wine by the Glass</t>
  </si>
  <si>
    <t>Other Sales</t>
  </si>
  <si>
    <t>vs Budget</t>
  </si>
  <si>
    <t>vs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</si>
</sst>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Wk&quot;\ ##"/>
    <numFmt numFmtId="166" formatCode="&quot;$&quot;#,##0.00"/>
    <numFmt numFmtId="167" formatCode="_(* #,##0_);_(* \(#,##0\);_(* &quot;-&quot;??_);_(@_)"/>
    <numFmt numFmtId="168" formatCode="&quot;Week  &quot;#"/>
    <numFmt numFmtId="169" formatCode="&quot;$&quot;#,##0"/>
    <numFmt numFmtId="170" formatCode="&quot;$&quot;#,##0.0"/>
    <numFmt numFmtId="171" formatCode="_(&quot;$&quot;* #,##0.0_);_(&quot;$&quot;* \(#,##0.0\);_(&quot;$&quot;* &quot;-&quot;??_);_(@_)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3"/>
      <color rgb="FF0070C0"/>
      <name val="Calibri"/>
      <family val="2"/>
      <scheme val="minor"/>
    </font>
    <font>
      <sz val="12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5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u/>
      <sz val="11"/>
      <color theme="1"/>
      <name val="Calibri"/>
      <family val="2"/>
    </font>
    <font>
      <b/>
      <u/>
      <sz val="12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4" tint="-0.499984740745262"/>
      <name val="Calibri"/>
      <family val="2"/>
    </font>
    <font>
      <b/>
      <sz val="18"/>
      <color theme="4" tint="-0.499984740745262"/>
      <name val="Calibri"/>
      <family val="2"/>
      <scheme val="minor"/>
    </font>
    <font>
      <i/>
      <sz val="14"/>
      <color theme="0" tint="-0.499984740745262"/>
      <name val="Calibri"/>
      <family val="2"/>
    </font>
    <font>
      <b/>
      <sz val="14"/>
      <color theme="5"/>
      <name val="Calibri"/>
      <family val="2"/>
      <scheme val="minor"/>
    </font>
    <font>
      <sz val="12"/>
      <color theme="1"/>
      <name val="Calibri"/>
      <family val="2"/>
    </font>
    <font>
      <sz val="12"/>
      <color theme="0"/>
      <name val="Calibri"/>
      <family val="2"/>
    </font>
    <font>
      <b/>
      <u/>
      <sz val="16"/>
      <color theme="1"/>
      <name val="Calibri"/>
      <family val="2"/>
    </font>
    <font>
      <sz val="16"/>
      <color theme="1"/>
      <name val="Calibri"/>
      <family val="2"/>
    </font>
    <font>
      <i/>
      <sz val="16"/>
      <name val="Calibri"/>
      <family val="2"/>
    </font>
    <font>
      <i/>
      <sz val="16"/>
      <color theme="1"/>
      <name val="Calibri"/>
      <family val="2"/>
    </font>
    <font>
      <i/>
      <sz val="11"/>
      <color theme="1"/>
      <name val="Calibri"/>
      <family val="2"/>
    </font>
    <font>
      <b/>
      <sz val="18"/>
      <color theme="1"/>
      <name val="Calibri"/>
      <family val="2"/>
    </font>
    <font>
      <b/>
      <u/>
      <sz val="16"/>
      <color theme="4" tint="-0.499984740745262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i/>
      <sz val="11"/>
      <color theme="0" tint="-0.499984740745262"/>
      <name val="Calibri"/>
      <family val="2"/>
    </font>
    <font>
      <b/>
      <sz val="14"/>
      <color theme="4" tint="-0.249977111117893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i/>
      <sz val="9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ptos"/>
      <family val="2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11"/>
      <color theme="0"/>
      <name val="Calibri"/>
      <family val="2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</font>
    <font>
      <sz val="9"/>
      <color theme="1"/>
      <name val="Calibri"/>
      <family val="2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dotted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</borders>
  <cellStyleXfs count="93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11" fillId="0" borderId="0"/>
    <xf numFmtId="0" fontId="1" fillId="0" borderId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7" borderId="0" applyNumberFormat="0" applyBorder="0" applyAlignment="0" applyProtection="0"/>
    <xf numFmtId="0" fontId="3" fillId="0" borderId="0"/>
    <xf numFmtId="0" fontId="5" fillId="0" borderId="0"/>
    <xf numFmtId="0" fontId="54" fillId="0" borderId="0" applyNumberFormat="0" applyFill="0" applyBorder="0" applyAlignment="0" applyProtection="0"/>
    <xf numFmtId="0" fontId="55" fillId="0" borderId="42" applyNumberFormat="0" applyFill="0" applyAlignment="0" applyProtection="0"/>
    <xf numFmtId="0" fontId="56" fillId="0" borderId="43" applyNumberFormat="0" applyFill="0" applyAlignment="0" applyProtection="0"/>
    <xf numFmtId="0" fontId="57" fillId="0" borderId="44" applyNumberFormat="0" applyFill="0" applyAlignment="0" applyProtection="0"/>
    <xf numFmtId="0" fontId="57" fillId="0" borderId="0" applyNumberFormat="0" applyFill="0" applyBorder="0" applyAlignment="0" applyProtection="0"/>
    <xf numFmtId="0" fontId="58" fillId="16" borderId="0" applyNumberFormat="0" applyBorder="0" applyAlignment="0" applyProtection="0"/>
    <xf numFmtId="0" fontId="59" fillId="17" borderId="0" applyNumberFormat="0" applyBorder="0" applyAlignment="0" applyProtection="0"/>
    <xf numFmtId="0" fontId="60" fillId="18" borderId="0" applyNumberFormat="0" applyBorder="0" applyAlignment="0" applyProtection="0"/>
    <xf numFmtId="0" fontId="61" fillId="19" borderId="45" applyNumberFormat="0" applyAlignment="0" applyProtection="0"/>
    <xf numFmtId="0" fontId="62" fillId="20" borderId="46" applyNumberFormat="0" applyAlignment="0" applyProtection="0"/>
    <xf numFmtId="0" fontId="63" fillId="20" borderId="45" applyNumberFormat="0" applyAlignment="0" applyProtection="0"/>
    <xf numFmtId="0" fontId="64" fillId="0" borderId="47" applyNumberFormat="0" applyFill="0" applyAlignment="0" applyProtection="0"/>
    <xf numFmtId="0" fontId="65" fillId="21" borderId="48" applyNumberFormat="0" applyAlignment="0" applyProtection="0"/>
    <xf numFmtId="0" fontId="66" fillId="0" borderId="0" applyNumberFormat="0" applyFill="0" applyBorder="0" applyAlignment="0" applyProtection="0"/>
    <xf numFmtId="0" fontId="1" fillId="22" borderId="49" applyNumberFormat="0" applyFont="0" applyAlignment="0" applyProtection="0"/>
    <xf numFmtId="0" fontId="2" fillId="0" borderId="50" applyNumberFormat="0" applyFill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0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0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20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67" fillId="0" borderId="0"/>
    <xf numFmtId="0" fontId="68" fillId="0" borderId="42" applyNumberFormat="0" applyFill="0" applyAlignment="0" applyProtection="0"/>
    <xf numFmtId="0" fontId="69" fillId="0" borderId="43" applyNumberFormat="0" applyFill="0" applyAlignment="0" applyProtection="0"/>
    <xf numFmtId="0" fontId="70" fillId="0" borderId="44" applyNumberFormat="0" applyFill="0" applyAlignment="0" applyProtection="0"/>
    <xf numFmtId="0" fontId="70" fillId="0" borderId="0" applyNumberFormat="0" applyFill="0" applyBorder="0" applyAlignment="0" applyProtection="0"/>
    <xf numFmtId="0" fontId="71" fillId="16" borderId="0" applyNumberFormat="0" applyBorder="0" applyAlignment="0" applyProtection="0"/>
    <xf numFmtId="0" fontId="72" fillId="17" borderId="0" applyNumberFormat="0" applyBorder="0" applyAlignment="0" applyProtection="0"/>
    <xf numFmtId="0" fontId="73" fillId="18" borderId="0" applyNumberFormat="0" applyBorder="0" applyAlignment="0" applyProtection="0"/>
    <xf numFmtId="0" fontId="74" fillId="19" borderId="45" applyNumberFormat="0" applyAlignment="0" applyProtection="0"/>
    <xf numFmtId="0" fontId="75" fillId="20" borderId="46" applyNumberFormat="0" applyAlignment="0" applyProtection="0"/>
    <xf numFmtId="0" fontId="76" fillId="20" borderId="45" applyNumberFormat="0" applyAlignment="0" applyProtection="0"/>
    <xf numFmtId="0" fontId="77" fillId="0" borderId="47" applyNumberFormat="0" applyFill="0" applyAlignment="0" applyProtection="0"/>
    <xf numFmtId="0" fontId="78" fillId="21" borderId="48" applyNumberFormat="0" applyAlignment="0" applyProtection="0"/>
    <xf numFmtId="0" fontId="79" fillId="0" borderId="0" applyNumberFormat="0" applyFill="0" applyBorder="0" applyAlignment="0" applyProtection="0"/>
    <xf numFmtId="0" fontId="67" fillId="22" borderId="49" applyNumberFormat="0" applyFont="0" applyAlignment="0" applyProtection="0"/>
    <xf numFmtId="0" fontId="80" fillId="0" borderId="0" applyNumberFormat="0" applyFill="0" applyBorder="0" applyAlignment="0" applyProtection="0"/>
    <xf numFmtId="0" fontId="81" fillId="0" borderId="50" applyNumberFormat="0" applyFill="0" applyAlignment="0" applyProtection="0"/>
    <xf numFmtId="0" fontId="82" fillId="7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82" fillId="26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82" fillId="30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82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7" fillId="37" borderId="0" applyNumberFormat="0" applyBorder="0" applyAlignment="0" applyProtection="0"/>
    <xf numFmtId="0" fontId="82" fillId="38" borderId="0" applyNumberFormat="0" applyBorder="0" applyAlignment="0" applyProtection="0"/>
    <xf numFmtId="0" fontId="67" fillId="39" borderId="0" applyNumberFormat="0" applyBorder="0" applyAlignment="0" applyProtection="0"/>
    <xf numFmtId="0" fontId="67" fillId="40" borderId="0" applyNumberFormat="0" applyBorder="0" applyAlignment="0" applyProtection="0"/>
    <xf numFmtId="0" fontId="67" fillId="41" borderId="0" applyNumberFormat="0" applyBorder="0" applyAlignment="0" applyProtection="0"/>
    <xf numFmtId="0" fontId="82" fillId="42" borderId="0" applyNumberFormat="0" applyBorder="0" applyAlignment="0" applyProtection="0"/>
    <xf numFmtId="0" fontId="67" fillId="43" borderId="0" applyNumberFormat="0" applyBorder="0" applyAlignment="0" applyProtection="0"/>
    <xf numFmtId="0" fontId="67" fillId="44" borderId="0" applyNumberFormat="0" applyBorder="0" applyAlignment="0" applyProtection="0"/>
    <xf numFmtId="0" fontId="67" fillId="45" borderId="0" applyNumberFormat="0" applyBorder="0" applyAlignment="0" applyProtection="0"/>
    <xf numFmtId="44" fontId="1" fillId="0" borderId="0" applyFont="0" applyFill="0" applyBorder="0" applyAlignment="0" applyProtection="0"/>
  </cellStyleXfs>
  <cellXfs count="43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  <xf numFmtId="0" fontId="2" fillId="0" borderId="0" xfId="0" applyFont="1"/>
    <xf numFmtId="0" fontId="11" fillId="2" borderId="0" xfId="3" applyFill="1"/>
    <xf numFmtId="0" fontId="12" fillId="2" borderId="0" xfId="3" applyFont="1" applyFill="1" applyAlignment="1">
      <alignment horizontal="center"/>
    </xf>
    <xf numFmtId="0" fontId="13" fillId="2" borderId="0" xfId="3" applyFont="1" applyFill="1" applyAlignment="1">
      <alignment horizontal="center" vertical="center"/>
    </xf>
    <xf numFmtId="0" fontId="14" fillId="2" borderId="0" xfId="3" applyFont="1" applyFill="1" applyAlignment="1">
      <alignment horizontal="center" vertical="center"/>
    </xf>
    <xf numFmtId="0" fontId="15" fillId="2" borderId="0" xfId="3" applyFont="1" applyFill="1" applyAlignment="1">
      <alignment horizontal="center" vertical="center"/>
    </xf>
    <xf numFmtId="0" fontId="15" fillId="2" borderId="6" xfId="3" applyFont="1" applyFill="1" applyBorder="1" applyAlignment="1">
      <alignment horizontal="center" vertical="center"/>
    </xf>
    <xf numFmtId="0" fontId="14" fillId="4" borderId="0" xfId="3" applyFont="1" applyFill="1" applyAlignment="1">
      <alignment horizontal="center" vertical="center"/>
    </xf>
    <xf numFmtId="4" fontId="7" fillId="2" borderId="0" xfId="4" applyNumberFormat="1" applyFont="1" applyFill="1" applyAlignment="1">
      <alignment vertical="center" wrapText="1"/>
    </xf>
    <xf numFmtId="37" fontId="6" fillId="2" borderId="0" xfId="3" applyNumberFormat="1" applyFont="1" applyFill="1" applyAlignment="1">
      <alignment vertical="center"/>
    </xf>
    <xf numFmtId="164" fontId="16" fillId="2" borderId="0" xfId="3" applyNumberFormat="1" applyFont="1" applyFill="1" applyAlignment="1">
      <alignment vertical="center"/>
    </xf>
    <xf numFmtId="5" fontId="6" fillId="2" borderId="0" xfId="3" applyNumberFormat="1" applyFont="1" applyFill="1" applyAlignment="1">
      <alignment vertical="center"/>
    </xf>
    <xf numFmtId="164" fontId="16" fillId="2" borderId="0" xfId="3" applyNumberFormat="1" applyFont="1" applyFill="1" applyAlignment="1">
      <alignment horizontal="center" vertical="center"/>
    </xf>
    <xf numFmtId="164" fontId="16" fillId="2" borderId="6" xfId="3" applyNumberFormat="1" applyFont="1" applyFill="1" applyBorder="1" applyAlignment="1">
      <alignment vertical="center"/>
    </xf>
    <xf numFmtId="5" fontId="6" fillId="4" borderId="0" xfId="3" applyNumberFormat="1" applyFont="1" applyFill="1" applyAlignment="1">
      <alignment vertical="center"/>
    </xf>
    <xf numFmtId="164" fontId="16" fillId="4" borderId="0" xfId="3" applyNumberFormat="1" applyFont="1" applyFill="1" applyAlignment="1">
      <alignment horizontal="center" vertical="center"/>
    </xf>
    <xf numFmtId="4" fontId="7" fillId="5" borderId="0" xfId="4" applyNumberFormat="1" applyFont="1" applyFill="1" applyAlignment="1">
      <alignment vertical="center" wrapText="1" indent="1"/>
    </xf>
    <xf numFmtId="37" fontId="8" fillId="2" borderId="0" xfId="3" applyNumberFormat="1" applyFont="1" applyFill="1" applyAlignment="1">
      <alignment vertical="center"/>
    </xf>
    <xf numFmtId="164" fontId="17" fillId="2" borderId="0" xfId="3" applyNumberFormat="1" applyFont="1" applyFill="1" applyAlignment="1">
      <alignment vertical="center"/>
    </xf>
    <xf numFmtId="164" fontId="17" fillId="2" borderId="0" xfId="3" applyNumberFormat="1" applyFont="1" applyFill="1" applyAlignment="1">
      <alignment horizontal="center" vertical="center"/>
    </xf>
    <xf numFmtId="164" fontId="17" fillId="2" borderId="6" xfId="3" applyNumberFormat="1" applyFont="1" applyFill="1" applyBorder="1" applyAlignment="1">
      <alignment vertical="center"/>
    </xf>
    <xf numFmtId="37" fontId="8" fillId="4" borderId="0" xfId="3" applyNumberFormat="1" applyFont="1" applyFill="1" applyAlignment="1">
      <alignment vertical="center"/>
    </xf>
    <xf numFmtId="164" fontId="17" fillId="4" borderId="0" xfId="3" applyNumberFormat="1" applyFont="1" applyFill="1" applyAlignment="1">
      <alignment horizontal="center" vertical="center"/>
    </xf>
    <xf numFmtId="0" fontId="9" fillId="5" borderId="0" xfId="4" applyFont="1" applyFill="1" applyAlignment="1">
      <alignment vertical="center" wrapText="1" indent="1"/>
    </xf>
    <xf numFmtId="37" fontId="10" fillId="2" borderId="0" xfId="3" applyNumberFormat="1" applyFont="1" applyFill="1" applyAlignment="1">
      <alignment vertical="center"/>
    </xf>
    <xf numFmtId="37" fontId="6" fillId="2" borderId="3" xfId="3" applyNumberFormat="1" applyFont="1" applyFill="1" applyBorder="1" applyAlignment="1">
      <alignment horizontal="right" vertical="center"/>
    </xf>
    <xf numFmtId="37" fontId="18" fillId="2" borderId="3" xfId="3" applyNumberFormat="1" applyFont="1" applyFill="1" applyBorder="1" applyAlignment="1">
      <alignment vertical="center"/>
    </xf>
    <xf numFmtId="164" fontId="16" fillId="2" borderId="3" xfId="3" applyNumberFormat="1" applyFont="1" applyFill="1" applyBorder="1" applyAlignment="1">
      <alignment horizontal="center" vertical="center"/>
    </xf>
    <xf numFmtId="37" fontId="18" fillId="4" borderId="3" xfId="3" applyNumberFormat="1" applyFont="1" applyFill="1" applyBorder="1" applyAlignment="1">
      <alignment vertical="center"/>
    </xf>
    <xf numFmtId="164" fontId="16" fillId="4" borderId="3" xfId="3" applyNumberFormat="1" applyFont="1" applyFill="1" applyBorder="1" applyAlignment="1">
      <alignment horizontal="center" vertical="center"/>
    </xf>
    <xf numFmtId="4" fontId="7" fillId="3" borderId="0" xfId="4" applyNumberFormat="1" applyFont="1" applyFill="1" applyAlignment="1">
      <alignment vertical="center" wrapText="1" indent="1"/>
    </xf>
    <xf numFmtId="4" fontId="7" fillId="2" borderId="0" xfId="4" applyNumberFormat="1" applyFont="1" applyFill="1" applyAlignment="1">
      <alignment vertical="center" wrapText="1" indent="1"/>
    </xf>
    <xf numFmtId="0" fontId="9" fillId="3" borderId="0" xfId="4" applyFont="1" applyFill="1" applyAlignment="1">
      <alignment vertical="center" wrapText="1" indent="1"/>
    </xf>
    <xf numFmtId="4" fontId="7" fillId="2" borderId="0" xfId="4" applyNumberFormat="1" applyFont="1" applyFill="1" applyAlignment="1">
      <alignment vertical="center"/>
    </xf>
    <xf numFmtId="37" fontId="6" fillId="2" borderId="3" xfId="3" applyNumberFormat="1" applyFont="1" applyFill="1" applyBorder="1" applyAlignment="1">
      <alignment vertical="center"/>
    </xf>
    <xf numFmtId="37" fontId="6" fillId="4" borderId="3" xfId="3" applyNumberFormat="1" applyFont="1" applyFill="1" applyBorder="1" applyAlignment="1">
      <alignment vertical="center"/>
    </xf>
    <xf numFmtId="37" fontId="10" fillId="4" borderId="0" xfId="3" applyNumberFormat="1" applyFont="1" applyFill="1" applyAlignment="1">
      <alignment vertical="center"/>
    </xf>
    <xf numFmtId="37" fontId="6" fillId="2" borderId="4" xfId="3" applyNumberFormat="1" applyFont="1" applyFill="1" applyBorder="1" applyAlignment="1">
      <alignment horizontal="right" vertical="center"/>
    </xf>
    <xf numFmtId="37" fontId="6" fillId="2" borderId="4" xfId="3" applyNumberFormat="1" applyFont="1" applyFill="1" applyBorder="1" applyAlignment="1">
      <alignment vertical="center"/>
    </xf>
    <xf numFmtId="164" fontId="16" fillId="2" borderId="4" xfId="3" applyNumberFormat="1" applyFont="1" applyFill="1" applyBorder="1" applyAlignment="1">
      <alignment horizontal="center" vertical="center"/>
    </xf>
    <xf numFmtId="37" fontId="6" fillId="4" borderId="4" xfId="3" applyNumberFormat="1" applyFont="1" applyFill="1" applyBorder="1" applyAlignment="1">
      <alignment vertical="center"/>
    </xf>
    <xf numFmtId="164" fontId="16" fillId="4" borderId="4" xfId="3" applyNumberFormat="1" applyFont="1" applyFill="1" applyBorder="1" applyAlignment="1">
      <alignment horizontal="center" vertical="center"/>
    </xf>
    <xf numFmtId="0" fontId="9" fillId="2" borderId="0" xfId="4" applyFont="1" applyFill="1" applyAlignment="1">
      <alignment vertical="center" wrapText="1" indent="2"/>
    </xf>
    <xf numFmtId="164" fontId="11" fillId="2" borderId="0" xfId="3" applyNumberFormat="1" applyFill="1" applyAlignment="1">
      <alignment horizontal="center"/>
    </xf>
    <xf numFmtId="37" fontId="6" fillId="6" borderId="4" xfId="3" applyNumberFormat="1" applyFont="1" applyFill="1" applyBorder="1" applyAlignment="1">
      <alignment vertical="center"/>
    </xf>
    <xf numFmtId="0" fontId="11" fillId="2" borderId="1" xfId="3" applyFill="1" applyBorder="1"/>
    <xf numFmtId="164" fontId="16" fillId="2" borderId="1" xfId="3" applyNumberFormat="1" applyFont="1" applyFill="1" applyBorder="1" applyAlignment="1">
      <alignment vertical="center"/>
    </xf>
    <xf numFmtId="37" fontId="11" fillId="2" borderId="0" xfId="3" applyNumberFormat="1" applyFill="1"/>
    <xf numFmtId="0" fontId="13" fillId="2" borderId="0" xfId="3" applyFont="1" applyFill="1" applyAlignment="1">
      <alignment horizontal="left" vertical="center"/>
    </xf>
    <xf numFmtId="165" fontId="14" fillId="2" borderId="0" xfId="3" applyNumberFormat="1" applyFont="1" applyFill="1" applyAlignment="1">
      <alignment horizontal="center" vertical="center"/>
    </xf>
    <xf numFmtId="0" fontId="5" fillId="2" borderId="0" xfId="3" applyFont="1" applyFill="1"/>
    <xf numFmtId="37" fontId="19" fillId="2" borderId="0" xfId="7" applyNumberFormat="1" applyFill="1" applyAlignment="1">
      <alignment vertical="center"/>
    </xf>
    <xf numFmtId="0" fontId="22" fillId="2" borderId="0" xfId="3" applyFont="1" applyFill="1"/>
    <xf numFmtId="0" fontId="22" fillId="2" borderId="0" xfId="3" applyFont="1" applyFill="1" applyAlignment="1">
      <alignment horizontal="right"/>
    </xf>
    <xf numFmtId="0" fontId="19" fillId="2" borderId="0" xfId="7" applyFill="1"/>
    <xf numFmtId="164" fontId="19" fillId="2" borderId="0" xfId="7" applyNumberFormat="1" applyFill="1" applyAlignment="1">
      <alignment horizontal="center" vertical="center"/>
    </xf>
    <xf numFmtId="164" fontId="19" fillId="2" borderId="6" xfId="7" applyNumberFormat="1" applyFill="1" applyBorder="1" applyAlignment="1">
      <alignment vertical="center"/>
    </xf>
    <xf numFmtId="37" fontId="19" fillId="4" borderId="0" xfId="7" applyNumberFormat="1" applyFill="1" applyAlignment="1">
      <alignment vertical="center"/>
    </xf>
    <xf numFmtId="164" fontId="19" fillId="4" borderId="0" xfId="7" applyNumberFormat="1" applyFill="1" applyAlignment="1">
      <alignment horizontal="center" vertical="center"/>
    </xf>
    <xf numFmtId="164" fontId="19" fillId="2" borderId="0" xfId="7" applyNumberFormat="1" applyFill="1" applyAlignment="1">
      <alignment vertical="center"/>
    </xf>
    <xf numFmtId="37" fontId="6" fillId="2" borderId="1" xfId="3" applyNumberFormat="1" applyFont="1" applyFill="1" applyBorder="1" applyAlignment="1">
      <alignment vertical="center"/>
    </xf>
    <xf numFmtId="37" fontId="10" fillId="2" borderId="1" xfId="3" applyNumberFormat="1" applyFont="1" applyFill="1" applyBorder="1" applyAlignment="1">
      <alignment vertical="center"/>
    </xf>
    <xf numFmtId="0" fontId="22" fillId="2" borderId="0" xfId="3" applyFont="1" applyFill="1" applyAlignment="1">
      <alignment horizontal="center"/>
    </xf>
    <xf numFmtId="0" fontId="23" fillId="2" borderId="0" xfId="3" applyFont="1" applyFill="1" applyAlignment="1">
      <alignment horizontal="center" vertical="center"/>
    </xf>
    <xf numFmtId="164" fontId="19" fillId="2" borderId="0" xfId="1" applyNumberFormat="1" applyFont="1" applyFill="1" applyAlignment="1">
      <alignment horizontal="center" vertical="center"/>
    </xf>
    <xf numFmtId="43" fontId="5" fillId="2" borderId="0" xfId="6" applyFont="1" applyFill="1" applyAlignment="1">
      <alignment horizontal="left"/>
    </xf>
    <xf numFmtId="164" fontId="19" fillId="2" borderId="0" xfId="7" applyNumberFormat="1" applyFill="1" applyBorder="1" applyAlignment="1">
      <alignment vertical="center"/>
    </xf>
    <xf numFmtId="168" fontId="14" fillId="2" borderId="0" xfId="3" applyNumberFormat="1" applyFont="1" applyFill="1" applyAlignment="1">
      <alignment vertical="center"/>
    </xf>
    <xf numFmtId="164" fontId="10" fillId="2" borderId="0" xfId="5" applyNumberFormat="1" applyFont="1" applyFill="1" applyAlignment="1">
      <alignment horizontal="center" vertical="center"/>
    </xf>
    <xf numFmtId="5" fontId="10" fillId="6" borderId="0" xfId="3" applyNumberFormat="1" applyFont="1" applyFill="1" applyAlignment="1">
      <alignment horizontal="center" vertical="center"/>
    </xf>
    <xf numFmtId="0" fontId="21" fillId="0" borderId="0" xfId="8" applyFont="1" applyFill="1" applyBorder="1" applyAlignment="1">
      <alignment vertical="center"/>
    </xf>
    <xf numFmtId="0" fontId="11" fillId="9" borderId="0" xfId="3" applyFill="1"/>
    <xf numFmtId="0" fontId="11" fillId="2" borderId="0" xfId="3" applyFill="1" applyAlignment="1">
      <alignment horizontal="center"/>
    </xf>
    <xf numFmtId="43" fontId="22" fillId="2" borderId="0" xfId="6" applyFont="1" applyFill="1" applyAlignment="1">
      <alignment horizontal="center"/>
    </xf>
    <xf numFmtId="0" fontId="12" fillId="9" borderId="8" xfId="3" applyFont="1" applyFill="1" applyBorder="1"/>
    <xf numFmtId="0" fontId="11" fillId="9" borderId="9" xfId="3" applyFill="1" applyBorder="1"/>
    <xf numFmtId="0" fontId="12" fillId="9" borderId="10" xfId="3" applyFont="1" applyFill="1" applyBorder="1"/>
    <xf numFmtId="0" fontId="11" fillId="9" borderId="11" xfId="3" applyFill="1" applyBorder="1"/>
    <xf numFmtId="0" fontId="5" fillId="9" borderId="10" xfId="3" applyFont="1" applyFill="1" applyBorder="1"/>
    <xf numFmtId="0" fontId="11" fillId="9" borderId="10" xfId="3" applyFill="1" applyBorder="1"/>
    <xf numFmtId="0" fontId="11" fillId="9" borderId="12" xfId="3" applyFill="1" applyBorder="1"/>
    <xf numFmtId="0" fontId="11" fillId="9" borderId="13" xfId="3" applyFill="1" applyBorder="1"/>
    <xf numFmtId="0" fontId="11" fillId="9" borderId="14" xfId="3" applyFill="1" applyBorder="1"/>
    <xf numFmtId="37" fontId="6" fillId="2" borderId="3" xfId="3" applyNumberFormat="1" applyFont="1" applyFill="1" applyBorder="1" applyAlignment="1">
      <alignment horizontal="left" vertical="center"/>
    </xf>
    <xf numFmtId="37" fontId="6" fillId="2" borderId="4" xfId="3" applyNumberFormat="1" applyFont="1" applyFill="1" applyBorder="1" applyAlignment="1">
      <alignment horizontal="left" vertical="center"/>
    </xf>
    <xf numFmtId="37" fontId="10" fillId="2" borderId="0" xfId="3" applyNumberFormat="1" applyFont="1" applyFill="1" applyAlignment="1">
      <alignment horizontal="left" vertical="center"/>
    </xf>
    <xf numFmtId="0" fontId="3" fillId="0" borderId="0" xfId="9"/>
    <xf numFmtId="5" fontId="11" fillId="2" borderId="0" xfId="3" applyNumberFormat="1" applyFill="1"/>
    <xf numFmtId="0" fontId="5" fillId="2" borderId="0" xfId="3" applyFont="1" applyFill="1" applyAlignment="1">
      <alignment horizontal="left"/>
    </xf>
    <xf numFmtId="0" fontId="11" fillId="10" borderId="0" xfId="3" applyFill="1"/>
    <xf numFmtId="168" fontId="14" fillId="2" borderId="0" xfId="3" applyNumberFormat="1" applyFont="1" applyFill="1" applyAlignment="1">
      <alignment horizontal="center" vertical="center"/>
    </xf>
    <xf numFmtId="167" fontId="5" fillId="2" borderId="0" xfId="6" applyNumberFormat="1" applyFont="1" applyFill="1"/>
    <xf numFmtId="43" fontId="5" fillId="9" borderId="13" xfId="6" applyFont="1" applyFill="1" applyBorder="1" applyAlignment="1">
      <alignment horizontal="left"/>
    </xf>
    <xf numFmtId="167" fontId="0" fillId="0" borderId="0" xfId="0" applyNumberFormat="1"/>
    <xf numFmtId="43" fontId="5" fillId="2" borderId="0" xfId="6" applyFont="1" applyFill="1"/>
    <xf numFmtId="164" fontId="5" fillId="2" borderId="0" xfId="1" applyNumberFormat="1" applyFont="1" applyFill="1" applyAlignment="1">
      <alignment horizontal="center"/>
    </xf>
    <xf numFmtId="164" fontId="5" fillId="2" borderId="0" xfId="1" applyNumberFormat="1" applyFont="1" applyFill="1" applyAlignment="1"/>
    <xf numFmtId="164" fontId="5" fillId="2" borderId="0" xfId="1" applyNumberFormat="1" applyFont="1" applyFill="1"/>
    <xf numFmtId="164" fontId="5" fillId="2" borderId="0" xfId="1" applyNumberFormat="1" applyFont="1" applyFill="1" applyAlignment="1">
      <alignment horizontal="right"/>
    </xf>
    <xf numFmtId="167" fontId="5" fillId="9" borderId="9" xfId="6" applyNumberFormat="1" applyFont="1" applyFill="1" applyBorder="1"/>
    <xf numFmtId="164" fontId="5" fillId="9" borderId="9" xfId="1" applyNumberFormat="1" applyFont="1" applyFill="1" applyBorder="1"/>
    <xf numFmtId="167" fontId="5" fillId="9" borderId="0" xfId="6" applyNumberFormat="1" applyFont="1" applyFill="1" applyBorder="1"/>
    <xf numFmtId="164" fontId="5" fillId="9" borderId="0" xfId="1" applyNumberFormat="1" applyFont="1" applyFill="1" applyBorder="1"/>
    <xf numFmtId="9" fontId="5" fillId="2" borderId="0" xfId="1" applyFont="1" applyFill="1"/>
    <xf numFmtId="0" fontId="11" fillId="2" borderId="0" xfId="3" applyFill="1" applyAlignment="1">
      <alignment vertical="center"/>
    </xf>
    <xf numFmtId="0" fontId="25" fillId="2" borderId="1" xfId="3" applyFont="1" applyFill="1" applyBorder="1" applyAlignment="1">
      <alignment vertical="center"/>
    </xf>
    <xf numFmtId="168" fontId="27" fillId="2" borderId="0" xfId="3" applyNumberFormat="1" applyFont="1" applyFill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0" xfId="8" applyFont="1" applyFill="1" applyBorder="1" applyAlignment="1">
      <alignment vertical="center"/>
    </xf>
    <xf numFmtId="5" fontId="6" fillId="2" borderId="1" xfId="3" applyNumberFormat="1" applyFont="1" applyFill="1" applyBorder="1" applyAlignment="1">
      <alignment horizontal="center" vertical="center"/>
    </xf>
    <xf numFmtId="5" fontId="6" fillId="2" borderId="0" xfId="3" applyNumberFormat="1" applyFont="1" applyFill="1" applyAlignment="1">
      <alignment horizontal="center" vertical="center"/>
    </xf>
    <xf numFmtId="166" fontId="5" fillId="2" borderId="0" xfId="1" applyNumberFormat="1" applyFont="1" applyFill="1" applyAlignment="1">
      <alignment horizontal="center"/>
    </xf>
    <xf numFmtId="5" fontId="6" fillId="4" borderId="0" xfId="3" applyNumberFormat="1" applyFont="1" applyFill="1" applyAlignment="1">
      <alignment horizontal="center" vertical="center"/>
    </xf>
    <xf numFmtId="0" fontId="28" fillId="2" borderId="0" xfId="3" applyFont="1" applyFill="1" applyAlignment="1">
      <alignment vertical="center"/>
    </xf>
    <xf numFmtId="0" fontId="29" fillId="2" borderId="0" xfId="3" applyFont="1" applyFill="1" applyAlignment="1">
      <alignment horizontal="left" vertical="center"/>
    </xf>
    <xf numFmtId="5" fontId="6" fillId="4" borderId="3" xfId="3" applyNumberFormat="1" applyFont="1" applyFill="1" applyBorder="1" applyAlignment="1">
      <alignment horizontal="center" vertical="center"/>
    </xf>
    <xf numFmtId="164" fontId="16" fillId="2" borderId="1" xfId="3" applyNumberFormat="1" applyFont="1" applyFill="1" applyBorder="1" applyAlignment="1">
      <alignment horizontal="center" vertical="center"/>
    </xf>
    <xf numFmtId="0" fontId="31" fillId="2" borderId="0" xfId="3" applyFont="1" applyFill="1"/>
    <xf numFmtId="6" fontId="11" fillId="2" borderId="0" xfId="3" applyNumberFormat="1" applyFill="1"/>
    <xf numFmtId="6" fontId="11" fillId="2" borderId="0" xfId="3" applyNumberFormat="1" applyFill="1" applyAlignment="1">
      <alignment horizontal="center"/>
    </xf>
    <xf numFmtId="0" fontId="32" fillId="2" borderId="0" xfId="3" applyFont="1" applyFill="1"/>
    <xf numFmtId="0" fontId="33" fillId="2" borderId="0" xfId="3" applyFont="1" applyFill="1"/>
    <xf numFmtId="43" fontId="32" fillId="2" borderId="0" xfId="6" applyFont="1" applyFill="1" applyAlignment="1">
      <alignment horizontal="center"/>
    </xf>
    <xf numFmtId="0" fontId="32" fillId="2" borderId="0" xfId="3" applyFont="1" applyFill="1" applyAlignment="1">
      <alignment horizontal="center"/>
    </xf>
    <xf numFmtId="43" fontId="33" fillId="2" borderId="0" xfId="6" applyFont="1" applyFill="1"/>
    <xf numFmtId="164" fontId="33" fillId="2" borderId="0" xfId="1" applyNumberFormat="1" applyFont="1" applyFill="1" applyAlignment="1">
      <alignment horizontal="center"/>
    </xf>
    <xf numFmtId="164" fontId="33" fillId="2" borderId="0" xfId="1" applyNumberFormat="1" applyFont="1" applyFill="1"/>
    <xf numFmtId="0" fontId="33" fillId="2" borderId="0" xfId="3" applyFont="1" applyFill="1" applyAlignment="1">
      <alignment horizontal="center"/>
    </xf>
    <xf numFmtId="6" fontId="33" fillId="2" borderId="0" xfId="3" applyNumberFormat="1" applyFont="1" applyFill="1" applyAlignment="1">
      <alignment horizontal="center"/>
    </xf>
    <xf numFmtId="43" fontId="32" fillId="2" borderId="0" xfId="6" applyFont="1" applyFill="1" applyAlignment="1">
      <alignment horizontal="center" vertical="center"/>
    </xf>
    <xf numFmtId="0" fontId="32" fillId="2" borderId="0" xfId="3" applyFont="1" applyFill="1" applyAlignment="1">
      <alignment horizontal="center" vertical="center"/>
    </xf>
    <xf numFmtId="0" fontId="33" fillId="2" borderId="0" xfId="3" applyFont="1" applyFill="1" applyAlignment="1">
      <alignment horizontal="center" vertical="center"/>
    </xf>
    <xf numFmtId="6" fontId="33" fillId="2" borderId="0" xfId="3" applyNumberFormat="1" applyFont="1" applyFill="1" applyAlignment="1">
      <alignment horizontal="center" vertical="center"/>
    </xf>
    <xf numFmtId="0" fontId="34" fillId="2" borderId="0" xfId="3" applyFont="1" applyFill="1"/>
    <xf numFmtId="0" fontId="35" fillId="2" borderId="0" xfId="3" applyFont="1" applyFill="1"/>
    <xf numFmtId="0" fontId="36" fillId="2" borderId="0" xfId="3" applyFont="1" applyFill="1"/>
    <xf numFmtId="3" fontId="33" fillId="2" borderId="0" xfId="3" applyNumberFormat="1" applyFont="1" applyFill="1" applyAlignment="1">
      <alignment horizontal="center"/>
    </xf>
    <xf numFmtId="0" fontId="39" fillId="2" borderId="0" xfId="3" applyFont="1" applyFill="1"/>
    <xf numFmtId="0" fontId="38" fillId="2" borderId="15" xfId="3" applyFont="1" applyFill="1" applyBorder="1" applyAlignment="1">
      <alignment horizontal="center" vertical="center"/>
    </xf>
    <xf numFmtId="9" fontId="16" fillId="2" borderId="16" xfId="3" applyNumberFormat="1" applyFont="1" applyFill="1" applyBorder="1" applyAlignment="1">
      <alignment horizontal="center" vertical="center"/>
    </xf>
    <xf numFmtId="9" fontId="16" fillId="4" borderId="15" xfId="3" applyNumberFormat="1" applyFont="1" applyFill="1" applyBorder="1" applyAlignment="1">
      <alignment horizontal="center" vertical="center"/>
    </xf>
    <xf numFmtId="9" fontId="4" fillId="2" borderId="15" xfId="3" applyNumberFormat="1" applyFont="1" applyFill="1" applyBorder="1" applyAlignment="1">
      <alignment horizontal="center" vertical="center"/>
    </xf>
    <xf numFmtId="9" fontId="16" fillId="4" borderId="17" xfId="3" applyNumberFormat="1" applyFont="1" applyFill="1" applyBorder="1" applyAlignment="1">
      <alignment horizontal="center" vertical="center"/>
    </xf>
    <xf numFmtId="9" fontId="30" fillId="2" borderId="15" xfId="3" applyNumberFormat="1" applyFont="1" applyFill="1" applyBorder="1" applyAlignment="1">
      <alignment horizontal="center"/>
    </xf>
    <xf numFmtId="9" fontId="3" fillId="2" borderId="15" xfId="0" applyNumberFormat="1" applyFont="1" applyFill="1" applyBorder="1" applyAlignment="1">
      <alignment horizontal="center"/>
    </xf>
    <xf numFmtId="5" fontId="6" fillId="2" borderId="16" xfId="3" applyNumberFormat="1" applyFont="1" applyFill="1" applyBorder="1" applyAlignment="1">
      <alignment horizontal="center" vertical="center"/>
    </xf>
    <xf numFmtId="5" fontId="6" fillId="4" borderId="15" xfId="3" applyNumberFormat="1" applyFont="1" applyFill="1" applyBorder="1" applyAlignment="1">
      <alignment horizontal="center" vertical="center"/>
    </xf>
    <xf numFmtId="0" fontId="11" fillId="2" borderId="15" xfId="3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5" fontId="6" fillId="2" borderId="15" xfId="3" applyNumberFormat="1" applyFont="1" applyFill="1" applyBorder="1" applyAlignment="1">
      <alignment horizontal="center" vertical="center"/>
    </xf>
    <xf numFmtId="5" fontId="6" fillId="4" borderId="17" xfId="3" applyNumberFormat="1" applyFont="1" applyFill="1" applyBorder="1" applyAlignment="1">
      <alignment horizontal="center" vertical="center"/>
    </xf>
    <xf numFmtId="5" fontId="6" fillId="3" borderId="15" xfId="3" applyNumberFormat="1" applyFont="1" applyFill="1" applyBorder="1" applyAlignment="1">
      <alignment horizontal="center" vertical="center"/>
    </xf>
    <xf numFmtId="5" fontId="6" fillId="3" borderId="0" xfId="3" applyNumberFormat="1" applyFont="1" applyFill="1" applyAlignment="1">
      <alignment horizontal="center" vertical="center"/>
    </xf>
    <xf numFmtId="9" fontId="16" fillId="3" borderId="16" xfId="3" applyNumberFormat="1" applyFont="1" applyFill="1" applyBorder="1" applyAlignment="1">
      <alignment horizontal="center" vertical="center"/>
    </xf>
    <xf numFmtId="5" fontId="6" fillId="3" borderId="16" xfId="3" applyNumberFormat="1" applyFont="1" applyFill="1" applyBorder="1" applyAlignment="1">
      <alignment horizontal="center" vertical="center"/>
    </xf>
    <xf numFmtId="5" fontId="6" fillId="3" borderId="1" xfId="3" applyNumberFormat="1" applyFont="1" applyFill="1" applyBorder="1" applyAlignment="1">
      <alignment horizontal="center" vertical="center"/>
    </xf>
    <xf numFmtId="0" fontId="38" fillId="2" borderId="19" xfId="3" applyFont="1" applyFill="1" applyBorder="1" applyAlignment="1">
      <alignment horizontal="center" vertical="center"/>
    </xf>
    <xf numFmtId="5" fontId="6" fillId="2" borderId="20" xfId="3" applyNumberFormat="1" applyFont="1" applyFill="1" applyBorder="1" applyAlignment="1">
      <alignment horizontal="center" vertical="center"/>
    </xf>
    <xf numFmtId="5" fontId="6" fillId="4" borderId="19" xfId="3" applyNumberFormat="1" applyFont="1" applyFill="1" applyBorder="1" applyAlignment="1">
      <alignment horizontal="center" vertical="center"/>
    </xf>
    <xf numFmtId="0" fontId="11" fillId="2" borderId="19" xfId="3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5" fontId="6" fillId="2" borderId="19" xfId="3" applyNumberFormat="1" applyFont="1" applyFill="1" applyBorder="1" applyAlignment="1">
      <alignment horizontal="center" vertical="center"/>
    </xf>
    <xf numFmtId="5" fontId="6" fillId="4" borderId="21" xfId="3" applyNumberFormat="1" applyFont="1" applyFill="1" applyBorder="1" applyAlignment="1">
      <alignment horizontal="center" vertical="center"/>
    </xf>
    <xf numFmtId="43" fontId="0" fillId="0" borderId="0" xfId="6" applyFont="1"/>
    <xf numFmtId="167" fontId="0" fillId="0" borderId="0" xfId="6" applyNumberFormat="1" applyFont="1"/>
    <xf numFmtId="0" fontId="0" fillId="0" borderId="15" xfId="0" applyBorder="1"/>
    <xf numFmtId="43" fontId="0" fillId="0" borderId="15" xfId="6" applyFont="1" applyBorder="1"/>
    <xf numFmtId="0" fontId="0" fillId="0" borderId="22" xfId="0" applyBorder="1"/>
    <xf numFmtId="43" fontId="0" fillId="0" borderId="22" xfId="6" applyFont="1" applyBorder="1"/>
    <xf numFmtId="167" fontId="2" fillId="0" borderId="0" xfId="6" applyNumberFormat="1" applyFont="1"/>
    <xf numFmtId="0" fontId="40" fillId="0" borderId="0" xfId="0" applyFont="1"/>
    <xf numFmtId="167" fontId="40" fillId="0" borderId="0" xfId="6" applyNumberFormat="1" applyFont="1"/>
    <xf numFmtId="0" fontId="2" fillId="0" borderId="15" xfId="0" applyFont="1" applyBorder="1"/>
    <xf numFmtId="0" fontId="2" fillId="0" borderId="22" xfId="0" applyFont="1" applyBorder="1"/>
    <xf numFmtId="37" fontId="6" fillId="4" borderId="15" xfId="3" applyNumberFormat="1" applyFont="1" applyFill="1" applyBorder="1" applyAlignment="1">
      <alignment horizontal="center" vertical="center"/>
    </xf>
    <xf numFmtId="164" fontId="2" fillId="12" borderId="15" xfId="1" applyNumberFormat="1" applyFont="1" applyFill="1" applyBorder="1" applyAlignment="1">
      <alignment horizontal="center" vertical="center"/>
    </xf>
    <xf numFmtId="37" fontId="6" fillId="2" borderId="16" xfId="3" applyNumberFormat="1" applyFont="1" applyFill="1" applyBorder="1" applyAlignment="1">
      <alignment horizontal="center" vertical="center"/>
    </xf>
    <xf numFmtId="37" fontId="6" fillId="2" borderId="15" xfId="3" applyNumberFormat="1" applyFont="1" applyFill="1" applyBorder="1" applyAlignment="1">
      <alignment horizontal="center" vertical="center"/>
    </xf>
    <xf numFmtId="37" fontId="6" fillId="4" borderId="17" xfId="3" applyNumberFormat="1" applyFont="1" applyFill="1" applyBorder="1" applyAlignment="1">
      <alignment horizontal="center" vertical="center"/>
    </xf>
    <xf numFmtId="5" fontId="6" fillId="13" borderId="15" xfId="3" applyNumberFormat="1" applyFont="1" applyFill="1" applyBorder="1" applyAlignment="1">
      <alignment horizontal="center" vertical="center"/>
    </xf>
    <xf numFmtId="37" fontId="6" fillId="13" borderId="15" xfId="3" applyNumberFormat="1" applyFont="1" applyFill="1" applyBorder="1" applyAlignment="1">
      <alignment horizontal="center" vertical="center"/>
    </xf>
    <xf numFmtId="0" fontId="25" fillId="0" borderId="1" xfId="3" applyFont="1" applyBorder="1" applyAlignment="1">
      <alignment vertical="center"/>
    </xf>
    <xf numFmtId="7" fontId="11" fillId="2" borderId="0" xfId="3" applyNumberFormat="1" applyFill="1"/>
    <xf numFmtId="7" fontId="5" fillId="2" borderId="0" xfId="3" applyNumberFormat="1" applyFont="1" applyFill="1"/>
    <xf numFmtId="164" fontId="11" fillId="2" borderId="0" xfId="3" applyNumberFormat="1" applyFill="1"/>
    <xf numFmtId="3" fontId="11" fillId="2" borderId="0" xfId="3" applyNumberFormat="1" applyFill="1"/>
    <xf numFmtId="5" fontId="5" fillId="2" borderId="0" xfId="3" applyNumberFormat="1" applyFont="1" applyFill="1"/>
    <xf numFmtId="40" fontId="0" fillId="0" borderId="0" xfId="6" applyNumberFormat="1" applyFont="1"/>
    <xf numFmtId="39" fontId="0" fillId="0" borderId="0" xfId="6" applyNumberFormat="1" applyFont="1"/>
    <xf numFmtId="0" fontId="25" fillId="2" borderId="0" xfId="2" applyFont="1" applyFill="1" applyAlignment="1">
      <alignment vertical="center"/>
    </xf>
    <xf numFmtId="0" fontId="5" fillId="2" borderId="0" xfId="2" applyFill="1"/>
    <xf numFmtId="5" fontId="6" fillId="2" borderId="15" xfId="2" applyNumberFormat="1" applyFont="1" applyFill="1" applyBorder="1" applyAlignment="1">
      <alignment horizontal="center" vertical="center"/>
    </xf>
    <xf numFmtId="3" fontId="6" fillId="2" borderId="15" xfId="2" applyNumberFormat="1" applyFont="1" applyFill="1" applyBorder="1" applyAlignment="1">
      <alignment horizontal="center" vertical="center"/>
    </xf>
    <xf numFmtId="5" fontId="6" fillId="2" borderId="19" xfId="2" applyNumberFormat="1" applyFont="1" applyFill="1" applyBorder="1" applyAlignment="1">
      <alignment horizontal="center" vertical="center"/>
    </xf>
    <xf numFmtId="0" fontId="28" fillId="2" borderId="0" xfId="2" applyFont="1" applyFill="1" applyAlignment="1">
      <alignment horizontal="left" vertical="center"/>
    </xf>
    <xf numFmtId="0" fontId="42" fillId="2" borderId="0" xfId="2" applyFont="1" applyFill="1" applyAlignment="1">
      <alignment vertical="center"/>
    </xf>
    <xf numFmtId="164" fontId="2" fillId="2" borderId="15" xfId="1" applyNumberFormat="1" applyFont="1" applyFill="1" applyBorder="1" applyAlignment="1">
      <alignment horizontal="center" vertical="center"/>
    </xf>
    <xf numFmtId="0" fontId="5" fillId="2" borderId="23" xfId="2" applyFill="1" applyBorder="1"/>
    <xf numFmtId="0" fontId="28" fillId="12" borderId="0" xfId="2" applyFont="1" applyFill="1" applyAlignment="1">
      <alignment vertical="center"/>
    </xf>
    <xf numFmtId="0" fontId="5" fillId="12" borderId="0" xfId="2" applyFill="1"/>
    <xf numFmtId="5" fontId="6" fillId="12" borderId="15" xfId="2" applyNumberFormat="1" applyFont="1" applyFill="1" applyBorder="1" applyAlignment="1">
      <alignment horizontal="center" vertical="center"/>
    </xf>
    <xf numFmtId="3" fontId="6" fillId="12" borderId="15" xfId="2" applyNumberFormat="1" applyFont="1" applyFill="1" applyBorder="1" applyAlignment="1">
      <alignment horizontal="center" vertical="center"/>
    </xf>
    <xf numFmtId="5" fontId="6" fillId="12" borderId="19" xfId="2" applyNumberFormat="1" applyFont="1" applyFill="1" applyBorder="1" applyAlignment="1">
      <alignment horizontal="center" vertical="center"/>
    </xf>
    <xf numFmtId="0" fontId="42" fillId="12" borderId="0" xfId="2" applyFont="1" applyFill="1" applyAlignment="1">
      <alignment vertical="center"/>
    </xf>
    <xf numFmtId="0" fontId="11" fillId="12" borderId="0" xfId="3" applyFill="1"/>
    <xf numFmtId="0" fontId="28" fillId="14" borderId="0" xfId="2" applyFont="1" applyFill="1" applyAlignment="1">
      <alignment vertical="center"/>
    </xf>
    <xf numFmtId="0" fontId="5" fillId="14" borderId="0" xfId="2" applyFill="1"/>
    <xf numFmtId="5" fontId="6" fillId="14" borderId="15" xfId="2" applyNumberFormat="1" applyFont="1" applyFill="1" applyBorder="1" applyAlignment="1">
      <alignment horizontal="center" vertical="center"/>
    </xf>
    <xf numFmtId="3" fontId="6" fillId="14" borderId="15" xfId="2" applyNumberFormat="1" applyFont="1" applyFill="1" applyBorder="1" applyAlignment="1">
      <alignment horizontal="center" vertical="center"/>
    </xf>
    <xf numFmtId="5" fontId="6" fillId="14" borderId="19" xfId="2" applyNumberFormat="1" applyFont="1" applyFill="1" applyBorder="1" applyAlignment="1">
      <alignment horizontal="center" vertical="center"/>
    </xf>
    <xf numFmtId="0" fontId="42" fillId="14" borderId="0" xfId="2" applyFont="1" applyFill="1" applyAlignment="1">
      <alignment vertical="center"/>
    </xf>
    <xf numFmtId="164" fontId="2" fillId="14" borderId="15" xfId="1" applyNumberFormat="1" applyFont="1" applyFill="1" applyBorder="1" applyAlignment="1">
      <alignment horizontal="center" vertical="center"/>
    </xf>
    <xf numFmtId="0" fontId="11" fillId="14" borderId="0" xfId="3" applyFill="1"/>
    <xf numFmtId="0" fontId="25" fillId="15" borderId="1" xfId="3" applyFont="1" applyFill="1" applyBorder="1" applyAlignment="1">
      <alignment vertical="center"/>
    </xf>
    <xf numFmtId="5" fontId="6" fillId="15" borderId="16" xfId="3" applyNumberFormat="1" applyFont="1" applyFill="1" applyBorder="1" applyAlignment="1">
      <alignment horizontal="center" vertical="center"/>
    </xf>
    <xf numFmtId="37" fontId="6" fillId="15" borderId="16" xfId="3" applyNumberFormat="1" applyFont="1" applyFill="1" applyBorder="1" applyAlignment="1">
      <alignment horizontal="center" vertical="center"/>
    </xf>
    <xf numFmtId="0" fontId="11" fillId="15" borderId="1" xfId="3" applyFill="1" applyBorder="1"/>
    <xf numFmtId="0" fontId="25" fillId="15" borderId="25" xfId="3" applyFont="1" applyFill="1" applyBorder="1" applyAlignment="1">
      <alignment vertical="center"/>
    </xf>
    <xf numFmtId="0" fontId="11" fillId="15" borderId="25" xfId="3" applyFill="1" applyBorder="1" applyAlignment="1">
      <alignment horizontal="center"/>
    </xf>
    <xf numFmtId="5" fontId="6" fillId="15" borderId="24" xfId="3" applyNumberFormat="1" applyFont="1" applyFill="1" applyBorder="1" applyAlignment="1">
      <alignment horizontal="center" vertical="center"/>
    </xf>
    <xf numFmtId="37" fontId="6" fillId="15" borderId="24" xfId="3" applyNumberFormat="1" applyFont="1" applyFill="1" applyBorder="1" applyAlignment="1">
      <alignment horizontal="center" vertical="center"/>
    </xf>
    <xf numFmtId="5" fontId="6" fillId="15" borderId="26" xfId="3" applyNumberFormat="1" applyFont="1" applyFill="1" applyBorder="1" applyAlignment="1">
      <alignment horizontal="center" vertical="center"/>
    </xf>
    <xf numFmtId="0" fontId="11" fillId="15" borderId="25" xfId="3" applyFill="1" applyBorder="1"/>
    <xf numFmtId="14" fontId="43" fillId="15" borderId="27" xfId="0" applyNumberFormat="1" applyFont="1" applyFill="1" applyBorder="1" applyAlignment="1">
      <alignment horizontal="left" vertical="center"/>
    </xf>
    <xf numFmtId="169" fontId="43" fillId="14" borderId="27" xfId="0" applyNumberFormat="1" applyFont="1" applyFill="1" applyBorder="1" applyAlignment="1">
      <alignment vertical="center"/>
    </xf>
    <xf numFmtId="0" fontId="43" fillId="15" borderId="27" xfId="0" applyFont="1" applyFill="1" applyBorder="1" applyAlignment="1">
      <alignment horizontal="left" vertical="center"/>
    </xf>
    <xf numFmtId="0" fontId="25" fillId="2" borderId="0" xfId="3" applyFont="1" applyFill="1"/>
    <xf numFmtId="0" fontId="45" fillId="15" borderId="27" xfId="0" applyFont="1" applyFill="1" applyBorder="1" applyAlignment="1">
      <alignment horizontal="center" vertical="center"/>
    </xf>
    <xf numFmtId="169" fontId="11" fillId="2" borderId="0" xfId="3" applyNumberFormat="1" applyFill="1"/>
    <xf numFmtId="169" fontId="6" fillId="12" borderId="15" xfId="2" applyNumberFormat="1" applyFont="1" applyFill="1" applyBorder="1" applyAlignment="1">
      <alignment horizontal="center" vertical="center"/>
    </xf>
    <xf numFmtId="0" fontId="43" fillId="15" borderId="28" xfId="0" applyFont="1" applyFill="1" applyBorder="1" applyAlignment="1">
      <alignment horizontal="center" vertical="center"/>
    </xf>
    <xf numFmtId="169" fontId="43" fillId="15" borderId="28" xfId="0" applyNumberFormat="1" applyFont="1" applyFill="1" applyBorder="1" applyAlignment="1">
      <alignment horizontal="center" vertical="center"/>
    </xf>
    <xf numFmtId="5" fontId="6" fillId="2" borderId="29" xfId="2" applyNumberFormat="1" applyFont="1" applyFill="1" applyBorder="1" applyAlignment="1">
      <alignment horizontal="center" vertical="center"/>
    </xf>
    <xf numFmtId="169" fontId="6" fillId="12" borderId="30" xfId="2" applyNumberFormat="1" applyFont="1" applyFill="1" applyBorder="1" applyAlignment="1">
      <alignment horizontal="center" vertical="center"/>
    </xf>
    <xf numFmtId="5" fontId="6" fillId="2" borderId="31" xfId="2" applyNumberFormat="1" applyFont="1" applyFill="1" applyBorder="1" applyAlignment="1">
      <alignment horizontal="center" vertical="center"/>
    </xf>
    <xf numFmtId="5" fontId="6" fillId="2" borderId="32" xfId="2" applyNumberFormat="1" applyFont="1" applyFill="1" applyBorder="1" applyAlignment="1">
      <alignment horizontal="center" vertical="center"/>
    </xf>
    <xf numFmtId="5" fontId="6" fillId="2" borderId="33" xfId="2" applyNumberFormat="1" applyFont="1" applyFill="1" applyBorder="1" applyAlignment="1">
      <alignment horizontal="center" vertical="center"/>
    </xf>
    <xf numFmtId="169" fontId="43" fillId="15" borderId="34" xfId="0" applyNumberFormat="1" applyFont="1" applyFill="1" applyBorder="1" applyAlignment="1">
      <alignment vertical="center"/>
    </xf>
    <xf numFmtId="169" fontId="43" fillId="15" borderId="35" xfId="0" applyNumberFormat="1" applyFont="1" applyFill="1" applyBorder="1" applyAlignment="1">
      <alignment vertical="center"/>
    </xf>
    <xf numFmtId="169" fontId="43" fillId="15" borderId="36" xfId="0" applyNumberFormat="1" applyFont="1" applyFill="1" applyBorder="1" applyAlignment="1">
      <alignment vertical="center"/>
    </xf>
    <xf numFmtId="169" fontId="43" fillId="14" borderId="37" xfId="0" applyNumberFormat="1" applyFont="1" applyFill="1" applyBorder="1" applyAlignment="1">
      <alignment vertical="center"/>
    </xf>
    <xf numFmtId="169" fontId="43" fillId="15" borderId="38" xfId="0" applyNumberFormat="1" applyFont="1" applyFill="1" applyBorder="1" applyAlignment="1">
      <alignment vertical="center"/>
    </xf>
    <xf numFmtId="164" fontId="6" fillId="2" borderId="31" xfId="1" applyNumberFormat="1" applyFont="1" applyFill="1" applyBorder="1" applyAlignment="1">
      <alignment horizontal="center" vertical="center"/>
    </xf>
    <xf numFmtId="164" fontId="6" fillId="2" borderId="33" xfId="1" applyNumberFormat="1" applyFont="1" applyFill="1" applyBorder="1" applyAlignment="1">
      <alignment horizontal="center" vertical="center"/>
    </xf>
    <xf numFmtId="164" fontId="44" fillId="15" borderId="35" xfId="1" applyNumberFormat="1" applyFont="1" applyFill="1" applyBorder="1" applyAlignment="1">
      <alignment horizontal="center" vertical="center"/>
    </xf>
    <xf numFmtId="164" fontId="44" fillId="15" borderId="38" xfId="1" applyNumberFormat="1" applyFont="1" applyFill="1" applyBorder="1" applyAlignment="1">
      <alignment horizontal="center" vertical="center"/>
    </xf>
    <xf numFmtId="164" fontId="6" fillId="2" borderId="39" xfId="1" applyNumberFormat="1" applyFont="1" applyFill="1" applyBorder="1" applyAlignment="1">
      <alignment horizontal="center" vertical="center"/>
    </xf>
    <xf numFmtId="164" fontId="6" fillId="2" borderId="11" xfId="1" applyNumberFormat="1" applyFont="1" applyFill="1" applyBorder="1" applyAlignment="1">
      <alignment horizontal="center" vertical="center"/>
    </xf>
    <xf numFmtId="0" fontId="11" fillId="0" borderId="0" xfId="3"/>
    <xf numFmtId="37" fontId="6" fillId="2" borderId="15" xfId="2" applyNumberFormat="1" applyFont="1" applyFill="1" applyBorder="1" applyAlignment="1">
      <alignment horizontal="center" vertical="center"/>
    </xf>
    <xf numFmtId="10" fontId="5" fillId="2" borderId="0" xfId="1" applyNumberFormat="1" applyFont="1" applyFill="1"/>
    <xf numFmtId="5" fontId="5" fillId="2" borderId="23" xfId="2" applyNumberFormat="1" applyFill="1" applyBorder="1"/>
    <xf numFmtId="2" fontId="11" fillId="2" borderId="0" xfId="3" applyNumberFormat="1" applyFill="1"/>
    <xf numFmtId="3" fontId="5" fillId="2" borderId="0" xfId="3" applyNumberFormat="1" applyFont="1" applyFill="1"/>
    <xf numFmtId="5" fontId="11" fillId="2" borderId="0" xfId="3" applyNumberFormat="1" applyFill="1" applyAlignment="1">
      <alignment vertical="center"/>
    </xf>
    <xf numFmtId="168" fontId="0" fillId="0" borderId="0" xfId="0" applyNumberFormat="1" applyAlignment="1">
      <alignment horizontal="left"/>
    </xf>
    <xf numFmtId="170" fontId="0" fillId="2" borderId="0" xfId="0" applyNumberFormat="1" applyFill="1" applyAlignment="1">
      <alignment horizontal="center"/>
    </xf>
    <xf numFmtId="43" fontId="0" fillId="0" borderId="0" xfId="6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20" fillId="0" borderId="0" xfId="8" applyFill="1"/>
    <xf numFmtId="0" fontId="47" fillId="0" borderId="0" xfId="8" applyFont="1" applyFill="1"/>
    <xf numFmtId="0" fontId="47" fillId="0" borderId="0" xfId="0" applyFont="1"/>
    <xf numFmtId="168" fontId="0" fillId="2" borderId="0" xfId="0" applyNumberFormat="1" applyFill="1" applyAlignment="1">
      <alignment horizontal="left"/>
    </xf>
    <xf numFmtId="164" fontId="0" fillId="2" borderId="0" xfId="1" applyNumberFormat="1" applyFont="1" applyFill="1" applyAlignment="1">
      <alignment horizontal="center"/>
    </xf>
    <xf numFmtId="0" fontId="47" fillId="0" borderId="0" xfId="8" applyFont="1" applyFill="1" applyAlignment="1">
      <alignment horizontal="center"/>
    </xf>
    <xf numFmtId="0" fontId="48" fillId="0" borderId="0" xfId="8" applyFont="1" applyFill="1" applyAlignment="1">
      <alignment horizontal="center"/>
    </xf>
    <xf numFmtId="170" fontId="0" fillId="0" borderId="0" xfId="0" applyNumberFormat="1" applyAlignment="1">
      <alignment horizontal="center"/>
    </xf>
    <xf numFmtId="3" fontId="48" fillId="0" borderId="0" xfId="8" applyNumberFormat="1" applyFont="1" applyFill="1" applyAlignment="1">
      <alignment horizontal="center"/>
    </xf>
    <xf numFmtId="3" fontId="20" fillId="0" borderId="0" xfId="8" applyNumberFormat="1" applyFill="1" applyAlignment="1">
      <alignment horizontal="center"/>
    </xf>
    <xf numFmtId="3" fontId="47" fillId="0" borderId="0" xfId="8" applyNumberFormat="1" applyFont="1" applyFill="1" applyAlignment="1">
      <alignment horizontal="center"/>
    </xf>
    <xf numFmtId="3" fontId="0" fillId="0" borderId="0" xfId="6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20" fillId="0" borderId="0" xfId="8" applyFill="1" applyAlignment="1">
      <alignment horizontal="center"/>
    </xf>
    <xf numFmtId="167" fontId="0" fillId="2" borderId="0" xfId="6" applyNumberFormat="1" applyFont="1" applyFill="1" applyAlignment="1">
      <alignment horizontal="center"/>
    </xf>
    <xf numFmtId="0" fontId="50" fillId="0" borderId="0" xfId="8" applyFont="1" applyFill="1"/>
    <xf numFmtId="3" fontId="50" fillId="0" borderId="0" xfId="8" applyNumberFormat="1" applyFont="1" applyFill="1" applyAlignment="1">
      <alignment horizontal="center"/>
    </xf>
    <xf numFmtId="0" fontId="50" fillId="0" borderId="0" xfId="8" applyFont="1" applyFill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/>
    <xf numFmtId="0" fontId="52" fillId="2" borderId="0" xfId="7" applyFont="1" applyFill="1"/>
    <xf numFmtId="3" fontId="52" fillId="2" borderId="0" xfId="7" applyNumberFormat="1" applyFont="1" applyFill="1"/>
    <xf numFmtId="3" fontId="52" fillId="2" borderId="0" xfId="7" applyNumberFormat="1" applyFont="1" applyFill="1" applyAlignment="1">
      <alignment horizontal="center"/>
    </xf>
    <xf numFmtId="0" fontId="52" fillId="0" borderId="0" xfId="7" applyFont="1"/>
    <xf numFmtId="170" fontId="0" fillId="2" borderId="15" xfId="0" applyNumberFormat="1" applyFill="1" applyBorder="1" applyAlignment="1">
      <alignment horizontal="center"/>
    </xf>
    <xf numFmtId="170" fontId="0" fillId="2" borderId="18" xfId="0" applyNumberFormat="1" applyFill="1" applyBorder="1" applyAlignment="1">
      <alignment horizontal="center"/>
    </xf>
    <xf numFmtId="3" fontId="11" fillId="12" borderId="0" xfId="3" applyNumberFormat="1" applyFill="1"/>
    <xf numFmtId="171" fontId="0" fillId="0" borderId="0" xfId="0" applyNumberFormat="1"/>
    <xf numFmtId="170" fontId="0" fillId="0" borderId="0" xfId="0" applyNumberFormat="1"/>
    <xf numFmtId="167" fontId="50" fillId="0" borderId="0" xfId="6" applyNumberFormat="1" applyFont="1" applyAlignment="1">
      <alignment horizontal="center"/>
    </xf>
    <xf numFmtId="167" fontId="0" fillId="2" borderId="18" xfId="6" applyNumberFormat="1" applyFont="1" applyFill="1" applyBorder="1" applyAlignment="1">
      <alignment horizontal="center"/>
    </xf>
    <xf numFmtId="167" fontId="0" fillId="0" borderId="0" xfId="6" applyNumberFormat="1" applyFont="1" applyAlignment="1">
      <alignment vertical="center" wrapText="1"/>
    </xf>
    <xf numFmtId="167" fontId="2" fillId="0" borderId="0" xfId="6" applyNumberFormat="1" applyFont="1" applyAlignment="1">
      <alignment vertical="center" wrapText="1"/>
    </xf>
    <xf numFmtId="167" fontId="2" fillId="0" borderId="0" xfId="6" applyNumberFormat="1" applyFont="1" applyAlignment="1">
      <alignment horizontal="center" vertical="center" wrapText="1"/>
    </xf>
    <xf numFmtId="167" fontId="0" fillId="0" borderId="15" xfId="6" applyNumberFormat="1" applyFont="1" applyBorder="1"/>
    <xf numFmtId="3" fontId="5" fillId="2" borderId="23" xfId="2" applyNumberFormat="1" applyFill="1" applyBorder="1"/>
    <xf numFmtId="43" fontId="0" fillId="0" borderId="0" xfId="6" applyFont="1" applyAlignment="1">
      <alignment horizontal="left"/>
    </xf>
    <xf numFmtId="6" fontId="0" fillId="0" borderId="0" xfId="6" applyNumberFormat="1" applyFont="1"/>
    <xf numFmtId="3" fontId="6" fillId="15" borderId="16" xfId="3" applyNumberFormat="1" applyFont="1" applyFill="1" applyBorder="1" applyAlignment="1">
      <alignment horizontal="center" vertical="center"/>
    </xf>
    <xf numFmtId="3" fontId="6" fillId="2" borderId="11" xfId="1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0" fillId="0" borderId="0" xfId="0" applyNumberFormat="1"/>
    <xf numFmtId="43" fontId="0" fillId="0" borderId="0" xfId="6" applyFont="1" applyFill="1"/>
    <xf numFmtId="6" fontId="0" fillId="0" borderId="0" xfId="6" applyNumberFormat="1" applyFont="1" applyFill="1"/>
    <xf numFmtId="167" fontId="0" fillId="0" borderId="0" xfId="6" applyNumberFormat="1" applyFont="1" applyFill="1"/>
    <xf numFmtId="167" fontId="0" fillId="0" borderId="0" xfId="6" applyNumberFormat="1" applyFont="1" applyAlignment="1">
      <alignment horizontal="center"/>
    </xf>
    <xf numFmtId="43" fontId="0" fillId="0" borderId="15" xfId="6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2" xfId="0" applyBorder="1" applyAlignment="1">
      <alignment horizontal="center"/>
    </xf>
    <xf numFmtId="6" fontId="0" fillId="0" borderId="0" xfId="0" applyNumberFormat="1"/>
    <xf numFmtId="43" fontId="0" fillId="0" borderId="15" xfId="6" applyFont="1" applyFill="1" applyBorder="1"/>
    <xf numFmtId="43" fontId="0" fillId="0" borderId="22" xfId="6" applyFont="1" applyFill="1" applyBorder="1"/>
    <xf numFmtId="43" fontId="43" fillId="15" borderId="34" xfId="6" applyFont="1" applyFill="1" applyBorder="1" applyAlignment="1">
      <alignment vertical="center"/>
    </xf>
    <xf numFmtId="43" fontId="6" fillId="2" borderId="32" xfId="6" applyFont="1" applyFill="1" applyBorder="1" applyAlignment="1">
      <alignment horizontal="center" vertical="center"/>
    </xf>
    <xf numFmtId="43" fontId="37" fillId="2" borderId="0" xfId="6" applyFont="1" applyFill="1" applyAlignment="1">
      <alignment horizontal="center" vertical="center"/>
    </xf>
    <xf numFmtId="43" fontId="5" fillId="2" borderId="0" xfId="3" applyNumberFormat="1" applyFont="1" applyFill="1"/>
    <xf numFmtId="43" fontId="6" fillId="2" borderId="32" xfId="2" applyNumberFormat="1" applyFont="1" applyFill="1" applyBorder="1" applyAlignment="1">
      <alignment horizontal="center" vertical="center"/>
    </xf>
    <xf numFmtId="43" fontId="11" fillId="2" borderId="0" xfId="3" applyNumberFormat="1" applyFill="1" applyAlignment="1">
      <alignment vertical="center"/>
    </xf>
    <xf numFmtId="43" fontId="11" fillId="2" borderId="0" xfId="3" applyNumberFormat="1" applyFill="1"/>
    <xf numFmtId="0" fontId="83" fillId="46" borderId="0" xfId="3" applyFont="1" applyFill="1" applyAlignment="1">
      <alignment horizontal="center"/>
    </xf>
    <xf numFmtId="43" fontId="5" fillId="2" borderId="51" xfId="6" applyFont="1" applyFill="1" applyBorder="1"/>
    <xf numFmtId="43" fontId="12" fillId="5" borderId="51" xfId="6" applyFont="1" applyFill="1" applyBorder="1"/>
    <xf numFmtId="0" fontId="12" fillId="9" borderId="1" xfId="3" applyFont="1" applyFill="1" applyBorder="1"/>
    <xf numFmtId="0" fontId="12" fillId="9" borderId="51" xfId="3" applyFont="1" applyFill="1" applyBorder="1"/>
    <xf numFmtId="43" fontId="12" fillId="9" borderId="1" xfId="3" applyNumberFormat="1" applyFont="1" applyFill="1" applyBorder="1"/>
    <xf numFmtId="0" fontId="12" fillId="9" borderId="53" xfId="3" applyFont="1" applyFill="1" applyBorder="1"/>
    <xf numFmtId="43" fontId="12" fillId="5" borderId="53" xfId="6" applyFont="1" applyFill="1" applyBorder="1"/>
    <xf numFmtId="0" fontId="12" fillId="5" borderId="52" xfId="3" applyFont="1" applyFill="1" applyBorder="1"/>
    <xf numFmtId="0" fontId="11" fillId="5" borderId="52" xfId="3" applyFill="1" applyBorder="1"/>
    <xf numFmtId="43" fontId="12" fillId="5" borderId="52" xfId="6" applyFont="1" applyFill="1" applyBorder="1"/>
    <xf numFmtId="43" fontId="12" fillId="2" borderId="0" xfId="3" applyNumberFormat="1" applyFont="1" applyFill="1"/>
    <xf numFmtId="0" fontId="83" fillId="46" borderId="0" xfId="3" applyFont="1" applyFill="1" applyAlignment="1">
      <alignment horizontal="left"/>
    </xf>
    <xf numFmtId="169" fontId="6" fillId="14" borderId="19" xfId="92" applyNumberFormat="1" applyFont="1" applyFill="1" applyBorder="1" applyAlignment="1">
      <alignment horizontal="center" vertical="center"/>
    </xf>
    <xf numFmtId="43" fontId="5" fillId="2" borderId="53" xfId="6" applyFont="1" applyFill="1" applyBorder="1"/>
    <xf numFmtId="43" fontId="5" fillId="5" borderId="52" xfId="6" applyFont="1" applyFill="1" applyBorder="1"/>
    <xf numFmtId="43" fontId="5" fillId="9" borderId="1" xfId="6" applyFont="1" applyFill="1" applyBorder="1"/>
    <xf numFmtId="43" fontId="5" fillId="2" borderId="0" xfId="6" applyFont="1" applyFill="1" applyAlignment="1">
      <alignment vertical="center"/>
    </xf>
    <xf numFmtId="0" fontId="84" fillId="0" borderId="0" xfId="0" applyFont="1"/>
    <xf numFmtId="0" fontId="85" fillId="46" borderId="54" xfId="0" applyFont="1" applyFill="1" applyBorder="1"/>
    <xf numFmtId="0" fontId="85" fillId="46" borderId="54" xfId="0" applyFont="1" applyFill="1" applyBorder="1" applyAlignment="1">
      <alignment horizontal="center"/>
    </xf>
    <xf numFmtId="0" fontId="86" fillId="47" borderId="55" xfId="0" applyFont="1" applyFill="1" applyBorder="1"/>
    <xf numFmtId="0" fontId="86" fillId="47" borderId="55" xfId="0" applyFont="1" applyFill="1" applyBorder="1" applyAlignment="1">
      <alignment horizontal="center"/>
    </xf>
    <xf numFmtId="14" fontId="86" fillId="47" borderId="56" xfId="0" applyNumberFormat="1" applyFont="1" applyFill="1" applyBorder="1" applyAlignment="1">
      <alignment horizontal="center"/>
    </xf>
    <xf numFmtId="14" fontId="86" fillId="47" borderId="55" xfId="0" applyNumberFormat="1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86" fillId="0" borderId="55" xfId="0" applyFont="1" applyBorder="1"/>
    <xf numFmtId="0" fontId="86" fillId="0" borderId="55" xfId="0" applyFont="1" applyBorder="1" applyAlignment="1">
      <alignment horizontal="center"/>
    </xf>
    <xf numFmtId="14" fontId="86" fillId="0" borderId="56" xfId="0" applyNumberFormat="1" applyFont="1" applyBorder="1" applyAlignment="1">
      <alignment horizontal="center"/>
    </xf>
    <xf numFmtId="14" fontId="86" fillId="0" borderId="55" xfId="0" applyNumberFormat="1" applyFont="1" applyBorder="1" applyAlignment="1">
      <alignment horizontal="center"/>
    </xf>
    <xf numFmtId="0" fontId="86" fillId="0" borderId="57" xfId="0" applyFont="1" applyBorder="1"/>
    <xf numFmtId="0" fontId="86" fillId="0" borderId="57" xfId="0" applyFont="1" applyBorder="1" applyAlignment="1">
      <alignment horizontal="center"/>
    </xf>
    <xf numFmtId="14" fontId="86" fillId="0" borderId="58" xfId="0" applyNumberFormat="1" applyFont="1" applyBorder="1" applyAlignment="1">
      <alignment horizontal="center"/>
    </xf>
    <xf numFmtId="14" fontId="86" fillId="0" borderId="57" xfId="0" applyNumberFormat="1" applyFont="1" applyBorder="1" applyAlignment="1">
      <alignment horizontal="center"/>
    </xf>
    <xf numFmtId="0" fontId="87" fillId="46" borderId="59" xfId="0" applyFont="1" applyFill="1" applyBorder="1" applyAlignment="1">
      <alignment horizontal="center"/>
    </xf>
    <xf numFmtId="0" fontId="87" fillId="46" borderId="54" xfId="0" applyFont="1" applyFill="1" applyBorder="1" applyAlignment="1">
      <alignment horizontal="center"/>
    </xf>
    <xf numFmtId="0" fontId="87" fillId="46" borderId="60" xfId="0" applyFont="1" applyFill="1" applyBorder="1" applyAlignment="1">
      <alignment horizontal="center"/>
    </xf>
    <xf numFmtId="43" fontId="84" fillId="0" borderId="0" xfId="6" applyFont="1"/>
    <xf numFmtId="14" fontId="84" fillId="0" borderId="0" xfId="0" applyNumberFormat="1" applyFont="1" applyAlignment="1">
      <alignment horizontal="center"/>
    </xf>
    <xf numFmtId="0" fontId="87" fillId="46" borderId="0" xfId="0" applyFont="1" applyFill="1"/>
    <xf numFmtId="0" fontId="87" fillId="46" borderId="0" xfId="0" applyFont="1" applyFill="1" applyAlignment="1">
      <alignment horizontal="center"/>
    </xf>
    <xf numFmtId="43" fontId="88" fillId="5" borderId="0" xfId="0" applyNumberFormat="1" applyFont="1" applyFill="1"/>
    <xf numFmtId="0" fontId="88" fillId="0" borderId="0" xfId="0" applyFont="1"/>
    <xf numFmtId="0" fontId="87" fillId="48" borderId="0" xfId="0" applyFont="1" applyFill="1" applyAlignment="1">
      <alignment horizontal="centerContinuous"/>
    </xf>
    <xf numFmtId="0" fontId="84" fillId="0" borderId="61" xfId="0" applyFont="1" applyBorder="1"/>
    <xf numFmtId="43" fontId="84" fillId="0" borderId="61" xfId="6" applyFont="1" applyBorder="1"/>
    <xf numFmtId="43" fontId="88" fillId="5" borderId="61" xfId="0" applyNumberFormat="1" applyFont="1" applyFill="1" applyBorder="1"/>
    <xf numFmtId="0" fontId="84" fillId="0" borderId="62" xfId="0" applyFont="1" applyBorder="1"/>
    <xf numFmtId="43" fontId="84" fillId="0" borderId="62" xfId="6" applyFont="1" applyBorder="1"/>
    <xf numFmtId="0" fontId="88" fillId="5" borderId="0" xfId="0" applyFont="1" applyFill="1"/>
    <xf numFmtId="43" fontId="84" fillId="5" borderId="0" xfId="6" applyFont="1" applyFill="1"/>
    <xf numFmtId="0" fontId="84" fillId="5" borderId="0" xfId="0" applyFont="1" applyFill="1"/>
    <xf numFmtId="43" fontId="88" fillId="5" borderId="62" xfId="6" applyFont="1" applyFill="1" applyBorder="1"/>
    <xf numFmtId="0" fontId="87" fillId="46" borderId="0" xfId="0" applyFont="1" applyFill="1" applyAlignment="1">
      <alignment horizontal="left"/>
    </xf>
    <xf numFmtId="43" fontId="84" fillId="5" borderId="3" xfId="6" applyFont="1" applyFill="1" applyBorder="1"/>
    <xf numFmtId="43" fontId="88" fillId="5" borderId="3" xfId="0" applyNumberFormat="1" applyFont="1" applyFill="1" applyBorder="1"/>
    <xf numFmtId="0" fontId="88" fillId="5" borderId="3" xfId="0" applyFont="1" applyFill="1" applyBorder="1"/>
    <xf numFmtId="0" fontId="84" fillId="10" borderId="1" xfId="0" applyFont="1" applyFill="1" applyBorder="1" applyAlignment="1">
      <alignment horizontal="center"/>
    </xf>
    <xf numFmtId="0" fontId="84" fillId="10" borderId="4" xfId="0" applyFont="1" applyFill="1" applyBorder="1" applyAlignment="1">
      <alignment horizontal="center"/>
    </xf>
    <xf numFmtId="14" fontId="84" fillId="0" borderId="0" xfId="0" applyNumberFormat="1" applyFont="1"/>
    <xf numFmtId="39" fontId="0" fillId="0" borderId="0" xfId="6" applyNumberFormat="1" applyFont="1" applyFill="1"/>
    <xf numFmtId="40" fontId="0" fillId="0" borderId="0" xfId="6" applyNumberFormat="1" applyFont="1" applyFill="1"/>
    <xf numFmtId="164" fontId="5" fillId="2" borderId="0" xfId="1" applyNumberFormat="1" applyFont="1" applyFill="1" applyAlignment="1">
      <alignment vertical="center"/>
    </xf>
    <xf numFmtId="9" fontId="0" fillId="0" borderId="0" xfId="6" applyNumberFormat="1" applyFont="1"/>
    <xf numFmtId="43" fontId="84" fillId="0" borderId="0" xfId="0" applyNumberFormat="1" applyFont="1"/>
    <xf numFmtId="43" fontId="5" fillId="9" borderId="0" xfId="6" applyFont="1" applyFill="1" applyBorder="1" applyAlignment="1">
      <alignment horizontal="left"/>
    </xf>
    <xf numFmtId="43" fontId="5" fillId="9" borderId="13" xfId="6" applyFont="1" applyFill="1" applyBorder="1" applyAlignment="1">
      <alignment horizontal="left"/>
    </xf>
    <xf numFmtId="43" fontId="5" fillId="2" borderId="0" xfId="6" applyFont="1" applyFill="1" applyAlignment="1">
      <alignment horizontal="left"/>
    </xf>
    <xf numFmtId="0" fontId="23" fillId="4" borderId="0" xfId="3" applyFont="1" applyFill="1" applyAlignment="1">
      <alignment horizontal="center" vertical="center"/>
    </xf>
    <xf numFmtId="0" fontId="23" fillId="2" borderId="0" xfId="3" applyFont="1" applyFill="1" applyAlignment="1">
      <alignment horizontal="center" vertical="center"/>
    </xf>
    <xf numFmtId="0" fontId="5" fillId="9" borderId="0" xfId="3" applyFont="1" applyFill="1" applyAlignment="1">
      <alignment horizontal="center" vertical="center"/>
    </xf>
    <xf numFmtId="0" fontId="11" fillId="9" borderId="0" xfId="3" applyFill="1" applyAlignment="1">
      <alignment horizontal="center" vertical="center"/>
    </xf>
    <xf numFmtId="168" fontId="14" fillId="2" borderId="0" xfId="3" applyNumberFormat="1" applyFont="1" applyFill="1" applyAlignment="1">
      <alignment horizontal="center" vertical="center"/>
    </xf>
    <xf numFmtId="0" fontId="11" fillId="2" borderId="0" xfId="3" applyFill="1" applyAlignment="1">
      <alignment horizontal="center"/>
    </xf>
    <xf numFmtId="0" fontId="21" fillId="8" borderId="2" xfId="8" applyFont="1" applyFill="1" applyBorder="1" applyAlignment="1">
      <alignment horizontal="center" vertical="center"/>
    </xf>
    <xf numFmtId="0" fontId="21" fillId="8" borderId="0" xfId="8" applyFont="1" applyFill="1" applyBorder="1" applyAlignment="1">
      <alignment horizontal="center" vertical="center"/>
    </xf>
    <xf numFmtId="0" fontId="14" fillId="2" borderId="0" xfId="3" applyFont="1" applyFill="1" applyAlignment="1">
      <alignment horizontal="center" vertical="center"/>
    </xf>
    <xf numFmtId="0" fontId="21" fillId="8" borderId="5" xfId="8" applyFont="1" applyFill="1" applyBorder="1" applyAlignment="1">
      <alignment horizontal="center" vertical="center"/>
    </xf>
    <xf numFmtId="0" fontId="21" fillId="8" borderId="4" xfId="8" applyFont="1" applyFill="1" applyBorder="1" applyAlignment="1">
      <alignment horizontal="center" vertical="center"/>
    </xf>
    <xf numFmtId="164" fontId="10" fillId="2" borderId="0" xfId="5" applyNumberFormat="1" applyFont="1" applyFill="1" applyAlignment="1">
      <alignment horizontal="center" vertical="center"/>
    </xf>
    <xf numFmtId="5" fontId="10" fillId="6" borderId="4" xfId="3" applyNumberFormat="1" applyFont="1" applyFill="1" applyBorder="1" applyAlignment="1">
      <alignment horizontal="center" vertical="center"/>
    </xf>
    <xf numFmtId="168" fontId="27" fillId="2" borderId="0" xfId="3" applyNumberFormat="1" applyFont="1" applyFill="1" applyAlignment="1">
      <alignment horizontal="center" vertical="center"/>
    </xf>
    <xf numFmtId="0" fontId="38" fillId="2" borderId="18" xfId="3" applyFont="1" applyFill="1" applyBorder="1" applyAlignment="1">
      <alignment horizontal="center" vertical="center"/>
    </xf>
    <xf numFmtId="0" fontId="38" fillId="2" borderId="15" xfId="3" applyFont="1" applyFill="1" applyBorder="1" applyAlignment="1">
      <alignment horizontal="center" vertical="center"/>
    </xf>
    <xf numFmtId="0" fontId="37" fillId="2" borderId="0" xfId="3" applyFont="1" applyFill="1" applyAlignment="1">
      <alignment horizontal="center" vertical="center"/>
    </xf>
    <xf numFmtId="0" fontId="40" fillId="0" borderId="0" xfId="0" applyFont="1" applyAlignment="1">
      <alignment horizontal="center"/>
    </xf>
    <xf numFmtId="0" fontId="40" fillId="0" borderId="15" xfId="0" applyFont="1" applyBorder="1" applyAlignment="1">
      <alignment horizontal="center"/>
    </xf>
    <xf numFmtId="0" fontId="40" fillId="0" borderId="18" xfId="0" applyFont="1" applyBorder="1" applyAlignment="1">
      <alignment horizontal="center"/>
    </xf>
    <xf numFmtId="0" fontId="40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1" fillId="0" borderId="0" xfId="0" applyFont="1" applyAlignment="1">
      <alignment horizontal="center"/>
    </xf>
    <xf numFmtId="43" fontId="40" fillId="0" borderId="0" xfId="6" applyFont="1" applyAlignment="1">
      <alignment horizontal="center"/>
    </xf>
    <xf numFmtId="167" fontId="53" fillId="0" borderId="0" xfId="6" applyNumberFormat="1" applyFont="1" applyAlignment="1">
      <alignment horizontal="center"/>
    </xf>
    <xf numFmtId="0" fontId="49" fillId="0" borderId="0" xfId="8" applyFont="1" applyFill="1" applyAlignment="1">
      <alignment horizontal="center"/>
    </xf>
    <xf numFmtId="0" fontId="20" fillId="8" borderId="0" xfId="8" applyFill="1" applyAlignment="1">
      <alignment horizontal="center"/>
    </xf>
    <xf numFmtId="0" fontId="53" fillId="0" borderId="0" xfId="7" applyFont="1" applyAlignment="1">
      <alignment horizontal="center"/>
    </xf>
    <xf numFmtId="43" fontId="33" fillId="2" borderId="0" xfId="6" applyFont="1" applyFill="1" applyAlignment="1"/>
    <xf numFmtId="0" fontId="21" fillId="11" borderId="5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0" fontId="21" fillId="11" borderId="7" xfId="0" applyFont="1" applyFill="1" applyBorder="1" applyAlignment="1">
      <alignment horizontal="center"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1" xfId="0" applyFont="1" applyFill="1" applyBorder="1" applyAlignment="1">
      <alignment horizontal="center" vertical="center"/>
    </xf>
    <xf numFmtId="0" fontId="46" fillId="8" borderId="40" xfId="0" applyFont="1" applyFill="1" applyBorder="1" applyAlignment="1">
      <alignment horizontal="center" vertical="center"/>
    </xf>
    <xf numFmtId="0" fontId="46" fillId="8" borderId="27" xfId="0" applyFont="1" applyFill="1" applyBorder="1" applyAlignment="1">
      <alignment horizontal="center" vertical="center"/>
    </xf>
    <xf numFmtId="0" fontId="46" fillId="8" borderId="5" xfId="0" applyFont="1" applyFill="1" applyBorder="1" applyAlignment="1">
      <alignment horizontal="center" vertical="center"/>
    </xf>
    <xf numFmtId="0" fontId="46" fillId="8" borderId="4" xfId="0" applyFont="1" applyFill="1" applyBorder="1" applyAlignment="1">
      <alignment horizontal="center" vertical="center"/>
    </xf>
    <xf numFmtId="0" fontId="33" fillId="2" borderId="0" xfId="3" applyFont="1" applyFill="1" applyAlignment="1"/>
  </cellXfs>
  <cellStyles count="93">
    <cellStyle name="20% - Accent1" xfId="27" builtinId="30" customBuiltin="1"/>
    <cellStyle name="20% - Accent1 2" xfId="69" xr:uid="{9CD45790-C8B0-49CE-8415-4883AF65178A}"/>
    <cellStyle name="20% - Accent2" xfId="31" builtinId="34" customBuiltin="1"/>
    <cellStyle name="20% - Accent2 2" xfId="73" xr:uid="{1A18E359-1CF9-4907-9CCB-3ABCF1F7F575}"/>
    <cellStyle name="20% - Accent3" xfId="35" builtinId="38" customBuiltin="1"/>
    <cellStyle name="20% - Accent3 2" xfId="77" xr:uid="{2D66CE5F-43A1-4E35-B5A9-537072EA5400}"/>
    <cellStyle name="20% - Accent4" xfId="39" builtinId="42" customBuiltin="1"/>
    <cellStyle name="20% - Accent4 2" xfId="81" xr:uid="{8A62EA47-C412-42F4-9198-58C008C2D05B}"/>
    <cellStyle name="20% - Accent5" xfId="43" builtinId="46" customBuiltin="1"/>
    <cellStyle name="20% - Accent5 2" xfId="85" xr:uid="{E8EB5CD2-2F35-4903-859C-C071A50948AA}"/>
    <cellStyle name="20% - Accent6" xfId="47" builtinId="50" customBuiltin="1"/>
    <cellStyle name="20% - Accent6 2" xfId="89" xr:uid="{B700B8A5-55AE-4414-A933-CA939EDAA310}"/>
    <cellStyle name="40% - Accent1" xfId="28" builtinId="31" customBuiltin="1"/>
    <cellStyle name="40% - Accent1 2" xfId="70" xr:uid="{937258E5-EBFA-460C-98B9-B9F3A20F28A7}"/>
    <cellStyle name="40% - Accent2" xfId="32" builtinId="35" customBuiltin="1"/>
    <cellStyle name="40% - Accent2 2" xfId="74" xr:uid="{9329CBB1-4296-45DD-9D4F-FC2AD7C6ECBB}"/>
    <cellStyle name="40% - Accent3" xfId="36" builtinId="39" customBuiltin="1"/>
    <cellStyle name="40% - Accent3 2" xfId="78" xr:uid="{3429A394-91D6-463E-8DD5-DE9420BEB95B}"/>
    <cellStyle name="40% - Accent4" xfId="40" builtinId="43" customBuiltin="1"/>
    <cellStyle name="40% - Accent4 2" xfId="82" xr:uid="{879A4C8A-CBA5-4A6C-ADAF-CB59DB96771C}"/>
    <cellStyle name="40% - Accent5" xfId="44" builtinId="47" customBuiltin="1"/>
    <cellStyle name="40% - Accent5 2" xfId="86" xr:uid="{4FBB986D-31E5-4DFF-A97D-A47B794D42D7}"/>
    <cellStyle name="40% - Accent6" xfId="48" builtinId="51" customBuiltin="1"/>
    <cellStyle name="40% - Accent6 2" xfId="90" xr:uid="{02A174C0-36FB-4E8E-8F95-1168D22D37BD}"/>
    <cellStyle name="60% - Accent1" xfId="29" builtinId="32" customBuiltin="1"/>
    <cellStyle name="60% - Accent1 2" xfId="71" xr:uid="{1042B0BC-B658-4DA1-B750-7554F8AD988D}"/>
    <cellStyle name="60% - Accent2" xfId="33" builtinId="36" customBuiltin="1"/>
    <cellStyle name="60% - Accent2 2" xfId="75" xr:uid="{8FF07608-5CA7-4EC7-83E0-F842334A944E}"/>
    <cellStyle name="60% - Accent3" xfId="37" builtinId="40" customBuiltin="1"/>
    <cellStyle name="60% - Accent3 2" xfId="79" xr:uid="{4D191FAF-EBBD-436C-8998-369B0C5026DB}"/>
    <cellStyle name="60% - Accent4" xfId="41" builtinId="44" customBuiltin="1"/>
    <cellStyle name="60% - Accent4 2" xfId="83" xr:uid="{A9A8EC08-A35B-40E1-8F60-67A2075B6C31}"/>
    <cellStyle name="60% - Accent5" xfId="45" builtinId="48" customBuiltin="1"/>
    <cellStyle name="60% - Accent5 2" xfId="87" xr:uid="{47D05D21-43AA-4462-AFA8-4947F3795FE9}"/>
    <cellStyle name="60% - Accent6" xfId="49" builtinId="52" customBuiltin="1"/>
    <cellStyle name="60% - Accent6 2" xfId="91" xr:uid="{98EAA649-710D-4B2D-A171-AF6ACCF30FC5}"/>
    <cellStyle name="Accent1" xfId="8" builtinId="29" customBuiltin="1"/>
    <cellStyle name="Accent1 2" xfId="68" xr:uid="{7AABF42C-6448-482C-8C6E-B662F2322515}"/>
    <cellStyle name="Accent2" xfId="30" builtinId="33" customBuiltin="1"/>
    <cellStyle name="Accent2 2" xfId="72" xr:uid="{48B8EFF6-30B4-4B1A-A7C9-8F783641AB5F}"/>
    <cellStyle name="Accent3" xfId="34" builtinId="37" customBuiltin="1"/>
    <cellStyle name="Accent3 2" xfId="76" xr:uid="{0C631D4A-B0DA-4CC4-94A5-2026632617E3}"/>
    <cellStyle name="Accent4" xfId="38" builtinId="41" customBuiltin="1"/>
    <cellStyle name="Accent4 2" xfId="80" xr:uid="{CA962403-D74E-4E63-B5D0-AA6548AD707F}"/>
    <cellStyle name="Accent5" xfId="42" builtinId="45" customBuiltin="1"/>
    <cellStyle name="Accent5 2" xfId="84" xr:uid="{ABBF092B-9252-43F5-8E8D-67C178C8ECA7}"/>
    <cellStyle name="Accent6" xfId="46" builtinId="49" customBuiltin="1"/>
    <cellStyle name="Accent6 2" xfId="88" xr:uid="{C375F96F-8086-4D42-AF40-4B87831AAC10}"/>
    <cellStyle name="Bad" xfId="17" builtinId="27" customBuiltin="1"/>
    <cellStyle name="Bad 2" xfId="57" xr:uid="{FE2B2B1F-A4D7-4B14-BB0F-1987586BFE79}"/>
    <cellStyle name="Calculation" xfId="21" builtinId="22" customBuiltin="1"/>
    <cellStyle name="Calculation 2" xfId="61" xr:uid="{1FE5C8FB-5516-45D2-B0D3-CDA0108282AD}"/>
    <cellStyle name="Check Cell" xfId="23" builtinId="23" customBuiltin="1"/>
    <cellStyle name="Check Cell 2" xfId="63" xr:uid="{C6FB5C41-E3EB-42C9-AF47-E75CC224291C}"/>
    <cellStyle name="Comma" xfId="6" builtinId="3"/>
    <cellStyle name="Currency" xfId="92" builtinId="4"/>
    <cellStyle name="Explanatory Text" xfId="7" builtinId="53" customBuiltin="1"/>
    <cellStyle name="Explanatory Text 2" xfId="66" xr:uid="{33AD00AD-279E-4EBC-8FBC-F406A2807BD8}"/>
    <cellStyle name="Good" xfId="16" builtinId="26" customBuiltin="1"/>
    <cellStyle name="Good 2" xfId="56" xr:uid="{CA79459F-3ABD-4EBD-9639-85343AF0D1F5}"/>
    <cellStyle name="Heading 1" xfId="12" builtinId="16" customBuiltin="1"/>
    <cellStyle name="Heading 1 2" xfId="52" xr:uid="{91E39814-C657-4A4F-B307-5C9BDB5CAD8E}"/>
    <cellStyle name="Heading 2" xfId="13" builtinId="17" customBuiltin="1"/>
    <cellStyle name="Heading 2 2" xfId="53" xr:uid="{50840ED8-6A41-46B2-8DFE-61917E9FAE32}"/>
    <cellStyle name="Heading 3" xfId="14" builtinId="18" customBuiltin="1"/>
    <cellStyle name="Heading 3 2" xfId="54" xr:uid="{BE85D4CA-634F-4D3E-8633-9ACB0466339B}"/>
    <cellStyle name="Heading 4" xfId="15" builtinId="19" customBuiltin="1"/>
    <cellStyle name="Heading 4 2" xfId="55" xr:uid="{3A10F5A6-C841-43E6-9DF1-13B85BAFEA5B}"/>
    <cellStyle name="Input" xfId="19" builtinId="20" customBuiltin="1"/>
    <cellStyle name="Input 2" xfId="59" xr:uid="{02109DFD-A63E-42BE-8CFA-F116F5AD0C3D}"/>
    <cellStyle name="Linked Cell" xfId="22" builtinId="24" customBuiltin="1"/>
    <cellStyle name="Linked Cell 2" xfId="62" xr:uid="{93330ADD-E8A5-4A07-87C3-9926FC51D374}"/>
    <cellStyle name="Neutral" xfId="18" builtinId="28" customBuiltin="1"/>
    <cellStyle name="Neutral 2" xfId="58" xr:uid="{14A328BD-14AB-4F2D-B633-28FCD4BAC380}"/>
    <cellStyle name="Normal" xfId="0" builtinId="0"/>
    <cellStyle name="Normal 10" xfId="50" xr:uid="{49646CB8-E7B1-4145-9D69-C4FEBBB2FC22}"/>
    <cellStyle name="Normal 2" xfId="3" xr:uid="{E18DB079-261A-40EF-BEC7-0036E7F29B60}"/>
    <cellStyle name="Normal 2 2" xfId="2" xr:uid="{488C3BE8-850A-4B0D-9BF2-A954E6485769}"/>
    <cellStyle name="Normal 3" xfId="4" xr:uid="{AAE6185A-F922-4E1B-8BAF-4F20E3F14E12}"/>
    <cellStyle name="Normal 4" xfId="9" xr:uid="{9AF2C64F-CEB8-4E71-A59B-B7C60AF67A7D}"/>
    <cellStyle name="Normal 4 2" xfId="10" xr:uid="{5D2184BE-AD5B-4C2D-ABB6-11E377268A8F}"/>
    <cellStyle name="Normal 5" xfId="51" xr:uid="{73CFDE19-C6DE-49AE-A3A0-D03820050CD4}"/>
    <cellStyle name="Note" xfId="25" builtinId="10" customBuiltin="1"/>
    <cellStyle name="Note 2" xfId="65" xr:uid="{54B182F2-9183-4831-81BE-8E1F47F5D467}"/>
    <cellStyle name="Output" xfId="20" builtinId="21" customBuiltin="1"/>
    <cellStyle name="Output 2" xfId="60" xr:uid="{5848D869-E084-4556-98AF-ED52797F986F}"/>
    <cellStyle name="Percent" xfId="1" builtinId="5"/>
    <cellStyle name="Percent 2" xfId="5" xr:uid="{B95DC659-B04F-40AA-8932-5CBDD854031C}"/>
    <cellStyle name="Title" xfId="11" builtinId="15" customBuiltin="1"/>
    <cellStyle name="Total" xfId="26" builtinId="25" customBuiltin="1"/>
    <cellStyle name="Total 2" xfId="67" xr:uid="{3CA390CF-2987-4396-BE86-9E82C4A82D59}"/>
    <cellStyle name="Warning Text" xfId="24" builtinId="11" customBuiltin="1"/>
    <cellStyle name="Warning Text 2" xfId="64" xr:uid="{A11BC6C8-BC8B-4B4C-95FF-FD965DE6C675}"/>
  </cellStyles>
  <dxfs count="2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5.xml"/><Relationship Id="rId47" Type="http://schemas.openxmlformats.org/officeDocument/2006/relationships/externalLink" Target="externalLinks/externalLink10.xml"/><Relationship Id="rId50" Type="http://schemas.openxmlformats.org/officeDocument/2006/relationships/connections" Target="connections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externalLink" Target="externalLinks/externalLink8.xml"/><Relationship Id="rId53" Type="http://schemas.openxmlformats.org/officeDocument/2006/relationships/sheetMetadata" Target="metadata.xml"/><Relationship Id="rId58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6.xml"/><Relationship Id="rId48" Type="http://schemas.openxmlformats.org/officeDocument/2006/relationships/externalLink" Target="externalLinks/externalLink11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externalLink" Target="externalLinks/externalLink9.xml"/><Relationship Id="rId59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Relationship Id="rId54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5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7.xml"/><Relationship Id="rId5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11</xdr:row>
      <xdr:rowOff>36195</xdr:rowOff>
    </xdr:from>
    <xdr:to>
      <xdr:col>12</xdr:col>
      <xdr:colOff>390524</xdr:colOff>
      <xdr:row>22</xdr:row>
      <xdr:rowOff>27940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FE4D909B-2A2F-1E3C-27CD-528C33651889}"/>
            </a:ext>
          </a:extLst>
        </xdr:cNvPr>
        <xdr:cNvSpPr txBox="1"/>
      </xdr:nvSpPr>
      <xdr:spPr>
        <a:xfrm>
          <a:off x="238125" y="2131695"/>
          <a:ext cx="7467599" cy="2087245"/>
        </a:xfrm>
        <a:prstGeom prst="roundRect">
          <a:avLst/>
        </a:prstGeom>
        <a:solidFill>
          <a:schemeClr val="accent1">
            <a:lumMod val="50000"/>
          </a:schemeClr>
        </a:solidFill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4000" b="1" kern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Appendix</a:t>
          </a:r>
          <a:endParaRPr lang="en-US" sz="40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INANCE\CORP\Budgets\2018\Las%20Vegas\Milos%20Partner%20Template%20-%202018%20Budget%20-%20Up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INANCE\CORP\Budgets\2018\2018-2019%20Management%20Budge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uma%20Kawamoto\Desktop\Budget\2023%20Consolidated%20Profit%20&amp;%20Loss%20-%20NB.xlsx" TargetMode="External"/><Relationship Id="rId1" Type="http://schemas.openxmlformats.org/officeDocument/2006/relationships/externalLinkPath" Target="file:///C:\Users\Takuma%20Kawamoto\Desktop\Budget\2023%20Consolidated%20Profit%20&amp;%20Loss%20-%20NB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ivieradininggroup.sharepoint.com/sites/RivieraDiningGroup/Shared%20Documents/Finance/ACCOUNTING/CONTROLLER/2%20-%20FP&amp;A/1%20-%20FP&amp;A/10%20-%20RDG/5%20-%20Month%20-%20End%20Reporting/2024/P10/2024%20Consolidated%20Profit%20Loss-%20MIN_P10%202024.xlsx" TargetMode="External"/><Relationship Id="rId2" Type="http://schemas.microsoft.com/office/2019/04/relationships/externalLinkLongPath" Target="/sites/RivieraDiningGroup/Shared%20Documents/Finance/ACCOUNTING/CONTROLLER/2%20-%20FP&amp;A/1%20-%20FP&amp;A/10%20-%20RDG/5%20-%20Month%20-%20End%20Reporting/2024/P10/2024%20Consolidated%20Profit%20Loss-%20MIN_P10%202024.xlsx?50795BBB" TargetMode="External"/><Relationship Id="rId1" Type="http://schemas.openxmlformats.org/officeDocument/2006/relationships/externalLinkPath" Target="file:///\\50795BBB\2024%20Consolidated%20Profit%20Loss-%20MIN_P10%202024.xlsx" TargetMode="External"/><Relationship Id="rId4" Type="http://schemas.openxmlformats.org/officeDocument/2006/relationships/externalLinkPath" Target="../../5%20-%20Month%20-%20End%20Reporting/2024/P10/2024%20Consolidated%20Profit%20Loss-%20MIN_P10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1%20-%20Accounting/5%20-%2052%20Week%20Journals/1%20-%20MILA/8%20-%2052%20Weeks/MILA/2026/2026%20MILA%2052%20Weeks.xlsx" TargetMode="External"/><Relationship Id="rId2" Type="http://schemas.openxmlformats.org/officeDocument/2006/relationships/externalLinkPath" Target="https://rivieradininggroup.sharepoint.com/sites/RivieraDiningGroup/Shared%20Documents/Finance/ACCOUNTING/CONTROLLER/1%20-%20Accounting/5%20-%2052%20Week%20Journals/1%20-%20MILA/8%20-%2052%20Weeks/MILA/2026/2026%20MILA%2052%20Weeks.xlsx" TargetMode="External"/><Relationship Id="rId1" Type="http://schemas.openxmlformats.org/officeDocument/2006/relationships/externalLinkPath" Target="/sites/RivieraDiningGroup/Shared%20Documents/Finance/ACCOUNTING/CONTROLLER/1%20-%20Accounting/5%20-%2052%20Week%20Journals/1%20-%20MILA/8%20-%2052%20Weeks/MILA/2026/2026%20MILA%2052%20Weeks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1%20-%20Accounting/5%20-%2052%20Week%20Journals/1%20-%20MILA/8%20-%2052%20Weeks/MILA%20II/2026/2026%20MILA%20II%2052%20Weeks.xlsx" TargetMode="External"/><Relationship Id="rId2" Type="http://schemas.openxmlformats.org/officeDocument/2006/relationships/externalLinkPath" Target="https://rivieradininggroup.sharepoint.com/sites/RivieraDiningGroup/Shared%20Documents/Finance/ACCOUNTING/CONTROLLER/1%20-%20Accounting/5%20-%2052%20Week%20Journals/1%20-%20MILA/8%20-%2052%20Weeks/MILA%20II/2026/2026%20MILA%20II%2052%20Weeks.xlsx" TargetMode="External"/><Relationship Id="rId1" Type="http://schemas.openxmlformats.org/officeDocument/2006/relationships/externalLinkPath" Target="/sites/RivieraDiningGroup/Shared%20Documents/Finance/ACCOUNTING/CONTROLLER/1%20-%20Accounting/5%20-%2052%20Week%20Journals/1%20-%20MILA/8%20-%2052%20Weeks/MILA%20II/2026/2026%20MILA%20II%2052%20Weeks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1%20-%20Accounting/5%20-%2052%20Week%20Journals/2%20-%20AVA%20WINTER%20PARK/4%20-%2052%20Weeks/2026/2026%20AVA%2052%20Weeks.xlsx" TargetMode="External"/><Relationship Id="rId2" Type="http://schemas.openxmlformats.org/officeDocument/2006/relationships/externalLinkPath" Target="https://rivieradininggroup.sharepoint.com/sites/RivieraDiningGroup/Shared%20Documents/Finance/ACCOUNTING/CONTROLLER/1%20-%20Accounting/5%20-%2052%20Week%20Journals/2%20-%20AVA%20WINTER%20PARK/4%20-%2052%20Weeks/2026/2026%20AVA%2052%20Weeks.xlsx" TargetMode="External"/><Relationship Id="rId1" Type="http://schemas.openxmlformats.org/officeDocument/2006/relationships/externalLinkPath" Target="/sites/RivieraDiningGroup/Shared%20Documents/Finance/ACCOUNTING/CONTROLLER/1%20-%20Accounting/5%20-%2052%20Week%20Journals/2%20-%20AVA%20WINTER%20PARK/4%20-%2052%20Weeks/2026/2026%20AVA%2052%20Weeks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ivieradininggroup.sharepoint.com/sites/RivieraDiningGroup/Shared%20Documents/Finance/ACCOUNTING/CONTROLLER/1%20-%20Accounting/5%20-%2052%20Week%20Journals/4%20-%20CASA%20NEOS/6%20-%2052%20Weeks/2026/CASA%20NEOS/2026%20CASA%20NEOS%2052%20Weeks.xlsx" TargetMode="External"/><Relationship Id="rId2" Type="http://schemas.microsoft.com/office/2019/04/relationships/externalLinkLongPath" Target="/sites/RivieraDiningGroup/Shared%20Documents/Finance/ACCOUNTING/CONTROLLER/1%20-%20Accounting/5%20-%2052%20Week%20Journals/4%20-%20CASA%20NEOS/6%20-%2052%20Weeks/2026/CASA%20NEOS/2026%20CASA%20NEOS%2052%20Weeks.xlsx?45D4E58B" TargetMode="External"/><Relationship Id="rId1" Type="http://schemas.openxmlformats.org/officeDocument/2006/relationships/externalLinkPath" Target="file:///\\45D4E58B\2026%20CASA%20NEOS%2052%20Weeks.xlsx" TargetMode="External"/><Relationship Id="rId4" Type="http://schemas.openxmlformats.org/officeDocument/2006/relationships/externalLinkPath" Target="../../../../../1%20-%20Accounting/5%20-%2052%20Week%20Journals/4%20-%20CASA%20NEOS/6%20-%2052%20Weeks/2026/CASA%20NEOS/2026%20CASA%20NEOS%2052%20Weeks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1%20-%20Accounting/5%20-%2052%20Week%20Journals/5%20-%20CLAUDIE/6%20-%2052%20Weeks/2026/2026%20CLAUDIE%2052%20Weeks.xlsx" TargetMode="External"/><Relationship Id="rId2" Type="http://schemas.openxmlformats.org/officeDocument/2006/relationships/externalLinkPath" Target="https://rivieradininggroup.sharepoint.com/sites/RivieraDiningGroup/Shared%20Documents/Finance/ACCOUNTING/CONTROLLER/1%20-%20Accounting/5%20-%2052%20Week%20Journals/5%20-%20CLAUDIE/6%20-%2052%20Weeks/2026/2026%20CLAUDIE%2052%20Weeks.xlsx" TargetMode="External"/><Relationship Id="rId1" Type="http://schemas.openxmlformats.org/officeDocument/2006/relationships/externalLinkPath" Target="/sites/RivieraDiningGroup/Shared%20Documents/Finance/ACCOUNTING/CONTROLLER/1%20-%20Accounting/5%20-%2052%20Week%20Journals/5%20-%20CLAUDIE/6%20-%2052%20Weeks/2026/2026%20CLAUDIE%2052%20Weeks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1%20-%20Accounting/5%20-%2052%20Week%20Journals/6%20-%20AVA%20COCONUT%20GROVE/6%20-%2052%20Weeks/2026/2026%20AVA%20CG%2052%20Week.xlsx" TargetMode="External"/><Relationship Id="rId2" Type="http://schemas.openxmlformats.org/officeDocument/2006/relationships/externalLinkPath" Target="https://rivieradininggroup.sharepoint.com/sites/RivieraDiningGroup/Shared%20Documents/Finance/ACCOUNTING/CONTROLLER/1%20-%20Accounting/5%20-%2052%20Week%20Journals/6%20-%20AVA%20COCONUT%20GROVE/6%20-%2052%20Weeks/2026/2026%20AVA%20CG%2052%20Week.xlsx" TargetMode="External"/><Relationship Id="rId1" Type="http://schemas.openxmlformats.org/officeDocument/2006/relationships/externalLinkPath" Target="/sites/RivieraDiningGroup/Shared%20Documents/Finance/ACCOUNTING/CONTROLLER/1%20-%20Accounting/5%20-%2052%20Week%20Journals/6%20-%20AVA%20COCONUT%20GROVE/6%20-%2052%20Weeks/2026/2026%20AVA%20CG%2052%20Week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ivieradininggroup.sharepoint.com/sites/RivieraDiningGroup/Shared%20Documents/Finance/ACCOUNTING/CONTROLLER/1%20-%20Accounting/5%20-%2052%20Week%20Journals/4%20-%20CASA%20NEOS/6%20-%2052%20Weeks/2026/CASA%20NEOS%20LOUNGE/2026%20CASA%20NEOS%20LOUNGE%2052%20Weeks.xlsx" TargetMode="External"/><Relationship Id="rId2" Type="http://schemas.microsoft.com/office/2019/04/relationships/externalLinkLongPath" Target="/sites/RivieraDiningGroup/Shared%20Documents/Finance/ACCOUNTING/CONTROLLER/1%20-%20Accounting/5%20-%2052%20Week%20Journals/4%20-%20CASA%20NEOS/6%20-%2052%20Weeks/2026/CASA%20NEOS%20LOUNGE/2026%20CASA%20NEOS%20LOUNGE%2052%20Weeks.xlsx?BE384187" TargetMode="External"/><Relationship Id="rId1" Type="http://schemas.openxmlformats.org/officeDocument/2006/relationships/externalLinkPath" Target="file:///\\BE384187\2026%20CASA%20NEOS%20LOUNGE%2052%20Weeks.xlsx" TargetMode="External"/><Relationship Id="rId4" Type="http://schemas.openxmlformats.org/officeDocument/2006/relationships/externalLinkPath" Target="../../../../../1%20-%20Accounting/5%20-%2052%20Week%20Journals/4%20-%20CASA%20NEOS/6%20-%2052%20Weeks/2026/CASA%20NEOS%20LOUNGE/2026%20CASA%20NEOS%20LOUNGE%2052%20Wee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evenue Summary"/>
      <sheetName val="2017 Forecast"/>
      <sheetName val="2018 Budget"/>
      <sheetName val="Payroll Details"/>
      <sheetName val="Corporate Allocations"/>
      <sheetName val="Marketing Plan"/>
      <sheetName val="Professional Services"/>
      <sheetName val="Capital Budget"/>
      <sheetName val="Statistical Summary"/>
      <sheetName val="Sales projection"/>
      <sheetName val="COG"/>
      <sheetName val="Other"/>
      <sheetName val="Revenue_Summary"/>
      <sheetName val="2017_Forecast"/>
      <sheetName val="2018_Budget"/>
      <sheetName val="Payroll_Details"/>
      <sheetName val="Corporate_Allocations"/>
      <sheetName val="Marketing_Plan"/>
      <sheetName val="Professional_Services"/>
      <sheetName val="Capital_Budget"/>
      <sheetName val="Statistical_Summary"/>
      <sheetName val="Sales_projection"/>
      <sheetName val="Milos Partner Template - 2018 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ales"/>
      <sheetName val="London"/>
      <sheetName val="Athens"/>
      <sheetName val="Holdco"/>
      <sheetName val="CS Food"/>
      <sheetName val="Las Vegas"/>
      <sheetName val="NYC"/>
      <sheetName val="New York"/>
      <sheetName val="Montreal"/>
      <sheetName val="Miami"/>
      <sheetName val="backup- Lond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VA Orlando - 2022"/>
      <sheetName val="MILA - 2022"/>
      <sheetName val="Mila II - 2022"/>
      <sheetName val="RDG - 2022"/>
      <sheetName val="RDG - 2023"/>
      <sheetName val="Baoli - 2023"/>
      <sheetName val="AVA Orlando - 2023"/>
      <sheetName val="Mila - 2023"/>
      <sheetName val="Mila II - 2023"/>
      <sheetName val="REF #"/>
      <sheetName val="Summary 2023"/>
      <sheetName val="MILA"/>
      <sheetName val="AVA"/>
      <sheetName val="BAOLI"/>
      <sheetName val="RDG"/>
      <sheetName val="2023 Budget"/>
    </sheetNames>
    <sheetDataSet>
      <sheetData sheetId="0"/>
      <sheetData sheetId="1">
        <row r="1">
          <cell r="A1" t="str">
            <v>P&amp;L - Trailing 12 Periods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P&amp;L - Trailing 12 Periods</v>
          </cell>
        </row>
      </sheetData>
      <sheetData sheetId="8">
        <row r="1">
          <cell r="A1" t="str">
            <v>P&amp;L - Trailing 12 Periods</v>
          </cell>
        </row>
      </sheetData>
      <sheetData sheetId="9">
        <row r="3">
          <cell r="D3" t="str">
            <v>P&amp;L</v>
          </cell>
          <cell r="E3" t="str">
            <v>BUDGET</v>
          </cell>
        </row>
        <row r="4">
          <cell r="C4" t="str">
            <v>1P22</v>
          </cell>
          <cell r="D4">
            <v>2</v>
          </cell>
          <cell r="E4"/>
        </row>
        <row r="5">
          <cell r="C5" t="str">
            <v>2P22</v>
          </cell>
          <cell r="D5">
            <v>5</v>
          </cell>
          <cell r="E5"/>
        </row>
        <row r="6">
          <cell r="C6" t="str">
            <v>3P22</v>
          </cell>
          <cell r="D6">
            <v>8</v>
          </cell>
          <cell r="E6"/>
        </row>
        <row r="7">
          <cell r="C7" t="str">
            <v>4P22</v>
          </cell>
          <cell r="D7">
            <v>11</v>
          </cell>
          <cell r="E7"/>
        </row>
        <row r="8">
          <cell r="C8" t="str">
            <v>5P22</v>
          </cell>
          <cell r="D8">
            <v>14</v>
          </cell>
          <cell r="E8"/>
        </row>
        <row r="9">
          <cell r="C9" t="str">
            <v>6P22</v>
          </cell>
          <cell r="D9">
            <v>17</v>
          </cell>
          <cell r="E9"/>
        </row>
        <row r="10">
          <cell r="C10" t="str">
            <v>7P22</v>
          </cell>
          <cell r="D10">
            <v>20</v>
          </cell>
          <cell r="E10"/>
        </row>
        <row r="11">
          <cell r="C11" t="str">
            <v>8P22</v>
          </cell>
          <cell r="D11">
            <v>23</v>
          </cell>
          <cell r="E11"/>
        </row>
        <row r="12">
          <cell r="C12" t="str">
            <v>9P22</v>
          </cell>
          <cell r="D12">
            <v>26</v>
          </cell>
          <cell r="E12"/>
        </row>
        <row r="13">
          <cell r="C13" t="str">
            <v>10P22</v>
          </cell>
          <cell r="D13">
            <v>29</v>
          </cell>
          <cell r="E13"/>
        </row>
        <row r="14">
          <cell r="C14" t="str">
            <v>11P22</v>
          </cell>
          <cell r="D14">
            <v>32</v>
          </cell>
          <cell r="E14"/>
        </row>
        <row r="15">
          <cell r="C15" t="str">
            <v>12P22</v>
          </cell>
          <cell r="D15">
            <v>35</v>
          </cell>
          <cell r="E15"/>
        </row>
        <row r="16">
          <cell r="C16" t="str">
            <v>FY 2022</v>
          </cell>
          <cell r="D16"/>
          <cell r="E16"/>
        </row>
        <row r="17">
          <cell r="D17"/>
          <cell r="E17"/>
        </row>
        <row r="18">
          <cell r="C18" t="str">
            <v>1P23</v>
          </cell>
          <cell r="D18">
            <v>2</v>
          </cell>
          <cell r="E18">
            <v>4</v>
          </cell>
        </row>
        <row r="19">
          <cell r="C19" t="str">
            <v>2P23</v>
          </cell>
          <cell r="D19">
            <v>5</v>
          </cell>
          <cell r="E19">
            <v>8</v>
          </cell>
        </row>
        <row r="20">
          <cell r="C20" t="str">
            <v>3P23</v>
          </cell>
          <cell r="D20">
            <v>8</v>
          </cell>
          <cell r="E20">
            <v>12</v>
          </cell>
        </row>
        <row r="21">
          <cell r="C21" t="str">
            <v>4P23</v>
          </cell>
          <cell r="D21">
            <v>11</v>
          </cell>
          <cell r="E21">
            <v>16</v>
          </cell>
        </row>
        <row r="22">
          <cell r="C22" t="str">
            <v>5P23</v>
          </cell>
          <cell r="D22">
            <v>14</v>
          </cell>
          <cell r="E22">
            <v>20</v>
          </cell>
        </row>
        <row r="23">
          <cell r="C23" t="str">
            <v>6P23</v>
          </cell>
          <cell r="D23">
            <v>17</v>
          </cell>
          <cell r="E23">
            <v>24</v>
          </cell>
        </row>
        <row r="24">
          <cell r="C24" t="str">
            <v>7P23</v>
          </cell>
          <cell r="D24">
            <v>20</v>
          </cell>
          <cell r="E24">
            <v>28</v>
          </cell>
        </row>
        <row r="25">
          <cell r="C25" t="str">
            <v>8P23</v>
          </cell>
          <cell r="D25">
            <v>23</v>
          </cell>
          <cell r="E25">
            <v>32</v>
          </cell>
        </row>
        <row r="26">
          <cell r="C26" t="str">
            <v>9P23</v>
          </cell>
          <cell r="D26">
            <v>26</v>
          </cell>
          <cell r="E26">
            <v>36</v>
          </cell>
        </row>
        <row r="27">
          <cell r="C27" t="str">
            <v>10P23</v>
          </cell>
          <cell r="D27">
            <v>29</v>
          </cell>
          <cell r="E27">
            <v>40</v>
          </cell>
        </row>
        <row r="28">
          <cell r="C28" t="str">
            <v>11P23</v>
          </cell>
          <cell r="D28">
            <v>32</v>
          </cell>
          <cell r="E28">
            <v>44</v>
          </cell>
        </row>
        <row r="29">
          <cell r="C29" t="str">
            <v>12P23</v>
          </cell>
          <cell r="D29">
            <v>35</v>
          </cell>
          <cell r="E29">
            <v>48</v>
          </cell>
        </row>
        <row r="30">
          <cell r="C30" t="str">
            <v>FY 2023</v>
          </cell>
          <cell r="D30">
            <v>38</v>
          </cell>
          <cell r="E30">
            <v>52</v>
          </cell>
        </row>
      </sheetData>
      <sheetData sheetId="10"/>
      <sheetData sheetId="11"/>
      <sheetData sheetId="12"/>
      <sheetData sheetId="13"/>
      <sheetData sheetId="14"/>
      <sheetData sheetId="15">
        <row r="7">
          <cell r="B7" t="str">
            <v>Net Sales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AVA Orlando - 2023"/>
      <sheetName val="MILA - 2023"/>
      <sheetName val="Mila II - 2023"/>
      <sheetName val="RDG - 2023"/>
      <sheetName val="AVA Orlando - 2024"/>
      <sheetName val="AVA DATA DUMP"/>
      <sheetName val="Mila - 2024"/>
      <sheetName val="MILA DATA DUMP"/>
      <sheetName val="Mila II - 2024"/>
      <sheetName val="REF #"/>
      <sheetName val="Mila II DATA DUMP"/>
      <sheetName val="Baoli - 2024"/>
      <sheetName val="Baoli DATA DUMP"/>
      <sheetName val="Sheet1"/>
      <sheetName val="CASA NEOS Miami, LLC - 2024"/>
      <sheetName val="CASA NEOS Miami, LLC - 2023"/>
      <sheetName val="NOORA - 2024"/>
      <sheetName val="NOORA - 2023"/>
      <sheetName val="RDG - 2024"/>
      <sheetName val="MILA RT EBITDA"/>
      <sheetName val="MILA II EBITDA"/>
      <sheetName val="MILA Conso EBITDA"/>
      <sheetName val="AVA Orlando EBITDA"/>
      <sheetName val="BAOLI EBITDA"/>
      <sheetName val="RDG EBITDA"/>
      <sheetName val="CONSO EBITDA"/>
      <sheetName val="RDG DATA DUMP"/>
      <sheetName val="Summary 2024"/>
      <sheetName val="AVA"/>
      <sheetName val="BAOLI"/>
      <sheetName val="MILA"/>
      <sheetName val="CASA NEOS"/>
      <sheetName val="RDG"/>
      <sheetName val="KPI"/>
      <sheetName val="KPI_Data"/>
      <sheetName val="REF"/>
      <sheetName val="2024 Budget"/>
      <sheetName val="Consolidated RD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6">
          <cell r="C6">
            <v>15093</v>
          </cell>
          <cell r="E6">
            <v>170664</v>
          </cell>
        </row>
        <row r="9">
          <cell r="C9">
            <v>157.8113847478964</v>
          </cell>
          <cell r="E9">
            <v>152.7354468429194</v>
          </cell>
        </row>
        <row r="24">
          <cell r="C24">
            <v>4408</v>
          </cell>
          <cell r="E24">
            <v>49008</v>
          </cell>
        </row>
        <row r="28">
          <cell r="C28">
            <v>276.01779038112528</v>
          </cell>
          <cell r="E28">
            <v>284.11783388089265</v>
          </cell>
        </row>
        <row r="62">
          <cell r="C62">
            <v>7402</v>
          </cell>
          <cell r="E62">
            <v>93765</v>
          </cell>
        </row>
        <row r="66">
          <cell r="C66">
            <v>101.17650770062147</v>
          </cell>
          <cell r="E66">
            <v>102.49201237135391</v>
          </cell>
        </row>
        <row r="82">
          <cell r="C82">
            <v>6461</v>
          </cell>
          <cell r="E82">
            <v>26015</v>
          </cell>
        </row>
        <row r="85">
          <cell r="C85">
            <v>144.84053397306917</v>
          </cell>
          <cell r="E85">
            <v>199.11453353834327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ING"/>
      <sheetName val="Ref#"/>
      <sheetName val="P&amp;L Review"/>
      <sheetName val="DASHBOARD"/>
      <sheetName val="DAILY SALES"/>
      <sheetName val="COVERS"/>
      <sheetName val="DAILY AC"/>
      <sheetName val="DAILY FOOD AC"/>
      <sheetName val="DAILY LBW AC"/>
      <sheetName val="COGS DASH"/>
      <sheetName val="INVENTORY"/>
      <sheetName val="PAYROLL DASH"/>
      <sheetName val="OPEX DASH"/>
      <sheetName val="G&amp;A"/>
      <sheetName val="OTHER G&amp;A"/>
      <sheetName val="UTILITIES - OCCUPANCY"/>
      <sheetName val="OTHER INCOME"/>
      <sheetName val="OT Overall"/>
      <sheetName val="OT Ambiance"/>
      <sheetName val="OT Food"/>
      <sheetName val="OT Service"/>
      <sheetName val="OT Value"/>
      <sheetName val="Google"/>
      <sheetName val="Yelp"/>
      <sheetName val="Trip Advisor"/>
      <sheetName val="Resy"/>
      <sheetName val="Venga"/>
      <sheetName val="OT Overall (DAILY)"/>
      <sheetName val="9P22"/>
      <sheetName val="10P22"/>
      <sheetName val="11P22"/>
      <sheetName val="12P22"/>
      <sheetName val="MARKETING"/>
      <sheetName val="BAR DROP"/>
      <sheetName val="BAR SALES"/>
      <sheetName val="SPLH"/>
      <sheetName val="VIP"/>
      <sheetName val="Recurring VIP"/>
      <sheetName val="New VIP"/>
      <sheetName val="VIP No Shows"/>
      <sheetName val="Sales &amp; Covers Bud."/>
      <sheetName val="Budget"/>
      <sheetName val="REFERENCE DO NOT DELETE"/>
      <sheetName val="Data Drops--&gt;"/>
      <sheetName val="1P22"/>
      <sheetName val="2P22"/>
      <sheetName val="3P22"/>
      <sheetName val="4P22"/>
      <sheetName val="5P22"/>
      <sheetName val="6P22"/>
      <sheetName val="7P22"/>
      <sheetName val="8P22"/>
      <sheetName val="SALES DROP"/>
      <sheetName val="LUNCH"/>
      <sheetName val="DINNER"/>
      <sheetName val="COVERS DROP"/>
      <sheetName val="SALES CATEGORY"/>
      <sheetName val="VOID DROP"/>
      <sheetName val="INV. DROP"/>
      <sheetName val="OPENTABLE REVIEWS"/>
      <sheetName val="GOOGLE REVIEWS"/>
      <sheetName val="YELP REVIEWS"/>
      <sheetName val="TRIPADVISOR REVIEWS"/>
      <sheetName val="OT Ratings Drop"/>
      <sheetName val="Other GS Drop"/>
      <sheetName val="Resy GS Drop"/>
      <sheetName val="Chart of Accounts"/>
    </sheetNames>
    <sheetDataSet>
      <sheetData sheetId="0"/>
      <sheetData sheetId="1"/>
      <sheetData sheetId="2"/>
      <sheetData sheetId="3"/>
      <sheetData sheetId="4"/>
      <sheetData sheetId="5">
        <row r="7">
          <cell r="I7" t="str">
            <v>Week 1</v>
          </cell>
          <cell r="AA7">
            <v>433</v>
          </cell>
          <cell r="AR7">
            <v>5522</v>
          </cell>
        </row>
        <row r="8">
          <cell r="I8" t="str">
            <v>Week 2</v>
          </cell>
          <cell r="AA8">
            <v>413</v>
          </cell>
          <cell r="AR8">
            <v>4107</v>
          </cell>
        </row>
        <row r="9">
          <cell r="I9" t="str">
            <v>Week 3</v>
          </cell>
          <cell r="AA9">
            <v>464</v>
          </cell>
          <cell r="AR9">
            <v>4460</v>
          </cell>
        </row>
        <row r="10">
          <cell r="I10" t="str">
            <v>Week 4</v>
          </cell>
          <cell r="AA10">
            <v>393</v>
          </cell>
          <cell r="AR10">
            <v>4044</v>
          </cell>
        </row>
        <row r="11">
          <cell r="I11" t="str">
            <v>P1</v>
          </cell>
          <cell r="AA11">
            <v>1703</v>
          </cell>
          <cell r="AR11">
            <v>18133</v>
          </cell>
        </row>
        <row r="12">
          <cell r="I12" t="str">
            <v>Week 5</v>
          </cell>
          <cell r="AA12">
            <v>493</v>
          </cell>
          <cell r="AR12">
            <v>4541</v>
          </cell>
        </row>
        <row r="13">
          <cell r="I13" t="str">
            <v>Week 6</v>
          </cell>
          <cell r="AA13">
            <v>354</v>
          </cell>
          <cell r="AR13">
            <v>4132</v>
          </cell>
        </row>
        <row r="14">
          <cell r="I14" t="str">
            <v>Week 7</v>
          </cell>
          <cell r="AA14">
            <v>441</v>
          </cell>
          <cell r="AR14">
            <v>3944</v>
          </cell>
        </row>
        <row r="15">
          <cell r="I15" t="str">
            <v>Week 8</v>
          </cell>
          <cell r="AA15">
            <v>412</v>
          </cell>
          <cell r="AR15">
            <v>4531</v>
          </cell>
        </row>
        <row r="16">
          <cell r="I16" t="str">
            <v>P2</v>
          </cell>
          <cell r="AA16">
            <v>1700</v>
          </cell>
          <cell r="AR16">
            <v>17148</v>
          </cell>
        </row>
        <row r="17">
          <cell r="I17" t="str">
            <v>Week 9</v>
          </cell>
          <cell r="AA17">
            <v>441</v>
          </cell>
          <cell r="AR17">
            <v>4225</v>
          </cell>
        </row>
        <row r="18">
          <cell r="I18" t="str">
            <v>Week 10</v>
          </cell>
          <cell r="AA18">
            <v>400</v>
          </cell>
          <cell r="AR18">
            <v>4578</v>
          </cell>
        </row>
        <row r="19">
          <cell r="I19" t="str">
            <v>Week 11</v>
          </cell>
          <cell r="AA19">
            <v>446</v>
          </cell>
          <cell r="AR19">
            <v>4138</v>
          </cell>
        </row>
        <row r="20">
          <cell r="I20" t="str">
            <v>Week 12</v>
          </cell>
          <cell r="AA20">
            <v>423</v>
          </cell>
          <cell r="AR20">
            <v>4553</v>
          </cell>
        </row>
        <row r="21">
          <cell r="I21" t="str">
            <v>Week 13</v>
          </cell>
          <cell r="AA21">
            <v>407</v>
          </cell>
          <cell r="AR21">
            <v>4720</v>
          </cell>
        </row>
        <row r="22">
          <cell r="I22" t="str">
            <v>P3</v>
          </cell>
          <cell r="AA22">
            <v>2117</v>
          </cell>
          <cell r="AR22">
            <v>22214</v>
          </cell>
        </row>
        <row r="23">
          <cell r="I23" t="str">
            <v>Week 14</v>
          </cell>
          <cell r="AA23">
            <v>406</v>
          </cell>
          <cell r="AR23">
            <v>4714</v>
          </cell>
        </row>
        <row r="24">
          <cell r="I24" t="str">
            <v>Week 15</v>
          </cell>
          <cell r="AA24">
            <v>361</v>
          </cell>
          <cell r="AR24">
            <v>4577</v>
          </cell>
        </row>
        <row r="25">
          <cell r="I25" t="str">
            <v>Week 16</v>
          </cell>
          <cell r="AA25">
            <v>389</v>
          </cell>
          <cell r="AR25">
            <v>4353</v>
          </cell>
        </row>
        <row r="26">
          <cell r="I26" t="str">
            <v>Week 17</v>
          </cell>
          <cell r="AA26">
            <v>424</v>
          </cell>
          <cell r="AR26">
            <v>3850</v>
          </cell>
        </row>
        <row r="27">
          <cell r="I27" t="str">
            <v>P4</v>
          </cell>
          <cell r="AA27">
            <v>1580</v>
          </cell>
          <cell r="AR27">
            <v>17494</v>
          </cell>
        </row>
        <row r="28">
          <cell r="I28" t="str">
            <v>Week 18</v>
          </cell>
          <cell r="AA28">
            <v>364</v>
          </cell>
          <cell r="AR28">
            <v>4664</v>
          </cell>
        </row>
        <row r="29">
          <cell r="I29" t="str">
            <v>Week 19</v>
          </cell>
          <cell r="AA29">
            <v>404</v>
          </cell>
          <cell r="AR29">
            <v>4256</v>
          </cell>
        </row>
        <row r="30">
          <cell r="I30" t="str">
            <v>Week 20</v>
          </cell>
          <cell r="AA30">
            <v>371</v>
          </cell>
          <cell r="AR30">
            <v>4134</v>
          </cell>
        </row>
        <row r="31">
          <cell r="I31" t="str">
            <v>Week 21</v>
          </cell>
          <cell r="AA31">
            <v>347</v>
          </cell>
          <cell r="AR31">
            <v>4285</v>
          </cell>
        </row>
        <row r="32">
          <cell r="I32" t="str">
            <v>P5</v>
          </cell>
          <cell r="AA32">
            <v>1486</v>
          </cell>
          <cell r="AR32">
            <v>17339</v>
          </cell>
        </row>
        <row r="33">
          <cell r="I33" t="str">
            <v>Week 22</v>
          </cell>
          <cell r="AA33">
            <v>432</v>
          </cell>
          <cell r="AR33">
            <v>4330</v>
          </cell>
        </row>
        <row r="34">
          <cell r="I34" t="str">
            <v>Week 23</v>
          </cell>
          <cell r="AA34">
            <v>337</v>
          </cell>
          <cell r="AR34">
            <v>3596</v>
          </cell>
        </row>
        <row r="35">
          <cell r="I35" t="str">
            <v>Week 24</v>
          </cell>
          <cell r="AA35">
            <v>312</v>
          </cell>
          <cell r="AR35">
            <v>3499</v>
          </cell>
        </row>
        <row r="36">
          <cell r="I36" t="str">
            <v>Week 25</v>
          </cell>
          <cell r="AA36">
            <v>425</v>
          </cell>
          <cell r="AR36">
            <v>3552</v>
          </cell>
        </row>
        <row r="37">
          <cell r="I37" t="str">
            <v>Week 26</v>
          </cell>
          <cell r="AA37">
            <v>382</v>
          </cell>
          <cell r="AR37">
            <v>3797</v>
          </cell>
        </row>
        <row r="38">
          <cell r="I38" t="str">
            <v>P6</v>
          </cell>
          <cell r="AA38">
            <v>1888</v>
          </cell>
          <cell r="AR38">
            <v>18774</v>
          </cell>
        </row>
        <row r="39">
          <cell r="I39" t="str">
            <v>Week 27</v>
          </cell>
          <cell r="AA39">
            <v>367</v>
          </cell>
          <cell r="AR39">
            <v>3696</v>
          </cell>
        </row>
        <row r="40">
          <cell r="I40" t="str">
            <v>Week 28</v>
          </cell>
          <cell r="AA40">
            <v>314</v>
          </cell>
          <cell r="AR40">
            <v>3458</v>
          </cell>
        </row>
        <row r="41">
          <cell r="I41" t="str">
            <v>Week 29</v>
          </cell>
          <cell r="AA41">
            <v>208</v>
          </cell>
          <cell r="AR41">
            <v>3525</v>
          </cell>
        </row>
        <row r="42">
          <cell r="I42" t="str">
            <v>Week 30</v>
          </cell>
          <cell r="AA42">
            <v>321</v>
          </cell>
          <cell r="AR42">
            <v>3489</v>
          </cell>
        </row>
        <row r="43">
          <cell r="I43" t="str">
            <v>P7</v>
          </cell>
          <cell r="AA43">
            <v>1210</v>
          </cell>
          <cell r="AR43">
            <v>14168</v>
          </cell>
        </row>
        <row r="44">
          <cell r="I44" t="str">
            <v>Week 31</v>
          </cell>
          <cell r="AA44">
            <v>306</v>
          </cell>
          <cell r="AR44">
            <v>3295</v>
          </cell>
        </row>
        <row r="45">
          <cell r="I45" t="str">
            <v>Week 32</v>
          </cell>
          <cell r="AA45">
            <v>348</v>
          </cell>
          <cell r="AR45">
            <v>3502</v>
          </cell>
        </row>
        <row r="46">
          <cell r="I46" t="str">
            <v>Week 33</v>
          </cell>
          <cell r="AA46">
            <v>301</v>
          </cell>
          <cell r="AR46">
            <v>3637</v>
          </cell>
        </row>
        <row r="47">
          <cell r="I47" t="str">
            <v>Week 34</v>
          </cell>
          <cell r="AA47">
            <v>269</v>
          </cell>
          <cell r="AR47">
            <v>3781</v>
          </cell>
        </row>
        <row r="48">
          <cell r="I48" t="str">
            <v>P8</v>
          </cell>
          <cell r="AA48">
            <v>1224</v>
          </cell>
          <cell r="AR48">
            <v>14215</v>
          </cell>
        </row>
        <row r="49">
          <cell r="I49" t="str">
            <v>Week 35</v>
          </cell>
          <cell r="AA49">
            <v>0</v>
          </cell>
          <cell r="AR49">
            <v>0</v>
          </cell>
        </row>
        <row r="50">
          <cell r="I50" t="str">
            <v>Week 36</v>
          </cell>
          <cell r="AA50">
            <v>0</v>
          </cell>
          <cell r="AR50">
            <v>0</v>
          </cell>
        </row>
        <row r="51">
          <cell r="I51" t="str">
            <v>Week 37</v>
          </cell>
          <cell r="AA51">
            <v>0</v>
          </cell>
          <cell r="AR51">
            <v>0</v>
          </cell>
        </row>
        <row r="52">
          <cell r="I52" t="str">
            <v>Week 38</v>
          </cell>
          <cell r="AA52">
            <v>0</v>
          </cell>
          <cell r="AR52">
            <v>0</v>
          </cell>
        </row>
        <row r="53">
          <cell r="I53" t="str">
            <v>Week 39</v>
          </cell>
          <cell r="AA53">
            <v>0</v>
          </cell>
          <cell r="AR53">
            <v>0</v>
          </cell>
        </row>
        <row r="54">
          <cell r="I54" t="str">
            <v>P9</v>
          </cell>
          <cell r="AA54">
            <v>0</v>
          </cell>
          <cell r="AR54">
            <v>0</v>
          </cell>
        </row>
        <row r="55">
          <cell r="I55" t="str">
            <v>Week 40</v>
          </cell>
          <cell r="AA55">
            <v>0</v>
          </cell>
          <cell r="AR55">
            <v>0</v>
          </cell>
        </row>
        <row r="56">
          <cell r="I56" t="str">
            <v>Week 41</v>
          </cell>
          <cell r="AA56">
            <v>0</v>
          </cell>
          <cell r="AR56">
            <v>0</v>
          </cell>
        </row>
        <row r="57">
          <cell r="I57" t="str">
            <v>Week 42</v>
          </cell>
          <cell r="AA57">
            <v>0</v>
          </cell>
          <cell r="AR57">
            <v>0</v>
          </cell>
        </row>
        <row r="58">
          <cell r="I58" t="str">
            <v>Week 43</v>
          </cell>
          <cell r="AA58">
            <v>0</v>
          </cell>
          <cell r="AR58">
            <v>0</v>
          </cell>
        </row>
        <row r="59">
          <cell r="I59" t="str">
            <v>P10</v>
          </cell>
          <cell r="AA59">
            <v>0</v>
          </cell>
          <cell r="AR59">
            <v>0</v>
          </cell>
        </row>
        <row r="60">
          <cell r="I60" t="str">
            <v>Week 44</v>
          </cell>
          <cell r="AA60">
            <v>0</v>
          </cell>
          <cell r="AR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</row>
        <row r="67">
          <cell r="I67" t="str">
            <v>Week 50</v>
          </cell>
          <cell r="AA67">
            <v>0</v>
          </cell>
          <cell r="AR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</row>
        <row r="70">
          <cell r="I70" t="str">
            <v>Week 53</v>
          </cell>
          <cell r="AA70">
            <v>0</v>
          </cell>
          <cell r="AR70">
            <v>0</v>
          </cell>
        </row>
        <row r="71">
          <cell r="I71" t="str">
            <v>P12</v>
          </cell>
          <cell r="AA71">
            <v>0</v>
          </cell>
          <cell r="AR7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C7zg-pyRUWD1dffX6ZYFmEABhQBbZhNrnNTTTFffo-sxdBNOnRvRLBDbQKsYGY8" itemId="01NVXZN73TM5SFYPFKWVGLXGHDU7FX6EW6">
      <xxl21:absoluteUrl r:id="rId2"/>
      <xxl21:relativeUrl r:id="rId3"/>
    </xxl21:alternateUrls>
    <sheetNames>
      <sheetName val="REPORTING"/>
      <sheetName val="P&amp;L Review"/>
      <sheetName val="DASHBOARD"/>
      <sheetName val="DAILY SALES"/>
      <sheetName val="COVERS"/>
      <sheetName val="DAILY AC"/>
      <sheetName val="DAILY FOOD AC"/>
      <sheetName val="DAILY LBW AC"/>
      <sheetName val="COGS DASH"/>
      <sheetName val="INVENTORY"/>
      <sheetName val="PAYROLL DASH"/>
      <sheetName val="OPEX DASH"/>
      <sheetName val="UTILITIES - OCCUPANCY"/>
      <sheetName val="G&amp;A"/>
      <sheetName val="OTHER G&amp;A"/>
      <sheetName val="OTHER INCOME"/>
      <sheetName val="MARKETING"/>
      <sheetName val="OT Overall"/>
      <sheetName val="OT Ambiance"/>
      <sheetName val="OT Food"/>
      <sheetName val="OT Service"/>
      <sheetName val="7R Overall"/>
      <sheetName val="7R Ambiance"/>
      <sheetName val="7R Food"/>
      <sheetName val="7R Service"/>
      <sheetName val="Google"/>
      <sheetName val="Yelp"/>
      <sheetName val="Trip Advisor"/>
      <sheetName val="Budget"/>
      <sheetName val="Ref#"/>
      <sheetName val="Sales &amp; Covers Bud."/>
      <sheetName val="9P22"/>
      <sheetName val="10P22"/>
      <sheetName val="11P22"/>
      <sheetName val="12P22"/>
      <sheetName val="Chart of Accounts"/>
      <sheetName val="BAR DROP"/>
      <sheetName val="BAR SALES"/>
      <sheetName val="SPLH"/>
      <sheetName val="OT Ratings Drop"/>
      <sheetName val="REFERENCE DO NOT DELETE"/>
      <sheetName val="Data Drops--&gt;"/>
      <sheetName val="1P22"/>
      <sheetName val="2P22"/>
      <sheetName val="3P22"/>
      <sheetName val="4P22"/>
      <sheetName val="5P22"/>
      <sheetName val="6P22"/>
      <sheetName val="7P22"/>
      <sheetName val="8P22"/>
      <sheetName val="SALES DROP"/>
      <sheetName val="OMAKASE SALES"/>
      <sheetName val="MM SALES"/>
      <sheetName val="LOUNGE SALES"/>
      <sheetName val="VOIDING"/>
      <sheetName val="SALES CATEGORY"/>
      <sheetName val="OMAKASE COVERS DROP"/>
      <sheetName val="MM &amp; LNGE COVER DROP"/>
      <sheetName val="INV. DROP"/>
      <sheetName val="OPENTABLE REVIEWS"/>
      <sheetName val="SEVENROOMS REVIEWS"/>
      <sheetName val="Other GS Drop"/>
      <sheetName val="7R GS Drop"/>
      <sheetName val="VIP"/>
      <sheetName val="Recurring VIP"/>
      <sheetName val="New VIP"/>
      <sheetName val="VIP No Shows"/>
      <sheetName val="OT Value"/>
      <sheetName val="Venga"/>
      <sheetName val="2026 MILA II 52 Weeks"/>
    </sheetNames>
    <sheetDataSet>
      <sheetData sheetId="0"/>
      <sheetData sheetId="1"/>
      <sheetData sheetId="2"/>
      <sheetData sheetId="3"/>
      <sheetData sheetId="4">
        <row r="11">
          <cell r="I11" t="str">
            <v>P1</v>
          </cell>
          <cell r="AA11">
            <v>293</v>
          </cell>
          <cell r="AR11">
            <v>1781</v>
          </cell>
          <cell r="BI11">
            <v>4701</v>
          </cell>
        </row>
        <row r="12">
          <cell r="I12" t="str">
            <v>Week 5</v>
          </cell>
          <cell r="AA12">
            <v>85</v>
          </cell>
          <cell r="AR12">
            <v>445</v>
          </cell>
          <cell r="BI12">
            <v>933</v>
          </cell>
        </row>
        <row r="13">
          <cell r="I13" t="str">
            <v>Week 6</v>
          </cell>
          <cell r="AA13">
            <v>72</v>
          </cell>
          <cell r="AR13">
            <v>405</v>
          </cell>
          <cell r="BI13">
            <v>1003</v>
          </cell>
        </row>
        <row r="14">
          <cell r="I14" t="str">
            <v>Week 7</v>
          </cell>
          <cell r="AA14">
            <v>73</v>
          </cell>
          <cell r="AR14">
            <v>545</v>
          </cell>
          <cell r="BI14">
            <v>896</v>
          </cell>
        </row>
        <row r="15">
          <cell r="I15" t="str">
            <v>Week 8</v>
          </cell>
          <cell r="AA15">
            <v>92</v>
          </cell>
          <cell r="AR15">
            <v>400</v>
          </cell>
          <cell r="BI15">
            <v>907</v>
          </cell>
        </row>
        <row r="16">
          <cell r="I16" t="str">
            <v>P2</v>
          </cell>
          <cell r="AA16">
            <v>322</v>
          </cell>
          <cell r="AR16">
            <v>1795</v>
          </cell>
          <cell r="BI16">
            <v>3739</v>
          </cell>
        </row>
        <row r="17">
          <cell r="I17" t="str">
            <v>Week 9</v>
          </cell>
          <cell r="AA17">
            <v>80</v>
          </cell>
          <cell r="AR17">
            <v>620</v>
          </cell>
          <cell r="BI17">
            <v>1373</v>
          </cell>
        </row>
        <row r="18">
          <cell r="I18" t="str">
            <v>Week 10</v>
          </cell>
          <cell r="AA18">
            <v>77</v>
          </cell>
          <cell r="AR18">
            <v>568</v>
          </cell>
          <cell r="BI18">
            <v>1015</v>
          </cell>
        </row>
        <row r="19">
          <cell r="I19" t="str">
            <v>Week 11</v>
          </cell>
          <cell r="AA19">
            <v>80</v>
          </cell>
          <cell r="AR19">
            <v>507</v>
          </cell>
          <cell r="BI19">
            <v>957</v>
          </cell>
        </row>
        <row r="20">
          <cell r="I20" t="str">
            <v>Week 12</v>
          </cell>
          <cell r="AA20">
            <v>66</v>
          </cell>
          <cell r="AR20">
            <v>569</v>
          </cell>
          <cell r="BI20">
            <v>1319</v>
          </cell>
        </row>
        <row r="21">
          <cell r="I21" t="str">
            <v>Week 13</v>
          </cell>
          <cell r="AA21">
            <v>88</v>
          </cell>
          <cell r="AR21">
            <v>494</v>
          </cell>
          <cell r="BI21">
            <v>1400</v>
          </cell>
        </row>
        <row r="22">
          <cell r="I22" t="str">
            <v>P3</v>
          </cell>
          <cell r="AA22">
            <v>391</v>
          </cell>
          <cell r="AR22">
            <v>2758</v>
          </cell>
          <cell r="BI22">
            <v>6064</v>
          </cell>
        </row>
        <row r="23">
          <cell r="I23" t="str">
            <v>Week 14</v>
          </cell>
          <cell r="AA23">
            <v>81</v>
          </cell>
          <cell r="AR23">
            <v>408</v>
          </cell>
          <cell r="BI23">
            <v>615</v>
          </cell>
        </row>
        <row r="24">
          <cell r="I24" t="str">
            <v>Week 15</v>
          </cell>
          <cell r="AA24">
            <v>90</v>
          </cell>
          <cell r="AR24">
            <v>382</v>
          </cell>
          <cell r="BI24">
            <v>762</v>
          </cell>
        </row>
        <row r="25">
          <cell r="I25" t="str">
            <v>Week 16</v>
          </cell>
          <cell r="AA25">
            <v>77</v>
          </cell>
          <cell r="AR25">
            <v>452</v>
          </cell>
          <cell r="BI25">
            <v>886</v>
          </cell>
        </row>
        <row r="26">
          <cell r="I26" t="str">
            <v>Week 17</v>
          </cell>
          <cell r="AA26">
            <v>85</v>
          </cell>
          <cell r="AR26">
            <v>380</v>
          </cell>
          <cell r="BI26">
            <v>797</v>
          </cell>
        </row>
        <row r="27">
          <cell r="I27" t="str">
            <v>P4</v>
          </cell>
          <cell r="AA27">
            <v>333</v>
          </cell>
          <cell r="AR27">
            <v>1622</v>
          </cell>
          <cell r="BI27">
            <v>3060</v>
          </cell>
        </row>
        <row r="28">
          <cell r="I28" t="str">
            <v>Week 18</v>
          </cell>
          <cell r="AA28">
            <v>104</v>
          </cell>
          <cell r="AR28">
            <v>618</v>
          </cell>
          <cell r="BI28">
            <v>1260</v>
          </cell>
        </row>
        <row r="29">
          <cell r="I29" t="str">
            <v>Week 19</v>
          </cell>
          <cell r="AA29">
            <v>78</v>
          </cell>
          <cell r="AR29">
            <v>460</v>
          </cell>
          <cell r="BI29">
            <v>1249</v>
          </cell>
        </row>
        <row r="30">
          <cell r="I30" t="str">
            <v>Week 20</v>
          </cell>
          <cell r="AA30">
            <v>70</v>
          </cell>
          <cell r="AR30">
            <v>393</v>
          </cell>
          <cell r="BI30">
            <v>747</v>
          </cell>
        </row>
        <row r="31">
          <cell r="I31" t="str">
            <v>Week 21</v>
          </cell>
          <cell r="AA31">
            <v>66</v>
          </cell>
          <cell r="AR31">
            <v>466</v>
          </cell>
          <cell r="BI31">
            <v>989</v>
          </cell>
        </row>
        <row r="32">
          <cell r="I32" t="str">
            <v>P5</v>
          </cell>
          <cell r="AA32">
            <v>318</v>
          </cell>
          <cell r="AR32">
            <v>1937</v>
          </cell>
          <cell r="BI32">
            <v>4245</v>
          </cell>
        </row>
        <row r="33">
          <cell r="I33" t="str">
            <v>Week 22</v>
          </cell>
          <cell r="AA33">
            <v>59</v>
          </cell>
          <cell r="AR33">
            <v>417</v>
          </cell>
          <cell r="BI33">
            <v>762</v>
          </cell>
        </row>
        <row r="34">
          <cell r="I34" t="str">
            <v>Week 23</v>
          </cell>
          <cell r="AA34">
            <v>72</v>
          </cell>
          <cell r="AR34">
            <v>338</v>
          </cell>
          <cell r="BI34">
            <v>593</v>
          </cell>
        </row>
        <row r="35">
          <cell r="I35" t="str">
            <v>Week 24</v>
          </cell>
          <cell r="AA35">
            <v>47</v>
          </cell>
          <cell r="AR35">
            <v>198</v>
          </cell>
          <cell r="BI35">
            <v>562</v>
          </cell>
        </row>
        <row r="36">
          <cell r="I36" t="str">
            <v>Week 25</v>
          </cell>
          <cell r="AA36">
            <v>54</v>
          </cell>
          <cell r="AR36">
            <v>225</v>
          </cell>
          <cell r="BI36">
            <v>562</v>
          </cell>
        </row>
        <row r="37">
          <cell r="I37" t="str">
            <v>Week 26</v>
          </cell>
          <cell r="AA37">
            <v>61</v>
          </cell>
          <cell r="AR37">
            <v>263</v>
          </cell>
          <cell r="BI37">
            <v>781</v>
          </cell>
        </row>
        <row r="38">
          <cell r="I38" t="str">
            <v>P6</v>
          </cell>
          <cell r="AA38">
            <v>293</v>
          </cell>
          <cell r="AR38">
            <v>1441</v>
          </cell>
          <cell r="BI38">
            <v>3260</v>
          </cell>
        </row>
        <row r="39">
          <cell r="I39" t="str">
            <v>Week 27</v>
          </cell>
          <cell r="AA39">
            <v>74</v>
          </cell>
          <cell r="AR39">
            <v>194</v>
          </cell>
          <cell r="BI39">
            <v>654</v>
          </cell>
        </row>
        <row r="40">
          <cell r="I40" t="str">
            <v>Week 28</v>
          </cell>
          <cell r="AA40">
            <v>82</v>
          </cell>
          <cell r="AR40">
            <v>321</v>
          </cell>
          <cell r="BI40">
            <v>682</v>
          </cell>
        </row>
        <row r="41">
          <cell r="I41" t="str">
            <v>Week 29</v>
          </cell>
          <cell r="AA41">
            <v>82</v>
          </cell>
          <cell r="AR41">
            <v>236</v>
          </cell>
          <cell r="BI41">
            <v>684</v>
          </cell>
        </row>
        <row r="42">
          <cell r="I42" t="str">
            <v>Week 30</v>
          </cell>
          <cell r="AA42">
            <v>76</v>
          </cell>
          <cell r="AR42">
            <v>284</v>
          </cell>
          <cell r="BI42">
            <v>621</v>
          </cell>
        </row>
        <row r="43">
          <cell r="I43" t="str">
            <v>P7</v>
          </cell>
          <cell r="AA43">
            <v>314</v>
          </cell>
          <cell r="AR43">
            <v>1035</v>
          </cell>
          <cell r="BI43">
            <v>2641</v>
          </cell>
        </row>
        <row r="44">
          <cell r="I44" t="str">
            <v>Week 31</v>
          </cell>
          <cell r="AA44">
            <v>70</v>
          </cell>
          <cell r="AR44">
            <v>219</v>
          </cell>
          <cell r="BI44">
            <v>482</v>
          </cell>
        </row>
        <row r="45">
          <cell r="I45" t="str">
            <v>Week 32</v>
          </cell>
          <cell r="AA45">
            <v>76</v>
          </cell>
          <cell r="AR45">
            <v>249</v>
          </cell>
          <cell r="BI45">
            <v>531</v>
          </cell>
        </row>
        <row r="46">
          <cell r="I46" t="str">
            <v>Week 33</v>
          </cell>
          <cell r="AA46">
            <v>63</v>
          </cell>
          <cell r="AR46">
            <v>283</v>
          </cell>
          <cell r="BI46">
            <v>470</v>
          </cell>
        </row>
        <row r="47">
          <cell r="I47" t="str">
            <v>Week 34</v>
          </cell>
          <cell r="AA47">
            <v>0</v>
          </cell>
          <cell r="AR47">
            <v>0</v>
          </cell>
          <cell r="BI47">
            <v>0</v>
          </cell>
        </row>
        <row r="48">
          <cell r="I48" t="str">
            <v>P8</v>
          </cell>
          <cell r="AA48">
            <v>209</v>
          </cell>
          <cell r="AR48">
            <v>751</v>
          </cell>
          <cell r="BI48">
            <v>1483</v>
          </cell>
        </row>
        <row r="49">
          <cell r="I49" t="str">
            <v>Week 35</v>
          </cell>
          <cell r="AA49">
            <v>0</v>
          </cell>
          <cell r="AR49">
            <v>0</v>
          </cell>
          <cell r="BI49">
            <v>0</v>
          </cell>
        </row>
        <row r="50">
          <cell r="I50" t="str">
            <v>Week 36</v>
          </cell>
          <cell r="AA50">
            <v>0</v>
          </cell>
          <cell r="AR50">
            <v>0</v>
          </cell>
          <cell r="BI50">
            <v>0</v>
          </cell>
        </row>
        <row r="51">
          <cell r="I51" t="str">
            <v>Week 37</v>
          </cell>
          <cell r="AA51">
            <v>0</v>
          </cell>
          <cell r="AR51">
            <v>0</v>
          </cell>
          <cell r="BI51">
            <v>0</v>
          </cell>
        </row>
        <row r="52">
          <cell r="I52" t="str">
            <v>Week 38</v>
          </cell>
          <cell r="AA52">
            <v>0</v>
          </cell>
          <cell r="AR52">
            <v>0</v>
          </cell>
          <cell r="BI52">
            <v>0</v>
          </cell>
        </row>
        <row r="53">
          <cell r="I53" t="str">
            <v>Week 39</v>
          </cell>
          <cell r="AA53">
            <v>0</v>
          </cell>
          <cell r="AR53">
            <v>0</v>
          </cell>
          <cell r="BI53">
            <v>0</v>
          </cell>
        </row>
        <row r="54">
          <cell r="I54" t="str">
            <v>P9</v>
          </cell>
          <cell r="AA54">
            <v>0</v>
          </cell>
          <cell r="AR54">
            <v>0</v>
          </cell>
          <cell r="BI54">
            <v>0</v>
          </cell>
        </row>
        <row r="55">
          <cell r="I55" t="str">
            <v>Week 40</v>
          </cell>
          <cell r="AA55">
            <v>0</v>
          </cell>
          <cell r="AR55">
            <v>0</v>
          </cell>
          <cell r="BI55">
            <v>0</v>
          </cell>
        </row>
        <row r="56">
          <cell r="I56" t="str">
            <v>Week 41</v>
          </cell>
          <cell r="AA56">
            <v>0</v>
          </cell>
          <cell r="AR56">
            <v>0</v>
          </cell>
          <cell r="BI56">
            <v>0</v>
          </cell>
        </row>
        <row r="57">
          <cell r="I57" t="str">
            <v>Week 42</v>
          </cell>
          <cell r="AA57">
            <v>0</v>
          </cell>
          <cell r="AR57">
            <v>0</v>
          </cell>
          <cell r="BI57">
            <v>0</v>
          </cell>
        </row>
        <row r="58">
          <cell r="I58" t="str">
            <v>Week 43</v>
          </cell>
          <cell r="AA58">
            <v>0</v>
          </cell>
          <cell r="AR58">
            <v>0</v>
          </cell>
          <cell r="BI58">
            <v>0</v>
          </cell>
        </row>
        <row r="59">
          <cell r="I59" t="str">
            <v>P10</v>
          </cell>
          <cell r="AA59">
            <v>0</v>
          </cell>
          <cell r="AR59">
            <v>0</v>
          </cell>
          <cell r="BI59">
            <v>0</v>
          </cell>
        </row>
        <row r="60">
          <cell r="I60" t="str">
            <v>Week 44</v>
          </cell>
          <cell r="AA60">
            <v>0</v>
          </cell>
          <cell r="AR60">
            <v>0</v>
          </cell>
          <cell r="BI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  <cell r="BI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  <cell r="BI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  <cell r="BI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  <cell r="BI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  <cell r="BI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  <cell r="BI66">
            <v>0</v>
          </cell>
        </row>
        <row r="67">
          <cell r="I67" t="str">
            <v>Week 50</v>
          </cell>
          <cell r="AA67">
            <v>0</v>
          </cell>
          <cell r="AR67">
            <v>0</v>
          </cell>
          <cell r="BI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  <cell r="BI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  <cell r="BI69">
            <v>0</v>
          </cell>
        </row>
        <row r="70">
          <cell r="I70" t="str">
            <v>P12</v>
          </cell>
          <cell r="AA70">
            <v>0</v>
          </cell>
          <cell r="AR70">
            <v>0</v>
          </cell>
          <cell r="BI70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C7zg-pyRUWD1dffX6ZYFmEABhQBbZhNrnNTTTFffo-sxdBNOnRvRLBDbQKsYGY8" itemId="01NVXZN776UFOS4TD7VRAJTHRN7Y32U4KQ">
      <xxl21:absoluteUrl r:id="rId2"/>
      <xxl21:relativeUrl r:id="rId3"/>
    </xxl21:alternateUrls>
    <sheetNames>
      <sheetName val="REPORTING"/>
      <sheetName val="P&amp;L Review"/>
      <sheetName val="DASHBOARD"/>
      <sheetName val="DAILY SALES"/>
      <sheetName val="Ref#"/>
      <sheetName val="Sales &amp; Covers Bud."/>
      <sheetName val="Chart of Accounts"/>
      <sheetName val="COVERS"/>
      <sheetName val="DAILY AC"/>
      <sheetName val="DAILY FOOD AC"/>
      <sheetName val="DAILY LBW AC"/>
      <sheetName val="COGS DASH"/>
      <sheetName val="INVENTORY"/>
      <sheetName val="PAYROLL DASH"/>
      <sheetName val="OPEX DASH"/>
      <sheetName val="G&amp;A"/>
      <sheetName val="UTILITIES - OCCUPANCY"/>
      <sheetName val="OTHER G&amp;A"/>
      <sheetName val="OTHER INCOME"/>
      <sheetName val="MARKETING"/>
      <sheetName val="OT Overall"/>
      <sheetName val="OT Ambiance"/>
      <sheetName val="OT Food"/>
      <sheetName val="OT Service"/>
      <sheetName val="OT Value"/>
      <sheetName val="7R Overall"/>
      <sheetName val="7R Ambiance"/>
      <sheetName val="7R Food"/>
      <sheetName val="7R Service"/>
      <sheetName val="Google"/>
      <sheetName val="Yelp"/>
      <sheetName val="Trip Advisor"/>
      <sheetName val="Resy"/>
      <sheetName val="Budget"/>
      <sheetName val="9P22"/>
      <sheetName val="10P22"/>
      <sheetName val="11P22"/>
      <sheetName val="12P22"/>
      <sheetName val="Venga"/>
      <sheetName val="BAR DROP"/>
      <sheetName val="BAR SALES"/>
      <sheetName val="SPLH"/>
      <sheetName val="Covers &amp; Spend Analysis"/>
      <sheetName val="REFERENCE DO NOT DELETE"/>
      <sheetName val="Data Drops--&gt;"/>
      <sheetName val="1P22"/>
      <sheetName val="2P22"/>
      <sheetName val="3P22"/>
      <sheetName val="4P22"/>
      <sheetName val="5P22"/>
      <sheetName val="6P22"/>
      <sheetName val="7P22"/>
      <sheetName val="8P22"/>
      <sheetName val="SALES DROP"/>
      <sheetName val="LUNCH SALES"/>
      <sheetName val="DINNER SALES"/>
      <sheetName val="MM SALES"/>
      <sheetName val="SALES CATEGORY"/>
      <sheetName val="VOID DROP"/>
      <sheetName val="AVA COVERS"/>
      <sheetName val="AVA MM COVERS"/>
      <sheetName val="INV. DROP"/>
      <sheetName val="VIP"/>
      <sheetName val="Recurring VIP"/>
      <sheetName val="New VIP"/>
      <sheetName val="VIP No Shows"/>
      <sheetName val="OPENTABLE REVIEWS"/>
      <sheetName val="SEVENROOMS REVIEWS"/>
      <sheetName val="GOOGLE REVIEWS"/>
      <sheetName val="YELP REVIEWS"/>
      <sheetName val="TRIPADVISOR REVIEWS"/>
      <sheetName val="7R GS Drop"/>
      <sheetName val="Resy GS Drop"/>
      <sheetName val="Other GS Drop"/>
      <sheetName val="OT Ratings Drop"/>
      <sheetName val="Refresh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I11" t="str">
            <v>P1</v>
          </cell>
          <cell r="AA11">
            <v>1323</v>
          </cell>
          <cell r="AR11">
            <v>6675</v>
          </cell>
          <cell r="BI11">
            <v>873</v>
          </cell>
        </row>
        <row r="12">
          <cell r="I12" t="str">
            <v>Week 5</v>
          </cell>
          <cell r="AA12">
            <v>278</v>
          </cell>
          <cell r="AR12">
            <v>1430</v>
          </cell>
          <cell r="BI12">
            <v>217</v>
          </cell>
        </row>
        <row r="13">
          <cell r="I13" t="str">
            <v>Week 6</v>
          </cell>
          <cell r="AA13">
            <v>356</v>
          </cell>
          <cell r="AR13">
            <v>1598</v>
          </cell>
          <cell r="BI13">
            <v>249</v>
          </cell>
        </row>
        <row r="14">
          <cell r="I14" t="str">
            <v>Week 7</v>
          </cell>
          <cell r="AA14">
            <v>467</v>
          </cell>
          <cell r="AR14">
            <v>1981</v>
          </cell>
          <cell r="BI14">
            <v>230</v>
          </cell>
        </row>
        <row r="15">
          <cell r="I15" t="str">
            <v>Week 8</v>
          </cell>
          <cell r="AA15">
            <v>325</v>
          </cell>
          <cell r="AR15">
            <v>1977</v>
          </cell>
          <cell r="BI15">
            <v>168</v>
          </cell>
        </row>
        <row r="16">
          <cell r="I16" t="str">
            <v>P2</v>
          </cell>
          <cell r="AA16">
            <v>1426</v>
          </cell>
          <cell r="AR16">
            <v>6986</v>
          </cell>
          <cell r="BI16">
            <v>864</v>
          </cell>
        </row>
        <row r="17">
          <cell r="I17" t="str">
            <v>Week 9</v>
          </cell>
          <cell r="AA17">
            <v>366</v>
          </cell>
          <cell r="AR17">
            <v>1572</v>
          </cell>
          <cell r="BI17">
            <v>265</v>
          </cell>
        </row>
        <row r="18">
          <cell r="I18" t="str">
            <v>Week 10</v>
          </cell>
          <cell r="AA18">
            <v>359</v>
          </cell>
          <cell r="AR18">
            <v>1553</v>
          </cell>
          <cell r="BI18">
            <v>218</v>
          </cell>
        </row>
        <row r="19">
          <cell r="I19" t="str">
            <v>Week 11</v>
          </cell>
          <cell r="AA19">
            <v>266</v>
          </cell>
          <cell r="AR19">
            <v>1580</v>
          </cell>
          <cell r="BI19">
            <v>138</v>
          </cell>
        </row>
        <row r="20">
          <cell r="I20" t="str">
            <v>Week 12</v>
          </cell>
          <cell r="AA20">
            <v>467</v>
          </cell>
          <cell r="AR20">
            <v>1596</v>
          </cell>
          <cell r="BI20">
            <v>244</v>
          </cell>
        </row>
        <row r="21">
          <cell r="I21" t="str">
            <v>Week 13</v>
          </cell>
          <cell r="AA21">
            <v>344</v>
          </cell>
          <cell r="AR21">
            <v>1637</v>
          </cell>
          <cell r="BI21">
            <v>254</v>
          </cell>
        </row>
        <row r="22">
          <cell r="I22" t="str">
            <v>P3</v>
          </cell>
          <cell r="AA22">
            <v>1802</v>
          </cell>
          <cell r="AR22">
            <v>7938</v>
          </cell>
          <cell r="BI22">
            <v>1119</v>
          </cell>
        </row>
        <row r="23">
          <cell r="I23" t="str">
            <v>Week 14</v>
          </cell>
          <cell r="AA23">
            <v>493</v>
          </cell>
          <cell r="AR23">
            <v>1702</v>
          </cell>
          <cell r="BI23">
            <v>190</v>
          </cell>
        </row>
        <row r="24">
          <cell r="I24" t="str">
            <v>Week 15</v>
          </cell>
          <cell r="AA24">
            <v>354</v>
          </cell>
          <cell r="AR24">
            <v>1612</v>
          </cell>
          <cell r="BI24">
            <v>205</v>
          </cell>
        </row>
        <row r="25">
          <cell r="I25" t="str">
            <v>Week 16</v>
          </cell>
          <cell r="AA25">
            <v>375</v>
          </cell>
          <cell r="AR25">
            <v>1667</v>
          </cell>
          <cell r="BI25">
            <v>180</v>
          </cell>
        </row>
        <row r="26">
          <cell r="I26" t="str">
            <v>Week 17</v>
          </cell>
          <cell r="AA26">
            <v>334</v>
          </cell>
          <cell r="AR26">
            <v>1690</v>
          </cell>
          <cell r="BI26">
            <v>131</v>
          </cell>
        </row>
        <row r="27">
          <cell r="I27" t="str">
            <v>P4</v>
          </cell>
          <cell r="AA27">
            <v>1556</v>
          </cell>
          <cell r="AR27">
            <v>6671</v>
          </cell>
          <cell r="BI27">
            <v>706</v>
          </cell>
        </row>
        <row r="28">
          <cell r="I28" t="str">
            <v>Week 18</v>
          </cell>
          <cell r="AA28">
            <v>362</v>
          </cell>
          <cell r="AR28">
            <v>1700</v>
          </cell>
          <cell r="BI28">
            <v>195</v>
          </cell>
        </row>
        <row r="29">
          <cell r="I29" t="str">
            <v>Week 19</v>
          </cell>
          <cell r="AA29">
            <v>506</v>
          </cell>
          <cell r="AR29">
            <v>1895</v>
          </cell>
          <cell r="BI29">
            <v>165</v>
          </cell>
        </row>
        <row r="30">
          <cell r="I30" t="str">
            <v>Week 20</v>
          </cell>
          <cell r="AA30">
            <v>298</v>
          </cell>
          <cell r="AR30">
            <v>1732</v>
          </cell>
          <cell r="BI30">
            <v>77</v>
          </cell>
        </row>
        <row r="31">
          <cell r="I31" t="str">
            <v>Week 21</v>
          </cell>
          <cell r="AA31">
            <v>312</v>
          </cell>
          <cell r="AR31">
            <v>1758</v>
          </cell>
          <cell r="BI31">
            <v>101</v>
          </cell>
        </row>
        <row r="32">
          <cell r="I32" t="str">
            <v>P5</v>
          </cell>
          <cell r="AA32">
            <v>1478</v>
          </cell>
          <cell r="AR32">
            <v>7085</v>
          </cell>
          <cell r="BI32">
            <v>538</v>
          </cell>
        </row>
        <row r="33">
          <cell r="I33" t="str">
            <v>Week 22</v>
          </cell>
          <cell r="AA33">
            <v>272</v>
          </cell>
          <cell r="AR33">
            <v>1450</v>
          </cell>
          <cell r="BI33">
            <v>200</v>
          </cell>
        </row>
        <row r="34">
          <cell r="I34" t="str">
            <v>Week 23</v>
          </cell>
          <cell r="AA34">
            <v>281</v>
          </cell>
          <cell r="AR34">
            <v>1492</v>
          </cell>
          <cell r="BI34">
            <v>145</v>
          </cell>
        </row>
        <row r="35">
          <cell r="I35" t="str">
            <v>Week 24</v>
          </cell>
          <cell r="AA35">
            <v>281</v>
          </cell>
          <cell r="AR35">
            <v>1369</v>
          </cell>
          <cell r="BI35">
            <v>163</v>
          </cell>
        </row>
        <row r="36">
          <cell r="I36" t="str">
            <v>Week 25</v>
          </cell>
          <cell r="AA36">
            <v>350</v>
          </cell>
          <cell r="AR36">
            <v>1594</v>
          </cell>
          <cell r="BI36">
            <v>158</v>
          </cell>
        </row>
        <row r="37">
          <cell r="I37" t="str">
            <v>Week 26</v>
          </cell>
          <cell r="AA37">
            <v>236</v>
          </cell>
          <cell r="AR37">
            <v>1560</v>
          </cell>
          <cell r="BI37">
            <v>166</v>
          </cell>
        </row>
        <row r="38">
          <cell r="I38" t="str">
            <v>P6</v>
          </cell>
          <cell r="AA38">
            <v>1420</v>
          </cell>
          <cell r="AR38">
            <v>7465</v>
          </cell>
          <cell r="BI38">
            <v>832</v>
          </cell>
        </row>
        <row r="39">
          <cell r="I39" t="str">
            <v>Week 27</v>
          </cell>
          <cell r="AA39">
            <v>171</v>
          </cell>
          <cell r="AR39">
            <v>1227</v>
          </cell>
          <cell r="BI39">
            <v>113</v>
          </cell>
        </row>
        <row r="40">
          <cell r="I40" t="str">
            <v>Week 28</v>
          </cell>
          <cell r="AA40">
            <v>274</v>
          </cell>
          <cell r="AR40">
            <v>1367</v>
          </cell>
          <cell r="BI40">
            <v>140</v>
          </cell>
        </row>
        <row r="41">
          <cell r="I41" t="str">
            <v>Week 29</v>
          </cell>
          <cell r="AA41">
            <v>253</v>
          </cell>
          <cell r="AR41">
            <v>1610</v>
          </cell>
          <cell r="BI41">
            <v>191</v>
          </cell>
        </row>
        <row r="42">
          <cell r="I42" t="str">
            <v>Week 30</v>
          </cell>
          <cell r="AA42">
            <v>259</v>
          </cell>
          <cell r="AR42">
            <v>1603</v>
          </cell>
          <cell r="BI42">
            <v>142</v>
          </cell>
        </row>
        <row r="43">
          <cell r="I43" t="str">
            <v>P7</v>
          </cell>
          <cell r="AA43">
            <v>957</v>
          </cell>
          <cell r="AR43">
            <v>5807</v>
          </cell>
          <cell r="BI43">
            <v>586</v>
          </cell>
        </row>
        <row r="44">
          <cell r="I44" t="str">
            <v>Week 31</v>
          </cell>
          <cell r="AA44">
            <v>360</v>
          </cell>
          <cell r="AR44">
            <v>1561</v>
          </cell>
          <cell r="BI44">
            <v>181</v>
          </cell>
        </row>
        <row r="45">
          <cell r="I45" t="str">
            <v>Week 32</v>
          </cell>
          <cell r="AA45">
            <v>294</v>
          </cell>
          <cell r="AR45">
            <v>1648</v>
          </cell>
          <cell r="BI45">
            <v>170</v>
          </cell>
        </row>
        <row r="46">
          <cell r="I46" t="str">
            <v>Week 33</v>
          </cell>
          <cell r="AA46">
            <v>255</v>
          </cell>
          <cell r="AR46">
            <v>1695</v>
          </cell>
          <cell r="BI46">
            <v>145</v>
          </cell>
        </row>
        <row r="47">
          <cell r="I47" t="str">
            <v>Week 34</v>
          </cell>
          <cell r="AA47">
            <v>0</v>
          </cell>
          <cell r="AR47">
            <v>0</v>
          </cell>
          <cell r="BI47">
            <v>0</v>
          </cell>
        </row>
        <row r="48">
          <cell r="I48" t="str">
            <v>P8</v>
          </cell>
          <cell r="AA48">
            <v>909</v>
          </cell>
          <cell r="AR48">
            <v>4904</v>
          </cell>
          <cell r="BI48">
            <v>496</v>
          </cell>
        </row>
        <row r="49">
          <cell r="I49" t="str">
            <v>Week 35</v>
          </cell>
          <cell r="AA49">
            <v>0</v>
          </cell>
          <cell r="AR49">
            <v>0</v>
          </cell>
          <cell r="BI49">
            <v>0</v>
          </cell>
        </row>
        <row r="50">
          <cell r="I50" t="str">
            <v>Week 36</v>
          </cell>
          <cell r="AA50">
            <v>0</v>
          </cell>
          <cell r="AR50">
            <v>0</v>
          </cell>
          <cell r="BI50">
            <v>0</v>
          </cell>
        </row>
        <row r="51">
          <cell r="I51" t="str">
            <v>Week 37</v>
          </cell>
          <cell r="AA51">
            <v>0</v>
          </cell>
          <cell r="AR51">
            <v>0</v>
          </cell>
          <cell r="BI51">
            <v>0</v>
          </cell>
        </row>
        <row r="52">
          <cell r="I52" t="str">
            <v>Week 38</v>
          </cell>
          <cell r="AA52">
            <v>0</v>
          </cell>
          <cell r="AR52">
            <v>0</v>
          </cell>
          <cell r="BI52">
            <v>0</v>
          </cell>
        </row>
        <row r="53">
          <cell r="I53" t="str">
            <v>Week 39</v>
          </cell>
          <cell r="AA53">
            <v>0</v>
          </cell>
          <cell r="AR53">
            <v>0</v>
          </cell>
          <cell r="BI53">
            <v>0</v>
          </cell>
        </row>
        <row r="54">
          <cell r="I54" t="str">
            <v>P9</v>
          </cell>
          <cell r="AA54">
            <v>0</v>
          </cell>
          <cell r="AR54">
            <v>0</v>
          </cell>
          <cell r="BI54">
            <v>0</v>
          </cell>
        </row>
        <row r="55">
          <cell r="I55" t="str">
            <v>Week 40</v>
          </cell>
          <cell r="AA55">
            <v>0</v>
          </cell>
          <cell r="AR55">
            <v>0</v>
          </cell>
          <cell r="BI55">
            <v>0</v>
          </cell>
        </row>
        <row r="56">
          <cell r="I56" t="str">
            <v>Week 41</v>
          </cell>
          <cell r="AA56">
            <v>0</v>
          </cell>
          <cell r="AR56">
            <v>0</v>
          </cell>
          <cell r="BI56">
            <v>0</v>
          </cell>
        </row>
        <row r="57">
          <cell r="I57" t="str">
            <v>Week 42</v>
          </cell>
          <cell r="AA57">
            <v>0</v>
          </cell>
          <cell r="AR57">
            <v>0</v>
          </cell>
          <cell r="BI57">
            <v>0</v>
          </cell>
        </row>
        <row r="58">
          <cell r="I58" t="str">
            <v>Week 43</v>
          </cell>
          <cell r="AA58">
            <v>0</v>
          </cell>
          <cell r="AR58">
            <v>0</v>
          </cell>
          <cell r="BI58">
            <v>0</v>
          </cell>
        </row>
        <row r="59">
          <cell r="I59" t="str">
            <v>P10</v>
          </cell>
          <cell r="AA59">
            <v>0</v>
          </cell>
          <cell r="AR59">
            <v>0</v>
          </cell>
          <cell r="BI59">
            <v>0</v>
          </cell>
        </row>
        <row r="60">
          <cell r="I60" t="str">
            <v>Week 44</v>
          </cell>
          <cell r="AA60">
            <v>0</v>
          </cell>
          <cell r="AR60">
            <v>0</v>
          </cell>
          <cell r="BI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  <cell r="BI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  <cell r="BI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  <cell r="BI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  <cell r="BI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  <cell r="BI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  <cell r="BI66">
            <v>0</v>
          </cell>
        </row>
        <row r="67">
          <cell r="I67" t="str">
            <v>Week 50</v>
          </cell>
          <cell r="AA67">
            <v>0</v>
          </cell>
          <cell r="AR67">
            <v>0</v>
          </cell>
          <cell r="BI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  <cell r="BI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  <cell r="BI69">
            <v>0</v>
          </cell>
        </row>
        <row r="70">
          <cell r="I70" t="str">
            <v>P12</v>
          </cell>
          <cell r="AA70">
            <v>0</v>
          </cell>
          <cell r="AR70">
            <v>0</v>
          </cell>
          <cell r="BI70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C7zg-pyRUWD1dffX6ZYFmEABhQBbZhNrnNTTTFffo-sxdBNOnRvRLBDbQKsYGY8" itemId="01NVXZN73ITRKD43M6OBGJOMVM7SC4PXDP">
      <xxl21:absoluteUrl r:id="rId3"/>
      <xxl21:relativeUrl r:id="rId4"/>
    </xxl21:alternateUrls>
    <sheetNames>
      <sheetName val="REPORTING"/>
      <sheetName val="Ref#"/>
      <sheetName val="P&amp;L Review"/>
      <sheetName val="DASHBOARD"/>
      <sheetName val="DAILY SALES"/>
      <sheetName val="COVERS"/>
      <sheetName val="DAILY AC"/>
      <sheetName val="DAILY FOOD AC"/>
      <sheetName val="DAILY LBW AC"/>
      <sheetName val="COGS DASH"/>
      <sheetName val="INVENTORY"/>
      <sheetName val="PAYROLL DASH"/>
      <sheetName val="OPEX DASH"/>
      <sheetName val="G&amp;A"/>
      <sheetName val="UTILITIES - OCCUPANCY"/>
      <sheetName val="OTHER G&amp;A"/>
      <sheetName val="OTHER INCOME"/>
      <sheetName val="MARKETING"/>
      <sheetName val="OT Overall"/>
      <sheetName val="OT Ambiance"/>
      <sheetName val="OT Food"/>
      <sheetName val="OT Service"/>
      <sheetName val="OT Value"/>
      <sheetName val="Google"/>
      <sheetName val="Yelp"/>
      <sheetName val="Trip Advisor"/>
      <sheetName val="1P22"/>
      <sheetName val="2P22"/>
      <sheetName val="3P22"/>
      <sheetName val="9P22"/>
      <sheetName val="10P22"/>
      <sheetName val="11P22"/>
      <sheetName val="12P22"/>
      <sheetName val="Resy"/>
      <sheetName val="Venga"/>
      <sheetName val="Chart of Accounts"/>
      <sheetName val="BAR DROP"/>
      <sheetName val="BAR SALES"/>
      <sheetName val="SPLH"/>
      <sheetName val="OT Overall (DAILY)"/>
      <sheetName val="Budget"/>
      <sheetName val="Sales &amp; Covers Bud."/>
      <sheetName val="REFERENCE DO NOT DELETE"/>
      <sheetName val="Data Drops--&gt;"/>
      <sheetName val="4P22"/>
      <sheetName val="5P22"/>
      <sheetName val="6P22"/>
      <sheetName val="7P22"/>
      <sheetName val="8P22"/>
      <sheetName val="SALES DROP"/>
      <sheetName val="DINNER SALES"/>
      <sheetName val="LUNCH SALES"/>
      <sheetName val="COVERS DROP"/>
      <sheetName val="SALES CATEGORY"/>
      <sheetName val="VOID DROP"/>
      <sheetName val="INV. DROP"/>
      <sheetName val="OPENTABLE REVIEWS"/>
      <sheetName val="GOOGLE REVIEWS"/>
      <sheetName val="YELP REVIEWS"/>
      <sheetName val="TRIPADVISOR REVIEWS"/>
      <sheetName val="Other GS Drop"/>
      <sheetName val="OT Ratings Drop"/>
      <sheetName val="Resy GS Drop"/>
      <sheetName val="VIP"/>
      <sheetName val="Recurring VIP"/>
      <sheetName val="New VIP"/>
      <sheetName val="VIP No Shows"/>
    </sheetNames>
    <sheetDataSet>
      <sheetData sheetId="0"/>
      <sheetData sheetId="1"/>
      <sheetData sheetId="2"/>
      <sheetData sheetId="3"/>
      <sheetData sheetId="4"/>
      <sheetData sheetId="5">
        <row r="11">
          <cell r="I11" t="str">
            <v>P1</v>
          </cell>
          <cell r="AA11">
            <v>4091</v>
          </cell>
          <cell r="AR11">
            <v>12787</v>
          </cell>
        </row>
        <row r="12">
          <cell r="I12" t="str">
            <v>Week 5</v>
          </cell>
          <cell r="AA12">
            <v>1177</v>
          </cell>
          <cell r="AR12">
            <v>2878</v>
          </cell>
        </row>
        <row r="13">
          <cell r="I13" t="str">
            <v>Week 6</v>
          </cell>
          <cell r="AA13">
            <v>934</v>
          </cell>
          <cell r="AR13">
            <v>2585</v>
          </cell>
        </row>
        <row r="14">
          <cell r="I14" t="str">
            <v>Week 7</v>
          </cell>
          <cell r="AA14">
            <v>1196</v>
          </cell>
          <cell r="AR14">
            <v>3088</v>
          </cell>
        </row>
        <row r="15">
          <cell r="I15" t="str">
            <v>Week 8</v>
          </cell>
          <cell r="AA15">
            <v>949</v>
          </cell>
          <cell r="AR15">
            <v>3039</v>
          </cell>
        </row>
        <row r="16">
          <cell r="I16" t="str">
            <v>P2</v>
          </cell>
          <cell r="AA16">
            <v>4256</v>
          </cell>
          <cell r="AR16">
            <v>11590</v>
          </cell>
        </row>
        <row r="17">
          <cell r="I17" t="str">
            <v>Week 9</v>
          </cell>
          <cell r="AA17">
            <v>1053</v>
          </cell>
          <cell r="AR17">
            <v>2970</v>
          </cell>
        </row>
        <row r="18">
          <cell r="I18" t="str">
            <v>Week 10</v>
          </cell>
          <cell r="AA18">
            <v>660</v>
          </cell>
          <cell r="AR18">
            <v>3677</v>
          </cell>
        </row>
        <row r="19">
          <cell r="I19" t="str">
            <v>Week 11</v>
          </cell>
          <cell r="AA19">
            <v>1032</v>
          </cell>
          <cell r="AR19">
            <v>3085</v>
          </cell>
        </row>
        <row r="20">
          <cell r="I20" t="str">
            <v>Week 12</v>
          </cell>
          <cell r="AA20">
            <v>1290</v>
          </cell>
          <cell r="AR20">
            <v>3186</v>
          </cell>
        </row>
        <row r="21">
          <cell r="I21" t="str">
            <v>Week 13</v>
          </cell>
          <cell r="AA21">
            <v>1427</v>
          </cell>
          <cell r="AR21">
            <v>3739</v>
          </cell>
        </row>
        <row r="22">
          <cell r="I22" t="str">
            <v>P3</v>
          </cell>
          <cell r="AA22">
            <v>5462</v>
          </cell>
          <cell r="AR22">
            <v>16657</v>
          </cell>
        </row>
        <row r="23">
          <cell r="I23" t="str">
            <v>Week 14</v>
          </cell>
          <cell r="AA23">
            <v>1331</v>
          </cell>
          <cell r="AR23">
            <v>3184</v>
          </cell>
        </row>
        <row r="24">
          <cell r="I24" t="str">
            <v>Week 15</v>
          </cell>
          <cell r="AA24">
            <v>1294</v>
          </cell>
          <cell r="AR24">
            <v>3185</v>
          </cell>
        </row>
        <row r="25">
          <cell r="I25" t="str">
            <v>Week 16</v>
          </cell>
          <cell r="AA25">
            <v>1184</v>
          </cell>
          <cell r="AR25">
            <v>3123</v>
          </cell>
        </row>
        <row r="26">
          <cell r="I26" t="str">
            <v>Week 17</v>
          </cell>
          <cell r="AA26">
            <v>1262</v>
          </cell>
          <cell r="AR26">
            <v>2818</v>
          </cell>
        </row>
        <row r="27">
          <cell r="I27" t="str">
            <v>P4</v>
          </cell>
          <cell r="AA27">
            <v>5071</v>
          </cell>
          <cell r="AR27">
            <v>12310</v>
          </cell>
        </row>
        <row r="28">
          <cell r="I28" t="str">
            <v>Week 18</v>
          </cell>
          <cell r="AA28">
            <v>550</v>
          </cell>
          <cell r="AR28">
            <v>3743</v>
          </cell>
        </row>
        <row r="29">
          <cell r="I29" t="str">
            <v>Week 19</v>
          </cell>
          <cell r="AA29">
            <v>1235</v>
          </cell>
          <cell r="AR29">
            <v>3226</v>
          </cell>
        </row>
        <row r="30">
          <cell r="I30" t="str">
            <v>Week 20</v>
          </cell>
          <cell r="AA30">
            <v>406</v>
          </cell>
          <cell r="AR30">
            <v>2877</v>
          </cell>
        </row>
        <row r="31">
          <cell r="I31" t="str">
            <v>Week 21</v>
          </cell>
          <cell r="AA31">
            <v>556</v>
          </cell>
          <cell r="AR31">
            <v>2936</v>
          </cell>
        </row>
        <row r="32">
          <cell r="I32" t="str">
            <v>P5</v>
          </cell>
          <cell r="AA32">
            <v>2747</v>
          </cell>
          <cell r="AR32">
            <v>12782</v>
          </cell>
        </row>
        <row r="33">
          <cell r="I33" t="str">
            <v>Week 22</v>
          </cell>
          <cell r="AA33">
            <v>1041</v>
          </cell>
          <cell r="AR33">
            <v>3090</v>
          </cell>
        </row>
        <row r="34">
          <cell r="I34" t="str">
            <v>Week 23</v>
          </cell>
          <cell r="AA34">
            <v>979</v>
          </cell>
          <cell r="AR34">
            <v>2649</v>
          </cell>
        </row>
        <row r="35">
          <cell r="I35" t="str">
            <v>Week 24</v>
          </cell>
          <cell r="AA35">
            <v>938</v>
          </cell>
          <cell r="AR35">
            <v>2144</v>
          </cell>
        </row>
        <row r="36">
          <cell r="I36" t="str">
            <v>Week 25</v>
          </cell>
          <cell r="AA36">
            <v>1245</v>
          </cell>
          <cell r="AR36">
            <v>2364</v>
          </cell>
        </row>
        <row r="37">
          <cell r="I37" t="str">
            <v>Week 26</v>
          </cell>
          <cell r="AA37">
            <v>1270</v>
          </cell>
          <cell r="AR37">
            <v>2583</v>
          </cell>
        </row>
        <row r="38">
          <cell r="I38" t="str">
            <v>P6</v>
          </cell>
          <cell r="AA38">
            <v>5473</v>
          </cell>
          <cell r="AR38">
            <v>12830</v>
          </cell>
        </row>
        <row r="39">
          <cell r="I39" t="str">
            <v>Week 27</v>
          </cell>
          <cell r="AA39">
            <v>861</v>
          </cell>
          <cell r="AR39">
            <v>2405</v>
          </cell>
        </row>
        <row r="40">
          <cell r="I40" t="str">
            <v>Week 28</v>
          </cell>
          <cell r="AA40">
            <v>1198</v>
          </cell>
          <cell r="AR40">
            <v>2488</v>
          </cell>
        </row>
        <row r="41">
          <cell r="I41" t="str">
            <v>Week 29</v>
          </cell>
          <cell r="AA41">
            <v>729</v>
          </cell>
          <cell r="AR41">
            <v>2372</v>
          </cell>
        </row>
        <row r="42">
          <cell r="I42" t="str">
            <v>Week 30</v>
          </cell>
          <cell r="AA42">
            <v>769</v>
          </cell>
          <cell r="AR42">
            <v>2339</v>
          </cell>
        </row>
        <row r="43">
          <cell r="I43" t="str">
            <v>P7</v>
          </cell>
          <cell r="AA43">
            <v>3557</v>
          </cell>
          <cell r="AR43">
            <v>9604</v>
          </cell>
        </row>
        <row r="44">
          <cell r="I44" t="str">
            <v>Week 31</v>
          </cell>
          <cell r="AA44">
            <v>836</v>
          </cell>
          <cell r="AR44">
            <v>2067</v>
          </cell>
        </row>
        <row r="45">
          <cell r="I45" t="str">
            <v>Week 32</v>
          </cell>
          <cell r="AA45">
            <v>548</v>
          </cell>
          <cell r="AR45">
            <v>2173</v>
          </cell>
        </row>
        <row r="46">
          <cell r="I46" t="str">
            <v>Week 33</v>
          </cell>
          <cell r="AA46">
            <v>661</v>
          </cell>
          <cell r="AR46">
            <v>1920</v>
          </cell>
        </row>
        <row r="47">
          <cell r="I47" t="str">
            <v>Week 34</v>
          </cell>
          <cell r="AA47">
            <v>0</v>
          </cell>
          <cell r="AR47">
            <v>0</v>
          </cell>
        </row>
        <row r="48">
          <cell r="I48" t="str">
            <v>P8</v>
          </cell>
          <cell r="AA48">
            <v>2045</v>
          </cell>
          <cell r="AR48">
            <v>6160</v>
          </cell>
        </row>
        <row r="49">
          <cell r="I49" t="str">
            <v>Week 35</v>
          </cell>
          <cell r="AA49">
            <v>0</v>
          </cell>
          <cell r="AR49">
            <v>0</v>
          </cell>
        </row>
        <row r="50">
          <cell r="I50" t="str">
            <v>Week 36</v>
          </cell>
          <cell r="AA50">
            <v>0</v>
          </cell>
          <cell r="AR50">
            <v>0</v>
          </cell>
        </row>
        <row r="51">
          <cell r="I51" t="str">
            <v>Week 37</v>
          </cell>
          <cell r="AA51">
            <v>0</v>
          </cell>
          <cell r="AR51">
            <v>0</v>
          </cell>
        </row>
        <row r="52">
          <cell r="I52" t="str">
            <v>Week 38</v>
          </cell>
          <cell r="AA52">
            <v>0</v>
          </cell>
          <cell r="AR52">
            <v>0</v>
          </cell>
        </row>
        <row r="53">
          <cell r="I53" t="str">
            <v>Week 39</v>
          </cell>
          <cell r="AA53">
            <v>0</v>
          </cell>
          <cell r="AR53">
            <v>0</v>
          </cell>
        </row>
        <row r="54">
          <cell r="I54" t="str">
            <v>P9</v>
          </cell>
          <cell r="AA54">
            <v>0</v>
          </cell>
          <cell r="AR54">
            <v>0</v>
          </cell>
        </row>
        <row r="55">
          <cell r="I55" t="str">
            <v>Week 40</v>
          </cell>
          <cell r="AA55">
            <v>0</v>
          </cell>
          <cell r="AR55">
            <v>0</v>
          </cell>
        </row>
        <row r="56">
          <cell r="I56" t="str">
            <v>Week 41</v>
          </cell>
          <cell r="AA56">
            <v>0</v>
          </cell>
          <cell r="AR56">
            <v>0</v>
          </cell>
        </row>
        <row r="57">
          <cell r="I57" t="str">
            <v>Week 42</v>
          </cell>
          <cell r="AA57">
            <v>0</v>
          </cell>
          <cell r="AR57">
            <v>0</v>
          </cell>
        </row>
        <row r="58">
          <cell r="I58" t="str">
            <v>Week 43</v>
          </cell>
          <cell r="AA58">
            <v>0</v>
          </cell>
          <cell r="AR58">
            <v>0</v>
          </cell>
        </row>
        <row r="59">
          <cell r="I59" t="str">
            <v>P10</v>
          </cell>
          <cell r="AA59">
            <v>0</v>
          </cell>
          <cell r="AR59">
            <v>0</v>
          </cell>
        </row>
        <row r="60">
          <cell r="I60" t="str">
            <v>Week 44</v>
          </cell>
          <cell r="AA60">
            <v>0</v>
          </cell>
          <cell r="AR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</row>
        <row r="67">
          <cell r="I67" t="str">
            <v>Week 50</v>
          </cell>
          <cell r="AA67">
            <v>0</v>
          </cell>
          <cell r="AR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</row>
        <row r="70">
          <cell r="I70" t="str">
            <v>Week 53</v>
          </cell>
          <cell r="AA70">
            <v>0</v>
          </cell>
          <cell r="AR70">
            <v>0</v>
          </cell>
        </row>
        <row r="71">
          <cell r="I71" t="str">
            <v>P12</v>
          </cell>
          <cell r="AA71">
            <v>0</v>
          </cell>
          <cell r="AR7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ING"/>
      <sheetName val="Ref#"/>
      <sheetName val="P&amp;L Review"/>
      <sheetName val="9P22"/>
      <sheetName val="10P22"/>
      <sheetName val="11P22"/>
      <sheetName val="DASHBOARD"/>
      <sheetName val="DAILY SALES"/>
      <sheetName val="COVERS"/>
      <sheetName val="DAILY AC"/>
      <sheetName val="DAILY FOOD AC"/>
      <sheetName val="DAILY LBW AC"/>
      <sheetName val="INVENTORY"/>
      <sheetName val="COGS DASH"/>
      <sheetName val="PAYROLL DASH"/>
      <sheetName val="OPEX DASH"/>
      <sheetName val="G&amp;A"/>
      <sheetName val="UTILITIES - OCCUPANCY"/>
      <sheetName val="OTHER G&amp;A"/>
      <sheetName val="OTHER INCOME"/>
      <sheetName val="MARKETING"/>
      <sheetName val="OT Overall"/>
      <sheetName val="OT Ambiance"/>
      <sheetName val="OT Food"/>
      <sheetName val="OT Service"/>
      <sheetName val="OT Value"/>
      <sheetName val="Google"/>
      <sheetName val="Yelp"/>
      <sheetName val="Trip Advisor"/>
      <sheetName val="Resy"/>
      <sheetName val="Budget"/>
      <sheetName val="Sales &amp; Covers Bud."/>
      <sheetName val="Venga"/>
      <sheetName val="BAR DROP"/>
      <sheetName val="BAR SALES"/>
      <sheetName val="SPLH"/>
      <sheetName val="OT Overall (DAILY)"/>
      <sheetName val="Covers &amp; Spend Analysis"/>
      <sheetName val="REFERENCE DO NOT DELETE"/>
      <sheetName val="GL Mapping"/>
      <sheetName val="Data Drops--&gt;"/>
      <sheetName val="1P22"/>
      <sheetName val="2P22"/>
      <sheetName val="3P22"/>
      <sheetName val="4P22"/>
      <sheetName val="5P22"/>
      <sheetName val="6P22"/>
      <sheetName val="7P22"/>
      <sheetName val="8P22"/>
      <sheetName val="SALES DROP"/>
      <sheetName val="LUNCH SALES"/>
      <sheetName val="DINNER SALES"/>
      <sheetName val="SALES CATEGORY"/>
      <sheetName val="VOID DROP"/>
      <sheetName val="COVERS DROP"/>
      <sheetName val="INV. DROP"/>
      <sheetName val="OPENTABLE REVIEWS"/>
      <sheetName val="GOOGLE REVIEWS"/>
      <sheetName val="YELP REVIEWS"/>
      <sheetName val="OT Ratings Drop"/>
      <sheetName val="Other GS Drop"/>
      <sheetName val="TRIPADVISOR REVIEWS"/>
      <sheetName val="Resy GS Drop"/>
      <sheetName val="VIP"/>
      <sheetName val="Recurring VIP"/>
      <sheetName val="New VIP"/>
      <sheetName val="VIP No Shows"/>
      <sheetName val="Chart of Accou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I11" t="str">
            <v>P1</v>
          </cell>
          <cell r="AA11">
            <v>0</v>
          </cell>
          <cell r="AR11">
            <v>8645</v>
          </cell>
        </row>
        <row r="12">
          <cell r="I12" t="str">
            <v>Week 5</v>
          </cell>
          <cell r="AA12">
            <v>63</v>
          </cell>
          <cell r="AR12">
            <v>2123</v>
          </cell>
        </row>
        <row r="13">
          <cell r="I13" t="str">
            <v>Week 6</v>
          </cell>
          <cell r="AA13">
            <v>0</v>
          </cell>
          <cell r="AR13">
            <v>1718</v>
          </cell>
        </row>
        <row r="14">
          <cell r="I14" t="str">
            <v>Week 7</v>
          </cell>
          <cell r="AA14">
            <v>0</v>
          </cell>
          <cell r="AR14">
            <v>2548</v>
          </cell>
        </row>
        <row r="15">
          <cell r="I15" t="str">
            <v>Week 8</v>
          </cell>
          <cell r="AA15">
            <v>0</v>
          </cell>
          <cell r="AR15">
            <v>2135</v>
          </cell>
        </row>
        <row r="16">
          <cell r="I16" t="str">
            <v>P2</v>
          </cell>
          <cell r="AA16">
            <v>63</v>
          </cell>
          <cell r="AR16">
            <v>8524</v>
          </cell>
        </row>
        <row r="17">
          <cell r="I17" t="str">
            <v>Week 9</v>
          </cell>
          <cell r="AA17">
            <v>0</v>
          </cell>
          <cell r="AR17">
            <v>2185</v>
          </cell>
        </row>
        <row r="18">
          <cell r="I18" t="str">
            <v>Week 10</v>
          </cell>
          <cell r="AA18">
            <v>356</v>
          </cell>
          <cell r="AR18">
            <v>2143</v>
          </cell>
        </row>
        <row r="19">
          <cell r="I19" t="str">
            <v>Week 11</v>
          </cell>
          <cell r="AA19">
            <v>277</v>
          </cell>
          <cell r="AR19">
            <v>1951</v>
          </cell>
        </row>
        <row r="20">
          <cell r="I20" t="str">
            <v>Week 12</v>
          </cell>
          <cell r="AA20">
            <v>215</v>
          </cell>
          <cell r="AR20">
            <v>1847</v>
          </cell>
        </row>
        <row r="21">
          <cell r="I21" t="str">
            <v>Week 13</v>
          </cell>
          <cell r="AA21">
            <v>334</v>
          </cell>
          <cell r="AR21">
            <v>2015</v>
          </cell>
        </row>
        <row r="22">
          <cell r="I22" t="str">
            <v>P3</v>
          </cell>
          <cell r="AA22">
            <v>1182</v>
          </cell>
          <cell r="AR22">
            <v>10141</v>
          </cell>
        </row>
        <row r="23">
          <cell r="I23" t="str">
            <v>Week 14</v>
          </cell>
          <cell r="AA23">
            <v>391</v>
          </cell>
          <cell r="AR23">
            <v>2102</v>
          </cell>
        </row>
        <row r="24">
          <cell r="I24" t="str">
            <v>Week 15</v>
          </cell>
          <cell r="AA24">
            <v>343</v>
          </cell>
          <cell r="AR24">
            <v>1873</v>
          </cell>
        </row>
        <row r="25">
          <cell r="I25" t="str">
            <v>Week 16</v>
          </cell>
          <cell r="AA25">
            <v>454</v>
          </cell>
          <cell r="AR25">
            <v>1746</v>
          </cell>
        </row>
        <row r="26">
          <cell r="I26" t="str">
            <v>Week 17</v>
          </cell>
          <cell r="AA26">
            <v>401</v>
          </cell>
          <cell r="AR26">
            <v>1808</v>
          </cell>
        </row>
        <row r="27">
          <cell r="I27" t="str">
            <v>P4</v>
          </cell>
          <cell r="AA27">
            <v>1589</v>
          </cell>
          <cell r="AR27">
            <v>7529</v>
          </cell>
        </row>
        <row r="28">
          <cell r="I28" t="str">
            <v>Week 18</v>
          </cell>
          <cell r="AA28">
            <v>346</v>
          </cell>
          <cell r="AR28">
            <v>2056</v>
          </cell>
        </row>
        <row r="29">
          <cell r="I29" t="str">
            <v>Week 19</v>
          </cell>
          <cell r="AA29">
            <v>753</v>
          </cell>
          <cell r="AR29">
            <v>2099</v>
          </cell>
        </row>
        <row r="30">
          <cell r="I30" t="str">
            <v>Week 20</v>
          </cell>
          <cell r="AA30">
            <v>335</v>
          </cell>
          <cell r="AR30">
            <v>1635</v>
          </cell>
        </row>
        <row r="31">
          <cell r="I31" t="str">
            <v>Week 21</v>
          </cell>
          <cell r="AA31">
            <v>350</v>
          </cell>
          <cell r="AR31">
            <v>1868</v>
          </cell>
        </row>
        <row r="32">
          <cell r="I32" t="str">
            <v>P5</v>
          </cell>
          <cell r="AA32">
            <v>1784</v>
          </cell>
          <cell r="AR32">
            <v>7658</v>
          </cell>
        </row>
        <row r="33">
          <cell r="I33" t="str">
            <v>Week 22</v>
          </cell>
          <cell r="AA33">
            <v>398</v>
          </cell>
          <cell r="AR33">
            <v>1567</v>
          </cell>
        </row>
        <row r="34">
          <cell r="I34" t="str">
            <v>Week 23</v>
          </cell>
          <cell r="AA34">
            <v>339</v>
          </cell>
          <cell r="AR34">
            <v>1392</v>
          </cell>
        </row>
        <row r="35">
          <cell r="I35" t="str">
            <v>Week 24</v>
          </cell>
          <cell r="AA35">
            <v>178</v>
          </cell>
          <cell r="AR35">
            <v>1343</v>
          </cell>
        </row>
        <row r="36">
          <cell r="I36" t="str">
            <v>Week 25</v>
          </cell>
          <cell r="AA36">
            <v>367</v>
          </cell>
          <cell r="AR36">
            <v>1162</v>
          </cell>
        </row>
        <row r="37">
          <cell r="I37" t="str">
            <v>Week 26</v>
          </cell>
          <cell r="AA37">
            <v>299</v>
          </cell>
          <cell r="AR37">
            <v>1557</v>
          </cell>
        </row>
        <row r="38">
          <cell r="I38" t="str">
            <v>P6</v>
          </cell>
          <cell r="AA38">
            <v>1581</v>
          </cell>
          <cell r="AR38">
            <v>7021</v>
          </cell>
        </row>
        <row r="39">
          <cell r="I39" t="str">
            <v>Week 27</v>
          </cell>
          <cell r="AA39">
            <v>288</v>
          </cell>
          <cell r="AR39">
            <v>1195</v>
          </cell>
        </row>
        <row r="40">
          <cell r="I40" t="str">
            <v>Week 28</v>
          </cell>
          <cell r="AA40">
            <v>300</v>
          </cell>
          <cell r="AR40">
            <v>1377</v>
          </cell>
        </row>
        <row r="41">
          <cell r="I41" t="str">
            <v>Week 29</v>
          </cell>
          <cell r="AA41">
            <v>264</v>
          </cell>
          <cell r="AR41">
            <v>1620</v>
          </cell>
        </row>
        <row r="42">
          <cell r="I42" t="str">
            <v>Week 30</v>
          </cell>
          <cell r="AA42">
            <v>287</v>
          </cell>
          <cell r="AR42">
            <v>1698</v>
          </cell>
        </row>
        <row r="43">
          <cell r="I43" t="str">
            <v>P7</v>
          </cell>
          <cell r="AA43">
            <v>1139</v>
          </cell>
          <cell r="AR43">
            <v>5890</v>
          </cell>
        </row>
        <row r="44">
          <cell r="I44" t="str">
            <v>Week 31</v>
          </cell>
          <cell r="AA44">
            <v>279</v>
          </cell>
          <cell r="AR44">
            <v>1506</v>
          </cell>
        </row>
        <row r="45">
          <cell r="I45" t="str">
            <v>Week 32</v>
          </cell>
          <cell r="AA45">
            <v>434</v>
          </cell>
          <cell r="AR45">
            <v>1656</v>
          </cell>
        </row>
        <row r="46">
          <cell r="I46" t="str">
            <v>Week 33</v>
          </cell>
          <cell r="AA46">
            <v>395</v>
          </cell>
          <cell r="AR46">
            <v>1941</v>
          </cell>
        </row>
        <row r="47">
          <cell r="I47" t="str">
            <v>Week 34</v>
          </cell>
          <cell r="AA47">
            <v>0</v>
          </cell>
          <cell r="AR47">
            <v>0</v>
          </cell>
        </row>
        <row r="48">
          <cell r="I48" t="str">
            <v>P8</v>
          </cell>
          <cell r="AA48">
            <v>1108</v>
          </cell>
          <cell r="AR48">
            <v>5103</v>
          </cell>
        </row>
        <row r="49">
          <cell r="I49" t="str">
            <v>Week 35</v>
          </cell>
          <cell r="AA49">
            <v>0</v>
          </cell>
          <cell r="AR49">
            <v>0</v>
          </cell>
        </row>
        <row r="50">
          <cell r="I50" t="str">
            <v>Week 36</v>
          </cell>
          <cell r="AA50">
            <v>0</v>
          </cell>
          <cell r="AR50">
            <v>0</v>
          </cell>
        </row>
        <row r="51">
          <cell r="I51" t="str">
            <v>Week 37</v>
          </cell>
          <cell r="AA51">
            <v>0</v>
          </cell>
          <cell r="AR51">
            <v>0</v>
          </cell>
        </row>
        <row r="52">
          <cell r="I52" t="str">
            <v>Week 38</v>
          </cell>
          <cell r="AA52">
            <v>0</v>
          </cell>
          <cell r="AR52">
            <v>0</v>
          </cell>
        </row>
        <row r="53">
          <cell r="I53" t="str">
            <v>Week 39</v>
          </cell>
          <cell r="AA53">
            <v>0</v>
          </cell>
          <cell r="AR53">
            <v>0</v>
          </cell>
        </row>
        <row r="54">
          <cell r="I54" t="str">
            <v>P9</v>
          </cell>
          <cell r="AA54">
            <v>0</v>
          </cell>
          <cell r="AR54">
            <v>0</v>
          </cell>
        </row>
        <row r="55">
          <cell r="I55" t="str">
            <v>Week 40</v>
          </cell>
          <cell r="AA55">
            <v>0</v>
          </cell>
          <cell r="AR55">
            <v>0</v>
          </cell>
        </row>
        <row r="56">
          <cell r="I56" t="str">
            <v>Week 41</v>
          </cell>
          <cell r="AA56">
            <v>0</v>
          </cell>
          <cell r="AR56">
            <v>0</v>
          </cell>
        </row>
        <row r="57">
          <cell r="I57" t="str">
            <v>Week 42</v>
          </cell>
          <cell r="AA57">
            <v>0</v>
          </cell>
          <cell r="AR57">
            <v>0</v>
          </cell>
        </row>
        <row r="58">
          <cell r="I58" t="str">
            <v>Week 43</v>
          </cell>
          <cell r="AA58">
            <v>0</v>
          </cell>
          <cell r="AR58">
            <v>0</v>
          </cell>
        </row>
        <row r="59">
          <cell r="I59" t="str">
            <v>P10</v>
          </cell>
          <cell r="AA59">
            <v>0</v>
          </cell>
          <cell r="AR59">
            <v>0</v>
          </cell>
        </row>
        <row r="60">
          <cell r="I60" t="str">
            <v>Week 44</v>
          </cell>
          <cell r="AA60">
            <v>0</v>
          </cell>
          <cell r="AR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</row>
        <row r="67">
          <cell r="I67" t="str">
            <v>Week 50</v>
          </cell>
          <cell r="AA67">
            <v>0</v>
          </cell>
          <cell r="AR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</row>
        <row r="70">
          <cell r="I70" t="str">
            <v>Week 53</v>
          </cell>
          <cell r="AA70">
            <v>0</v>
          </cell>
          <cell r="AR70">
            <v>0</v>
          </cell>
        </row>
        <row r="71">
          <cell r="I71" t="str">
            <v>P12</v>
          </cell>
          <cell r="AA71">
            <v>0</v>
          </cell>
          <cell r="AR71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ING"/>
      <sheetName val="P&amp;L Review"/>
      <sheetName val="DASHBOARD"/>
      <sheetName val="Ref#"/>
      <sheetName val="Chart of Accounts"/>
      <sheetName val="9P22"/>
      <sheetName val="10P22"/>
      <sheetName val="11P22"/>
      <sheetName val="DAILY SALES"/>
      <sheetName val="COVERS"/>
      <sheetName val="DAILY AC"/>
      <sheetName val="DAILY FOOD AC"/>
      <sheetName val="DAILY LBW AC"/>
      <sheetName val="COGS DASH"/>
      <sheetName val="INVENTORY"/>
      <sheetName val="PAYROLL DASH"/>
      <sheetName val="OPEX DASH"/>
      <sheetName val="G&amp;A"/>
      <sheetName val="UTILITIES - OCCUPANCY"/>
      <sheetName val="OTHER G&amp;A"/>
      <sheetName val="OTHER INCOME"/>
      <sheetName val="MARKETING"/>
      <sheetName val="OT Overall"/>
      <sheetName val="OT Ambiance"/>
      <sheetName val="OT Food"/>
      <sheetName val="OT Service"/>
      <sheetName val="OT Value"/>
      <sheetName val="Google"/>
      <sheetName val="Yelp"/>
      <sheetName val="Trip Advisor"/>
      <sheetName val="Resy"/>
      <sheetName val="Budget"/>
      <sheetName val="Covers &amp; Spend Analysis"/>
      <sheetName val="Sales &amp; Covers Bud."/>
      <sheetName val="Venga"/>
      <sheetName val="7R Overall"/>
      <sheetName val="7R Ambiance"/>
      <sheetName val="7R Food"/>
      <sheetName val="7R Service"/>
      <sheetName val="BAR DROP"/>
      <sheetName val="BAR SALES"/>
      <sheetName val="SPLH"/>
      <sheetName val="REFERENCE DO NOT DELETE"/>
      <sheetName val="Data Drops--&gt;"/>
      <sheetName val="1P22"/>
      <sheetName val="2P22"/>
      <sheetName val="3P22"/>
      <sheetName val="4P22"/>
      <sheetName val="5P22"/>
      <sheetName val="6P22"/>
      <sheetName val="7P22"/>
      <sheetName val="8P22"/>
      <sheetName val="SALES DROP"/>
      <sheetName val="SALES CATEGORY"/>
      <sheetName val="DINNER SALES"/>
      <sheetName val="LUNCH SALES"/>
      <sheetName val="COVERS DROP"/>
      <sheetName val="INV. DROP"/>
      <sheetName val="VOID DROP"/>
      <sheetName val="OPENTABLE REVIEWS"/>
      <sheetName val="GOOGLE REVIEWS"/>
      <sheetName val="YELP REVIEWS"/>
      <sheetName val="TRIPADVISOR REVIEWS"/>
      <sheetName val="OT Ratings Drop"/>
      <sheetName val="Other GS Drop"/>
      <sheetName val="7R GS Drop"/>
      <sheetName val="Resy GS Drop"/>
      <sheetName val="VIP"/>
      <sheetName val="Recurring VIP"/>
      <sheetName val="New VIP"/>
      <sheetName val="VIP No Sh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I11" t="str">
            <v>P1</v>
          </cell>
          <cell r="AA11">
            <v>907</v>
          </cell>
          <cell r="AR11">
            <v>6196</v>
          </cell>
        </row>
        <row r="12">
          <cell r="I12" t="str">
            <v>Week 5</v>
          </cell>
          <cell r="AA12">
            <v>686</v>
          </cell>
          <cell r="AR12">
            <v>1523</v>
          </cell>
        </row>
        <row r="13">
          <cell r="I13" t="str">
            <v>Week 6</v>
          </cell>
          <cell r="AA13">
            <v>628</v>
          </cell>
          <cell r="AR13">
            <v>1546</v>
          </cell>
        </row>
        <row r="14">
          <cell r="I14" t="str">
            <v>Week 7</v>
          </cell>
          <cell r="AA14">
            <v>706</v>
          </cell>
          <cell r="AR14">
            <v>1731</v>
          </cell>
        </row>
        <row r="15">
          <cell r="I15" t="str">
            <v>Week 8</v>
          </cell>
          <cell r="AA15">
            <v>665</v>
          </cell>
          <cell r="AR15">
            <v>1586</v>
          </cell>
        </row>
        <row r="16">
          <cell r="I16" t="str">
            <v>P2</v>
          </cell>
          <cell r="AA16">
            <v>2685</v>
          </cell>
          <cell r="AR16">
            <v>6386</v>
          </cell>
        </row>
        <row r="17">
          <cell r="I17" t="str">
            <v>Week 9</v>
          </cell>
          <cell r="AA17">
            <v>749</v>
          </cell>
          <cell r="AR17">
            <v>1664</v>
          </cell>
        </row>
        <row r="18">
          <cell r="I18" t="str">
            <v>Week 10</v>
          </cell>
          <cell r="AA18">
            <v>572</v>
          </cell>
          <cell r="AR18">
            <v>1640</v>
          </cell>
        </row>
        <row r="19">
          <cell r="I19" t="str">
            <v>Week 11</v>
          </cell>
          <cell r="AA19">
            <v>626</v>
          </cell>
          <cell r="AR19">
            <v>1421</v>
          </cell>
        </row>
        <row r="20">
          <cell r="I20" t="str">
            <v>Week 12</v>
          </cell>
          <cell r="AA20">
            <v>559</v>
          </cell>
          <cell r="AR20">
            <v>1682</v>
          </cell>
        </row>
        <row r="21">
          <cell r="I21" t="str">
            <v>Week 13</v>
          </cell>
          <cell r="AA21">
            <v>529</v>
          </cell>
          <cell r="AR21">
            <v>1663</v>
          </cell>
        </row>
        <row r="22">
          <cell r="I22" t="str">
            <v>P3</v>
          </cell>
          <cell r="AA22">
            <v>3035</v>
          </cell>
          <cell r="AR22">
            <v>8070</v>
          </cell>
        </row>
        <row r="23">
          <cell r="I23" t="str">
            <v>Week 14</v>
          </cell>
          <cell r="AA23">
            <v>714</v>
          </cell>
          <cell r="AR23">
            <v>1423</v>
          </cell>
        </row>
        <row r="24">
          <cell r="I24" t="str">
            <v>Week 15</v>
          </cell>
          <cell r="AA24">
            <v>539</v>
          </cell>
          <cell r="AR24">
            <v>1505</v>
          </cell>
        </row>
        <row r="25">
          <cell r="I25" t="str">
            <v>Week 16</v>
          </cell>
          <cell r="AA25">
            <v>637</v>
          </cell>
          <cell r="AR25">
            <v>1487</v>
          </cell>
        </row>
        <row r="26">
          <cell r="I26" t="str">
            <v>Week 17</v>
          </cell>
          <cell r="AA26">
            <v>4030</v>
          </cell>
          <cell r="AR26">
            <v>1637</v>
          </cell>
        </row>
        <row r="27">
          <cell r="I27" t="str">
            <v>P4</v>
          </cell>
          <cell r="AA27">
            <v>5920</v>
          </cell>
          <cell r="AR27">
            <v>6052</v>
          </cell>
        </row>
        <row r="28">
          <cell r="I28" t="str">
            <v>Week 18</v>
          </cell>
          <cell r="AA28">
            <v>559</v>
          </cell>
          <cell r="AR28">
            <v>1903</v>
          </cell>
        </row>
        <row r="29">
          <cell r="I29" t="str">
            <v>Week 19</v>
          </cell>
          <cell r="AA29">
            <v>810</v>
          </cell>
          <cell r="AR29">
            <v>2008</v>
          </cell>
        </row>
        <row r="30">
          <cell r="I30" t="str">
            <v>Week 20</v>
          </cell>
          <cell r="AA30">
            <v>610</v>
          </cell>
          <cell r="AR30">
            <v>1525</v>
          </cell>
        </row>
        <row r="31">
          <cell r="I31" t="str">
            <v>Week 21</v>
          </cell>
          <cell r="AA31">
            <v>453</v>
          </cell>
          <cell r="AR31">
            <v>1536</v>
          </cell>
        </row>
        <row r="32">
          <cell r="I32" t="str">
            <v>P5</v>
          </cell>
          <cell r="AA32">
            <v>2432</v>
          </cell>
          <cell r="AR32">
            <v>6972</v>
          </cell>
        </row>
        <row r="33">
          <cell r="I33" t="str">
            <v>Week 22</v>
          </cell>
          <cell r="AA33">
            <v>556</v>
          </cell>
          <cell r="AR33">
            <v>1350</v>
          </cell>
        </row>
        <row r="34">
          <cell r="I34" t="str">
            <v>Week 23</v>
          </cell>
          <cell r="AA34">
            <v>446</v>
          </cell>
          <cell r="AR34">
            <v>1260</v>
          </cell>
        </row>
        <row r="35">
          <cell r="I35" t="str">
            <v>Week 24</v>
          </cell>
          <cell r="AA35">
            <v>458</v>
          </cell>
          <cell r="AR35">
            <v>1087</v>
          </cell>
        </row>
        <row r="36">
          <cell r="I36" t="str">
            <v>Week 25</v>
          </cell>
          <cell r="AA36">
            <v>462</v>
          </cell>
          <cell r="AR36">
            <v>1096</v>
          </cell>
        </row>
        <row r="37">
          <cell r="I37" t="str">
            <v>Week 26</v>
          </cell>
          <cell r="AA37">
            <v>367</v>
          </cell>
          <cell r="AR37">
            <v>1081</v>
          </cell>
        </row>
        <row r="38">
          <cell r="I38" t="str">
            <v>P6</v>
          </cell>
          <cell r="AA38">
            <v>2289</v>
          </cell>
          <cell r="AR38">
            <v>5874</v>
          </cell>
        </row>
        <row r="39">
          <cell r="I39" t="str">
            <v>Week 27</v>
          </cell>
          <cell r="AA39">
            <v>234</v>
          </cell>
          <cell r="AR39">
            <v>711</v>
          </cell>
        </row>
        <row r="40">
          <cell r="I40" t="str">
            <v>Week 28</v>
          </cell>
          <cell r="AA40">
            <v>365</v>
          </cell>
          <cell r="AR40">
            <v>925</v>
          </cell>
        </row>
        <row r="41">
          <cell r="I41" t="str">
            <v>Week 29</v>
          </cell>
          <cell r="AA41">
            <v>331</v>
          </cell>
          <cell r="AR41">
            <v>1086</v>
          </cell>
        </row>
        <row r="42">
          <cell r="I42" t="str">
            <v>Week 30</v>
          </cell>
          <cell r="AA42">
            <v>396</v>
          </cell>
          <cell r="AR42">
            <v>1123</v>
          </cell>
        </row>
        <row r="43">
          <cell r="I43" t="str">
            <v>P7</v>
          </cell>
          <cell r="AA43">
            <v>1326</v>
          </cell>
          <cell r="AR43">
            <v>3845</v>
          </cell>
        </row>
        <row r="44">
          <cell r="I44" t="str">
            <v>Week 31</v>
          </cell>
          <cell r="AA44">
            <v>353</v>
          </cell>
          <cell r="AR44">
            <v>1080</v>
          </cell>
        </row>
        <row r="45">
          <cell r="I45" t="str">
            <v>Week 32</v>
          </cell>
          <cell r="AA45">
            <v>416</v>
          </cell>
          <cell r="AR45">
            <v>1382</v>
          </cell>
        </row>
        <row r="46">
          <cell r="I46" t="str">
            <v>Week 33</v>
          </cell>
          <cell r="AA46">
            <v>393</v>
          </cell>
          <cell r="AR46">
            <v>1500</v>
          </cell>
        </row>
        <row r="47">
          <cell r="I47" t="str">
            <v>Week 34</v>
          </cell>
          <cell r="AA47">
            <v>0</v>
          </cell>
          <cell r="AR47">
            <v>0</v>
          </cell>
        </row>
        <row r="48">
          <cell r="I48" t="str">
            <v>P8</v>
          </cell>
          <cell r="AA48">
            <v>1162</v>
          </cell>
          <cell r="AR48">
            <v>3962</v>
          </cell>
        </row>
        <row r="49">
          <cell r="I49" t="str">
            <v>Week 35</v>
          </cell>
          <cell r="AA49">
            <v>0</v>
          </cell>
          <cell r="AR49">
            <v>0</v>
          </cell>
        </row>
        <row r="50">
          <cell r="I50" t="str">
            <v>Week 36</v>
          </cell>
          <cell r="AA50">
            <v>0</v>
          </cell>
          <cell r="AR50">
            <v>0</v>
          </cell>
        </row>
        <row r="51">
          <cell r="I51" t="str">
            <v>Week 37</v>
          </cell>
          <cell r="AA51">
            <v>0</v>
          </cell>
          <cell r="AR51">
            <v>0</v>
          </cell>
        </row>
        <row r="52">
          <cell r="I52" t="str">
            <v>Week 38</v>
          </cell>
          <cell r="AA52">
            <v>0</v>
          </cell>
          <cell r="AR52">
            <v>0</v>
          </cell>
        </row>
        <row r="53">
          <cell r="I53" t="str">
            <v>Week 39</v>
          </cell>
          <cell r="AA53">
            <v>0</v>
          </cell>
          <cell r="AR53">
            <v>0</v>
          </cell>
        </row>
        <row r="54">
          <cell r="I54" t="str">
            <v>P9</v>
          </cell>
          <cell r="AA54">
            <v>0</v>
          </cell>
          <cell r="AR54">
            <v>0</v>
          </cell>
        </row>
        <row r="55">
          <cell r="I55" t="str">
            <v>Week 40</v>
          </cell>
          <cell r="AA55">
            <v>0</v>
          </cell>
          <cell r="AR55">
            <v>0</v>
          </cell>
        </row>
        <row r="56">
          <cell r="I56" t="str">
            <v>Week 41</v>
          </cell>
          <cell r="AA56">
            <v>0</v>
          </cell>
          <cell r="AR56">
            <v>0</v>
          </cell>
        </row>
        <row r="57">
          <cell r="I57" t="str">
            <v>Week 42</v>
          </cell>
          <cell r="AA57">
            <v>0</v>
          </cell>
          <cell r="AR57">
            <v>0</v>
          </cell>
        </row>
        <row r="58">
          <cell r="I58" t="str">
            <v>Week 43</v>
          </cell>
          <cell r="AA58">
            <v>46</v>
          </cell>
          <cell r="AR58">
            <v>0</v>
          </cell>
        </row>
        <row r="59">
          <cell r="I59" t="str">
            <v>P10</v>
          </cell>
          <cell r="AA59">
            <v>46</v>
          </cell>
          <cell r="AR59">
            <v>0</v>
          </cell>
        </row>
        <row r="60">
          <cell r="I60" t="str">
            <v>Week 44</v>
          </cell>
          <cell r="AA60">
            <v>0</v>
          </cell>
          <cell r="AR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</row>
        <row r="67">
          <cell r="I67" t="str">
            <v>Week 50</v>
          </cell>
          <cell r="AA67">
            <v>67</v>
          </cell>
          <cell r="AR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</row>
        <row r="70">
          <cell r="I70" t="str">
            <v>P12</v>
          </cell>
          <cell r="AA70">
            <v>67</v>
          </cell>
          <cell r="AR70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REPORTING"/>
      <sheetName val="Ref#"/>
      <sheetName val="P&amp;L Review"/>
      <sheetName val="DASHBOARD"/>
      <sheetName val="DAILY SALES"/>
      <sheetName val="COVERS"/>
      <sheetName val="1P22"/>
      <sheetName val="2P22"/>
      <sheetName val="3P22"/>
      <sheetName val="DAILY AC"/>
      <sheetName val="DAILY FOOD AC"/>
      <sheetName val="DAILY LBW AC"/>
      <sheetName val="COGS DASH"/>
      <sheetName val="INVENTORY"/>
      <sheetName val="PAYROLL DASH"/>
      <sheetName val="OPEX DASH"/>
      <sheetName val="G&amp;A"/>
      <sheetName val="UTILITIES - OCCUPANCY"/>
      <sheetName val="OTHER G&amp;A"/>
      <sheetName val="OTHER INCOME"/>
      <sheetName val="MARKETING"/>
      <sheetName val="7R Overall"/>
      <sheetName val="7R Ambiance"/>
      <sheetName val="7R Food"/>
      <sheetName val="7R Service"/>
      <sheetName val="7R Drink"/>
      <sheetName val="Trip Advisor"/>
      <sheetName val="9P22"/>
      <sheetName val="10P22"/>
      <sheetName val="11P22"/>
      <sheetName val="12P22"/>
      <sheetName val="OT Overall"/>
      <sheetName val="OT Food"/>
      <sheetName val="OT Service"/>
      <sheetName val="OT Value"/>
      <sheetName val="OT Ambiance"/>
      <sheetName val="Yelp"/>
      <sheetName val="Google"/>
      <sheetName val="Venga"/>
      <sheetName val="Resy"/>
      <sheetName val="Chart of Accounts"/>
      <sheetName val="BAR DROP"/>
      <sheetName val="BAR SALES"/>
      <sheetName val="SPLH"/>
      <sheetName val="OT Overall (DAILY)"/>
      <sheetName val="Budget"/>
      <sheetName val="Sales &amp; Covers Bud."/>
      <sheetName val="REFERENCE DO NOT DELETE"/>
      <sheetName val="Data Drops--&gt;"/>
      <sheetName val="4P22"/>
      <sheetName val="5P22"/>
      <sheetName val="6P22"/>
      <sheetName val="7P22"/>
      <sheetName val="8P22"/>
      <sheetName val="SALES DROP"/>
      <sheetName val="MM SALES"/>
      <sheetName val="LOUNGE SALES"/>
      <sheetName val="SALES CATEGORY"/>
      <sheetName val="VOIDING"/>
      <sheetName val="COVERS DROP"/>
      <sheetName val="INV. DROP"/>
      <sheetName val="OT Ratings Drop"/>
      <sheetName val="Other GS Drop"/>
      <sheetName val="7R GS Drop"/>
      <sheetName val="SEVENROOMS REVIEWS"/>
      <sheetName val="Resy GS Drop"/>
      <sheetName val="VIP"/>
      <sheetName val="Recurring VIP"/>
      <sheetName val="New VIP"/>
      <sheetName val="VIP No Shows"/>
    </sheetNames>
    <sheetDataSet>
      <sheetData sheetId="0"/>
      <sheetData sheetId="1"/>
      <sheetData sheetId="2"/>
      <sheetData sheetId="3"/>
      <sheetData sheetId="4"/>
      <sheetData sheetId="5">
        <row r="11">
          <cell r="I11" t="str">
            <v>P1</v>
          </cell>
          <cell r="AA11">
            <v>0</v>
          </cell>
          <cell r="AR11">
            <v>0</v>
          </cell>
        </row>
        <row r="12">
          <cell r="I12" t="str">
            <v>Week 5</v>
          </cell>
          <cell r="AA12">
            <v>0</v>
          </cell>
          <cell r="AR12">
            <v>0</v>
          </cell>
        </row>
        <row r="13">
          <cell r="I13" t="str">
            <v>Week 6</v>
          </cell>
          <cell r="AA13">
            <v>0</v>
          </cell>
          <cell r="AR13">
            <v>0</v>
          </cell>
        </row>
        <row r="14">
          <cell r="I14" t="str">
            <v>Week 7</v>
          </cell>
          <cell r="AA14">
            <v>0</v>
          </cell>
          <cell r="AR14">
            <v>0</v>
          </cell>
        </row>
        <row r="15">
          <cell r="I15" t="str">
            <v>Week 8</v>
          </cell>
          <cell r="AA15">
            <v>0</v>
          </cell>
          <cell r="AR15">
            <v>0</v>
          </cell>
        </row>
        <row r="16">
          <cell r="I16" t="str">
            <v>P2</v>
          </cell>
          <cell r="AA16">
            <v>0</v>
          </cell>
          <cell r="AR16">
            <v>0</v>
          </cell>
        </row>
        <row r="17">
          <cell r="I17" t="str">
            <v>Week 9</v>
          </cell>
          <cell r="AA17">
            <v>0</v>
          </cell>
          <cell r="AR17">
            <v>0</v>
          </cell>
        </row>
        <row r="18">
          <cell r="I18" t="str">
            <v>Week 10</v>
          </cell>
          <cell r="AA18">
            <v>194</v>
          </cell>
          <cell r="AR18">
            <v>579</v>
          </cell>
        </row>
        <row r="19">
          <cell r="I19" t="str">
            <v>Week 11</v>
          </cell>
          <cell r="AA19">
            <v>221</v>
          </cell>
          <cell r="AR19">
            <v>759</v>
          </cell>
        </row>
        <row r="20">
          <cell r="I20" t="str">
            <v>Week 12</v>
          </cell>
          <cell r="AA20">
            <v>367</v>
          </cell>
          <cell r="AR20">
            <v>656</v>
          </cell>
        </row>
        <row r="21">
          <cell r="I21" t="str">
            <v>Week 13</v>
          </cell>
          <cell r="AA21">
            <v>395</v>
          </cell>
          <cell r="AR21">
            <v>1095</v>
          </cell>
        </row>
        <row r="22">
          <cell r="I22" t="str">
            <v>P3</v>
          </cell>
          <cell r="AA22">
            <v>1177</v>
          </cell>
          <cell r="AR22">
            <v>3089</v>
          </cell>
        </row>
        <row r="23">
          <cell r="I23" t="str">
            <v>Week 14</v>
          </cell>
          <cell r="AA23">
            <v>295</v>
          </cell>
          <cell r="AR23">
            <v>538</v>
          </cell>
        </row>
        <row r="24">
          <cell r="I24" t="str">
            <v>Week 15</v>
          </cell>
          <cell r="AA24">
            <v>347</v>
          </cell>
          <cell r="AR24">
            <v>573</v>
          </cell>
        </row>
        <row r="25">
          <cell r="I25" t="str">
            <v>Week 16</v>
          </cell>
          <cell r="AA25">
            <v>403</v>
          </cell>
          <cell r="AR25">
            <v>533</v>
          </cell>
        </row>
        <row r="26">
          <cell r="I26" t="str">
            <v>Week 17</v>
          </cell>
          <cell r="AA26">
            <v>424</v>
          </cell>
          <cell r="AR26">
            <v>542</v>
          </cell>
        </row>
        <row r="27">
          <cell r="I27" t="str">
            <v>P4</v>
          </cell>
          <cell r="AA27">
            <v>1469</v>
          </cell>
          <cell r="AR27">
            <v>2186</v>
          </cell>
        </row>
        <row r="28">
          <cell r="I28" t="str">
            <v>Week 18</v>
          </cell>
          <cell r="AA28">
            <v>706</v>
          </cell>
          <cell r="AR28">
            <v>995</v>
          </cell>
        </row>
        <row r="29">
          <cell r="I29" t="str">
            <v>Week 19</v>
          </cell>
          <cell r="AA29">
            <v>341</v>
          </cell>
          <cell r="AR29">
            <v>384</v>
          </cell>
        </row>
        <row r="30">
          <cell r="I30" t="str">
            <v>Week 20</v>
          </cell>
          <cell r="AA30">
            <v>385</v>
          </cell>
          <cell r="AR30">
            <v>570</v>
          </cell>
        </row>
        <row r="31">
          <cell r="I31" t="str">
            <v>Week 21</v>
          </cell>
          <cell r="AA31">
            <v>293</v>
          </cell>
          <cell r="AR31">
            <v>879</v>
          </cell>
        </row>
        <row r="32">
          <cell r="I32" t="str">
            <v>P5</v>
          </cell>
          <cell r="AA32">
            <v>1725</v>
          </cell>
          <cell r="AR32">
            <v>2828</v>
          </cell>
        </row>
        <row r="33">
          <cell r="I33" t="str">
            <v>Week 22</v>
          </cell>
          <cell r="AA33">
            <v>298</v>
          </cell>
          <cell r="AR33">
            <v>507</v>
          </cell>
        </row>
        <row r="34">
          <cell r="I34" t="str">
            <v>Week 23</v>
          </cell>
          <cell r="AA34">
            <v>292</v>
          </cell>
          <cell r="AR34">
            <v>547</v>
          </cell>
        </row>
        <row r="35">
          <cell r="I35" t="str">
            <v>Week 24</v>
          </cell>
          <cell r="AA35">
            <v>248</v>
          </cell>
          <cell r="AR35">
            <v>369</v>
          </cell>
        </row>
        <row r="36">
          <cell r="I36" t="str">
            <v>Week 25</v>
          </cell>
          <cell r="AA36">
            <v>232</v>
          </cell>
          <cell r="AR36">
            <v>523</v>
          </cell>
        </row>
        <row r="37">
          <cell r="I37" t="str">
            <v>Week 26</v>
          </cell>
          <cell r="AA37">
            <v>242</v>
          </cell>
          <cell r="AR37">
            <v>666</v>
          </cell>
        </row>
        <row r="38">
          <cell r="I38" t="str">
            <v>P6</v>
          </cell>
          <cell r="AA38">
            <v>1312</v>
          </cell>
          <cell r="AR38">
            <v>2612</v>
          </cell>
        </row>
        <row r="39">
          <cell r="I39" t="str">
            <v>Week 27</v>
          </cell>
          <cell r="AA39">
            <v>248</v>
          </cell>
          <cell r="AR39">
            <v>605</v>
          </cell>
        </row>
        <row r="40">
          <cell r="I40" t="str">
            <v>Week 28</v>
          </cell>
          <cell r="AA40">
            <v>257</v>
          </cell>
          <cell r="AR40">
            <v>711</v>
          </cell>
        </row>
        <row r="41">
          <cell r="I41" t="str">
            <v>Week 29</v>
          </cell>
          <cell r="AA41">
            <v>0</v>
          </cell>
          <cell r="AR41">
            <v>517</v>
          </cell>
        </row>
        <row r="42">
          <cell r="I42" t="str">
            <v>Week 30</v>
          </cell>
          <cell r="AA42">
            <v>0</v>
          </cell>
          <cell r="AR42">
            <v>295</v>
          </cell>
        </row>
        <row r="43">
          <cell r="I43" t="str">
            <v>P7</v>
          </cell>
          <cell r="AA43">
            <v>505</v>
          </cell>
          <cell r="AR43">
            <v>2128</v>
          </cell>
        </row>
        <row r="44">
          <cell r="I44" t="str">
            <v>Week 31</v>
          </cell>
          <cell r="AA44">
            <v>0</v>
          </cell>
          <cell r="AR44">
            <v>428</v>
          </cell>
        </row>
        <row r="45">
          <cell r="I45" t="str">
            <v>Week 32</v>
          </cell>
          <cell r="AA45">
            <v>313</v>
          </cell>
          <cell r="AR45">
            <v>379</v>
          </cell>
        </row>
        <row r="46">
          <cell r="I46" t="str">
            <v>Week 33</v>
          </cell>
          <cell r="AA46">
            <v>297</v>
          </cell>
          <cell r="AR46">
            <v>510</v>
          </cell>
        </row>
        <row r="47">
          <cell r="I47" t="str">
            <v>Week 34</v>
          </cell>
          <cell r="AA47">
            <v>0</v>
          </cell>
          <cell r="AR47">
            <v>0</v>
          </cell>
        </row>
        <row r="48">
          <cell r="I48" t="str">
            <v>P8</v>
          </cell>
          <cell r="AA48">
            <v>610</v>
          </cell>
          <cell r="AR48">
            <v>1317</v>
          </cell>
        </row>
        <row r="49">
          <cell r="I49" t="str">
            <v>Week 35</v>
          </cell>
          <cell r="AA49">
            <v>0</v>
          </cell>
          <cell r="AR49">
            <v>0</v>
          </cell>
        </row>
        <row r="50">
          <cell r="I50" t="str">
            <v>Week 36</v>
          </cell>
          <cell r="AA50">
            <v>0</v>
          </cell>
          <cell r="AR50">
            <v>0</v>
          </cell>
        </row>
        <row r="51">
          <cell r="I51" t="str">
            <v>Week 37</v>
          </cell>
          <cell r="AA51">
            <v>0</v>
          </cell>
          <cell r="AR51">
            <v>0</v>
          </cell>
        </row>
        <row r="52">
          <cell r="I52" t="str">
            <v>Week 38</v>
          </cell>
          <cell r="AA52">
            <v>0</v>
          </cell>
          <cell r="AR52">
            <v>0</v>
          </cell>
        </row>
        <row r="53">
          <cell r="I53" t="str">
            <v>Week 39</v>
          </cell>
          <cell r="AA53">
            <v>0</v>
          </cell>
          <cell r="AR53">
            <v>0</v>
          </cell>
        </row>
        <row r="54">
          <cell r="I54" t="str">
            <v>P9</v>
          </cell>
          <cell r="AA54">
            <v>0</v>
          </cell>
          <cell r="AR54">
            <v>0</v>
          </cell>
        </row>
        <row r="55">
          <cell r="I55" t="str">
            <v>Week 40</v>
          </cell>
          <cell r="AA55">
            <v>0</v>
          </cell>
          <cell r="AR55">
            <v>0</v>
          </cell>
        </row>
        <row r="56">
          <cell r="I56" t="str">
            <v>Week 41</v>
          </cell>
          <cell r="AA56">
            <v>0</v>
          </cell>
          <cell r="AR56">
            <v>0</v>
          </cell>
        </row>
        <row r="57">
          <cell r="I57" t="str">
            <v>Week 42</v>
          </cell>
          <cell r="AA57">
            <v>0</v>
          </cell>
          <cell r="AR57">
            <v>0</v>
          </cell>
        </row>
        <row r="58">
          <cell r="I58" t="str">
            <v>Week 43</v>
          </cell>
          <cell r="AA58">
            <v>0</v>
          </cell>
          <cell r="AR58">
            <v>0</v>
          </cell>
        </row>
        <row r="59">
          <cell r="I59" t="str">
            <v>P10</v>
          </cell>
          <cell r="AA59">
            <v>0</v>
          </cell>
          <cell r="AR59">
            <v>0</v>
          </cell>
        </row>
        <row r="60">
          <cell r="I60" t="str">
            <v>Week 44</v>
          </cell>
          <cell r="AA60">
            <v>0</v>
          </cell>
          <cell r="AR60">
            <v>0</v>
          </cell>
        </row>
        <row r="61">
          <cell r="I61" t="str">
            <v>Week 45</v>
          </cell>
          <cell r="AA61">
            <v>0</v>
          </cell>
          <cell r="AR61">
            <v>0</v>
          </cell>
        </row>
        <row r="62">
          <cell r="I62" t="str">
            <v>Week 46</v>
          </cell>
          <cell r="AA62">
            <v>0</v>
          </cell>
          <cell r="AR62">
            <v>0</v>
          </cell>
        </row>
        <row r="63">
          <cell r="I63" t="str">
            <v>Week 47</v>
          </cell>
          <cell r="AA63">
            <v>0</v>
          </cell>
          <cell r="AR63">
            <v>0</v>
          </cell>
        </row>
        <row r="64">
          <cell r="I64" t="str">
            <v>P11</v>
          </cell>
          <cell r="AA64">
            <v>0</v>
          </cell>
          <cell r="AR64">
            <v>0</v>
          </cell>
        </row>
        <row r="65">
          <cell r="I65" t="str">
            <v>Week 48</v>
          </cell>
          <cell r="AA65">
            <v>0</v>
          </cell>
          <cell r="AR65">
            <v>0</v>
          </cell>
        </row>
        <row r="66">
          <cell r="I66" t="str">
            <v>Week 49</v>
          </cell>
          <cell r="AA66">
            <v>0</v>
          </cell>
          <cell r="AR66">
            <v>0</v>
          </cell>
        </row>
        <row r="67">
          <cell r="I67" t="str">
            <v>Week 50</v>
          </cell>
          <cell r="AA67">
            <v>0</v>
          </cell>
          <cell r="AR67">
            <v>0</v>
          </cell>
        </row>
        <row r="68">
          <cell r="I68" t="str">
            <v>Week 51</v>
          </cell>
          <cell r="AA68">
            <v>0</v>
          </cell>
          <cell r="AR68">
            <v>0</v>
          </cell>
        </row>
        <row r="69">
          <cell r="I69" t="str">
            <v>Week 52</v>
          </cell>
          <cell r="AA69">
            <v>0</v>
          </cell>
          <cell r="AR69">
            <v>0</v>
          </cell>
        </row>
        <row r="70">
          <cell r="I70" t="str">
            <v>Week 53</v>
          </cell>
          <cell r="AA70">
            <v>0</v>
          </cell>
          <cell r="AR70">
            <v>0</v>
          </cell>
        </row>
        <row r="71">
          <cell r="I71" t="str">
            <v>P12</v>
          </cell>
          <cell r="AA71">
            <v>0</v>
          </cell>
          <cell r="AR7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1" xr16:uid="{04EDE690-C4DE-4E91-B2CA-34255E05646F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6" xr16:uid="{EAE2DE2A-8AB2-47E6-B6BE-5A4C3F9ED2A2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9" xr16:uid="{397D8BEF-283F-4AAB-97AE-D7EF28F9F8C5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3BB3DC0-E875-4E49-83ED-3A953CF4A6F1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Omakase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7" xr16:uid="{8E6BFD80-3879-43FF-8C04-BF9DD101F663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MM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3" xr16:uid="{D034463B-8AEC-4E5C-AB0B-B55B659C6567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Lounge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19" xr16:uid="{56371DDD-FE7F-471E-8EF4-BBA5601FFA98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  <extLst>
    <ext xmlns:x15="http://schemas.microsoft.com/office/spreadsheetml/2010/11/main" uri="{883FBD77-0823-4a55-B5E3-86C4891E6966}">
      <x15:queryTable sourceDataName="Query - Sales Categories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5FA06760-B29F-41C0-B346-BD3D000EFC91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_26DinnerSalesACT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8" xr16:uid="{7BA964D4-BBED-4ED5-9589-2F630B0E5A24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_26LunchSalesACT"/>
    </ext>
  </extLst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4" xr16:uid="{0B118B20-1613-4293-91FB-4D4BA2487CE9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_26MMSalesACT"/>
    </ext>
  </extLst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20" xr16:uid="{288C33F8-4913-4ECB-A37D-380138D4BC16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  <extLst>
    <ext xmlns:x15="http://schemas.microsoft.com/office/spreadsheetml/2010/11/main" uri="{883FBD77-0823-4a55-B5E3-86C4891E6966}">
      <x15:queryTable sourceDataName="Query - _2026AVATotalSalesCat"/>
    </ext>
  </extLst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87EFC202-830F-442A-8B85-EC4DA3B5F328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Dinner (2)"/>
    </ext>
  </extLst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9" xr16:uid="{CF08690B-FAB7-4E19-A60D-5F93298FAD84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Brunch"/>
    </ext>
  </extLst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5" xr16:uid="{ECBC635D-C11C-4BC5-8222-9E60AF2EDC12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  <extLst>
    <ext xmlns:x15="http://schemas.microsoft.com/office/spreadsheetml/2010/11/main" uri="{883FBD77-0823-4a55-B5E3-86C4891E6966}">
      <x15:queryTable sourceDataName="Query - Sales Categories (2)"/>
    </ext>
  </extLst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711FC58E-6222-4083-8798-CE37E2EA0279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Brunch (2)"/>
    </ext>
  </extLst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0" xr16:uid="{AC70BCB0-24AD-40CF-A927-080A06403C21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Dinner (3)"/>
    </ext>
  </extLst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6" xr16:uid="{2D291622-5B01-4CD1-89AD-EBCADCA736C5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  <extLst>
    <ext xmlns:x15="http://schemas.microsoft.com/office/spreadsheetml/2010/11/main" uri="{883FBD77-0823-4a55-B5E3-86C4891E6966}">
      <x15:queryTable sourceDataName="Query - Sales Categories (3)"/>
    </ext>
  </extLst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BF12FC00-71F4-4D2A-9A90-2F96552D5ED8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_2026DinnerSales"/>
    </ext>
  </extLst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1" xr16:uid="{F2B23571-FF66-40B3-A8BB-95D326A989D4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_2026BrunchSales"/>
    </ext>
  </extLst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7" xr16:uid="{686CD518-9831-4723-BCC8-AF546DB1C4C8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  <extLst>
    <ext xmlns:x15="http://schemas.microsoft.com/office/spreadsheetml/2010/11/main" uri="{883FBD77-0823-4a55-B5E3-86C4891E6966}">
      <x15:queryTable sourceDataName="Query - _2026TotalSalesCat"/>
    </ext>
  </extLst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73309388-8D9A-416C-8D78-D6D63FF94857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Lounge (2)"/>
    </ext>
  </extLst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2" xr16:uid="{EB2AE185-38E0-4D95-99A9-C35B8B81C640}" autoFormatId="16" applyNumberFormats="0" applyBorderFormats="0" applyFontFormats="0" applyPatternFormats="0" applyAlignmentFormats="0" applyWidthHeightFormats="0">
  <queryTableRefresh nextId="8">
    <queryTableFields count="7">
      <queryTableField id="1" name="yyyyMMdd" tableColumnId="1"/>
      <queryTableField id="2" name="Net sales" tableColumnId="2"/>
      <queryTableField id="3" name="Total orders" tableColumnId="3"/>
      <queryTableField id="4" name="Total guests" tableColumnId="4"/>
      <queryTableField id="5" name="Date" tableColumnId="5"/>
      <queryTableField id="6" name="Day of Week" tableColumnId="6"/>
      <queryTableField id="7" name="Week #" tableColumnId="7"/>
    </queryTableFields>
  </queryTableRefresh>
  <extLst>
    <ext xmlns:x15="http://schemas.microsoft.com/office/spreadsheetml/2010/11/main" uri="{883FBD77-0823-4a55-B5E3-86C4891E6966}">
      <x15:queryTable sourceDataName="Query - MM (2)"/>
    </ext>
  </extLst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8" xr16:uid="{A046B0CD-3F74-4BE5-82E8-FABFB5DE43B1}" autoFormatId="16" applyNumberFormats="0" applyBorderFormats="0" applyFontFormats="0" applyPatternFormats="0" applyAlignmentFormats="0" applyWidthHeightFormats="0">
  <queryTableRefresh nextId="12">
    <queryTableFields count="11">
      <queryTableField id="1" name="Period" tableColumnId="1"/>
      <queryTableField id="2" name="Week #" tableColumnId="2"/>
      <queryTableField id="3" name="Start Date" tableColumnId="3"/>
      <queryTableField id="4" name="End Date" tableColumnId="4"/>
      <queryTableField id="5" name="Sales category" tableColumnId="5"/>
      <queryTableField id="6" name="Items" tableColumnId="6"/>
      <queryTableField id="7" name="Net sales" tableColumnId="7"/>
      <queryTableField id="8" name="Discount amount" tableColumnId="8"/>
      <queryTableField id="9" name="Refund amount" tableColumnId="9"/>
      <queryTableField id="10" name="Gross sales" tableColumnId="10"/>
      <queryTableField id="11" name="Tax amount" tableColumnId="11"/>
    </queryTableFields>
  </queryTableRefresh>
  <extLst>
    <ext xmlns:x15="http://schemas.microsoft.com/office/spreadsheetml/2010/11/main" uri="{883FBD77-0823-4a55-B5E3-86C4891E6966}">
      <x15:queryTable sourceDataName="Query - Sales Categories (4)"/>
    </ext>
  </extLst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919C4-A30B-4702-BBED-AFDC79F70AF6}" name="Table3" displayName="Table3" ref="B5:F57" totalsRowShown="0" headerRowDxfId="285" headerRowBorderDxfId="283" tableBorderDxfId="284" totalsRowBorderDxfId="282">
  <autoFilter ref="B5:F57" xr:uid="{D08919C4-A30B-4702-BBED-AFDC79F70AF6}"/>
  <tableColumns count="5">
    <tableColumn id="1" xr3:uid="{B94485F8-0B8D-47C0-9AC4-B45E2CE28516}" name="Period" dataDxfId="281"/>
    <tableColumn id="2" xr3:uid="{0A4DAC63-B059-494E-B1AE-291C90633AEE}" name="Week #" dataDxfId="280"/>
    <tableColumn id="3" xr3:uid="{98FFD8A1-8550-4434-8B9B-1C5CCED0A19F}" name="Start Date" dataDxfId="279"/>
    <tableColumn id="4" xr3:uid="{97F05C01-C78E-45CA-8137-C4C0EADD6AC8}" name="End Date" dataDxfId="278">
      <calculatedColumnFormula>Table3[[#This Row],[Start Date]]+6</calculatedColumnFormula>
    </tableColumn>
    <tableColumn id="5" xr3:uid="{76AB50A8-FB55-446D-A381-BBA1AD5E8308}" name="Period 1" dataDxfId="27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A5D93B-B5AA-4649-8F15-2CB94F66768D}" name="Table6" displayName="Table6" ref="H5:N243" totalsRowShown="0" headerRowDxfId="276" headerRowBorderDxfId="274" tableBorderDxfId="275">
  <autoFilter ref="H5:N243" xr:uid="{16A5D93B-B5AA-4649-8F15-2CB94F66768D}"/>
  <tableColumns count="7">
    <tableColumn id="1" xr3:uid="{68719455-C976-40F9-B7E5-099FFBEF2BEC}" name="yyyyMMdd" dataDxfId="273"/>
    <tableColumn id="2" xr3:uid="{408C5ECF-C93B-4432-8A6B-3CBE7A708A43}" name="Net sales" dataDxfId="272" dataCellStyle="Comma"/>
    <tableColumn id="3" xr3:uid="{6BCFF27A-A7F3-4309-97EB-1854F33965D1}" name="Total orders" dataDxfId="271"/>
    <tableColumn id="4" xr3:uid="{DBFA03A0-1878-48A5-B4B1-3FDD40762776}" name="Total guests" dataDxfId="270"/>
    <tableColumn id="5" xr3:uid="{6BBA2C57-07C9-45B6-AE45-022DCAA1A2DE}" name="Date" dataDxfId="269">
      <calculatedColumnFormula>DATE(LEFT(H6,4),MID(H6,5,2),RIGHT(H6,2))</calculatedColumnFormula>
    </tableColumn>
    <tableColumn id="6" xr3:uid="{10969E8C-92E1-42B7-904C-E48B35AD7616}" name="Day of Week" dataDxfId="268">
      <calculatedColumnFormula>TEXT(L6,"DDDD")</calculatedColumnFormula>
    </tableColumn>
    <tableColumn id="7" xr3:uid="{7CDA454B-503D-4654-8A0C-22D60F237705}" name="Week #" dataDxfId="267">
      <calculatedColumnFormula array="1">_xlfn._xlws.FILTER(Table3[Week '#],(Table3[Start Date]&lt;=Table6[[#This Row],[Date]])*(Table3[End Date]&gt;=Table6[[#This Row],[Date]]),"")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FBE9B2-B4B8-474D-BA8F-FD54FE1E39AB}" name="Table4" displayName="Table4" ref="P5:T57" totalsRowShown="0" headerRowDxfId="266" dataDxfId="265" headerRowBorderDxfId="263" tableBorderDxfId="264">
  <autoFilter ref="P5:T57" xr:uid="{5AFBE9B2-B4B8-474D-BA8F-FD54FE1E39AB}"/>
  <tableColumns count="5">
    <tableColumn id="1" xr3:uid="{AEF2BFFD-8A19-4F3F-B841-F9F140D34444}" name="Period" dataDxfId="262"/>
    <tableColumn id="2" xr3:uid="{AA9666D7-9FD6-4E97-83A2-D0E5143F8ABE}" name="Week #" dataDxfId="261"/>
    <tableColumn id="5" xr3:uid="{3C5919A2-D206-4ED6-81BC-1BFC379C5E24}" name="Start Date" dataDxfId="260"/>
    <tableColumn id="4" xr3:uid="{D065DE3B-4D4A-4745-8206-D028BA41D1F2}" name="End Date" dataDxfId="259"/>
    <tableColumn id="3" xr3:uid="{30CB6BAA-4522-43F4-B1A6-D4DC137196A9}" name="Non-Grat Service $" dataDxfId="258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9BDE7D-2F03-45E4-9586-3D547BFDF975}" name="Dinner" displayName="Dinner" ref="A1:G603" tableType="queryTable" totalsRowShown="0" headerRowDxfId="234" dataDxfId="233">
  <autoFilter ref="A1:G603" xr:uid="{339BDE7D-2F03-45E4-9586-3D547BFDF975}"/>
  <tableColumns count="7">
    <tableColumn id="1" xr3:uid="{7863FFE7-3300-40C6-BAF2-4CE2E398DB07}" uniqueName="1" name="yyyyMMdd" queryTableFieldId="1" dataDxfId="232"/>
    <tableColumn id="2" xr3:uid="{14144950-55E3-4CC4-9FAC-EAAF28AA411D}" uniqueName="2" name="Net sales" queryTableFieldId="2" dataDxfId="231"/>
    <tableColumn id="3" xr3:uid="{C14C1EF0-9211-4CBB-B4F8-95BEB17216D7}" uniqueName="3" name="Total orders" queryTableFieldId="3" dataDxfId="230"/>
    <tableColumn id="4" xr3:uid="{023563F4-8ECE-4F36-8C09-164DC993859B}" uniqueName="4" name="Total guests" queryTableFieldId="4" dataDxfId="229"/>
    <tableColumn id="5" xr3:uid="{DA2BD55E-21B6-4293-BB51-B5F01C13B43F}" uniqueName="5" name="Date" queryTableFieldId="5" dataDxfId="228"/>
    <tableColumn id="6" xr3:uid="{5B9B2253-E02D-4746-8D96-B168FF0BD8CB}" uniqueName="6" name="Day of Week" queryTableFieldId="6" dataDxfId="227"/>
    <tableColumn id="7" xr3:uid="{5B004698-4B48-40A5-ADFE-12CB62250F20}" uniqueName="7" name="Week #" queryTableFieldId="7" dataDxfId="2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66A29C-53DB-4DFE-8B81-1545737C35BA}" name="Lunch" displayName="Lunch" ref="I1:O92" tableType="queryTable" totalsRowShown="0" headerRowDxfId="225" dataDxfId="224">
  <autoFilter ref="I1:O92" xr:uid="{A066A29C-53DB-4DFE-8B81-1545737C35BA}"/>
  <tableColumns count="7">
    <tableColumn id="1" xr3:uid="{F0B618B4-05D8-42B8-A31A-8A3E2EDB4C3E}" uniqueName="1" name="yyyyMMdd" queryTableFieldId="1" dataDxfId="223"/>
    <tableColumn id="2" xr3:uid="{AB49A513-1511-48C7-AF99-318E03042A89}" uniqueName="2" name="Net sales" queryTableFieldId="2" dataDxfId="222"/>
    <tableColumn id="3" xr3:uid="{E49A9C85-3086-45BA-8729-C4FF7D8885EF}" uniqueName="3" name="Total orders" queryTableFieldId="3" dataDxfId="221"/>
    <tableColumn id="4" xr3:uid="{B50B1C32-4EA2-4A6F-8B37-FD07F12466BB}" uniqueName="4" name="Total guests" queryTableFieldId="4" dataDxfId="220"/>
    <tableColumn id="5" xr3:uid="{DD8B535B-8621-4670-B048-CC12896DEE7E}" uniqueName="5" name="Date" queryTableFieldId="5" dataDxfId="219"/>
    <tableColumn id="6" xr3:uid="{F0CF9466-FB2F-444E-AAEB-EB9A3CCE996A}" uniqueName="6" name="Day of Week" queryTableFieldId="6" dataDxfId="218"/>
    <tableColumn id="7" xr3:uid="{2B51ADFD-A086-4422-95CC-592E6B91A598}" uniqueName="7" name="Week #" queryTableFieldId="7" dataDxfId="2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8A8167-0D47-4112-BFA3-9C56BFED8A64}" name="Non_Grat_Serv_Chrg" displayName="Non_Grat_Serv_Chrg" ref="Q1:AA346" tableType="queryTable" totalsRowShown="0" headerRowDxfId="216" dataDxfId="215">
  <autoFilter ref="Q1:AA346" xr:uid="{168A8167-0D47-4112-BFA3-9C56BFED8A64}"/>
  <tableColumns count="11">
    <tableColumn id="1" xr3:uid="{DACCBCD6-4CE7-4454-A0FB-11E43CC02E3B}" uniqueName="1" name="Period" queryTableFieldId="1" dataDxfId="214"/>
    <tableColumn id="2" xr3:uid="{46023DE0-8F74-4DC6-B093-023EABCED20D}" uniqueName="2" name="Week #" queryTableFieldId="2" dataDxfId="213"/>
    <tableColumn id="3" xr3:uid="{9A003F35-815E-4D66-9AB7-F9D136A7DF2F}" uniqueName="3" name="Start Date" queryTableFieldId="3" dataDxfId="212"/>
    <tableColumn id="4" xr3:uid="{F9D7BD65-A302-4FCE-84B3-AFCA81EB47AE}" uniqueName="4" name="End Date" queryTableFieldId="4" dataDxfId="211"/>
    <tableColumn id="5" xr3:uid="{C71828C8-AC1A-469D-9EF3-84BA89E45BAE}" uniqueName="5" name="Sales category" queryTableFieldId="5" dataDxfId="210"/>
    <tableColumn id="6" xr3:uid="{245377FE-BB9C-47C6-B453-00C7FF0792DA}" uniqueName="6" name="Items" queryTableFieldId="6" dataDxfId="209"/>
    <tableColumn id="7" xr3:uid="{015E4479-99A8-4658-B6F3-A96DB9847C41}" uniqueName="7" name="Net sales" queryTableFieldId="7" dataDxfId="208"/>
    <tableColumn id="8" xr3:uid="{01337212-C120-4974-AE17-11C97AF8B0A0}" uniqueName="8" name="Discount amount" queryTableFieldId="8" dataDxfId="207"/>
    <tableColumn id="9" xr3:uid="{4DC3AB13-95DB-4BB2-B416-FFDCDC3F109A}" uniqueName="9" name="Refund amount" queryTableFieldId="9" dataDxfId="206"/>
    <tableColumn id="10" xr3:uid="{5C6A77FF-FDB0-4C76-A782-6375D803AC17}" uniqueName="10" name="Gross sales" queryTableFieldId="10" dataDxfId="205"/>
    <tableColumn id="11" xr3:uid="{84193A91-844C-44FF-945C-A8F9B861D184}" uniqueName="11" name="Tax amount" queryTableFieldId="11" dataDxfId="20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73FAE1-BAF2-4222-B079-E5E77CA7F679}" name="Omakase" displayName="Omakase" ref="A1:G171" tableType="queryTable" totalsRowShown="0" headerRowDxfId="203" dataDxfId="202">
  <autoFilter ref="A1:G171" xr:uid="{8A73FAE1-BAF2-4222-B079-E5E77CA7F679}"/>
  <tableColumns count="7">
    <tableColumn id="1" xr3:uid="{664508E8-CAD6-46F5-8FE3-619EA0E0773F}" uniqueName="1" name="yyyyMMdd" queryTableFieldId="1" dataDxfId="201"/>
    <tableColumn id="2" xr3:uid="{21AB070A-9019-4A8F-943E-4072224653C5}" uniqueName="2" name="Net sales" queryTableFieldId="2" dataDxfId="200"/>
    <tableColumn id="3" xr3:uid="{D7AAE87E-677E-4D41-A06E-F4CAADDD351D}" uniqueName="3" name="Total orders" queryTableFieldId="3" dataDxfId="199"/>
    <tableColumn id="4" xr3:uid="{257A4143-5982-4D08-9968-DB0797FF36CE}" uniqueName="4" name="Total guests" queryTableFieldId="4" dataDxfId="198"/>
    <tableColumn id="5" xr3:uid="{9714C627-6975-48A4-B522-61716648642F}" uniqueName="5" name="Date" queryTableFieldId="5" dataDxfId="197"/>
    <tableColumn id="6" xr3:uid="{845CE134-C8CC-43E9-8958-3641E46EC520}" uniqueName="6" name="Day of Week" queryTableFieldId="6" dataDxfId="196"/>
    <tableColumn id="7" xr3:uid="{04DD6C73-A8CA-4100-A8DF-5B64F5917FFA}" uniqueName="7" name="Week #" queryTableFieldId="7" dataDxfId="19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DAA682-31AD-4AF6-AE14-69FF4067A10A}" name="MM" displayName="MM" ref="I1:O170" tableType="queryTable" totalsRowShown="0" headerRowDxfId="194" dataDxfId="193">
  <autoFilter ref="I1:O170" xr:uid="{2BDAA682-31AD-4AF6-AE14-69FF4067A10A}"/>
  <tableColumns count="7">
    <tableColumn id="1" xr3:uid="{8CE76E9B-BC29-4278-98F8-AB065CB45B42}" uniqueName="1" name="yyyyMMdd" queryTableFieldId="1" dataDxfId="192"/>
    <tableColumn id="2" xr3:uid="{B115F302-5500-4183-822D-C98C9C5F18F8}" uniqueName="2" name="Net sales" queryTableFieldId="2" dataDxfId="191"/>
    <tableColumn id="3" xr3:uid="{A3647CD2-FAEB-4809-8FB5-C295466ABBBE}" uniqueName="3" name="Total orders" queryTableFieldId="3" dataDxfId="190"/>
    <tableColumn id="4" xr3:uid="{C23A72EE-BB00-48B2-9980-F1E00CE7BFEF}" uniqueName="4" name="Total guests" queryTableFieldId="4" dataDxfId="189"/>
    <tableColumn id="5" xr3:uid="{1AFE91F2-D5CE-404E-BB3D-0ECA55966018}" uniqueName="5" name="Date" queryTableFieldId="5" dataDxfId="188"/>
    <tableColumn id="6" xr3:uid="{F965254A-66AF-4185-855F-319A223CCB36}" uniqueName="6" name="Day of Week" queryTableFieldId="6" dataDxfId="187"/>
    <tableColumn id="7" xr3:uid="{9F237525-F586-49D6-81B9-611781E48AFF}" uniqueName="7" name="Week #" queryTableFieldId="7" dataDxfId="18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2579301-1F1E-44A1-8295-9BED63730722}" name="Lounge" displayName="Lounge" ref="Q1:W183" tableType="queryTable" totalsRowShown="0" headerRowDxfId="185" dataDxfId="184">
  <autoFilter ref="Q1:W183" xr:uid="{12579301-1F1E-44A1-8295-9BED63730722}"/>
  <tableColumns count="7">
    <tableColumn id="1" xr3:uid="{307013B6-8836-4445-8B81-C85B78B6FEFF}" uniqueName="1" name="yyyyMMdd" queryTableFieldId="1" dataDxfId="183"/>
    <tableColumn id="2" xr3:uid="{845E6ECA-DBFA-42A1-B656-36F7CF0679B6}" uniqueName="2" name="Net sales" queryTableFieldId="2" dataDxfId="182"/>
    <tableColumn id="3" xr3:uid="{800AD709-E1B2-4A53-ADCB-AF4BE838F233}" uniqueName="3" name="Total orders" queryTableFieldId="3" dataDxfId="181"/>
    <tableColumn id="4" xr3:uid="{1CD2A868-F0D7-4418-B926-B9E952DB3E5C}" uniqueName="4" name="Total guests" queryTableFieldId="4" dataDxfId="180"/>
    <tableColumn id="5" xr3:uid="{4B6251E5-DD51-4968-88D9-CA661A3012FA}" uniqueName="5" name="Date" queryTableFieldId="5" dataDxfId="179"/>
    <tableColumn id="6" xr3:uid="{8F2EFE68-6DD7-4D6B-825B-C615ABC23E50}" uniqueName="6" name="Day of Week" queryTableFieldId="6" dataDxfId="178"/>
    <tableColumn id="7" xr3:uid="{3BB1F913-8DAB-46DF-82D2-DA15BA1063A6}" uniqueName="7" name="Week #" queryTableFieldId="7" dataDxfId="17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BED49A-A848-4094-9ABE-C740ACFF0004}" name="Sales_Categories" displayName="Sales_Categories" ref="Y1:AI319" tableType="queryTable" totalsRowShown="0" headerRowDxfId="176" dataDxfId="175">
  <autoFilter ref="Y1:AI319" xr:uid="{71BED49A-A848-4094-9ABE-C740ACFF0004}"/>
  <tableColumns count="11">
    <tableColumn id="1" xr3:uid="{7577E648-74DF-4243-B0FE-97B570C12B46}" uniqueName="1" name="Period" queryTableFieldId="1" dataDxfId="174"/>
    <tableColumn id="2" xr3:uid="{DE777BFB-4101-463D-B9E4-5812357786F8}" uniqueName="2" name="Week #" queryTableFieldId="2" dataDxfId="173"/>
    <tableColumn id="3" xr3:uid="{68A818B5-8AC1-4F1F-BDE8-F752BDCDF627}" uniqueName="3" name="Start Date" queryTableFieldId="3" dataDxfId="172"/>
    <tableColumn id="4" xr3:uid="{2446675D-AA51-4B6F-8C84-797E5B1B1BCF}" uniqueName="4" name="End Date" queryTableFieldId="4" dataDxfId="171"/>
    <tableColumn id="5" xr3:uid="{E6F30220-7719-4D1E-A209-95F181AA4BEA}" uniqueName="5" name="Sales category" queryTableFieldId="5" dataDxfId="170"/>
    <tableColumn id="6" xr3:uid="{B6B70D1F-3362-46ED-9B32-8F4070CDC2F0}" uniqueName="6" name="Items" queryTableFieldId="6" dataDxfId="169"/>
    <tableColumn id="7" xr3:uid="{F8A95427-FFAB-4739-B835-A11CBBFD708D}" uniqueName="7" name="Net sales" queryTableFieldId="7" dataDxfId="168"/>
    <tableColumn id="8" xr3:uid="{9C473E3D-51F1-465E-ACA8-2ABD4BE0E7BA}" uniqueName="8" name="Discount amount" queryTableFieldId="8" dataDxfId="167"/>
    <tableColumn id="9" xr3:uid="{F448E825-58C3-4A5A-A057-8634A6DA29B8}" uniqueName="9" name="Refund amount" queryTableFieldId="9" dataDxfId="166"/>
    <tableColumn id="10" xr3:uid="{15309255-E9E3-4841-8518-843F359968D1}" uniqueName="10" name="Gross sales" queryTableFieldId="10" dataDxfId="165"/>
    <tableColumn id="11" xr3:uid="{ED6ADD62-789B-4B30-AD61-D0F657385D76}" uniqueName="11" name="Tax amount" queryTableFieldId="11" dataDxfId="16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865E4A-CD7E-4A85-B844-E6F9C264B3D2}" name="_26DinnerSalesACT" displayName="_26DinnerSalesACT" ref="A1:G239" tableType="queryTable" totalsRowShown="0" headerRowDxfId="163" dataDxfId="162">
  <autoFilter ref="A1:G239" xr:uid="{C6865E4A-CD7E-4A85-B844-E6F9C264B3D2}"/>
  <tableColumns count="7">
    <tableColumn id="1" xr3:uid="{07A4DD5E-8EA8-4C8F-B287-D745C8F0E331}" uniqueName="1" name="yyyyMMdd" queryTableFieldId="1" dataDxfId="161"/>
    <tableColumn id="2" xr3:uid="{5FF4A892-ACAB-4B0A-939C-CB80411A2DE9}" uniqueName="2" name="Net sales" queryTableFieldId="2" dataDxfId="160"/>
    <tableColumn id="3" xr3:uid="{AD3929A1-1925-47D3-A358-035D816CCBAC}" uniqueName="3" name="Total orders" queryTableFieldId="3" dataDxfId="159"/>
    <tableColumn id="4" xr3:uid="{773FA186-14E4-40CC-B06A-B65425DE2706}" uniqueName="4" name="Total guests" queryTableFieldId="4" dataDxfId="158"/>
    <tableColumn id="5" xr3:uid="{C5F1DB22-3BE8-412C-BB70-74708DC17CD9}" uniqueName="5" name="Date" queryTableFieldId="5" dataDxfId="157"/>
    <tableColumn id="6" xr3:uid="{7323B078-83C8-4789-92D8-4D1787DD7F95}" uniqueName="6" name="Day of Week" queryTableFieldId="6" dataDxfId="156"/>
    <tableColumn id="7" xr3:uid="{CC66F842-5F3A-404D-895E-E72900E8957C}" uniqueName="7" name="Week #" queryTableFieldId="7" dataDxfId="15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7727092-4716-4A6A-BF61-548196AD3F24}" name="_26LunchSalesACT" displayName="_26LunchSalesACT" ref="I1:O69" tableType="queryTable" totalsRowShown="0" headerRowDxfId="154" dataDxfId="153">
  <autoFilter ref="I1:O69" xr:uid="{07727092-4716-4A6A-BF61-548196AD3F24}"/>
  <tableColumns count="7">
    <tableColumn id="1" xr3:uid="{6B7B0123-E4C5-4DA7-9C15-621C8DC355E9}" uniqueName="1" name="yyyyMMdd" queryTableFieldId="1" dataDxfId="152"/>
    <tableColumn id="2" xr3:uid="{8936E5BC-58DB-414A-9A36-212E4CDB4FD5}" uniqueName="2" name="Net sales" queryTableFieldId="2" dataDxfId="151"/>
    <tableColumn id="3" xr3:uid="{1B0A3732-D9F8-41B8-B3CD-000EA2804F0C}" uniqueName="3" name="Total orders" queryTableFieldId="3" dataDxfId="150"/>
    <tableColumn id="4" xr3:uid="{ADF692C8-7835-4AB7-944D-F65309C4BCE4}" uniqueName="4" name="Total guests" queryTableFieldId="4" dataDxfId="149"/>
    <tableColumn id="5" xr3:uid="{C42943BB-042A-45A3-94DD-5A377412A880}" uniqueName="5" name="Date" queryTableFieldId="5" dataDxfId="148"/>
    <tableColumn id="6" xr3:uid="{5EA655F0-E3D3-44CA-BDA9-CC3706352E2F}" uniqueName="6" name="Day of Week" queryTableFieldId="6" dataDxfId="147"/>
    <tableColumn id="7" xr3:uid="{04245527-058B-44F9-BBDD-CF5391755CC1}" uniqueName="7" name="Week #" queryTableFieldId="7" dataDxfId="14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A7B2EB5-56B4-4854-A743-47C72E6A6B5B}" name="_26MMSalesACT" displayName="_26MMSalesACT" ref="Q1:W160" tableType="queryTable" totalsRowShown="0" headerRowDxfId="145" dataDxfId="144">
  <autoFilter ref="Q1:W160" xr:uid="{BA7B2EB5-56B4-4854-A743-47C72E6A6B5B}"/>
  <tableColumns count="7">
    <tableColumn id="1" xr3:uid="{5F8FFBED-C5CD-4BE4-90F2-ADCBEC85D9F6}" uniqueName="1" name="yyyyMMdd" queryTableFieldId="1" dataDxfId="143"/>
    <tableColumn id="2" xr3:uid="{CC9AAF8A-95B7-43B8-8F1A-939FD66E8637}" uniqueName="2" name="Net sales" queryTableFieldId="2" dataDxfId="142"/>
    <tableColumn id="3" xr3:uid="{1BA5D3AE-A853-410D-AE72-B8867EE8F5BD}" uniqueName="3" name="Total orders" queryTableFieldId="3" dataDxfId="141"/>
    <tableColumn id="4" xr3:uid="{8DA6E6EC-F495-4B3F-A271-ACC658E2D188}" uniqueName="4" name="Total guests" queryTableFieldId="4" dataDxfId="140"/>
    <tableColumn id="5" xr3:uid="{788188CD-F494-459D-BFCD-179157A4A995}" uniqueName="5" name="Date" queryTableFieldId="5" dataDxfId="139"/>
    <tableColumn id="6" xr3:uid="{54B303D6-A8DD-4247-929A-CD1A59FC4847}" uniqueName="6" name="Day of Week" queryTableFieldId="6" dataDxfId="138"/>
    <tableColumn id="7" xr3:uid="{853EA92B-A089-4BCA-B631-FD88DB4D12F9}" uniqueName="7" name="Week #" queryTableFieldId="7" dataDxfId="13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A1A5769-3623-4606-A27D-6167CFA520CC}" name="_2026AVATotalSalesCat" displayName="_2026AVATotalSalesCat" ref="Y1:AI269" tableType="queryTable" totalsRowShown="0" headerRowDxfId="136" dataDxfId="135">
  <autoFilter ref="Y1:AI269" xr:uid="{5A1A5769-3623-4606-A27D-6167CFA520CC}"/>
  <tableColumns count="11">
    <tableColumn id="1" xr3:uid="{495FE66B-5C91-44DE-9741-103E2BAAC1AE}" uniqueName="1" name="Period" queryTableFieldId="1" dataDxfId="134"/>
    <tableColumn id="2" xr3:uid="{DB13A4C1-E013-46BC-942D-608237027F15}" uniqueName="2" name="Week #" queryTableFieldId="2" dataDxfId="133"/>
    <tableColumn id="3" xr3:uid="{F53079D7-0896-4766-A004-9433A5655126}" uniqueName="3" name="Start Date" queryTableFieldId="3" dataDxfId="132"/>
    <tableColumn id="4" xr3:uid="{F482C4BB-0604-4974-A6F9-26C5BD5F06D9}" uniqueName="4" name="End Date" queryTableFieldId="4" dataDxfId="131"/>
    <tableColumn id="5" xr3:uid="{ACD51F28-F2FB-4EF1-9E2E-297B48F4213F}" uniqueName="5" name="Sales category" queryTableFieldId="5" dataDxfId="130"/>
    <tableColumn id="6" xr3:uid="{C4107FFC-0CCB-40BB-8ADC-D9CB92BD80F8}" uniqueName="6" name="Items" queryTableFieldId="6" dataDxfId="129"/>
    <tableColumn id="7" xr3:uid="{A12296D3-0E95-45D7-8993-EBF8B359C258}" uniqueName="7" name="Net sales" queryTableFieldId="7" dataDxfId="128"/>
    <tableColumn id="8" xr3:uid="{993E2CE0-8D06-47DB-A035-3113CCC53827}" uniqueName="8" name="Discount amount" queryTableFieldId="8" dataDxfId="127"/>
    <tableColumn id="9" xr3:uid="{FA7A6B6C-CD89-4147-A086-67EBF35AAB0D}" uniqueName="9" name="Refund amount" queryTableFieldId="9" dataDxfId="126"/>
    <tableColumn id="10" xr3:uid="{EB32B089-6EDA-4526-B424-00C425A33E64}" uniqueName="10" name="Gross sales" queryTableFieldId="10" dataDxfId="125"/>
    <tableColumn id="11" xr3:uid="{4126EE05-1708-4B3F-ADAB-E06D4AEF1F3E}" uniqueName="11" name="Tax amount" queryTableFieldId="11" dataDxfId="12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0D1ED13-E59A-4D94-90FA-2F1CC900082D}" name="Dinner__2" displayName="Dinner__2" ref="A1:G227" tableType="queryTable" totalsRowShown="0" headerRowDxfId="123" dataDxfId="122">
  <autoFilter ref="A1:G227" xr:uid="{10D1ED13-E59A-4D94-90FA-2F1CC900082D}"/>
  <tableColumns count="7">
    <tableColumn id="1" xr3:uid="{48B45F8F-4112-4FCF-8596-C7A43D41D839}" uniqueName="1" name="yyyyMMdd" queryTableFieldId="1" dataDxfId="121"/>
    <tableColumn id="2" xr3:uid="{A6E7A41B-C4BF-450D-BE46-C2550359A68C}" uniqueName="2" name="Net sales" queryTableFieldId="2" dataDxfId="120"/>
    <tableColumn id="3" xr3:uid="{BF7FE450-1671-4F09-A79E-D08C3AE99BAB}" uniqueName="3" name="Total orders" queryTableFieldId="3" dataDxfId="119"/>
    <tableColumn id="4" xr3:uid="{D9BF7C49-6C05-48D0-9433-8E055BF7ECDD}" uniqueName="4" name="Total guests" queryTableFieldId="4" dataDxfId="118"/>
    <tableColumn id="5" xr3:uid="{93E9EB82-304B-4689-BCA9-221E82788D97}" uniqueName="5" name="Date" queryTableFieldId="5" dataDxfId="117"/>
    <tableColumn id="6" xr3:uid="{24D9AD74-6127-449C-9578-2106185FB1E4}" uniqueName="6" name="Day of Week" queryTableFieldId="6" dataDxfId="116"/>
    <tableColumn id="7" xr3:uid="{BF9A1850-BCDB-42BB-A84D-9AF89744DE13}" uniqueName="7" name="Week #" queryTableFieldId="7" dataDxfId="11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FA2E955-01A0-4005-97F6-509118D29885}" name="Brunch" displayName="Brunch" ref="I1:O123" tableType="queryTable" totalsRowShown="0" headerRowDxfId="114" dataDxfId="113">
  <autoFilter ref="I1:O123" xr:uid="{7FA2E955-01A0-4005-97F6-509118D29885}"/>
  <tableColumns count="7">
    <tableColumn id="1" xr3:uid="{F7F2BD88-0D54-4D3E-BFB2-AB3D2DAA392E}" uniqueName="1" name="yyyyMMdd" queryTableFieldId="1" dataDxfId="112"/>
    <tableColumn id="2" xr3:uid="{19F5C926-6332-4C56-8899-D5E3BEAD6481}" uniqueName="2" name="Net sales" queryTableFieldId="2" dataDxfId="111"/>
    <tableColumn id="3" xr3:uid="{301965C7-E161-407B-B686-E01A19989611}" uniqueName="3" name="Total orders" queryTableFieldId="3" dataDxfId="110"/>
    <tableColumn id="4" xr3:uid="{E6698243-31EF-4CE3-BC3A-0C1F5B7941D0}" uniqueName="4" name="Total guests" queryTableFieldId="4" dataDxfId="109"/>
    <tableColumn id="5" xr3:uid="{A9049D5F-D1C5-41A9-A01C-CDD8E64EF0A2}" uniqueName="5" name="Date" queryTableFieldId="5" dataDxfId="108"/>
    <tableColumn id="6" xr3:uid="{A5D2C2D9-4B4D-4D24-917D-0A97E972DF4E}" uniqueName="6" name="Day of Week" queryTableFieldId="6" dataDxfId="107"/>
    <tableColumn id="7" xr3:uid="{E2950698-3BB8-4285-B09A-A4917C006C4D}" uniqueName="7" name="Week #" queryTableFieldId="7" dataDxfId="10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FAA2E25-569D-40E5-BA6F-142272ACAF26}" name="Sales_Categories__2" displayName="Sales_Categories__2" ref="Q1:AA287" tableType="queryTable" totalsRowShown="0" headerRowDxfId="105" dataDxfId="104">
  <autoFilter ref="Q1:AA287" xr:uid="{9FAA2E25-569D-40E5-BA6F-142272ACAF26}"/>
  <tableColumns count="11">
    <tableColumn id="1" xr3:uid="{1C6486B8-1462-41BF-AF40-5AD948F15B01}" uniqueName="1" name="Period" queryTableFieldId="1" dataDxfId="103"/>
    <tableColumn id="2" xr3:uid="{09991219-55AE-47F4-9201-49AF20CB0F07}" uniqueName="2" name="Week #" queryTableFieldId="2" dataDxfId="102"/>
    <tableColumn id="3" xr3:uid="{538E572B-E767-48B7-8A44-30078FDE1E64}" uniqueName="3" name="Start Date" queryTableFieldId="3" dataDxfId="101"/>
    <tableColumn id="4" xr3:uid="{37B4ED1B-B20A-44C6-BD3F-FB9F7AEE6FC3}" uniqueName="4" name="End Date" queryTableFieldId="4" dataDxfId="100"/>
    <tableColumn id="5" xr3:uid="{FFAE016A-A2E4-4FFC-A272-4741EAD187B8}" uniqueName="5" name="Sales category" queryTableFieldId="5" dataDxfId="99"/>
    <tableColumn id="6" xr3:uid="{25BE3571-C1BF-4C1D-9823-D2F6C9FEF9A5}" uniqueName="6" name="Items" queryTableFieldId="6" dataDxfId="98"/>
    <tableColumn id="7" xr3:uid="{32FE115B-527E-4D74-8C25-0A045DDBFAA6}" uniqueName="7" name="Net sales" queryTableFieldId="7" dataDxfId="97"/>
    <tableColumn id="8" xr3:uid="{A0A9E6E5-FB16-4816-A6FB-984944791A23}" uniqueName="8" name="Discount amount" queryTableFieldId="8" dataDxfId="96"/>
    <tableColumn id="9" xr3:uid="{19AE1C15-3F52-4668-9632-F3C59A097253}" uniqueName="9" name="Refund amount" queryTableFieldId="9" dataDxfId="95"/>
    <tableColumn id="10" xr3:uid="{881C63DD-913E-43BB-8977-BB1265047FF2}" uniqueName="10" name="Gross sales" queryTableFieldId="10" dataDxfId="94"/>
    <tableColumn id="11" xr3:uid="{0E354219-B381-4EEC-83A1-B3BDEE352355}" uniqueName="11" name="Tax amount" queryTableFieldId="11" dataDxfId="9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A1DFE2A-98CA-48A9-916A-40F890C58B76}" name="Brunch__2" displayName="Brunch__2" ref="A1:G182" tableType="queryTable" totalsRowShown="0" headerRowDxfId="92" dataDxfId="91">
  <autoFilter ref="A1:G182" xr:uid="{CA1DFE2A-98CA-48A9-916A-40F890C58B76}"/>
  <tableColumns count="7">
    <tableColumn id="1" xr3:uid="{73399603-A37D-4897-B898-729753311B5A}" uniqueName="1" name="yyyyMMdd" queryTableFieldId="1" dataDxfId="90"/>
    <tableColumn id="2" xr3:uid="{01F562EE-B124-47EC-AB58-C9A7CC7B0A38}" uniqueName="2" name="Net sales" queryTableFieldId="2" dataDxfId="89"/>
    <tableColumn id="3" xr3:uid="{B058DA1E-6724-4748-B899-7DBFC5FE7032}" uniqueName="3" name="Total orders" queryTableFieldId="3" dataDxfId="88"/>
    <tableColumn id="4" xr3:uid="{DE9CEC30-901B-460F-9FB1-4FD1EFE73D7E}" uniqueName="4" name="Total guests" queryTableFieldId="4" dataDxfId="87"/>
    <tableColumn id="5" xr3:uid="{1A5BEC25-0A6C-4134-B960-BE4DB544F36E}" uniqueName="5" name="Date" queryTableFieldId="5" dataDxfId="86"/>
    <tableColumn id="6" xr3:uid="{FB8724BD-8830-4CC6-A91C-79056FF39901}" uniqueName="6" name="Day of Week" queryTableFieldId="6" dataDxfId="85"/>
    <tableColumn id="7" xr3:uid="{0C2EDC5A-3C82-4196-8BBA-F1CA2D54AD18}" uniqueName="7" name="Week #" queryTableFieldId="7" dataDxfId="84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FFCF514-AEAC-443C-BA54-881DBC7A869F}" name="Dinner__3" displayName="Dinner__3" ref="I1:O557" tableType="queryTable" totalsRowShown="0" headerRowDxfId="83" dataDxfId="82">
  <autoFilter ref="I1:O557" xr:uid="{3FFCF514-AEAC-443C-BA54-881DBC7A869F}"/>
  <tableColumns count="7">
    <tableColumn id="1" xr3:uid="{478519E4-49A0-44CA-94ED-31EEE6D36364}" uniqueName="1" name="yyyyMMdd" queryTableFieldId="1" dataDxfId="81"/>
    <tableColumn id="2" xr3:uid="{FB7D31ED-266F-45B1-973E-E161350EFEFA}" uniqueName="2" name="Net sales" queryTableFieldId="2" dataDxfId="80"/>
    <tableColumn id="3" xr3:uid="{743C431F-7BB7-417C-8F14-AE9A2ED22588}" uniqueName="3" name="Total orders" queryTableFieldId="3" dataDxfId="79"/>
    <tableColumn id="4" xr3:uid="{22C7E730-5CB6-4176-A595-A9E1CF40F938}" uniqueName="4" name="Total guests" queryTableFieldId="4" dataDxfId="78"/>
    <tableColumn id="5" xr3:uid="{1AB8D907-C411-4F17-8289-803899FFE7F3}" uniqueName="5" name="Date" queryTableFieldId="5" dataDxfId="77"/>
    <tableColumn id="6" xr3:uid="{DC3405E7-D48C-464C-B11E-2DBA5FCB6D25}" uniqueName="6" name="Day of Week" queryTableFieldId="6" dataDxfId="76"/>
    <tableColumn id="7" xr3:uid="{61AE8062-0B00-44A3-ACE1-8A9754A64AD6}" uniqueName="7" name="Week #" queryTableFieldId="7" dataDxfId="7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5509F00-6354-4DF3-A8AB-C37911CCF093}" name="Sales_Categories__3" displayName="Sales_Categories__3" ref="Q1:AA257" tableType="queryTable" totalsRowShown="0" headerRowDxfId="74" dataDxfId="73">
  <autoFilter ref="Q1:AA257" xr:uid="{55509F00-6354-4DF3-A8AB-C37911CCF093}"/>
  <tableColumns count="11">
    <tableColumn id="1" xr3:uid="{01765E62-936E-44D6-8217-BD6A187AF3EE}" uniqueName="1" name="Period" queryTableFieldId="1" dataDxfId="72"/>
    <tableColumn id="2" xr3:uid="{615FF29F-59E5-4A83-A9F9-DA6BE5D4E31F}" uniqueName="2" name="Week #" queryTableFieldId="2" dataDxfId="71"/>
    <tableColumn id="3" xr3:uid="{5FD45FFF-7050-48E9-B8CC-187BDAAD00A5}" uniqueName="3" name="Start Date" queryTableFieldId="3" dataDxfId="70"/>
    <tableColumn id="4" xr3:uid="{CB67A344-61C0-4B8F-AC91-0884CA589B87}" uniqueName="4" name="End Date" queryTableFieldId="4" dataDxfId="69"/>
    <tableColumn id="5" xr3:uid="{B0AD2F1E-35D7-41A2-829C-7D8D31BD2FB1}" uniqueName="5" name="Sales category" queryTableFieldId="5" dataDxfId="68"/>
    <tableColumn id="6" xr3:uid="{DB849F91-0CB3-4A02-88BE-B6E332B17F09}" uniqueName="6" name="Items" queryTableFieldId="6" dataDxfId="67"/>
    <tableColumn id="7" xr3:uid="{6FFEDACE-56A7-43CD-8AB1-34B67FCD8975}" uniqueName="7" name="Net sales" queryTableFieldId="7" dataDxfId="66"/>
    <tableColumn id="8" xr3:uid="{0FA8535A-3F2D-4102-9DFC-B50270FCB3D7}" uniqueName="8" name="Discount amount" queryTableFieldId="8" dataDxfId="65"/>
    <tableColumn id="9" xr3:uid="{316ECF9F-8C8B-4336-B251-449D8A24381A}" uniqueName="9" name="Refund amount" queryTableFieldId="9" dataDxfId="64"/>
    <tableColumn id="10" xr3:uid="{022EB590-1BBE-4173-82E3-A31FA9E787A7}" uniqueName="10" name="Gross sales" queryTableFieldId="10" dataDxfId="63"/>
    <tableColumn id="11" xr3:uid="{83245B71-CE8C-4A4A-A6CD-9A8E72BAF69F}" uniqueName="11" name="Tax amount" queryTableFieldId="11" dataDxfId="6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E02A075-074E-49F8-B9CD-1D7927982F0F}" name="_2026DinnerSales" displayName="_2026DinnerSales" ref="A1:G231" tableType="queryTable" totalsRowShown="0" headerRowDxfId="61" dataDxfId="60">
  <autoFilter ref="A1:G231" xr:uid="{5E02A075-074E-49F8-B9CD-1D7927982F0F}"/>
  <tableColumns count="7">
    <tableColumn id="1" xr3:uid="{83DAAC71-CA59-4C58-A149-7F3BFDBECF07}" uniqueName="1" name="yyyyMMdd" queryTableFieldId="1" dataDxfId="59"/>
    <tableColumn id="2" xr3:uid="{D3C6105F-65BA-412A-9C76-0F4ABC7B1C64}" uniqueName="2" name="Net sales" queryTableFieldId="2" dataDxfId="58"/>
    <tableColumn id="3" xr3:uid="{CDEE4DD5-49DE-435A-9CA5-B523054D8606}" uniqueName="3" name="Total orders" queryTableFieldId="3" dataDxfId="57"/>
    <tableColumn id="4" xr3:uid="{7144CDC8-BAB9-40E6-89DD-EB9B029C4FB5}" uniqueName="4" name="Total guests" queryTableFieldId="4" dataDxfId="56"/>
    <tableColumn id="5" xr3:uid="{3A9A21C5-6063-48ED-86A5-F4289D0DF727}" uniqueName="5" name="Date" queryTableFieldId="5" dataDxfId="55"/>
    <tableColumn id="6" xr3:uid="{414A6860-F3C1-4185-AF2F-5951F92B0C7B}" uniqueName="6" name="Day of Week" queryTableFieldId="6" dataDxfId="54"/>
    <tableColumn id="7" xr3:uid="{1F6997E4-5172-4D68-9228-1BE6E75D4E22}" uniqueName="7" name="Week #" queryTableFieldId="7" dataDxfId="53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5D6F629-B11A-4634-BBA2-F2406BA0ACCA}" name="_2026BrunchSales" displayName="_2026BrunchSales" ref="I1:O67" tableType="queryTable" totalsRowShown="0" headerRowDxfId="52" dataDxfId="51">
  <autoFilter ref="I1:O67" xr:uid="{C5D6F629-B11A-4634-BBA2-F2406BA0ACCA}"/>
  <tableColumns count="7">
    <tableColumn id="1" xr3:uid="{18AA80E0-1D44-43C9-8C71-622EB47CB757}" uniqueName="1" name="yyyyMMdd" queryTableFieldId="1" dataDxfId="50"/>
    <tableColumn id="2" xr3:uid="{04EB121C-A7F6-4CF4-8104-E87B9EB28583}" uniqueName="2" name="Net sales" queryTableFieldId="2" dataDxfId="49"/>
    <tableColumn id="3" xr3:uid="{CD58C0B3-71D4-44F3-98A2-1DE67752C91A}" uniqueName="3" name="Total orders" queryTableFieldId="3" dataDxfId="48"/>
    <tableColumn id="4" xr3:uid="{533B6CDC-D427-4472-8F74-01206447EF4C}" uniqueName="4" name="Total guests" queryTableFieldId="4" dataDxfId="47"/>
    <tableColumn id="5" xr3:uid="{59609705-41DC-4D5B-B189-0DDB28D50CF9}" uniqueName="5" name="Date" queryTableFieldId="5" dataDxfId="46"/>
    <tableColumn id="6" xr3:uid="{EA3E436C-2682-4E71-AC67-72281A6DA533}" uniqueName="6" name="Day of Week" queryTableFieldId="6" dataDxfId="45"/>
    <tableColumn id="7" xr3:uid="{29EEBC78-C3C4-4240-8FB3-A4CBE324433B}" uniqueName="7" name="Week #" queryTableFieldId="7" dataDxfId="4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39931A5-035C-4770-8AD0-38C7DE52F476}" name="_2026TotalSalesCat" displayName="_2026TotalSalesCat" ref="Q1:AA263" tableType="queryTable" totalsRowShown="0" headerRowDxfId="43" dataDxfId="42">
  <autoFilter ref="Q1:AA263" xr:uid="{239931A5-035C-4770-8AD0-38C7DE52F476}"/>
  <tableColumns count="11">
    <tableColumn id="1" xr3:uid="{DB8E44EF-A29C-4641-938B-E768E21583F4}" uniqueName="1" name="Period" queryTableFieldId="1" dataDxfId="41"/>
    <tableColumn id="2" xr3:uid="{600852BC-1EEB-4551-A2E1-59D4FE73696D}" uniqueName="2" name="Week #" queryTableFieldId="2" dataDxfId="40"/>
    <tableColumn id="3" xr3:uid="{06D0F472-C5CF-4691-818A-A17797CB1655}" uniqueName="3" name="Start Date" queryTableFieldId="3" dataDxfId="39"/>
    <tableColumn id="4" xr3:uid="{5402007D-8C71-4044-9502-4BE2FF8FA505}" uniqueName="4" name="End Date" queryTableFieldId="4" dataDxfId="38"/>
    <tableColumn id="5" xr3:uid="{E0177C0E-DD02-4EE0-866D-1418410EB91A}" uniqueName="5" name="Sales category" queryTableFieldId="5" dataDxfId="37"/>
    <tableColumn id="6" xr3:uid="{6489313A-4D8B-4EEC-8065-08AA6ECD4D37}" uniqueName="6" name="Items" queryTableFieldId="6" dataDxfId="36"/>
    <tableColumn id="7" xr3:uid="{51298698-370D-445A-9D04-5F73E96ECE0A}" uniqueName="7" name="Net sales" queryTableFieldId="7" dataDxfId="35"/>
    <tableColumn id="8" xr3:uid="{677E6B61-8B29-4489-84AA-4D3C2308DD17}" uniqueName="8" name="Discount amount" queryTableFieldId="8" dataDxfId="34"/>
    <tableColumn id="9" xr3:uid="{72D87C95-8316-4103-A713-2145C2E1F33C}" uniqueName="9" name="Refund amount" queryTableFieldId="9" dataDxfId="33"/>
    <tableColumn id="10" xr3:uid="{188F445E-D45C-4724-9A5F-7F03DAA517BC}" uniqueName="10" name="Gross sales" queryTableFieldId="10" dataDxfId="32"/>
    <tableColumn id="11" xr3:uid="{FAE53B97-0C98-4C2E-A739-6F5897FFB0CD}" uniqueName="11" name="Tax amount" queryTableFieldId="11" dataDxfId="3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909C5DB-35E0-4D0B-B7F5-18A5DD77A761}" name="Lounge__2" displayName="Lounge__2" ref="A1:G132" tableType="queryTable" totalsRowShown="0" headerRowDxfId="30" dataDxfId="29">
  <autoFilter ref="A1:G132" xr:uid="{0909C5DB-35E0-4D0B-B7F5-18A5DD77A761}"/>
  <tableColumns count="7">
    <tableColumn id="1" xr3:uid="{7373BDC5-60BA-4984-A6E6-4EA2B55ED95D}" uniqueName="1" name="yyyyMMdd" queryTableFieldId="1" dataDxfId="28"/>
    <tableColumn id="2" xr3:uid="{C3BC846F-30AF-432D-9448-33C238C5CD02}" uniqueName="2" name="Net sales" queryTableFieldId="2" dataDxfId="27"/>
    <tableColumn id="3" xr3:uid="{E260D67E-A910-49C2-89F8-D16613E7A712}" uniqueName="3" name="Total orders" queryTableFieldId="3" dataDxfId="26"/>
    <tableColumn id="4" xr3:uid="{52AE4FD0-403D-4E89-A125-9A6A2552C60C}" uniqueName="4" name="Total guests" queryTableFieldId="4" dataDxfId="25"/>
    <tableColumn id="5" xr3:uid="{548896EF-A75D-4962-8979-4F75C56CB5B9}" uniqueName="5" name="Date" queryTableFieldId="5" dataDxfId="24"/>
    <tableColumn id="6" xr3:uid="{26F41C8F-01CA-401D-83B7-CBCE3F9316AD}" uniqueName="6" name="Day of Week" queryTableFieldId="6" dataDxfId="23"/>
    <tableColumn id="7" xr3:uid="{DE91FDE9-ED57-445C-BEE3-22EF570ED93C}" uniqueName="7" name="Week #" queryTableFieldId="7" dataDxfId="2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9477044-5D46-4959-9532-01BDEBAB3264}" name="MM__2" displayName="MM__2" ref="I1:O87" tableType="queryTable" totalsRowShown="0" headerRowDxfId="21" dataDxfId="20">
  <autoFilter ref="I1:O87" xr:uid="{69477044-5D46-4959-9532-01BDEBAB3264}"/>
  <tableColumns count="7">
    <tableColumn id="1" xr3:uid="{A31A51B4-95B5-4B3D-ACF5-904D768A99A8}" uniqueName="1" name="yyyyMMdd" queryTableFieldId="1" dataDxfId="19"/>
    <tableColumn id="2" xr3:uid="{1D5B53FA-888C-48B4-BF90-CD20D1A66DF7}" uniqueName="2" name="Net sales" queryTableFieldId="2" dataDxfId="18"/>
    <tableColumn id="3" xr3:uid="{3C439810-363A-4398-872F-B24DC8060572}" uniqueName="3" name="Total orders" queryTableFieldId="3" dataDxfId="17"/>
    <tableColumn id="4" xr3:uid="{2E0F3DA5-3D2E-4BD2-AAF5-E9A345BF8E9C}" uniqueName="4" name="Total guests" queryTableFieldId="4" dataDxfId="16"/>
    <tableColumn id="5" xr3:uid="{DE078662-F0CE-42B8-932C-6A126A8EFAFD}" uniqueName="5" name="Date" queryTableFieldId="5" dataDxfId="15"/>
    <tableColumn id="6" xr3:uid="{2E97FD14-CC0F-4FC9-BB88-0B9AA390DDBC}" uniqueName="6" name="Day of Week" queryTableFieldId="6" dataDxfId="14"/>
    <tableColumn id="7" xr3:uid="{610A985D-D2CD-4EDA-B41E-2DEF7AC97435}" uniqueName="7" name="Week #" queryTableFieldId="7" dataDxfId="1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31E383D-7E85-46A9-B8E9-4D21A50CD66F}" name="Sales_Categories__4" displayName="Sales_Categories__4" ref="Q1:AA277" tableType="queryTable" totalsRowShown="0" headerRowDxfId="12" dataDxfId="11">
  <autoFilter ref="Q1:AA277" xr:uid="{B31E383D-7E85-46A9-B8E9-4D21A50CD66F}"/>
  <tableColumns count="11">
    <tableColumn id="1" xr3:uid="{0EAD175E-F754-4D0D-AFA0-2036CE227BC4}" uniqueName="1" name="Period" queryTableFieldId="1" dataDxfId="10"/>
    <tableColumn id="2" xr3:uid="{9D9B8474-F2A5-4E16-B8C8-D71691DCC3E7}" uniqueName="2" name="Week #" queryTableFieldId="2" dataDxfId="9"/>
    <tableColumn id="3" xr3:uid="{314C6C2F-664D-4B63-8EAB-C4E3117A4961}" uniqueName="3" name="Start Date" queryTableFieldId="3" dataDxfId="8"/>
    <tableColumn id="4" xr3:uid="{CBDFFD9F-0D71-4F93-BBCE-0E071C4596FD}" uniqueName="4" name="End Date" queryTableFieldId="4" dataDxfId="7"/>
    <tableColumn id="5" xr3:uid="{B243AA43-125F-4541-BB38-8CF929E6671A}" uniqueName="5" name="Sales category" queryTableFieldId="5" dataDxfId="6"/>
    <tableColumn id="6" xr3:uid="{C010455F-F68B-4E4B-9A18-2FE534855938}" uniqueName="6" name="Items" queryTableFieldId="6" dataDxfId="5"/>
    <tableColumn id="7" xr3:uid="{2467BECE-5895-444C-8AB1-EF02EDD88632}" uniqueName="7" name="Net sales" queryTableFieldId="7" dataDxfId="4"/>
    <tableColumn id="8" xr3:uid="{489F1695-4C70-4653-9A46-6A593CFBF06B}" uniqueName="8" name="Discount amount" queryTableFieldId="8" dataDxfId="3"/>
    <tableColumn id="9" xr3:uid="{AC32DAD3-E438-446E-9C95-0E0700C28F2F}" uniqueName="9" name="Refund amount" queryTableFieldId="9" dataDxfId="2"/>
    <tableColumn id="10" xr3:uid="{69B395EF-1447-4F8D-8FAB-9CD69109A9C9}" uniqueName="10" name="Gross sales" queryTableFieldId="10" dataDxfId="1"/>
    <tableColumn id="11" xr3:uid="{FA59DF13-A58E-4A13-9E76-B32B7E9DB751}" uniqueName="11" name="Tax amount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B8645C-5D67-470B-83D9-0933E52F076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3077599-47fa-4a6f-b5ab-fce88146c11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4" Type="http://schemas.openxmlformats.org/officeDocument/2006/relationships/table" Target="../tables/table14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5AA3-BEAA-4E47-BC1F-1E3CE50DCA5F}">
  <sheetPr>
    <tabColor rgb="FF00B0F0"/>
    <pageSetUpPr fitToPage="1"/>
  </sheetPr>
  <dimension ref="B2:BG238"/>
  <sheetViews>
    <sheetView workbookViewId="0"/>
  </sheetViews>
  <sheetFormatPr defaultColWidth="10.7109375" defaultRowHeight="15" outlineLevelRow="1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7" width="14.5703125" style="5" customWidth="1" outlineLevel="1"/>
    <col min="8" max="8" width="5.5703125" style="5" customWidth="1" outlineLevel="1"/>
    <col min="9" max="9" width="14.5703125" style="5" customWidth="1" outlineLevel="1"/>
    <col min="10" max="10" width="5.5703125" style="5" customWidth="1" outlineLevel="1"/>
    <col min="11" max="11" width="14.5703125" style="5" customWidth="1" outlineLevel="1"/>
    <col min="12" max="12" width="5.5703125" style="5" customWidth="1" outlineLevel="1"/>
    <col min="13" max="13" width="14.5703125" style="5" customWidth="1" outlineLevel="1"/>
    <col min="14" max="14" width="5.5703125" style="5" customWidth="1" outlineLevel="1"/>
    <col min="15" max="15" width="14.5703125" style="5" customWidth="1" outlineLevel="1"/>
    <col min="16" max="16" width="6.28515625" style="5" bestFit="1" customWidth="1" outlineLevel="1"/>
    <col min="17" max="18" width="2.28515625" style="5" customWidth="1" outlineLevel="1"/>
    <col min="19" max="19" width="17.42578125" style="5" customWidth="1"/>
    <col min="20" max="20" width="15.7109375" style="5" customWidth="1"/>
    <col min="21" max="21" width="6.7109375" style="5" customWidth="1"/>
    <col min="22" max="22" width="15.42578125" style="5" customWidth="1"/>
    <col min="23" max="23" width="6.7109375" style="5" customWidth="1"/>
    <col min="24" max="24" width="16.42578125" style="5" customWidth="1"/>
    <col min="25" max="25" width="6.5703125" style="5" customWidth="1"/>
    <col min="26" max="26" width="16.28515625" style="5" customWidth="1"/>
    <col min="27" max="27" width="6.7109375" style="5" customWidth="1"/>
    <col min="28" max="28" width="16.5703125" style="5" customWidth="1"/>
    <col min="29" max="29" width="6.5703125" style="5" customWidth="1"/>
    <col min="30" max="30" width="2" style="5" customWidth="1"/>
    <col min="31" max="31" width="11.7109375" style="5" bestFit="1" customWidth="1"/>
    <col min="32" max="32" width="8.42578125" style="5" customWidth="1"/>
    <col min="33" max="33" width="11" style="5" bestFit="1" customWidth="1"/>
    <col min="34" max="34" width="8.42578125" style="5" customWidth="1"/>
    <col min="35" max="35" width="2" style="5" customWidth="1"/>
    <col min="36" max="36" width="10.7109375" style="5"/>
    <col min="37" max="37" width="5" style="5" hidden="1" customWidth="1" outlineLevel="1"/>
    <col min="38" max="38" width="10.7109375" style="5" hidden="1" customWidth="1" outlineLevel="1"/>
    <col min="39" max="39" width="24.28515625" style="5" hidden="1" customWidth="1" outlineLevel="1"/>
    <col min="40" max="43" width="16.7109375" style="5" hidden="1" customWidth="1" outlineLevel="1"/>
    <col min="44" max="44" width="4.5703125" style="5" hidden="1" customWidth="1" outlineLevel="1"/>
    <col min="45" max="45" width="10.7109375" style="5" collapsed="1"/>
    <col min="46" max="46" width="6.5703125" style="5" customWidth="1"/>
    <col min="47" max="47" width="28.28515625" style="5" hidden="1" customWidth="1" outlineLevel="1"/>
    <col min="48" max="48" width="10.7109375" style="5" hidden="1" customWidth="1" outlineLevel="1"/>
    <col min="49" max="49" width="15.28515625" style="5" hidden="1" customWidth="1" outlineLevel="1"/>
    <col min="50" max="50" width="14.28515625" style="5" hidden="1" customWidth="1" outlineLevel="1"/>
    <col min="51" max="51" width="16.28515625" style="5" hidden="1" customWidth="1" outlineLevel="1"/>
    <col min="52" max="52" width="14.28515625" style="5" hidden="1" customWidth="1" outlineLevel="1"/>
    <col min="53" max="53" width="8.7109375" style="5" hidden="1" customWidth="1" outlineLevel="1"/>
    <col min="54" max="54" width="10.7109375" style="5" hidden="1" customWidth="1" outlineLevel="1"/>
    <col min="55" max="55" width="12.7109375" style="5" hidden="1" customWidth="1" outlineLevel="1"/>
    <col min="56" max="56" width="10.7109375" style="5" hidden="1" customWidth="1" outlineLevel="1"/>
    <col min="57" max="57" width="12.7109375" style="5" hidden="1" customWidth="1" outlineLevel="1"/>
    <col min="58" max="58" width="10.7109375" style="5" hidden="1" customWidth="1" outlineLevel="1"/>
    <col min="59" max="59" width="10.7109375" style="5" collapsed="1"/>
    <col min="60" max="16384" width="10.7109375" style="5"/>
  </cols>
  <sheetData>
    <row r="2" spans="2:58" ht="28.5">
      <c r="D2" s="399" t="str">
        <f>CONCATENATE("Riviera Dining Group - Profit &amp; Loss",)</f>
        <v>Riviera Dining Group - Profit &amp; Loss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0"/>
      <c r="X2" s="400"/>
      <c r="Y2" s="400"/>
      <c r="Z2" s="400"/>
      <c r="AA2" s="400"/>
      <c r="AB2" s="400"/>
      <c r="AC2" s="400"/>
      <c r="AD2" s="400"/>
      <c r="AE2" s="400"/>
      <c r="AF2" s="400"/>
      <c r="AG2" s="400"/>
      <c r="AH2" s="400"/>
      <c r="AI2" s="400"/>
      <c r="AK2" s="395" t="s">
        <v>0</v>
      </c>
      <c r="AL2" s="396"/>
      <c r="AM2" s="396"/>
      <c r="AN2" s="396"/>
      <c r="AO2" s="396"/>
      <c r="AP2" s="396"/>
      <c r="AQ2" s="396"/>
      <c r="AR2" s="396"/>
      <c r="AU2" s="395" t="s">
        <v>1</v>
      </c>
      <c r="AV2" s="396"/>
      <c r="AW2" s="396"/>
      <c r="AX2" s="396"/>
      <c r="AY2" s="396"/>
      <c r="AZ2" s="396"/>
      <c r="BA2" s="396"/>
      <c r="BB2" s="396"/>
      <c r="BC2" s="396"/>
      <c r="BD2" s="396"/>
      <c r="BE2" s="396"/>
      <c r="BF2" s="396"/>
    </row>
    <row r="3" spans="2:58" ht="14.65" hidden="1" customHeight="1" outlineLevel="1">
      <c r="D3" s="92" t="e">
        <f>CONCATENATE(E3," ",F3)</f>
        <v>#REF!</v>
      </c>
      <c r="E3" s="54" t="s">
        <v>2</v>
      </c>
      <c r="F3" s="93" t="e">
        <f>+#REF!</f>
        <v>#REF!</v>
      </c>
      <c r="X3" s="93" t="e">
        <f>+#REF!</f>
        <v>#REF!</v>
      </c>
      <c r="Y3" s="93"/>
    </row>
    <row r="4" spans="2:58" ht="14.65" hidden="1" customHeight="1" outlineLevel="1">
      <c r="B4" s="6" t="s">
        <v>3</v>
      </c>
      <c r="C4" s="6" t="s">
        <v>4</v>
      </c>
      <c r="D4" s="92" t="e">
        <f>CONCATENATE(E4," ",F4)</f>
        <v>#REF!</v>
      </c>
      <c r="E4" s="54" t="s">
        <v>2</v>
      </c>
      <c r="F4" s="5" t="e">
        <f>+F3+1</f>
        <v>#REF!</v>
      </c>
      <c r="X4" s="5" t="e">
        <f>+X3+1</f>
        <v>#REF!</v>
      </c>
    </row>
    <row r="5" spans="2:58" ht="14.65" hidden="1" customHeight="1" outlineLevel="1">
      <c r="B5" s="6" t="s">
        <v>3</v>
      </c>
      <c r="C5" s="6" t="s">
        <v>5</v>
      </c>
      <c r="D5" s="92" t="e">
        <f>CONCATENATE(E5," ",F5)</f>
        <v>#REF!</v>
      </c>
      <c r="E5" s="54" t="s">
        <v>2</v>
      </c>
      <c r="F5" s="5" t="e">
        <f t="shared" ref="F5:F7" si="0">+F4+1</f>
        <v>#REF!</v>
      </c>
      <c r="X5" s="5" t="e">
        <f t="shared" ref="X5:X7" si="1">+X4+1</f>
        <v>#REF!</v>
      </c>
    </row>
    <row r="6" spans="2:58" ht="14.65" hidden="1" customHeight="1" outlineLevel="1">
      <c r="B6" s="6" t="s">
        <v>3</v>
      </c>
      <c r="C6" s="6" t="s">
        <v>5</v>
      </c>
      <c r="D6" s="92" t="e">
        <f>CONCATENATE(E6," ",F6)</f>
        <v>#REF!</v>
      </c>
      <c r="E6" s="54" t="s">
        <v>2</v>
      </c>
      <c r="F6" s="5" t="e">
        <f t="shared" si="0"/>
        <v>#REF!</v>
      </c>
      <c r="X6" s="5" t="e">
        <f t="shared" si="1"/>
        <v>#REF!</v>
      </c>
    </row>
    <row r="7" spans="2:58" ht="14.65" hidden="1" customHeight="1" outlineLevel="1">
      <c r="B7" s="6" t="s">
        <v>3</v>
      </c>
      <c r="C7" s="6" t="s">
        <v>5</v>
      </c>
      <c r="D7" s="92" t="e">
        <f>CONCATENATE(E7," ",F7)</f>
        <v>#REF!</v>
      </c>
      <c r="E7" s="54" t="s">
        <v>2</v>
      </c>
      <c r="F7" s="5" t="e">
        <f t="shared" si="0"/>
        <v>#REF!</v>
      </c>
      <c r="X7" s="5" t="e">
        <f t="shared" si="1"/>
        <v>#REF!</v>
      </c>
    </row>
    <row r="8" spans="2:58" collapsed="1">
      <c r="B8" s="6" t="s">
        <v>3</v>
      </c>
      <c r="C8" s="6" t="s">
        <v>5</v>
      </c>
    </row>
    <row r="9" spans="2:58" ht="15.75">
      <c r="B9" s="6" t="e">
        <f>VLOOKUP($D9,'[3]REF #'!$C:$E,2,FALSE)</f>
        <v>#REF!</v>
      </c>
      <c r="C9" s="7" t="e">
        <f>VLOOKUP($D9,'[3]REF #'!$C:$E,3,FALSE)</f>
        <v>#REF!</v>
      </c>
      <c r="D9" s="52" t="e">
        <f>+#REF!</f>
        <v>#REF!</v>
      </c>
      <c r="F9" s="397" t="s">
        <v>6</v>
      </c>
      <c r="G9" s="397"/>
      <c r="H9" s="397"/>
      <c r="I9" s="397"/>
      <c r="J9" s="397"/>
      <c r="K9" s="397"/>
      <c r="L9" s="397"/>
      <c r="M9" s="397"/>
      <c r="N9" s="397"/>
      <c r="O9" s="397"/>
      <c r="P9" s="397"/>
      <c r="Q9" s="397"/>
      <c r="R9" s="397"/>
      <c r="S9" s="397"/>
      <c r="T9" s="397"/>
      <c r="U9" s="397"/>
      <c r="V9" s="397"/>
      <c r="W9" s="94"/>
      <c r="X9" s="401" t="s">
        <v>7</v>
      </c>
      <c r="Y9" s="401"/>
      <c r="Z9" s="401"/>
      <c r="AA9" s="401"/>
      <c r="AB9" s="401"/>
      <c r="AC9" s="401"/>
      <c r="AD9" s="401"/>
      <c r="AE9" s="401"/>
      <c r="AF9" s="401"/>
      <c r="AG9" s="401"/>
      <c r="AH9" s="401"/>
      <c r="AI9" s="71"/>
      <c r="AK9" s="398" t="e">
        <f>+D3</f>
        <v>#REF!</v>
      </c>
      <c r="AL9" s="398"/>
      <c r="AM9" s="398" t="e">
        <f>+D4</f>
        <v>#REF!</v>
      </c>
      <c r="AN9" s="398"/>
      <c r="AO9" s="398" t="e">
        <f>+D5</f>
        <v>#REF!</v>
      </c>
      <c r="AP9" s="398"/>
      <c r="AQ9" s="398" t="e">
        <f>+D6</f>
        <v>#REF!</v>
      </c>
      <c r="AR9" s="398"/>
      <c r="AU9" s="398" t="e">
        <f>+D3</f>
        <v>#REF!</v>
      </c>
      <c r="AV9" s="398"/>
      <c r="AW9" s="398"/>
      <c r="AX9" s="398"/>
      <c r="AY9" s="398" t="e">
        <f>+D4</f>
        <v>#REF!</v>
      </c>
      <c r="AZ9" s="398"/>
      <c r="BA9" s="398"/>
      <c r="BB9" s="398"/>
      <c r="BC9" s="398" t="e">
        <f>+D5</f>
        <v>#REF!</v>
      </c>
      <c r="BD9" s="398"/>
      <c r="BE9" s="398"/>
      <c r="BF9" s="398"/>
    </row>
    <row r="10" spans="2:58" ht="15.75">
      <c r="B10" s="6"/>
      <c r="C10" s="7"/>
      <c r="D10" s="52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2:58" s="56" customFormat="1" ht="15.75">
      <c r="B11" s="66"/>
      <c r="D11" s="67"/>
      <c r="E11" s="9"/>
      <c r="F11" s="394" t="s">
        <v>8</v>
      </c>
      <c r="G11" s="394"/>
      <c r="H11" s="67"/>
      <c r="I11" s="394" t="s">
        <v>9</v>
      </c>
      <c r="J11" s="394"/>
      <c r="K11" s="394"/>
      <c r="L11" s="67"/>
      <c r="M11" s="394" t="s">
        <v>10</v>
      </c>
      <c r="N11" s="394"/>
      <c r="O11" s="394"/>
      <c r="P11" s="67"/>
      <c r="Q11" s="394" t="s">
        <v>11</v>
      </c>
      <c r="R11" s="394"/>
      <c r="S11" s="394"/>
      <c r="T11" s="10"/>
      <c r="U11" s="9"/>
      <c r="X11" s="394" t="s">
        <v>12</v>
      </c>
      <c r="Y11" s="394"/>
      <c r="Z11" s="394"/>
      <c r="AA11" s="67"/>
      <c r="AB11" s="394" t="s">
        <v>13</v>
      </c>
      <c r="AC11" s="394"/>
      <c r="AD11" s="394"/>
      <c r="AE11" s="394" t="s">
        <v>10</v>
      </c>
      <c r="AF11" s="394"/>
      <c r="AG11" s="394" t="s">
        <v>14</v>
      </c>
      <c r="AH11" s="394"/>
      <c r="AI11" s="10"/>
      <c r="AK11" s="393" t="s">
        <v>15</v>
      </c>
      <c r="AL11" s="393"/>
      <c r="AM11" s="393" t="s">
        <v>15</v>
      </c>
      <c r="AN11" s="393"/>
      <c r="AO11" s="393" t="s">
        <v>15</v>
      </c>
      <c r="AP11" s="393"/>
      <c r="AQ11" s="393" t="s">
        <v>15</v>
      </c>
      <c r="AR11" s="393"/>
      <c r="AU11" s="394">
        <v>2023</v>
      </c>
      <c r="AV11" s="394"/>
      <c r="AW11" s="393" t="s">
        <v>15</v>
      </c>
      <c r="AX11" s="393"/>
      <c r="AY11" s="394">
        <v>2023</v>
      </c>
      <c r="AZ11" s="394"/>
      <c r="BA11" s="393" t="s">
        <v>15</v>
      </c>
      <c r="BB11" s="393"/>
      <c r="BC11" s="394">
        <v>2023</v>
      </c>
      <c r="BD11" s="394"/>
      <c r="BE11" s="393" t="s">
        <v>15</v>
      </c>
      <c r="BF11" s="393"/>
    </row>
    <row r="12" spans="2:58" ht="15.75">
      <c r="B12" s="6"/>
      <c r="D12" s="8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0"/>
      <c r="U12" s="9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0"/>
      <c r="AK12" s="11"/>
      <c r="AL12" s="11"/>
      <c r="AM12" s="11"/>
      <c r="AN12" s="11"/>
      <c r="AO12" s="11"/>
      <c r="AP12" s="11"/>
      <c r="AQ12" s="11"/>
      <c r="AR12" s="11"/>
      <c r="AU12" s="8"/>
      <c r="AV12" s="8"/>
      <c r="AW12" s="11"/>
      <c r="AX12" s="11"/>
      <c r="AY12" s="8"/>
      <c r="AZ12" s="8"/>
      <c r="BA12" s="11"/>
      <c r="BB12" s="11"/>
      <c r="BC12" s="8"/>
      <c r="BD12" s="8"/>
      <c r="BE12" s="11"/>
      <c r="BF12" s="11"/>
    </row>
    <row r="13" spans="2:58" ht="17.25">
      <c r="B13" s="12" t="s">
        <v>16</v>
      </c>
      <c r="D13" s="13" t="s">
        <v>17</v>
      </c>
      <c r="E13" s="14"/>
      <c r="F13" s="15" t="e">
        <f>SUMIFS(#REF!,#REF!,$B$13)</f>
        <v>#REF!</v>
      </c>
      <c r="G13" s="16">
        <f>IFERROR(F13/F13,0)</f>
        <v>0</v>
      </c>
      <c r="H13" s="16"/>
      <c r="I13" s="15" t="e">
        <f>SUMIFS(#REF!,#REF!,$B$13)</f>
        <v>#REF!</v>
      </c>
      <c r="J13" s="15"/>
      <c r="K13" s="16">
        <f>IFERROR(I13/I13,0)</f>
        <v>0</v>
      </c>
      <c r="L13" s="16"/>
      <c r="M13" s="15" t="e">
        <f>SUMIFS(#REF!,#REF!,$B$13)</f>
        <v>#REF!</v>
      </c>
      <c r="N13" s="15"/>
      <c r="O13" s="16">
        <f>IFERROR(M13/M13,0)</f>
        <v>0</v>
      </c>
      <c r="P13" s="16"/>
      <c r="Q13" s="15" t="e">
        <f>SUMIFS(#REF!,#REF!,$B$13)</f>
        <v>#REF!</v>
      </c>
      <c r="R13" s="15"/>
      <c r="S13" s="16">
        <f>IFERROR(Q13/Q13,0)</f>
        <v>0</v>
      </c>
      <c r="T13" s="17"/>
      <c r="U13" s="14"/>
      <c r="X13" s="15" t="e">
        <f>SUMIFS(#REF!,#REF!,'RDG Weekly'!Q13)</f>
        <v>#REF!</v>
      </c>
      <c r="Y13" s="15"/>
      <c r="Z13" s="16">
        <f>IFERROR(X13/X13,0)</f>
        <v>0</v>
      </c>
      <c r="AA13" s="16"/>
      <c r="AB13" s="15" t="e">
        <f>SUMIFS(#REF!,#REF!,'RDG Weekly'!Q13)</f>
        <v>#REF!</v>
      </c>
      <c r="AC13" s="15"/>
      <c r="AD13" s="16">
        <f>IFERROR(AB13/AB13,0)</f>
        <v>0</v>
      </c>
      <c r="AE13" s="15" t="e">
        <f>SUMIFS(#REF!,#REF!,'RDG Weekly'!Q13)</f>
        <v>#REF!</v>
      </c>
      <c r="AF13" s="16">
        <f>IFERROR(AE13/AE13,0)</f>
        <v>0</v>
      </c>
      <c r="AG13" s="15" t="e">
        <f>SUMIFS(#REF!,#REF!,'RDG Weekly'!Q13)</f>
        <v>#REF!</v>
      </c>
      <c r="AH13" s="16">
        <f>IFERROR(AG13/AG13,0)</f>
        <v>0</v>
      </c>
      <c r="AI13" s="17"/>
      <c r="AJ13" s="91"/>
      <c r="AK13" s="18" t="e">
        <f>VLOOKUP(D3,#REF!,2,FALSE)</f>
        <v>#REF!</v>
      </c>
      <c r="AL13" s="19">
        <f>IFERROR(AK13/AK13,0)</f>
        <v>0</v>
      </c>
      <c r="AM13" s="18" t="e">
        <f>VLOOKUP(D4,#REF!,2,FALSE)</f>
        <v>#REF!</v>
      </c>
      <c r="AN13" s="19">
        <f>IFERROR(AM13/AM13,0)</f>
        <v>0</v>
      </c>
      <c r="AO13" s="18" t="e">
        <f>VLOOKUP(D5,#REF!,2,FALSE)</f>
        <v>#REF!</v>
      </c>
      <c r="AP13" s="19">
        <f>IFERROR(AO13/AO13,0)</f>
        <v>0</v>
      </c>
      <c r="AQ13" s="18" t="e">
        <f>VLOOKUP(D6,#REF!,2,FALSE)</f>
        <v>#REF!</v>
      </c>
      <c r="AR13" s="19">
        <f>IFERROR(AQ13/AQ13,0)</f>
        <v>0</v>
      </c>
      <c r="AU13" s="15" t="e">
        <f>SUMIFS($F$13:$F$34,$D$13:$D$34,D13)</f>
        <v>#REF!</v>
      </c>
      <c r="AV13" s="16">
        <f>IFERROR(AU13/AU13,0)</f>
        <v>0</v>
      </c>
      <c r="AW13" s="18" t="e">
        <f>+AK13</f>
        <v>#REF!</v>
      </c>
      <c r="AX13" s="19">
        <f>IFERROR(AW13/AW13,0)</f>
        <v>0</v>
      </c>
      <c r="AY13" s="15" t="e">
        <f>SUMIFS($I$13:$I$34,$D$13:$D$34,D13)+SUMIFS($AU$13:$AU$34,$D$13:$D$34,D13)</f>
        <v>#REF!</v>
      </c>
      <c r="AZ13" s="16">
        <f>IFERROR(AY13/AY13,0)</f>
        <v>0</v>
      </c>
      <c r="BA13" s="18" t="e">
        <f>SUMIFS($AM$13:$AM$34,$D$13:$D$34,D13)+SUMIFS($AW$13:$AW$34,$D$13:$D$34,D13)</f>
        <v>#REF!</v>
      </c>
      <c r="BB13" s="19">
        <f>IFERROR(BA13/BA13,0)</f>
        <v>0</v>
      </c>
      <c r="BC13" s="15" t="e">
        <f>SUMIFS($M$13:$M$34,$D$13:$D$34,D13)+SUMIFS($AY$13:$AY$34,$D$13:$D$34,D13)</f>
        <v>#REF!</v>
      </c>
      <c r="BD13" s="16">
        <f>IFERROR(BC13/BC13,0)</f>
        <v>0</v>
      </c>
      <c r="BE13" s="18" t="e">
        <f>SUMIFS($AO$13:$AO$34,$D$13:$D$34,D13)+SUMIFS($BA$13:$BA$34,$D$13:$D$34,D13)</f>
        <v>#REF!</v>
      </c>
      <c r="BF13" s="19">
        <f>IFERROR(BE13/BE13,0)</f>
        <v>0</v>
      </c>
    </row>
    <row r="14" spans="2:58" ht="17.25">
      <c r="B14" s="20" t="s">
        <v>18</v>
      </c>
      <c r="D14" s="21" t="s">
        <v>19</v>
      </c>
      <c r="E14" s="22"/>
      <c r="F14" s="21" t="e">
        <f>SUMIFS(#REF!,#REF!,'RDG Weekly'!$B$14)+SUMIFS(#REF!,#REF!,'RDG Weekly'!$B$15)+SUMIFS(#REF!,#REF!,'RDG Weekly'!$B$16)</f>
        <v>#REF!</v>
      </c>
      <c r="G14" s="23">
        <f>IFERROR(F14/F13,0)</f>
        <v>0</v>
      </c>
      <c r="H14" s="23"/>
      <c r="I14" s="21" t="e">
        <f>SUMIFS(#REF!,#REF!,'RDG Weekly'!$B$14)+SUMIFS(#REF!,#REF!,'RDG Weekly'!$B$15)+SUMIFS(#REF!,#REF!,'RDG Weekly'!$B$16)</f>
        <v>#REF!</v>
      </c>
      <c r="J14" s="21"/>
      <c r="K14" s="23">
        <f>IFERROR(I14/I13,0)</f>
        <v>0</v>
      </c>
      <c r="L14" s="23"/>
      <c r="M14" s="21" t="e">
        <f>SUMIFS(#REF!,#REF!,'RDG Weekly'!$B$14)+SUMIFS(#REF!,#REF!,'RDG Weekly'!$B$15)+SUMIFS(#REF!,#REF!,'RDG Weekly'!$B$16)</f>
        <v>#REF!</v>
      </c>
      <c r="N14" s="21"/>
      <c r="O14" s="23">
        <f>IFERROR(M14/M13,0)</f>
        <v>0</v>
      </c>
      <c r="P14" s="23"/>
      <c r="Q14" s="21" t="e">
        <f>SUMIFS(#REF!,#REF!,'RDG Weekly'!$B$14)+SUMIFS(#REF!,#REF!,'RDG Weekly'!$B$15)+SUMIFS(#REF!,#REF!,'RDG Weekly'!$B$16)</f>
        <v>#REF!</v>
      </c>
      <c r="R14" s="21"/>
      <c r="S14" s="23">
        <f>IFERROR(Q14/Q13,0)</f>
        <v>0</v>
      </c>
      <c r="T14" s="24"/>
      <c r="U14" s="22"/>
      <c r="X14" s="21" t="e">
        <f>SUMIFS(#REF!,#REF!,'RDG Weekly'!Q14)+SUMIFS(#REF!,#REF!,'RDG Weekly'!Q15)+SUMIFS(#REF!,#REF!,'RDG Weekly'!Q16)</f>
        <v>#REF!</v>
      </c>
      <c r="Y14" s="21"/>
      <c r="Z14" s="23">
        <f>IFERROR(X14/X13,0)</f>
        <v>0</v>
      </c>
      <c r="AA14" s="23"/>
      <c r="AB14" s="21" t="e">
        <f>SUMIFS(#REF!,#REF!,'RDG Weekly'!Q14)+SUMIFS(#REF!,#REF!,'RDG Weekly'!Q15)+SUMIFS(#REF!,#REF!,'RDG Weekly'!Q16)</f>
        <v>#REF!</v>
      </c>
      <c r="AC14" s="21"/>
      <c r="AD14" s="23">
        <f>IFERROR(AB14/AB13,0)</f>
        <v>0</v>
      </c>
      <c r="AE14" s="21" t="e">
        <f>SUMIFS(#REF!,#REF!,'RDG Weekly'!Q14)+SUMIFS(#REF!,#REF!,'RDG Weekly'!Q15)+SUMIFS(#REF!,#REF!,'RDG Weekly'!Q16)</f>
        <v>#REF!</v>
      </c>
      <c r="AF14" s="23">
        <f>IFERROR(AE14/AE13,0)</f>
        <v>0</v>
      </c>
      <c r="AG14" s="21" t="e">
        <f>SUMIFS(#REF!,#REF!,'RDG Weekly'!Q14)+SUMIFS(#REF!,#REF!,'RDG Weekly'!Q15)+SUMIFS(#REF!,#REF!,'RDG Weekly'!Q16)</f>
        <v>#REF!</v>
      </c>
      <c r="AH14" s="23">
        <f>IFERROR(AG14/AG13,0)</f>
        <v>0</v>
      </c>
      <c r="AI14" s="24"/>
      <c r="AK14" s="25" t="e">
        <f>+#REF!</f>
        <v>#REF!</v>
      </c>
      <c r="AL14" s="26">
        <f>IFERROR(AK14/AK13,0)</f>
        <v>0</v>
      </c>
      <c r="AM14" s="25" t="e">
        <f>+#REF!</f>
        <v>#REF!</v>
      </c>
      <c r="AN14" s="26">
        <f>IFERROR(AM14/AM13,0)</f>
        <v>0</v>
      </c>
      <c r="AO14" s="25" t="e">
        <f>+#REF!</f>
        <v>#REF!</v>
      </c>
      <c r="AP14" s="26">
        <f>IFERROR(AO14/AO13,0)</f>
        <v>0</v>
      </c>
      <c r="AQ14" s="25" t="e">
        <f>+AP14*AQ13</f>
        <v>#REF!</v>
      </c>
      <c r="AR14" s="26">
        <f>IFERROR(AQ14/AQ13,0)</f>
        <v>0</v>
      </c>
      <c r="AU14" s="21" t="e">
        <f>SUMIFS($F$13:$F$34,$D$13:$D$34,D14)</f>
        <v>#REF!</v>
      </c>
      <c r="AV14" s="23">
        <f>IFERROR(AU14/AU13,0)</f>
        <v>0</v>
      </c>
      <c r="AW14" s="25" t="e">
        <f>+AK14</f>
        <v>#REF!</v>
      </c>
      <c r="AX14" s="26">
        <f>IFERROR(AW14/AW13,0)</f>
        <v>0</v>
      </c>
      <c r="AY14" s="21" t="e">
        <f>SUMIFS($I$13:$I$34,$D$13:$D$34,D14)+SUMIFS($AU$13:$AU$34,$D$13:$D$34,D14)</f>
        <v>#REF!</v>
      </c>
      <c r="AZ14" s="23">
        <f>IFERROR(AY14/AY13,0)</f>
        <v>0</v>
      </c>
      <c r="BA14" s="25" t="e">
        <f>SUMIFS($AM$13:$AM$34,$D$13:$D$34,D14)+SUMIFS($AW$13:$AW$34,$D$13:$D$34,D14)</f>
        <v>#REF!</v>
      </c>
      <c r="BB14" s="26">
        <f>IFERROR(BA14/BA13,0)</f>
        <v>0</v>
      </c>
      <c r="BC14" s="21" t="e">
        <f>SUMIFS($M$13:$M$34,$D$13:$D$34,D14)+SUMIFS($AY$13:$AY$34,$D$13:$D$34,D14)</f>
        <v>#REF!</v>
      </c>
      <c r="BD14" s="23">
        <f>IFERROR(BC14/BC13,0)</f>
        <v>0</v>
      </c>
      <c r="BE14" s="25" t="e">
        <f>SUMIFS($AO$13:$AO$34,$D$13:$D$34,D14)+SUMIFS($BA$13:$BA$34,$D$13:$D$34,D14)</f>
        <v>#REF!</v>
      </c>
      <c r="BF14" s="26">
        <f>IFERROR(BE14/BE13,0)</f>
        <v>0</v>
      </c>
    </row>
    <row r="15" spans="2:58" ht="7.15" customHeight="1">
      <c r="B15" s="27" t="s">
        <v>20</v>
      </c>
      <c r="D15" s="28"/>
      <c r="E15" s="22"/>
      <c r="F15" s="21"/>
      <c r="G15" s="16"/>
      <c r="H15" s="16"/>
      <c r="I15" s="21"/>
      <c r="J15" s="21"/>
      <c r="K15" s="16"/>
      <c r="L15" s="16"/>
      <c r="M15" s="21"/>
      <c r="N15" s="21"/>
      <c r="O15" s="16"/>
      <c r="P15" s="16"/>
      <c r="Q15" s="21"/>
      <c r="R15" s="21"/>
      <c r="S15" s="16"/>
      <c r="T15" s="24"/>
      <c r="U15" s="22"/>
      <c r="X15" s="21"/>
      <c r="Y15" s="21"/>
      <c r="Z15" s="16"/>
      <c r="AA15" s="16"/>
      <c r="AB15" s="21"/>
      <c r="AC15" s="21"/>
      <c r="AD15" s="16"/>
      <c r="AE15" s="21"/>
      <c r="AF15" s="16"/>
      <c r="AG15" s="21"/>
      <c r="AH15" s="16"/>
      <c r="AI15" s="24"/>
      <c r="AK15" s="25"/>
      <c r="AL15" s="19"/>
      <c r="AM15" s="25"/>
      <c r="AN15" s="19"/>
      <c r="AO15" s="25"/>
      <c r="AP15" s="19"/>
      <c r="AQ15" s="25"/>
      <c r="AR15" s="19"/>
      <c r="AU15" s="21"/>
      <c r="AV15" s="16"/>
      <c r="AW15" s="25"/>
      <c r="AX15" s="19"/>
      <c r="AY15" s="21"/>
      <c r="AZ15" s="16"/>
      <c r="BA15" s="25"/>
      <c r="BB15" s="19"/>
      <c r="BC15" s="21"/>
      <c r="BD15" s="16"/>
      <c r="BE15" s="25"/>
      <c r="BF15" s="19"/>
    </row>
    <row r="16" spans="2:58" ht="17.25">
      <c r="B16" s="20" t="s">
        <v>21</v>
      </c>
      <c r="D16" s="87" t="s">
        <v>22</v>
      </c>
      <c r="E16" s="14"/>
      <c r="F16" s="30" t="e">
        <f>F13-F14</f>
        <v>#REF!</v>
      </c>
      <c r="G16" s="31">
        <f>IFERROR(F16/F13,0)</f>
        <v>0</v>
      </c>
      <c r="H16" s="31"/>
      <c r="I16" s="30" t="e">
        <f>I13-I14</f>
        <v>#REF!</v>
      </c>
      <c r="J16" s="30"/>
      <c r="K16" s="31">
        <f>IFERROR(I16/I13,0)</f>
        <v>0</v>
      </c>
      <c r="L16" s="31"/>
      <c r="M16" s="30" t="e">
        <f>M13-M14</f>
        <v>#REF!</v>
      </c>
      <c r="N16" s="30"/>
      <c r="O16" s="31">
        <f>IFERROR(M16/M13,0)</f>
        <v>0</v>
      </c>
      <c r="P16" s="31"/>
      <c r="Q16" s="30" t="e">
        <f>Q13-Q14</f>
        <v>#REF!</v>
      </c>
      <c r="R16" s="30"/>
      <c r="S16" s="31">
        <f>IFERROR(Q16/Q13,0)</f>
        <v>0</v>
      </c>
      <c r="T16" s="17"/>
      <c r="U16" s="14"/>
      <c r="X16" s="30" t="e">
        <f>X13-X14</f>
        <v>#REF!</v>
      </c>
      <c r="Y16" s="30"/>
      <c r="Z16" s="31">
        <f>IFERROR(X16/X13,0)</f>
        <v>0</v>
      </c>
      <c r="AA16" s="31"/>
      <c r="AB16" s="30" t="e">
        <f>AB13-AB14</f>
        <v>#REF!</v>
      </c>
      <c r="AC16" s="30"/>
      <c r="AD16" s="31">
        <f>IFERROR(AB16/AB13,0)</f>
        <v>0</v>
      </c>
      <c r="AE16" s="30" t="e">
        <f>AE13-AE14</f>
        <v>#REF!</v>
      </c>
      <c r="AF16" s="31">
        <f>IFERROR(AE16/AE13,0)</f>
        <v>0</v>
      </c>
      <c r="AG16" s="30" t="e">
        <f>AG13-AG14</f>
        <v>#REF!</v>
      </c>
      <c r="AH16" s="31">
        <f>IFERROR(AG16/AG13,0)</f>
        <v>0</v>
      </c>
      <c r="AI16" s="17"/>
      <c r="AK16" s="32" t="e">
        <f>AK13-AK14</f>
        <v>#REF!</v>
      </c>
      <c r="AL16" s="33">
        <f>IFERROR(AK16/AK13,0)</f>
        <v>0</v>
      </c>
      <c r="AM16" s="32" t="e">
        <f>AM13-AM14</f>
        <v>#REF!</v>
      </c>
      <c r="AN16" s="33">
        <f>IFERROR(AM16/AM13,0)</f>
        <v>0</v>
      </c>
      <c r="AO16" s="32" t="e">
        <f>AO13-AO14</f>
        <v>#REF!</v>
      </c>
      <c r="AP16" s="33">
        <f>IFERROR(AO16/AO13,0)</f>
        <v>0</v>
      </c>
      <c r="AQ16" s="32" t="e">
        <f>AQ13-AQ14</f>
        <v>#REF!</v>
      </c>
      <c r="AR16" s="33">
        <f>IFERROR(AQ16/AQ13,0)</f>
        <v>0</v>
      </c>
      <c r="AU16" s="30" t="e">
        <f>AU13-AU14</f>
        <v>#REF!</v>
      </c>
      <c r="AV16" s="31">
        <f>IFERROR(AU16/AU13,0)</f>
        <v>0</v>
      </c>
      <c r="AW16" s="32" t="e">
        <f>AW13-AW14</f>
        <v>#REF!</v>
      </c>
      <c r="AX16" s="33">
        <f>IFERROR(AW16/AW13,0)</f>
        <v>0</v>
      </c>
      <c r="AY16" s="30" t="e">
        <f>AY13-AY14</f>
        <v>#REF!</v>
      </c>
      <c r="AZ16" s="31">
        <f>IFERROR(AY16/AY13,0)</f>
        <v>0</v>
      </c>
      <c r="BA16" s="32" t="e">
        <f>BA13-BA14</f>
        <v>#REF!</v>
      </c>
      <c r="BB16" s="33">
        <f>IFERROR(BA16/BA13,0)</f>
        <v>0</v>
      </c>
      <c r="BC16" s="30" t="e">
        <f>BC13-BC14</f>
        <v>#REF!</v>
      </c>
      <c r="BD16" s="31">
        <f>IFERROR(BC16/BC13,0)</f>
        <v>0</v>
      </c>
      <c r="BE16" s="32" t="e">
        <f>BE13-BE14</f>
        <v>#REF!</v>
      </c>
      <c r="BF16" s="33">
        <f>IFERROR(BE16/BE13,0)</f>
        <v>0</v>
      </c>
    </row>
    <row r="17" spans="2:58" ht="11.1" customHeight="1">
      <c r="D17" s="28"/>
      <c r="E17" s="22"/>
      <c r="F17" s="21"/>
      <c r="G17" s="16"/>
      <c r="H17" s="16"/>
      <c r="I17" s="21"/>
      <c r="J17" s="21"/>
      <c r="K17" s="16"/>
      <c r="L17" s="16"/>
      <c r="M17" s="21"/>
      <c r="N17" s="21"/>
      <c r="O17" s="16"/>
      <c r="P17" s="16"/>
      <c r="Q17" s="21"/>
      <c r="R17" s="21"/>
      <c r="S17" s="16"/>
      <c r="T17" s="24"/>
      <c r="U17" s="22"/>
      <c r="X17" s="21"/>
      <c r="Y17" s="21"/>
      <c r="Z17" s="16"/>
      <c r="AA17" s="16"/>
      <c r="AB17" s="21"/>
      <c r="AC17" s="21"/>
      <c r="AD17" s="16"/>
      <c r="AE17" s="21"/>
      <c r="AF17" s="16"/>
      <c r="AG17" s="21"/>
      <c r="AH17" s="16"/>
      <c r="AI17" s="24"/>
      <c r="AK17" s="25"/>
      <c r="AL17" s="19"/>
      <c r="AM17" s="25"/>
      <c r="AN17" s="19"/>
      <c r="AO17" s="25"/>
      <c r="AP17" s="19"/>
      <c r="AQ17" s="25"/>
      <c r="AR17" s="19"/>
      <c r="AU17" s="21"/>
      <c r="AV17" s="16"/>
      <c r="AW17" s="25"/>
      <c r="AX17" s="19"/>
      <c r="AY17" s="21"/>
      <c r="AZ17" s="16"/>
      <c r="BA17" s="25"/>
      <c r="BB17" s="19"/>
      <c r="BC17" s="21"/>
      <c r="BD17" s="16"/>
      <c r="BE17" s="25"/>
      <c r="BF17" s="19"/>
    </row>
    <row r="18" spans="2:58" ht="17.25">
      <c r="B18" s="34" t="s">
        <v>23</v>
      </c>
      <c r="C18" s="34" t="s">
        <v>24</v>
      </c>
      <c r="D18" s="21" t="s">
        <v>25</v>
      </c>
      <c r="E18" s="22"/>
      <c r="F18" s="21" t="e">
        <f>+SUMIFS(#REF!,#REF!,'RDG Weekly'!B18)+SUMIFS(#REF!,#REF!,'RDG Weekly'!C18)+SUMIFS(#REF!,#REF!,'RDG Weekly'!C22)+SUMIFS(#REF!,#REF!,'RDG Weekly'!C23)</f>
        <v>#REF!</v>
      </c>
      <c r="G18" s="23">
        <f>IFERROR(F18/F13,0)</f>
        <v>0</v>
      </c>
      <c r="H18" s="23"/>
      <c r="I18" s="21" t="e">
        <f>+SUMIFS(#REF!,#REF!,'RDG Weekly'!B18)+SUMIFS(#REF!,#REF!,'RDG Weekly'!C18)+SUMIFS(#REF!,#REF!,'RDG Weekly'!C22)+SUMIFS(#REF!,#REF!,'RDG Weekly'!C23)</f>
        <v>#REF!</v>
      </c>
      <c r="J18" s="21"/>
      <c r="K18" s="23">
        <f>IFERROR(I18/I13,0)</f>
        <v>0</v>
      </c>
      <c r="L18" s="23"/>
      <c r="M18" s="21" t="e">
        <f>+SUMIFS(#REF!,#REF!,'RDG Weekly'!B18)+SUMIFS(#REF!,#REF!,'RDG Weekly'!C18)+SUMIFS(#REF!,#REF!,'RDG Weekly'!C22)+SUMIFS(#REF!,#REF!,'RDG Weekly'!C23)</f>
        <v>#REF!</v>
      </c>
      <c r="N18" s="21"/>
      <c r="O18" s="23">
        <f>IFERROR(M18/M13,0)</f>
        <v>0</v>
      </c>
      <c r="P18" s="23"/>
      <c r="Q18" s="21" t="e">
        <f>+SUMIFS(#REF!,#REF!,'RDG Weekly'!B18)+SUMIFS(#REF!,#REF!,'RDG Weekly'!C18)+SUMIFS(#REF!,#REF!,'RDG Weekly'!C22)+SUMIFS(#REF!,#REF!,'RDG Weekly'!C23)</f>
        <v>#REF!</v>
      </c>
      <c r="R18" s="21"/>
      <c r="S18" s="23">
        <f>IFERROR(Q18/Q13,0)</f>
        <v>0</v>
      </c>
      <c r="T18" s="24"/>
      <c r="U18" s="22"/>
      <c r="X18" s="21" t="e">
        <f>+SUMIFS(#REF!,#REF!,'RDG Weekly'!Q18)+SUMIFS(#REF!,#REF!,'RDG Weekly'!S18)+SUMIFS(#REF!,#REF!,'RDG Weekly'!S22)+SUMIFS(#REF!,#REF!,'RDG Weekly'!S23)</f>
        <v>#REF!</v>
      </c>
      <c r="Y18" s="21"/>
      <c r="Z18" s="23">
        <f>IFERROR(X18/X13,0)</f>
        <v>0</v>
      </c>
      <c r="AA18" s="23"/>
      <c r="AB18" s="21" t="e">
        <f>+SUMIFS(#REF!,#REF!,'RDG Weekly'!Q18)+SUMIFS(#REF!,#REF!,'RDG Weekly'!S18)+SUMIFS(#REF!,#REF!,'RDG Weekly'!S22)+SUMIFS(#REF!,#REF!,'RDG Weekly'!S23)</f>
        <v>#REF!</v>
      </c>
      <c r="AC18" s="21"/>
      <c r="AD18" s="23">
        <f>IFERROR(AB18/AB13,0)</f>
        <v>0</v>
      </c>
      <c r="AE18" s="21" t="e">
        <f>+SUMIFS(#REF!,#REF!,'RDG Weekly'!Q18)+SUMIFS(#REF!,#REF!,'RDG Weekly'!S18)+SUMIFS(#REF!,#REF!,'RDG Weekly'!S22)+SUMIFS(#REF!,#REF!,'RDG Weekly'!S23)</f>
        <v>#REF!</v>
      </c>
      <c r="AF18" s="23">
        <f>IFERROR(AE18/AE13,0)</f>
        <v>0</v>
      </c>
      <c r="AG18" s="21" t="e">
        <f>+SUMIFS(#REF!,#REF!,'RDG Weekly'!Q18)+SUMIFS(#REF!,#REF!,'RDG Weekly'!S18)+SUMIFS(#REF!,#REF!,'RDG Weekly'!S22)+SUMIFS(#REF!,#REF!,'RDG Weekly'!S23)</f>
        <v>#REF!</v>
      </c>
      <c r="AH18" s="23">
        <f>IFERROR(AG18/AG13,0)</f>
        <v>0</v>
      </c>
      <c r="AI18" s="24"/>
      <c r="AK18" s="25" t="e">
        <f>+#REF!</f>
        <v>#REF!</v>
      </c>
      <c r="AL18" s="26">
        <f>IFERROR(AK18/AK13,0)</f>
        <v>0</v>
      </c>
      <c r="AM18" s="25" t="e">
        <f t="shared" ref="AM18:AM26" si="2">+AK18</f>
        <v>#REF!</v>
      </c>
      <c r="AN18" s="26">
        <f>IFERROR(AM18/AM13,0)</f>
        <v>0</v>
      </c>
      <c r="AO18" s="25" t="e">
        <f t="shared" ref="AO18:AO26" si="3">+AM18</f>
        <v>#REF!</v>
      </c>
      <c r="AP18" s="26">
        <f>IFERROR(AO18/AO13,0)</f>
        <v>0</v>
      </c>
      <c r="AQ18" s="25" t="e">
        <f t="shared" ref="AQ18:AQ26" si="4">+AO18</f>
        <v>#REF!</v>
      </c>
      <c r="AR18" s="26">
        <f>IFERROR(AQ18/AQ13,0)</f>
        <v>0</v>
      </c>
      <c r="AU18" s="21" t="e">
        <f t="shared" ref="AU18:AU26" si="5">SUMIFS($F$13:$F$34,$D$13:$D$34,D18)</f>
        <v>#REF!</v>
      </c>
      <c r="AV18" s="23">
        <f>IFERROR(AU18/AU13,0)</f>
        <v>0</v>
      </c>
      <c r="AW18" s="25" t="e">
        <f t="shared" ref="AW18:AW26" si="6">+AK18</f>
        <v>#REF!</v>
      </c>
      <c r="AX18" s="26">
        <f>IFERROR(AW18/AW13,0)</f>
        <v>0</v>
      </c>
      <c r="AY18" s="21" t="e">
        <f t="shared" ref="AY18:AY26" si="7">SUMIFS($I$13:$I$34,$D$13:$D$34,D18)+SUMIFS($AU$13:$AU$34,$D$13:$D$34,D18)</f>
        <v>#REF!</v>
      </c>
      <c r="AZ18" s="23">
        <f>IFERROR(AY18/AY13,0)</f>
        <v>0</v>
      </c>
      <c r="BA18" s="25" t="e">
        <f t="shared" ref="BA18:BA26" si="8">SUMIFS($AM$13:$AM$34,$D$13:$D$34,D18)+SUMIFS($AW$13:$AW$34,$D$13:$D$34,D18)</f>
        <v>#REF!</v>
      </c>
      <c r="BB18" s="26">
        <f>IFERROR(BA18/BA13,0)</f>
        <v>0</v>
      </c>
      <c r="BC18" s="21" t="e">
        <f t="shared" ref="BC18:BC26" si="9">SUMIFS($M$13:$M$34,$D$13:$D$34,D18)+SUMIFS($AY$13:$AY$34,$D$13:$D$34,D18)</f>
        <v>#REF!</v>
      </c>
      <c r="BD18" s="23">
        <f>IFERROR(BC18/BC13,0)</f>
        <v>0</v>
      </c>
      <c r="BE18" s="25" t="e">
        <f t="shared" ref="BE18:BE26" si="10">SUMIFS($AO$13:$AO$34,$D$13:$D$34,D18)+SUMIFS($BA$13:$BA$34,$D$13:$D$34,D18)</f>
        <v>#REF!</v>
      </c>
      <c r="BF18" s="26">
        <f>IFERROR(BE18/BE13,0)</f>
        <v>0</v>
      </c>
    </row>
    <row r="19" spans="2:58" ht="15.75">
      <c r="B19" s="34"/>
      <c r="C19" s="34"/>
      <c r="D19" s="58" t="s">
        <v>26</v>
      </c>
      <c r="E19" s="22"/>
      <c r="F19" s="55" t="e">
        <f>+SUMIFS(#REF!,#REF!,'RDG Weekly'!B18)-F20</f>
        <v>#REF!</v>
      </c>
      <c r="G19" s="59" t="e">
        <f>+F19/$F$13</f>
        <v>#REF!</v>
      </c>
      <c r="H19" s="59"/>
      <c r="I19" s="55" t="e">
        <f>+SUMIFS(#REF!,#REF!,'RDG Weekly'!B18)-I20</f>
        <v>#REF!</v>
      </c>
      <c r="J19" s="55"/>
      <c r="K19" s="59" t="e">
        <f>+I19/$I$13</f>
        <v>#REF!</v>
      </c>
      <c r="L19" s="59"/>
      <c r="M19" s="55" t="e">
        <f>+SUMIFS(#REF!,#REF!,'RDG Weekly'!B18)-M20</f>
        <v>#REF!</v>
      </c>
      <c r="N19" s="55"/>
      <c r="O19" s="59" t="e">
        <f>+M19/$M$13</f>
        <v>#REF!</v>
      </c>
      <c r="P19" s="59"/>
      <c r="Q19" s="55" t="e">
        <f>+SUMIFS(#REF!,#REF!,'RDG Weekly'!B18)-Q20</f>
        <v>#REF!</v>
      </c>
      <c r="R19" s="55"/>
      <c r="S19" s="59" t="e">
        <f>+Q19/$M$13</f>
        <v>#REF!</v>
      </c>
      <c r="T19" s="60"/>
      <c r="U19" s="70"/>
      <c r="X19" s="55" t="e">
        <f>+SUMIFS(#REF!,#REF!,'RDG Weekly'!Q18)-X20</f>
        <v>#REF!</v>
      </c>
      <c r="Y19" s="55"/>
      <c r="Z19" s="59" t="e">
        <f>+X19/$F$13</f>
        <v>#REF!</v>
      </c>
      <c r="AA19" s="59"/>
      <c r="AB19" s="55" t="e">
        <f>+SUMIFS(#REF!,#REF!,'RDG Weekly'!Q18)-AB20</f>
        <v>#REF!</v>
      </c>
      <c r="AC19" s="55"/>
      <c r="AD19" s="59" t="e">
        <f>+AB19/$I$13</f>
        <v>#REF!</v>
      </c>
      <c r="AE19" s="55" t="e">
        <f>+SUMIFS(#REF!,#REF!,'RDG Weekly'!Q18)-AE20</f>
        <v>#REF!</v>
      </c>
      <c r="AF19" s="59" t="e">
        <f>+AE19/$M$13</f>
        <v>#REF!</v>
      </c>
      <c r="AG19" s="55" t="e">
        <f>+SUMIFS(#REF!,#REF!,'RDG Weekly'!Q18)-AG20</f>
        <v>#REF!</v>
      </c>
      <c r="AH19" s="59" t="e">
        <f>+AG19/$M$13</f>
        <v>#REF!</v>
      </c>
      <c r="AI19" s="60"/>
      <c r="AK19" s="61" t="e">
        <f>+#REF!</f>
        <v>#REF!</v>
      </c>
      <c r="AL19" s="62" t="e">
        <f>+AK19/$AK$13</f>
        <v>#REF!</v>
      </c>
      <c r="AM19" s="61" t="e">
        <f t="shared" si="2"/>
        <v>#REF!</v>
      </c>
      <c r="AN19" s="62" t="e">
        <f>+AM19/$AM$13</f>
        <v>#REF!</v>
      </c>
      <c r="AO19" s="61" t="e">
        <f t="shared" si="3"/>
        <v>#REF!</v>
      </c>
      <c r="AP19" s="62" t="e">
        <f>+AO19/$AO$13</f>
        <v>#REF!</v>
      </c>
      <c r="AQ19" s="61" t="e">
        <f t="shared" si="4"/>
        <v>#REF!</v>
      </c>
      <c r="AR19" s="62" t="e">
        <f>+AQ19/$AQ$13</f>
        <v>#REF!</v>
      </c>
      <c r="AU19" s="55" t="e">
        <f t="shared" si="5"/>
        <v>#REF!</v>
      </c>
      <c r="AV19" s="59" t="e">
        <f>+AU19/$AU$13</f>
        <v>#REF!</v>
      </c>
      <c r="AW19" s="61" t="e">
        <f t="shared" si="6"/>
        <v>#REF!</v>
      </c>
      <c r="AX19" s="62" t="e">
        <f>+AW19/$AW$13</f>
        <v>#REF!</v>
      </c>
      <c r="AY19" s="55" t="e">
        <f t="shared" si="7"/>
        <v>#REF!</v>
      </c>
      <c r="AZ19" s="59" t="e">
        <f>+AY19/$AY$13</f>
        <v>#REF!</v>
      </c>
      <c r="BA19" s="61" t="e">
        <f t="shared" si="8"/>
        <v>#REF!</v>
      </c>
      <c r="BB19" s="62" t="e">
        <f>+BA19/$BA$13</f>
        <v>#REF!</v>
      </c>
      <c r="BC19" s="55" t="e">
        <f t="shared" si="9"/>
        <v>#REF!</v>
      </c>
      <c r="BD19" s="59" t="e">
        <f>+BC19/$BC$13</f>
        <v>#REF!</v>
      </c>
      <c r="BE19" s="61" t="e">
        <f t="shared" si="10"/>
        <v>#REF!</v>
      </c>
      <c r="BF19" s="62" t="e">
        <f>+BE19/$BE$13</f>
        <v>#REF!</v>
      </c>
    </row>
    <row r="20" spans="2:58" ht="15.75">
      <c r="B20" s="34"/>
      <c r="C20" s="34"/>
      <c r="D20" s="58" t="s">
        <v>27</v>
      </c>
      <c r="E20" s="22"/>
      <c r="F20" s="55"/>
      <c r="G20" s="59" t="e">
        <f t="shared" ref="G20:G21" si="11">+F20/$F$13</f>
        <v>#REF!</v>
      </c>
      <c r="H20" s="59"/>
      <c r="I20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J20" s="55"/>
      <c r="K20" s="59" t="e">
        <f>+I20/$I$13</f>
        <v>#REF!</v>
      </c>
      <c r="L20" s="59"/>
      <c r="M20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N20" s="55"/>
      <c r="O20" s="59" t="e">
        <f>+M20/$M$13</f>
        <v>#REF!</v>
      </c>
      <c r="P20" s="59"/>
      <c r="Q20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R20" s="55"/>
      <c r="S20" s="59" t="e">
        <f>+Q20/$M$13</f>
        <v>#REF!</v>
      </c>
      <c r="T20" s="60"/>
      <c r="U20" s="70"/>
      <c r="X20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Y20" s="55"/>
      <c r="Z20" s="59" t="e">
        <f t="shared" ref="Z20:Z21" si="12">+X20/$F$13</f>
        <v>#REF!</v>
      </c>
      <c r="AA20" s="59"/>
      <c r="AB20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AC20" s="55"/>
      <c r="AD20" s="59" t="e">
        <f>+AB20/$I$13</f>
        <v>#REF!</v>
      </c>
      <c r="AE20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AF20" s="59" t="e">
        <f>+AE20/$M$13</f>
        <v>#REF!</v>
      </c>
      <c r="AG20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AH20" s="59" t="e">
        <f>+AG20/$M$13</f>
        <v>#REF!</v>
      </c>
      <c r="AI20" s="60"/>
      <c r="AJ20" s="51"/>
      <c r="AK20" s="61" t="e">
        <f>+#REF!</f>
        <v>#REF!</v>
      </c>
      <c r="AL20" s="62" t="e">
        <f>+AK20/$AK$13</f>
        <v>#REF!</v>
      </c>
      <c r="AM20" s="61" t="e">
        <f t="shared" si="2"/>
        <v>#REF!</v>
      </c>
      <c r="AN20" s="62" t="e">
        <f>+AM20/$AM$13</f>
        <v>#REF!</v>
      </c>
      <c r="AO20" s="61" t="e">
        <f t="shared" si="3"/>
        <v>#REF!</v>
      </c>
      <c r="AP20" s="62" t="e">
        <f>+AO20/$AO$13</f>
        <v>#REF!</v>
      </c>
      <c r="AQ20" s="61" t="e">
        <f t="shared" si="4"/>
        <v>#REF!</v>
      </c>
      <c r="AR20" s="62" t="e">
        <f>+AQ20/$AQ$13</f>
        <v>#REF!</v>
      </c>
      <c r="AU20" s="55">
        <f t="shared" si="5"/>
        <v>0</v>
      </c>
      <c r="AV20" s="59" t="e">
        <f>+AU20/$AU$13</f>
        <v>#REF!</v>
      </c>
      <c r="AW20" s="61" t="e">
        <f t="shared" si="6"/>
        <v>#REF!</v>
      </c>
      <c r="AX20" s="62" t="e">
        <f>+AW20/$AW$13</f>
        <v>#REF!</v>
      </c>
      <c r="AY20" s="55" t="e">
        <f t="shared" si="7"/>
        <v>#REF!</v>
      </c>
      <c r="AZ20" s="59" t="e">
        <f>+AY20/$AY$13</f>
        <v>#REF!</v>
      </c>
      <c r="BA20" s="61" t="e">
        <f t="shared" si="8"/>
        <v>#REF!</v>
      </c>
      <c r="BB20" s="62" t="e">
        <f>+BA20/$BA$13</f>
        <v>#REF!</v>
      </c>
      <c r="BC20" s="55" t="e">
        <f t="shared" si="9"/>
        <v>#REF!</v>
      </c>
      <c r="BD20" s="59" t="e">
        <f>+BC20/$BC$13</f>
        <v>#REF!</v>
      </c>
      <c r="BE20" s="61" t="e">
        <f t="shared" si="10"/>
        <v>#REF!</v>
      </c>
      <c r="BF20" s="62" t="e">
        <f>+BE20/$BE$13</f>
        <v>#REF!</v>
      </c>
    </row>
    <row r="21" spans="2:58" ht="15.75">
      <c r="B21" s="34"/>
      <c r="C21" s="34"/>
      <c r="D21" s="58" t="s">
        <v>28</v>
      </c>
      <c r="E21" s="22"/>
      <c r="F21" s="55" t="e">
        <f>+SUMIFS(#REF!,#REF!,'RDG Weekly'!C18)</f>
        <v>#REF!</v>
      </c>
      <c r="G21" s="59" t="e">
        <f t="shared" si="11"/>
        <v>#REF!</v>
      </c>
      <c r="H21" s="59"/>
      <c r="I21" s="55" t="e">
        <f>+SUMIFS(#REF!,#REF!,'RDG Weekly'!C18)</f>
        <v>#REF!</v>
      </c>
      <c r="J21" s="55"/>
      <c r="K21" s="59" t="e">
        <f>+I21/$I$13</f>
        <v>#REF!</v>
      </c>
      <c r="L21" s="59"/>
      <c r="M21" s="55" t="e">
        <f>+SUMIFS(#REF!,#REF!,'RDG Weekly'!C18)</f>
        <v>#REF!</v>
      </c>
      <c r="N21" s="55"/>
      <c r="O21" s="59" t="e">
        <f>+M21/$M$13</f>
        <v>#REF!</v>
      </c>
      <c r="P21" s="59"/>
      <c r="Q21" s="55" t="e">
        <f>+SUMIFS(#REF!,#REF!,'RDG Weekly'!C18)</f>
        <v>#REF!</v>
      </c>
      <c r="R21" s="55"/>
      <c r="S21" s="59" t="e">
        <f>+Q21/$M$13</f>
        <v>#REF!</v>
      </c>
      <c r="T21" s="60"/>
      <c r="U21" s="70"/>
      <c r="X21" s="55" t="e">
        <f>+SUMIFS(#REF!,#REF!,'RDG Weekly'!S18)</f>
        <v>#REF!</v>
      </c>
      <c r="Y21" s="55"/>
      <c r="Z21" s="59" t="e">
        <f t="shared" si="12"/>
        <v>#REF!</v>
      </c>
      <c r="AA21" s="59"/>
      <c r="AB21" s="55" t="e">
        <f>+SUMIFS(#REF!,#REF!,'RDG Weekly'!S18)</f>
        <v>#REF!</v>
      </c>
      <c r="AC21" s="55"/>
      <c r="AD21" s="59" t="e">
        <f>+AB21/$I$13</f>
        <v>#REF!</v>
      </c>
      <c r="AE21" s="55" t="e">
        <f>+SUMIFS(#REF!,#REF!,'RDG Weekly'!S18)</f>
        <v>#REF!</v>
      </c>
      <c r="AF21" s="59" t="e">
        <f>+AE21/$M$13</f>
        <v>#REF!</v>
      </c>
      <c r="AG21" s="55" t="e">
        <f>+SUMIFS(#REF!,#REF!,'RDG Weekly'!S18)</f>
        <v>#REF!</v>
      </c>
      <c r="AH21" s="59" t="e">
        <f>+AG21/$M$13</f>
        <v>#REF!</v>
      </c>
      <c r="AI21" s="60"/>
      <c r="AJ21" s="51"/>
      <c r="AK21" s="61" t="e">
        <f>+#REF!</f>
        <v>#REF!</v>
      </c>
      <c r="AL21" s="62" t="e">
        <f>+AK21/$AK$13</f>
        <v>#REF!</v>
      </c>
      <c r="AM21" s="61" t="e">
        <f t="shared" si="2"/>
        <v>#REF!</v>
      </c>
      <c r="AN21" s="62" t="e">
        <f>+AM21/$AM$13</f>
        <v>#REF!</v>
      </c>
      <c r="AO21" s="61" t="e">
        <f t="shared" si="3"/>
        <v>#REF!</v>
      </c>
      <c r="AP21" s="62" t="e">
        <f>+AO21/$AO$13</f>
        <v>#REF!</v>
      </c>
      <c r="AQ21" s="61" t="e">
        <f t="shared" si="4"/>
        <v>#REF!</v>
      </c>
      <c r="AR21" s="62" t="e">
        <f>+AQ21/$AQ$13</f>
        <v>#REF!</v>
      </c>
      <c r="AU21" s="55" t="e">
        <f t="shared" si="5"/>
        <v>#REF!</v>
      </c>
      <c r="AV21" s="59" t="e">
        <f>+AU21/$AU$13</f>
        <v>#REF!</v>
      </c>
      <c r="AW21" s="61" t="e">
        <f t="shared" si="6"/>
        <v>#REF!</v>
      </c>
      <c r="AX21" s="62" t="e">
        <f>+AW21/$AW$13</f>
        <v>#REF!</v>
      </c>
      <c r="AY21" s="55" t="e">
        <f t="shared" si="7"/>
        <v>#REF!</v>
      </c>
      <c r="AZ21" s="59" t="e">
        <f>+AY21/$AY$13</f>
        <v>#REF!</v>
      </c>
      <c r="BA21" s="61" t="e">
        <f t="shared" si="8"/>
        <v>#REF!</v>
      </c>
      <c r="BB21" s="62" t="e">
        <f>+BA21/$BA$13</f>
        <v>#REF!</v>
      </c>
      <c r="BC21" s="55" t="e">
        <f t="shared" si="9"/>
        <v>#REF!</v>
      </c>
      <c r="BD21" s="59" t="e">
        <f>+BC21/$BC$13</f>
        <v>#REF!</v>
      </c>
      <c r="BE21" s="61" t="e">
        <f t="shared" si="10"/>
        <v>#REF!</v>
      </c>
      <c r="BF21" s="62" t="e">
        <f>+BE21/$BE$13</f>
        <v>#REF!</v>
      </c>
    </row>
    <row r="22" spans="2:58" ht="17.25">
      <c r="B22" s="35" t="s">
        <v>29</v>
      </c>
      <c r="C22" s="34" t="s">
        <v>30</v>
      </c>
      <c r="D22" s="21" t="s">
        <v>31</v>
      </c>
      <c r="E22" s="22"/>
      <c r="F22" s="21" t="e">
        <f>+SUMIFS(#REF!,#REF!,'RDG Weekly'!B22)</f>
        <v>#REF!</v>
      </c>
      <c r="G22" s="23">
        <f>IFERROR(F22/F13,0)</f>
        <v>0</v>
      </c>
      <c r="H22" s="23"/>
      <c r="I22" s="21" t="e">
        <f>+SUMIFS(#REF!,#REF!,'RDG Weekly'!B22)</f>
        <v>#REF!</v>
      </c>
      <c r="J22" s="21"/>
      <c r="K22" s="23">
        <f>IFERROR(I22/I13,0)</f>
        <v>0</v>
      </c>
      <c r="L22" s="23"/>
      <c r="M22" s="21" t="e">
        <f>+SUMIFS(#REF!,#REF!,'RDG Weekly'!B22)</f>
        <v>#REF!</v>
      </c>
      <c r="N22" s="21"/>
      <c r="O22" s="23">
        <f>IFERROR(M22/M13,0)</f>
        <v>0</v>
      </c>
      <c r="P22" s="23"/>
      <c r="Q22" s="21" t="e">
        <f>+SUMIFS(#REF!,#REF!,'RDG Weekly'!B22)</f>
        <v>#REF!</v>
      </c>
      <c r="R22" s="21"/>
      <c r="S22" s="23">
        <f>IFERROR(Q22/Q13,0)</f>
        <v>0</v>
      </c>
      <c r="T22" s="24"/>
      <c r="U22" s="22"/>
      <c r="X22" s="21" t="e">
        <f>+SUMIFS(#REF!,#REF!,'RDG Weekly'!Q22)</f>
        <v>#REF!</v>
      </c>
      <c r="Y22" s="21"/>
      <c r="Z22" s="23">
        <f>IFERROR(X22/X13,0)</f>
        <v>0</v>
      </c>
      <c r="AA22" s="23"/>
      <c r="AB22" s="21" t="e">
        <f>+SUMIFS(#REF!,#REF!,'RDG Weekly'!Q22)</f>
        <v>#REF!</v>
      </c>
      <c r="AC22" s="21"/>
      <c r="AD22" s="23">
        <f>IFERROR(AB22/AB13,0)</f>
        <v>0</v>
      </c>
      <c r="AE22" s="21" t="e">
        <f>+SUMIFS(#REF!,#REF!,'RDG Weekly'!Q22)</f>
        <v>#REF!</v>
      </c>
      <c r="AF22" s="23">
        <f>IFERROR(AE22/AE13,0)</f>
        <v>0</v>
      </c>
      <c r="AG22" s="21" t="e">
        <f>+SUMIFS(#REF!,#REF!,'RDG Weekly'!Q22)</f>
        <v>#REF!</v>
      </c>
      <c r="AH22" s="23">
        <f>IFERROR(AG22/AG13,0)</f>
        <v>0</v>
      </c>
      <c r="AI22" s="24"/>
      <c r="AK22" s="25" t="e">
        <f>+#REF!</f>
        <v>#REF!</v>
      </c>
      <c r="AL22" s="26">
        <f>IFERROR(AK22/AK13,0)</f>
        <v>0</v>
      </c>
      <c r="AM22" s="25" t="e">
        <f t="shared" si="2"/>
        <v>#REF!</v>
      </c>
      <c r="AN22" s="26">
        <f>IFERROR(AM22/AM13,0)</f>
        <v>0</v>
      </c>
      <c r="AO22" s="25" t="e">
        <f t="shared" si="3"/>
        <v>#REF!</v>
      </c>
      <c r="AP22" s="26">
        <f>IFERROR(AO22/AO13,0)</f>
        <v>0</v>
      </c>
      <c r="AQ22" s="25" t="e">
        <f t="shared" si="4"/>
        <v>#REF!</v>
      </c>
      <c r="AR22" s="26">
        <f>IFERROR(AQ22/AQ13,0)</f>
        <v>0</v>
      </c>
      <c r="AU22" s="21" t="e">
        <f t="shared" si="5"/>
        <v>#REF!</v>
      </c>
      <c r="AV22" s="23">
        <f>IFERROR(AU22/AU13,0)</f>
        <v>0</v>
      </c>
      <c r="AW22" s="25" t="e">
        <f t="shared" si="6"/>
        <v>#REF!</v>
      </c>
      <c r="AX22" s="26">
        <f>IFERROR(AW22/AW13,0)</f>
        <v>0</v>
      </c>
      <c r="AY22" s="21" t="e">
        <f t="shared" si="7"/>
        <v>#REF!</v>
      </c>
      <c r="AZ22" s="23">
        <f>IFERROR(AY22/AY13,0)</f>
        <v>0</v>
      </c>
      <c r="BA22" s="25" t="e">
        <f t="shared" si="8"/>
        <v>#REF!</v>
      </c>
      <c r="BB22" s="26">
        <f>IFERROR(BA22/BA13,0)</f>
        <v>0</v>
      </c>
      <c r="BC22" s="21" t="e">
        <f t="shared" si="9"/>
        <v>#REF!</v>
      </c>
      <c r="BD22" s="23">
        <f>IFERROR(BC22/BC13,0)</f>
        <v>0</v>
      </c>
      <c r="BE22" s="25" t="e">
        <f t="shared" si="10"/>
        <v>#REF!</v>
      </c>
      <c r="BF22" s="26">
        <f>IFERROR(BE22/BE13,0)</f>
        <v>0</v>
      </c>
    </row>
    <row r="23" spans="2:58" ht="31.5">
      <c r="B23" s="35" t="s">
        <v>32</v>
      </c>
      <c r="C23" s="36" t="s">
        <v>33</v>
      </c>
      <c r="D23" s="21" t="s">
        <v>34</v>
      </c>
      <c r="E23" s="22"/>
      <c r="F23" s="21" t="e">
        <f>+SUMIFS(#REF!,#REF!,'RDG Weekly'!B23)</f>
        <v>#REF!</v>
      </c>
      <c r="G23" s="23">
        <f>IFERROR(F23/F13,0)</f>
        <v>0</v>
      </c>
      <c r="H23" s="23"/>
      <c r="I23" s="21" t="e">
        <f>+SUMIFS(#REF!,#REF!,'RDG Weekly'!B23)</f>
        <v>#REF!</v>
      </c>
      <c r="J23" s="21"/>
      <c r="K23" s="23">
        <f>IFERROR(I23/I13,0)</f>
        <v>0</v>
      </c>
      <c r="L23" s="23"/>
      <c r="M23" s="21" t="e">
        <f>+SUMIFS(#REF!,#REF!,'RDG Weekly'!B23)</f>
        <v>#REF!</v>
      </c>
      <c r="N23" s="21"/>
      <c r="O23" s="23">
        <f>IFERROR(M23/M13,0)</f>
        <v>0</v>
      </c>
      <c r="P23" s="23"/>
      <c r="Q23" s="21" t="e">
        <f>+SUMIFS(#REF!,#REF!,'RDG Weekly'!B23)</f>
        <v>#REF!</v>
      </c>
      <c r="R23" s="21"/>
      <c r="S23" s="23">
        <f>IFERROR(Q23/Q13,0)</f>
        <v>0</v>
      </c>
      <c r="T23" s="24"/>
      <c r="U23" s="22"/>
      <c r="X23" s="21" t="e">
        <f>+SUMIFS(#REF!,#REF!,'RDG Weekly'!Q23)</f>
        <v>#REF!</v>
      </c>
      <c r="Y23" s="21"/>
      <c r="Z23" s="23">
        <f>IFERROR(X23/X13,0)</f>
        <v>0</v>
      </c>
      <c r="AA23" s="23"/>
      <c r="AB23" s="21" t="e">
        <f>+SUMIFS(#REF!,#REF!,'RDG Weekly'!Q23)</f>
        <v>#REF!</v>
      </c>
      <c r="AC23" s="21"/>
      <c r="AD23" s="23">
        <f>IFERROR(AB23/AB13,0)</f>
        <v>0</v>
      </c>
      <c r="AE23" s="21" t="e">
        <f>+SUMIFS(#REF!,#REF!,'RDG Weekly'!Q23)</f>
        <v>#REF!</v>
      </c>
      <c r="AF23" s="23">
        <f>IFERROR(AE23/AE13,0)</f>
        <v>0</v>
      </c>
      <c r="AG23" s="21" t="e">
        <f>+SUMIFS(#REF!,#REF!,'RDG Weekly'!Q23)</f>
        <v>#REF!</v>
      </c>
      <c r="AH23" s="23">
        <f>IFERROR(AG23/AG13,0)</f>
        <v>0</v>
      </c>
      <c r="AI23" s="24"/>
      <c r="AJ23" s="51"/>
      <c r="AK23" s="25" t="e">
        <f>+#REF!</f>
        <v>#REF!</v>
      </c>
      <c r="AL23" s="26">
        <f>IFERROR(AK23/AK13,0)</f>
        <v>0</v>
      </c>
      <c r="AM23" s="25" t="e">
        <f t="shared" si="2"/>
        <v>#REF!</v>
      </c>
      <c r="AN23" s="26">
        <f>IFERROR(AM23/AM13,0)</f>
        <v>0</v>
      </c>
      <c r="AO23" s="25" t="e">
        <f t="shared" si="3"/>
        <v>#REF!</v>
      </c>
      <c r="AP23" s="26">
        <f>IFERROR(AO23/AO13,0)</f>
        <v>0</v>
      </c>
      <c r="AQ23" s="25" t="e">
        <f t="shared" si="4"/>
        <v>#REF!</v>
      </c>
      <c r="AR23" s="26">
        <f>IFERROR(AQ23/AQ13,0)</f>
        <v>0</v>
      </c>
      <c r="AU23" s="21" t="e">
        <f t="shared" si="5"/>
        <v>#REF!</v>
      </c>
      <c r="AV23" s="23">
        <f>IFERROR(AU23/AU13,0)</f>
        <v>0</v>
      </c>
      <c r="AW23" s="25" t="e">
        <f t="shared" si="6"/>
        <v>#REF!</v>
      </c>
      <c r="AX23" s="26">
        <f>IFERROR(AW23/AW13,0)</f>
        <v>0</v>
      </c>
      <c r="AY23" s="21" t="e">
        <f t="shared" si="7"/>
        <v>#REF!</v>
      </c>
      <c r="AZ23" s="23">
        <f>IFERROR(AY23/AY13,0)</f>
        <v>0</v>
      </c>
      <c r="BA23" s="25" t="e">
        <f t="shared" si="8"/>
        <v>#REF!</v>
      </c>
      <c r="BB23" s="26">
        <f>IFERROR(BA23/BA13,0)</f>
        <v>0</v>
      </c>
      <c r="BC23" s="21" t="e">
        <f t="shared" si="9"/>
        <v>#REF!</v>
      </c>
      <c r="BD23" s="23">
        <f>IFERROR(BC23/BC13,0)</f>
        <v>0</v>
      </c>
      <c r="BE23" s="25" t="e">
        <f t="shared" si="10"/>
        <v>#REF!</v>
      </c>
      <c r="BF23" s="26">
        <f>IFERROR(BE23/BE13,0)</f>
        <v>0</v>
      </c>
    </row>
    <row r="24" spans="2:58" ht="17.25">
      <c r="B24" s="37" t="s">
        <v>35</v>
      </c>
      <c r="D24" s="21" t="s">
        <v>36</v>
      </c>
      <c r="E24" s="22"/>
      <c r="F24" s="21" t="e">
        <f>+SUMIFS(#REF!,#REF!,'RDG Weekly'!B24)</f>
        <v>#REF!</v>
      </c>
      <c r="G24" s="23">
        <f>IFERROR(F24/F13,0)</f>
        <v>0</v>
      </c>
      <c r="H24" s="23"/>
      <c r="I24" s="21" t="e">
        <f>+SUMIFS(#REF!,#REF!,'RDG Weekly'!B24)</f>
        <v>#REF!</v>
      </c>
      <c r="J24" s="21"/>
      <c r="K24" s="23">
        <f>IFERROR(I24/I13,0)</f>
        <v>0</v>
      </c>
      <c r="L24" s="23"/>
      <c r="M24" s="21" t="e">
        <f>+SUMIFS(#REF!,#REF!,'RDG Weekly'!B24)</f>
        <v>#REF!</v>
      </c>
      <c r="N24" s="21"/>
      <c r="O24" s="23">
        <f>IFERROR(M24/M13,0)</f>
        <v>0</v>
      </c>
      <c r="P24" s="23"/>
      <c r="Q24" s="21" t="e">
        <f>+SUMIFS(#REF!,#REF!,'RDG Weekly'!B24)</f>
        <v>#REF!</v>
      </c>
      <c r="R24" s="21"/>
      <c r="S24" s="23">
        <f>IFERROR(Q24/Q13,0)</f>
        <v>0</v>
      </c>
      <c r="T24" s="24"/>
      <c r="U24" s="22"/>
      <c r="X24" s="21" t="e">
        <f>+SUMIFS(#REF!,#REF!,'RDG Weekly'!Q24)</f>
        <v>#REF!</v>
      </c>
      <c r="Y24" s="21"/>
      <c r="Z24" s="23">
        <f>IFERROR(X24/X13,0)</f>
        <v>0</v>
      </c>
      <c r="AA24" s="23"/>
      <c r="AB24" s="21" t="e">
        <f>+SUMIFS(#REF!,#REF!,'RDG Weekly'!Q24)</f>
        <v>#REF!</v>
      </c>
      <c r="AC24" s="21"/>
      <c r="AD24" s="23">
        <f>IFERROR(AB24/AB13,0)</f>
        <v>0</v>
      </c>
      <c r="AE24" s="21" t="e">
        <f>+SUMIFS(#REF!,#REF!,'RDG Weekly'!Q24)</f>
        <v>#REF!</v>
      </c>
      <c r="AF24" s="23">
        <f>IFERROR(AE24/AE13,0)</f>
        <v>0</v>
      </c>
      <c r="AG24" s="21" t="e">
        <f>+SUMIFS(#REF!,#REF!,'RDG Weekly'!Q24)</f>
        <v>#REF!</v>
      </c>
      <c r="AH24" s="23">
        <f>IFERROR(AG24/AG13,0)</f>
        <v>0</v>
      </c>
      <c r="AI24" s="24"/>
      <c r="AJ24" s="51"/>
      <c r="AK24" s="25" t="e">
        <f>+#REF!</f>
        <v>#REF!</v>
      </c>
      <c r="AL24" s="26">
        <f>IFERROR(AK24/AK13,0)</f>
        <v>0</v>
      </c>
      <c r="AM24" s="25" t="e">
        <f t="shared" si="2"/>
        <v>#REF!</v>
      </c>
      <c r="AN24" s="26">
        <f>IFERROR(AM24/AM13,0)</f>
        <v>0</v>
      </c>
      <c r="AO24" s="25" t="e">
        <f t="shared" si="3"/>
        <v>#REF!</v>
      </c>
      <c r="AP24" s="26">
        <f>IFERROR(AO24/AO13,0)</f>
        <v>0</v>
      </c>
      <c r="AQ24" s="25" t="e">
        <f t="shared" si="4"/>
        <v>#REF!</v>
      </c>
      <c r="AR24" s="26">
        <f>IFERROR(AQ24/AQ13,0)</f>
        <v>0</v>
      </c>
      <c r="AU24" s="21" t="e">
        <f t="shared" si="5"/>
        <v>#REF!</v>
      </c>
      <c r="AV24" s="23">
        <f>IFERROR(AU24/AU13,0)</f>
        <v>0</v>
      </c>
      <c r="AW24" s="25" t="e">
        <f t="shared" si="6"/>
        <v>#REF!</v>
      </c>
      <c r="AX24" s="26">
        <f>IFERROR(AW24/AW13,0)</f>
        <v>0</v>
      </c>
      <c r="AY24" s="21" t="e">
        <f t="shared" si="7"/>
        <v>#REF!</v>
      </c>
      <c r="AZ24" s="23">
        <f>IFERROR(AY24/AY13,0)</f>
        <v>0</v>
      </c>
      <c r="BA24" s="25" t="e">
        <f t="shared" si="8"/>
        <v>#REF!</v>
      </c>
      <c r="BB24" s="26">
        <f>IFERROR(BA24/BA13,0)</f>
        <v>0</v>
      </c>
      <c r="BC24" s="21" t="e">
        <f t="shared" si="9"/>
        <v>#REF!</v>
      </c>
      <c r="BD24" s="23">
        <f>IFERROR(BC24/BC13,0)</f>
        <v>0</v>
      </c>
      <c r="BE24" s="25" t="e">
        <f t="shared" si="10"/>
        <v>#REF!</v>
      </c>
      <c r="BF24" s="26">
        <f>IFERROR(BE24/BE13,0)</f>
        <v>0</v>
      </c>
    </row>
    <row r="25" spans="2:58" ht="17.25">
      <c r="B25" s="35" t="s">
        <v>37</v>
      </c>
      <c r="D25" s="21" t="s">
        <v>38</v>
      </c>
      <c r="E25" s="22"/>
      <c r="F25" s="21" t="e">
        <f>+SUMIFS(#REF!,#REF!,'RDG Weekly'!B25)</f>
        <v>#REF!</v>
      </c>
      <c r="G25" s="23">
        <f>IFERROR(F25/F13,0)</f>
        <v>0</v>
      </c>
      <c r="H25" s="23"/>
      <c r="I25" s="21" t="e">
        <f>+SUMIFS(#REF!,#REF!,'RDG Weekly'!B25)</f>
        <v>#REF!</v>
      </c>
      <c r="J25" s="21"/>
      <c r="K25" s="23">
        <f>IFERROR(I25/I13,0)</f>
        <v>0</v>
      </c>
      <c r="L25" s="23"/>
      <c r="M25" s="21" t="e">
        <f>+SUMIFS(#REF!,#REF!,'RDG Weekly'!B25)</f>
        <v>#REF!</v>
      </c>
      <c r="N25" s="21"/>
      <c r="O25" s="23">
        <f>IFERROR(M25/M13,0)</f>
        <v>0</v>
      </c>
      <c r="P25" s="23"/>
      <c r="Q25" s="21" t="e">
        <f>+SUMIFS(#REF!,#REF!,'RDG Weekly'!B25)</f>
        <v>#REF!</v>
      </c>
      <c r="R25" s="21"/>
      <c r="S25" s="23">
        <f>IFERROR(Q25/Q13,0)</f>
        <v>0</v>
      </c>
      <c r="T25" s="24"/>
      <c r="U25" s="22"/>
      <c r="X25" s="21" t="e">
        <f>+SUMIFS(#REF!,#REF!,'RDG Weekly'!Q25)</f>
        <v>#REF!</v>
      </c>
      <c r="Y25" s="21"/>
      <c r="Z25" s="23">
        <f>IFERROR(X25/X13,0)</f>
        <v>0</v>
      </c>
      <c r="AA25" s="23"/>
      <c r="AB25" s="21" t="e">
        <f>+SUMIFS(#REF!,#REF!,'RDG Weekly'!Q25)</f>
        <v>#REF!</v>
      </c>
      <c r="AC25" s="21"/>
      <c r="AD25" s="23">
        <f>IFERROR(AB25/AB13,0)</f>
        <v>0</v>
      </c>
      <c r="AE25" s="21" t="e">
        <f>+SUMIFS(#REF!,#REF!,'RDG Weekly'!Q25)</f>
        <v>#REF!</v>
      </c>
      <c r="AF25" s="23">
        <f>IFERROR(AE25/AE13,0)</f>
        <v>0</v>
      </c>
      <c r="AG25" s="21" t="e">
        <f>+SUMIFS(#REF!,#REF!,'RDG Weekly'!Q25)</f>
        <v>#REF!</v>
      </c>
      <c r="AH25" s="23">
        <f>IFERROR(AG25/AG13,0)</f>
        <v>0</v>
      </c>
      <c r="AI25" s="24"/>
      <c r="AK25" s="25" t="e">
        <f>+#REF!</f>
        <v>#REF!</v>
      </c>
      <c r="AL25" s="26">
        <f>IFERROR(AK25/AK13,0)</f>
        <v>0</v>
      </c>
      <c r="AM25" s="25" t="e">
        <f t="shared" si="2"/>
        <v>#REF!</v>
      </c>
      <c r="AN25" s="26">
        <f>IFERROR(AM25/AM13,0)</f>
        <v>0</v>
      </c>
      <c r="AO25" s="25" t="e">
        <f t="shared" si="3"/>
        <v>#REF!</v>
      </c>
      <c r="AP25" s="26">
        <f>IFERROR(AO25/AO13,0)</f>
        <v>0</v>
      </c>
      <c r="AQ25" s="25" t="e">
        <f t="shared" si="4"/>
        <v>#REF!</v>
      </c>
      <c r="AR25" s="26">
        <f>IFERROR(AQ25/AQ13,0)</f>
        <v>0</v>
      </c>
      <c r="AU25" s="21" t="e">
        <f t="shared" si="5"/>
        <v>#REF!</v>
      </c>
      <c r="AV25" s="23">
        <f>IFERROR(AU25/AU13,0)</f>
        <v>0</v>
      </c>
      <c r="AW25" s="25" t="e">
        <f t="shared" si="6"/>
        <v>#REF!</v>
      </c>
      <c r="AX25" s="26">
        <f>IFERROR(AW25/AW13,0)</f>
        <v>0</v>
      </c>
      <c r="AY25" s="21" t="e">
        <f t="shared" si="7"/>
        <v>#REF!</v>
      </c>
      <c r="AZ25" s="23">
        <f>IFERROR(AY25/AY13,0)</f>
        <v>0</v>
      </c>
      <c r="BA25" s="25" t="e">
        <f t="shared" si="8"/>
        <v>#REF!</v>
      </c>
      <c r="BB25" s="26">
        <f>IFERROR(BA25/BA13,0)</f>
        <v>0</v>
      </c>
      <c r="BC25" s="21" t="e">
        <f t="shared" si="9"/>
        <v>#REF!</v>
      </c>
      <c r="BD25" s="23">
        <f>IFERROR(BC25/BC13,0)</f>
        <v>0</v>
      </c>
      <c r="BE25" s="25" t="e">
        <f t="shared" si="10"/>
        <v>#REF!</v>
      </c>
      <c r="BF25" s="26">
        <f>IFERROR(BE25/BE13,0)</f>
        <v>0</v>
      </c>
    </row>
    <row r="26" spans="2:58" ht="31.5">
      <c r="B26" s="35" t="s">
        <v>39</v>
      </c>
      <c r="D26" s="21" t="s">
        <v>40</v>
      </c>
      <c r="E26" s="22"/>
      <c r="F26" s="21" t="e">
        <f>+SUMIFS(#REF!,#REF!,'RDG Weekly'!B26)</f>
        <v>#REF!</v>
      </c>
      <c r="G26" s="23">
        <f>IFERROR(F26/F13,0)</f>
        <v>0</v>
      </c>
      <c r="H26" s="23"/>
      <c r="I26" s="21" t="e">
        <f>+SUMIFS(#REF!,#REF!,'RDG Weekly'!B26)</f>
        <v>#REF!</v>
      </c>
      <c r="J26" s="21"/>
      <c r="K26" s="23">
        <f>IFERROR(I26/I13,0)</f>
        <v>0</v>
      </c>
      <c r="L26" s="23"/>
      <c r="M26" s="21" t="e">
        <f>+SUMIFS(#REF!,#REF!,'RDG Weekly'!B26)</f>
        <v>#REF!</v>
      </c>
      <c r="N26" s="21"/>
      <c r="O26" s="23">
        <f>IFERROR(M26/M13,0)</f>
        <v>0</v>
      </c>
      <c r="P26" s="23"/>
      <c r="Q26" s="21" t="e">
        <f>+SUMIFS(#REF!,#REF!,'RDG Weekly'!B26)</f>
        <v>#REF!</v>
      </c>
      <c r="R26" s="21"/>
      <c r="S26" s="23">
        <f>IFERROR(Q26/Q13,0)</f>
        <v>0</v>
      </c>
      <c r="T26" s="24"/>
      <c r="U26" s="22"/>
      <c r="X26" s="21" t="e">
        <f>+SUMIFS(#REF!,#REF!,'RDG Weekly'!Q26)</f>
        <v>#REF!</v>
      </c>
      <c r="Y26" s="21"/>
      <c r="Z26" s="23">
        <f>IFERROR(X26/X13,0)</f>
        <v>0</v>
      </c>
      <c r="AA26" s="23"/>
      <c r="AB26" s="21" t="e">
        <f>+SUMIFS(#REF!,#REF!,'RDG Weekly'!Q26)</f>
        <v>#REF!</v>
      </c>
      <c r="AC26" s="21"/>
      <c r="AD26" s="23">
        <f>IFERROR(AB26/AB13,0)</f>
        <v>0</v>
      </c>
      <c r="AE26" s="21" t="e">
        <f>+SUMIFS(#REF!,#REF!,'RDG Weekly'!Q26)</f>
        <v>#REF!</v>
      </c>
      <c r="AF26" s="23">
        <f>IFERROR(AE26/AE13,0)</f>
        <v>0</v>
      </c>
      <c r="AG26" s="21" t="e">
        <f>+SUMIFS(#REF!,#REF!,'RDG Weekly'!Q26)</f>
        <v>#REF!</v>
      </c>
      <c r="AH26" s="23">
        <f>IFERROR(AG26/AG13,0)</f>
        <v>0</v>
      </c>
      <c r="AI26" s="24"/>
      <c r="AK26" s="25" t="e">
        <f>+#REF!</f>
        <v>#REF!</v>
      </c>
      <c r="AL26" s="26">
        <f>IFERROR(AK26/AK13,0)</f>
        <v>0</v>
      </c>
      <c r="AM26" s="25" t="e">
        <f t="shared" si="2"/>
        <v>#REF!</v>
      </c>
      <c r="AN26" s="26">
        <f>IFERROR(AM26/AM13,0)</f>
        <v>0</v>
      </c>
      <c r="AO26" s="25" t="e">
        <f t="shared" si="3"/>
        <v>#REF!</v>
      </c>
      <c r="AP26" s="26">
        <f>IFERROR(AO26/AO13,0)</f>
        <v>0</v>
      </c>
      <c r="AQ26" s="25" t="e">
        <f t="shared" si="4"/>
        <v>#REF!</v>
      </c>
      <c r="AR26" s="26">
        <f>IFERROR(AQ26/AQ13,0)</f>
        <v>0</v>
      </c>
      <c r="AU26" s="21" t="e">
        <f t="shared" si="5"/>
        <v>#REF!</v>
      </c>
      <c r="AV26" s="23">
        <f>IFERROR(AU26/AU13,0)</f>
        <v>0</v>
      </c>
      <c r="AW26" s="25" t="e">
        <f t="shared" si="6"/>
        <v>#REF!</v>
      </c>
      <c r="AX26" s="26">
        <f>IFERROR(AW26/AW13,0)</f>
        <v>0</v>
      </c>
      <c r="AY26" s="21" t="e">
        <f t="shared" si="7"/>
        <v>#REF!</v>
      </c>
      <c r="AZ26" s="23">
        <f>IFERROR(AY26/AY13,0)</f>
        <v>0</v>
      </c>
      <c r="BA26" s="25" t="e">
        <f t="shared" si="8"/>
        <v>#REF!</v>
      </c>
      <c r="BB26" s="26">
        <f>IFERROR(BA26/BA13,0)</f>
        <v>0</v>
      </c>
      <c r="BC26" s="21" t="e">
        <f t="shared" si="9"/>
        <v>#REF!</v>
      </c>
      <c r="BD26" s="23">
        <f>IFERROR(BC26/BC13,0)</f>
        <v>0</v>
      </c>
      <c r="BE26" s="25" t="e">
        <f t="shared" si="10"/>
        <v>#REF!</v>
      </c>
      <c r="BF26" s="26">
        <f>IFERROR(BE26/BE13,0)</f>
        <v>0</v>
      </c>
    </row>
    <row r="27" spans="2:58" ht="7.15" customHeight="1">
      <c r="D27" s="28"/>
      <c r="E27" s="22"/>
      <c r="F27" s="21"/>
      <c r="G27" s="16"/>
      <c r="H27" s="16"/>
      <c r="I27" s="21"/>
      <c r="J27" s="21"/>
      <c r="K27" s="16"/>
      <c r="L27" s="16"/>
      <c r="M27" s="21"/>
      <c r="N27" s="21"/>
      <c r="O27" s="16"/>
      <c r="P27" s="16"/>
      <c r="Q27" s="21"/>
      <c r="R27" s="21"/>
      <c r="S27" s="16"/>
      <c r="T27" s="24"/>
      <c r="U27" s="22"/>
      <c r="X27" s="21"/>
      <c r="Y27" s="21"/>
      <c r="Z27" s="16"/>
      <c r="AA27" s="16"/>
      <c r="AB27" s="21"/>
      <c r="AC27" s="21"/>
      <c r="AD27" s="16"/>
      <c r="AE27" s="21"/>
      <c r="AF27" s="16"/>
      <c r="AG27" s="21"/>
      <c r="AH27" s="16"/>
      <c r="AI27" s="24"/>
      <c r="AK27" s="25"/>
      <c r="AL27" s="19"/>
      <c r="AM27" s="25"/>
      <c r="AN27" s="19"/>
      <c r="AO27" s="25"/>
      <c r="AP27" s="19"/>
      <c r="AQ27" s="25"/>
      <c r="AR27" s="19"/>
      <c r="AU27" s="21"/>
      <c r="AV27" s="16"/>
      <c r="AW27" s="25"/>
      <c r="AX27" s="19"/>
      <c r="AY27" s="21"/>
      <c r="AZ27" s="16"/>
      <c r="BA27" s="25"/>
      <c r="BB27" s="19"/>
      <c r="BC27" s="21"/>
      <c r="BD27" s="16"/>
      <c r="BE27" s="25"/>
      <c r="BF27" s="19"/>
    </row>
    <row r="28" spans="2:58" ht="17.25">
      <c r="D28" s="87" t="s">
        <v>41</v>
      </c>
      <c r="E28" s="22"/>
      <c r="F28" s="38" t="e">
        <f>SUM(F22:F26,F18)</f>
        <v>#REF!</v>
      </c>
      <c r="G28" s="31">
        <f>IFERROR(F28/F13,0)</f>
        <v>0</v>
      </c>
      <c r="H28" s="31"/>
      <c r="I28" s="38" t="e">
        <f>SUM(I22:I26,I18)</f>
        <v>#REF!</v>
      </c>
      <c r="J28" s="38"/>
      <c r="K28" s="31">
        <f>IFERROR(I28/I13,0)</f>
        <v>0</v>
      </c>
      <c r="L28" s="31"/>
      <c r="M28" s="38" t="e">
        <f>SUM(M22:M26,M18)</f>
        <v>#REF!</v>
      </c>
      <c r="N28" s="38"/>
      <c r="O28" s="31">
        <f>IFERROR(M28/M13,0)</f>
        <v>0</v>
      </c>
      <c r="P28" s="31"/>
      <c r="Q28" s="38" t="e">
        <f>SUM(Q22:Q26,Q18)</f>
        <v>#REF!</v>
      </c>
      <c r="R28" s="38"/>
      <c r="S28" s="31">
        <f>IFERROR(Q28/Q13,0)</f>
        <v>0</v>
      </c>
      <c r="T28" s="17"/>
      <c r="U28" s="14"/>
      <c r="X28" s="38" t="e">
        <f>SUM(X22:X26,X18)</f>
        <v>#REF!</v>
      </c>
      <c r="Y28" s="38"/>
      <c r="Z28" s="31">
        <f>IFERROR(X28/X13,0)</f>
        <v>0</v>
      </c>
      <c r="AA28" s="31"/>
      <c r="AB28" s="38" t="e">
        <f>SUM(AB22:AB26,AB18)</f>
        <v>#REF!</v>
      </c>
      <c r="AC28" s="38"/>
      <c r="AD28" s="31">
        <f>IFERROR(AB28/AB13,0)</f>
        <v>0</v>
      </c>
      <c r="AE28" s="38" t="e">
        <f>SUM(AE22:AE26,AE18)</f>
        <v>#REF!</v>
      </c>
      <c r="AF28" s="31">
        <f>IFERROR(AE28/AE13,0)</f>
        <v>0</v>
      </c>
      <c r="AG28" s="38" t="e">
        <f>SUM(AG22:AG26,AG18)</f>
        <v>#REF!</v>
      </c>
      <c r="AH28" s="31">
        <f>IFERROR(AG28/AG13,0)</f>
        <v>0</v>
      </c>
      <c r="AI28" s="17"/>
      <c r="AK28" s="39" t="e">
        <f>SUM(AK22:AK26,AK18)</f>
        <v>#REF!</v>
      </c>
      <c r="AL28" s="33">
        <f>IFERROR(AK28/AK13,0)</f>
        <v>0</v>
      </c>
      <c r="AM28" s="39" t="e">
        <f>SUM(AM22:AM26,AM18)</f>
        <v>#REF!</v>
      </c>
      <c r="AN28" s="33">
        <f>IFERROR(AM28/AM13,0)</f>
        <v>0</v>
      </c>
      <c r="AO28" s="39" t="e">
        <f>SUM(AO22:AO26,AO18)</f>
        <v>#REF!</v>
      </c>
      <c r="AP28" s="33">
        <f>IFERROR(AO28/AO13,0)</f>
        <v>0</v>
      </c>
      <c r="AQ28" s="39" t="e">
        <f>SUM(AQ22:AQ26,AQ18)</f>
        <v>#REF!</v>
      </c>
      <c r="AR28" s="33">
        <f>IFERROR(AQ28/AQ13,0)</f>
        <v>0</v>
      </c>
      <c r="AU28" s="38" t="e">
        <f>SUM(AU22:AU26,AU18)</f>
        <v>#REF!</v>
      </c>
      <c r="AV28" s="31">
        <f>IFERROR(AU28/AU13,0)</f>
        <v>0</v>
      </c>
      <c r="AW28" s="39" t="e">
        <f>SUM(AW22:AW26,AW18)</f>
        <v>#REF!</v>
      </c>
      <c r="AX28" s="33">
        <f>IFERROR(AW28/AW13,0)</f>
        <v>0</v>
      </c>
      <c r="AY28" s="38" t="e">
        <f>SUM(AY22:AY26,AY18)</f>
        <v>#REF!</v>
      </c>
      <c r="AZ28" s="31">
        <f>IFERROR(AY28/AY13,0)</f>
        <v>0</v>
      </c>
      <c r="BA28" s="39" t="e">
        <f>SUM(BA22:BA26,BA18)</f>
        <v>#REF!</v>
      </c>
      <c r="BB28" s="33">
        <f>IFERROR(BA28/BA13,0)</f>
        <v>0</v>
      </c>
      <c r="BC28" s="38" t="e">
        <f>SUM(BC22:BC26,BC18)</f>
        <v>#REF!</v>
      </c>
      <c r="BD28" s="31">
        <f>IFERROR(BC28/BC13,0)</f>
        <v>0</v>
      </c>
      <c r="BE28" s="39" t="e">
        <f>SUM(BE22:BE26,BE18)</f>
        <v>#REF!</v>
      </c>
      <c r="BF28" s="33">
        <f>IFERROR(BE28/BE13,0)</f>
        <v>0</v>
      </c>
    </row>
    <row r="29" spans="2:58" ht="11.1" customHeight="1">
      <c r="D29" s="89"/>
      <c r="E29" s="22"/>
      <c r="F29" s="28"/>
      <c r="G29" s="16"/>
      <c r="H29" s="16"/>
      <c r="I29" s="28"/>
      <c r="J29" s="28"/>
      <c r="K29" s="16"/>
      <c r="L29" s="16"/>
      <c r="M29" s="28"/>
      <c r="N29" s="28"/>
      <c r="O29" s="16"/>
      <c r="P29" s="16"/>
      <c r="Q29" s="28"/>
      <c r="R29" s="28"/>
      <c r="S29" s="16"/>
      <c r="T29" s="24"/>
      <c r="U29" s="22"/>
      <c r="X29" s="28"/>
      <c r="Y29" s="28"/>
      <c r="Z29" s="16"/>
      <c r="AA29" s="16"/>
      <c r="AB29" s="28"/>
      <c r="AC29" s="28"/>
      <c r="AD29" s="16"/>
      <c r="AE29" s="28"/>
      <c r="AF29" s="16"/>
      <c r="AG29" s="28"/>
      <c r="AH29" s="16"/>
      <c r="AI29" s="24"/>
      <c r="AK29" s="40"/>
      <c r="AL29" s="19"/>
      <c r="AM29" s="40"/>
      <c r="AN29" s="19"/>
      <c r="AO29" s="40"/>
      <c r="AP29" s="19"/>
      <c r="AQ29" s="40"/>
      <c r="AR29" s="19"/>
      <c r="AU29" s="28"/>
      <c r="AV29" s="16"/>
      <c r="AW29" s="40"/>
      <c r="AX29" s="19"/>
      <c r="AY29" s="28"/>
      <c r="AZ29" s="16"/>
      <c r="BA29" s="40"/>
      <c r="BB29" s="19"/>
      <c r="BC29" s="28"/>
      <c r="BD29" s="16"/>
      <c r="BE29" s="40"/>
      <c r="BF29" s="19"/>
    </row>
    <row r="30" spans="2:58" ht="17.25">
      <c r="D30" s="88" t="s">
        <v>42</v>
      </c>
      <c r="E30" s="22"/>
      <c r="F30" s="42" t="e">
        <f>F16-F28</f>
        <v>#REF!</v>
      </c>
      <c r="G30" s="43">
        <f>IFERROR(F30/F13,0)</f>
        <v>0</v>
      </c>
      <c r="H30" s="43"/>
      <c r="I30" s="42" t="e">
        <f>I16-I28</f>
        <v>#REF!</v>
      </c>
      <c r="J30" s="42"/>
      <c r="K30" s="43">
        <f>IFERROR(I30/I13,0)</f>
        <v>0</v>
      </c>
      <c r="L30" s="43"/>
      <c r="M30" s="42" t="e">
        <f>M16-M28</f>
        <v>#REF!</v>
      </c>
      <c r="N30" s="42"/>
      <c r="O30" s="43">
        <f>IFERROR(M30/M13,0)</f>
        <v>0</v>
      </c>
      <c r="P30" s="43"/>
      <c r="Q30" s="42" t="e">
        <f>Q16-Q28</f>
        <v>#REF!</v>
      </c>
      <c r="R30" s="42"/>
      <c r="S30" s="43">
        <f>IFERROR(Q30/Q13,0)</f>
        <v>0</v>
      </c>
      <c r="T30" s="17"/>
      <c r="U30" s="14"/>
      <c r="X30" s="42" t="e">
        <f>X16-X28</f>
        <v>#REF!</v>
      </c>
      <c r="Y30" s="42"/>
      <c r="Z30" s="43">
        <f>IFERROR(X30/X13,0)</f>
        <v>0</v>
      </c>
      <c r="AA30" s="43"/>
      <c r="AB30" s="42" t="e">
        <f>AB16-AB28</f>
        <v>#REF!</v>
      </c>
      <c r="AC30" s="42"/>
      <c r="AD30" s="43">
        <f>IFERROR(AB30/AB13,0)</f>
        <v>0</v>
      </c>
      <c r="AE30" s="42" t="e">
        <f>AE16-AE28</f>
        <v>#REF!</v>
      </c>
      <c r="AF30" s="43">
        <f>IFERROR(AE30/AE13,0)</f>
        <v>0</v>
      </c>
      <c r="AG30" s="42" t="e">
        <f>AG16-AG28</f>
        <v>#REF!</v>
      </c>
      <c r="AH30" s="43">
        <f>IFERROR(AG30/AG13,0)</f>
        <v>0</v>
      </c>
      <c r="AI30" s="17"/>
      <c r="AK30" s="44" t="e">
        <f>AK16-AK28</f>
        <v>#REF!</v>
      </c>
      <c r="AL30" s="45">
        <f>IFERROR(AK30/AK13,0)</f>
        <v>0</v>
      </c>
      <c r="AM30" s="44" t="e">
        <f>AM16-AM28</f>
        <v>#REF!</v>
      </c>
      <c r="AN30" s="45">
        <f>IFERROR(AM30/AM13,0)</f>
        <v>0</v>
      </c>
      <c r="AO30" s="44" t="e">
        <f>AO16-AO28</f>
        <v>#REF!</v>
      </c>
      <c r="AP30" s="45">
        <f>IFERROR(AO30/AO13,0)</f>
        <v>0</v>
      </c>
      <c r="AQ30" s="44" t="e">
        <f>AQ16-AQ28</f>
        <v>#REF!</v>
      </c>
      <c r="AR30" s="45">
        <f>IFERROR(AQ30/AQ13,0)</f>
        <v>0</v>
      </c>
      <c r="AU30" s="42" t="e">
        <f>AU16-AU28</f>
        <v>#REF!</v>
      </c>
      <c r="AV30" s="43">
        <f>IFERROR(AU30/AU13,0)</f>
        <v>0</v>
      </c>
      <c r="AW30" s="44" t="e">
        <f>AW16-AW28</f>
        <v>#REF!</v>
      </c>
      <c r="AX30" s="45">
        <f>IFERROR(AW30/AW13,0)</f>
        <v>0</v>
      </c>
      <c r="AY30" s="42" t="e">
        <f>AY16-AY28</f>
        <v>#REF!</v>
      </c>
      <c r="AZ30" s="43">
        <f>IFERROR(AY30/AY13,0)</f>
        <v>0</v>
      </c>
      <c r="BA30" s="44" t="e">
        <f>BA16-BA28</f>
        <v>#REF!</v>
      </c>
      <c r="BB30" s="45">
        <f>IFERROR(BA30/BA13,0)</f>
        <v>0</v>
      </c>
      <c r="BC30" s="42" t="e">
        <f>BC16-BC28</f>
        <v>#REF!</v>
      </c>
      <c r="BD30" s="43">
        <f>IFERROR(BC30/BC13,0)</f>
        <v>0</v>
      </c>
      <c r="BE30" s="44" t="e">
        <f>BE16-BE28</f>
        <v>#REF!</v>
      </c>
      <c r="BF30" s="45">
        <f>IFERROR(BE30/BE13,0)</f>
        <v>0</v>
      </c>
    </row>
    <row r="31" spans="2:58" ht="11.1" customHeight="1">
      <c r="D31" s="28"/>
      <c r="E31" s="22"/>
      <c r="F31" s="21"/>
      <c r="G31" s="16"/>
      <c r="H31" s="16"/>
      <c r="I31" s="21"/>
      <c r="J31" s="21"/>
      <c r="K31" s="16"/>
      <c r="L31" s="16"/>
      <c r="M31" s="21"/>
      <c r="N31" s="21"/>
      <c r="O31" s="16"/>
      <c r="P31" s="16"/>
      <c r="Q31" s="21"/>
      <c r="R31" s="21"/>
      <c r="S31" s="16"/>
      <c r="T31" s="24"/>
      <c r="U31" s="22"/>
      <c r="X31" s="21"/>
      <c r="Y31" s="21"/>
      <c r="Z31" s="16"/>
      <c r="AA31" s="16"/>
      <c r="AB31" s="21"/>
      <c r="AC31" s="21"/>
      <c r="AD31" s="16"/>
      <c r="AE31" s="21"/>
      <c r="AF31" s="16"/>
      <c r="AG31" s="21"/>
      <c r="AH31" s="16"/>
      <c r="AI31" s="24"/>
      <c r="AK31" s="25"/>
      <c r="AL31" s="19"/>
      <c r="AM31" s="25"/>
      <c r="AN31" s="19"/>
      <c r="AO31" s="25"/>
      <c r="AP31" s="19"/>
      <c r="AQ31" s="25"/>
      <c r="AR31" s="19"/>
      <c r="AU31" s="21"/>
      <c r="AV31" s="16"/>
      <c r="AW31" s="25"/>
      <c r="AX31" s="19"/>
      <c r="AY31" s="21"/>
      <c r="AZ31" s="16"/>
      <c r="BA31" s="25"/>
      <c r="BB31" s="19"/>
      <c r="BC31" s="21"/>
      <c r="BD31" s="16"/>
      <c r="BE31" s="25"/>
      <c r="BF31" s="19"/>
    </row>
    <row r="32" spans="2:58" ht="17.25">
      <c r="B32" s="35" t="s">
        <v>43</v>
      </c>
      <c r="D32" s="21" t="s">
        <v>44</v>
      </c>
      <c r="E32" s="22"/>
      <c r="F32" s="21" t="e">
        <f>+SUMIFS(#REF!,#REF!,'RDG Weekly'!B32)-SUMIFS(#REF!,#REF!,'RDG Weekly'!B33)</f>
        <v>#REF!</v>
      </c>
      <c r="G32" s="23">
        <f>IFERROR(F32/F13,0)</f>
        <v>0</v>
      </c>
      <c r="H32" s="23"/>
      <c r="I32" s="21" t="e">
        <f>+SUMIFS(#REF!,#REF!,'RDG Weekly'!B32)</f>
        <v>#REF!</v>
      </c>
      <c r="J32" s="21"/>
      <c r="K32" s="23">
        <f>IFERROR(I32/I13,0)</f>
        <v>0</v>
      </c>
      <c r="L32" s="23"/>
      <c r="M32" s="21" t="e">
        <f>+SUMIFS(#REF!,#REF!,'RDG Weekly'!B32)</f>
        <v>#REF!</v>
      </c>
      <c r="N32" s="21"/>
      <c r="O32" s="23">
        <f>IFERROR(M32/M13,0)</f>
        <v>0</v>
      </c>
      <c r="P32" s="23"/>
      <c r="Q32" s="21" t="e">
        <f>+SUMIFS(#REF!,#REF!,'RDG Weekly'!B32)</f>
        <v>#REF!</v>
      </c>
      <c r="R32" s="21"/>
      <c r="S32" s="23">
        <f>IFERROR(Q32/Q13,0)</f>
        <v>0</v>
      </c>
      <c r="T32" s="24"/>
      <c r="U32" s="22"/>
      <c r="X32" s="21" t="e">
        <f>+SUMIFS(#REF!,#REF!,'RDG Weekly'!Q32)-SUMIFS(#REF!,#REF!,'RDG Weekly'!Q33)</f>
        <v>#REF!</v>
      </c>
      <c r="Y32" s="21"/>
      <c r="Z32" s="23">
        <f>IFERROR(X32/X13,0)</f>
        <v>0</v>
      </c>
      <c r="AA32" s="23"/>
      <c r="AB32" s="21" t="e">
        <f>+SUMIFS(#REF!,#REF!,'RDG Weekly'!Q32)</f>
        <v>#REF!</v>
      </c>
      <c r="AC32" s="21"/>
      <c r="AD32" s="23">
        <f>IFERROR(AB32/AB13,0)</f>
        <v>0</v>
      </c>
      <c r="AE32" s="21" t="e">
        <f>+SUMIFS(#REF!,#REF!,'RDG Weekly'!Q32)</f>
        <v>#REF!</v>
      </c>
      <c r="AF32" s="23">
        <f>IFERROR(AE32/AE13,0)</f>
        <v>0</v>
      </c>
      <c r="AG32" s="21" t="e">
        <f>+SUMIFS(#REF!,#REF!,'RDG Weekly'!Q32)</f>
        <v>#REF!</v>
      </c>
      <c r="AH32" s="23">
        <f>IFERROR(AG32/AG13,0)</f>
        <v>0</v>
      </c>
      <c r="AI32" s="24"/>
      <c r="AK32" s="25" t="e">
        <f>+#REF!</f>
        <v>#REF!</v>
      </c>
      <c r="AL32" s="26">
        <f>IFERROR(AK32/AK13,0)</f>
        <v>0</v>
      </c>
      <c r="AM32" s="25" t="e">
        <f>+AK32</f>
        <v>#REF!</v>
      </c>
      <c r="AN32" s="26">
        <f>IFERROR(AM32/AM13,0)</f>
        <v>0</v>
      </c>
      <c r="AO32" s="25" t="e">
        <f>+AM32</f>
        <v>#REF!</v>
      </c>
      <c r="AP32" s="26">
        <f>IFERROR(AO32/AO13,0)</f>
        <v>0</v>
      </c>
      <c r="AQ32" s="25" t="e">
        <f>+AO32</f>
        <v>#REF!</v>
      </c>
      <c r="AR32" s="26">
        <f>IFERROR(AQ32/AQ13,0)</f>
        <v>0</v>
      </c>
      <c r="AU32" s="21" t="e">
        <f>SUMIFS($F$13:$F$34,$D$13:$D$34,D32)</f>
        <v>#REF!</v>
      </c>
      <c r="AV32" s="23">
        <f>IFERROR(AU32/AU13,0)</f>
        <v>0</v>
      </c>
      <c r="AW32" s="25" t="e">
        <f>+AK32</f>
        <v>#REF!</v>
      </c>
      <c r="AX32" s="26">
        <f>IFERROR(AW32/AW13,0)</f>
        <v>0</v>
      </c>
      <c r="AY32" s="21" t="e">
        <f>SUMIFS($I$13:$I$34,$D$13:$D$34,D32)+SUMIFS($AU$13:$AU$34,$D$13:$D$34,D32)</f>
        <v>#REF!</v>
      </c>
      <c r="AZ32" s="23">
        <f>IFERROR(AY32/AY13,0)</f>
        <v>0</v>
      </c>
      <c r="BA32" s="25" t="e">
        <f>SUMIFS($AM$13:$AM$34,$D$13:$D$34,D32)+SUMIFS($AW$13:$AW$34,$D$13:$D$34,D32)</f>
        <v>#REF!</v>
      </c>
      <c r="BB32" s="26">
        <f>IFERROR(BA32/BA13,0)</f>
        <v>0</v>
      </c>
      <c r="BC32" s="21" t="e">
        <f>SUMIFS($M$13:$M$34,$D$13:$D$34,D32)+SUMIFS($AY$13:$AY$34,$D$13:$D$34,D32)</f>
        <v>#REF!</v>
      </c>
      <c r="BD32" s="23">
        <f>IFERROR(BC32/BC13,0)</f>
        <v>0</v>
      </c>
      <c r="BE32" s="25" t="e">
        <f>+AO32+BA32</f>
        <v>#REF!</v>
      </c>
      <c r="BF32" s="26">
        <f>IFERROR(BE32/BE13,0)</f>
        <v>0</v>
      </c>
    </row>
    <row r="33" spans="2:58" ht="11.1" customHeight="1">
      <c r="B33" s="5" t="s">
        <v>45</v>
      </c>
      <c r="D33" s="28"/>
      <c r="E33" s="22"/>
      <c r="F33" s="28"/>
      <c r="G33" s="16"/>
      <c r="H33" s="16"/>
      <c r="I33" s="28"/>
      <c r="J33" s="28"/>
      <c r="K33" s="16"/>
      <c r="L33" s="16"/>
      <c r="M33" s="28"/>
      <c r="N33" s="28"/>
      <c r="O33" s="16"/>
      <c r="P33" s="16"/>
      <c r="Q33" s="28"/>
      <c r="R33" s="28"/>
      <c r="S33" s="16"/>
      <c r="T33" s="24"/>
      <c r="U33" s="22"/>
      <c r="X33" s="28"/>
      <c r="Y33" s="28"/>
      <c r="Z33" s="16"/>
      <c r="AA33" s="16"/>
      <c r="AB33" s="28"/>
      <c r="AC33" s="28"/>
      <c r="AD33" s="16"/>
      <c r="AE33" s="28"/>
      <c r="AF33" s="16"/>
      <c r="AG33" s="28"/>
      <c r="AH33" s="16"/>
      <c r="AI33" s="24"/>
      <c r="AK33" s="40"/>
      <c r="AL33" s="19"/>
      <c r="AM33" s="40"/>
      <c r="AN33" s="19"/>
      <c r="AO33" s="40"/>
      <c r="AP33" s="19"/>
      <c r="AQ33" s="40"/>
      <c r="AR33" s="19"/>
      <c r="AU33" s="28"/>
      <c r="AV33" s="16"/>
      <c r="AW33" s="40"/>
      <c r="AX33" s="19"/>
      <c r="AY33" s="28"/>
      <c r="AZ33" s="16"/>
      <c r="BA33" s="40"/>
      <c r="BB33" s="19"/>
      <c r="BC33" s="28"/>
      <c r="BD33" s="16"/>
      <c r="BE33" s="40"/>
      <c r="BF33" s="19"/>
    </row>
    <row r="34" spans="2:58" ht="17.25">
      <c r="B34" s="35" t="s">
        <v>46</v>
      </c>
      <c r="D34" s="88" t="s">
        <v>47</v>
      </c>
      <c r="E34" s="22"/>
      <c r="F34" s="42" t="e">
        <f>F30-F32</f>
        <v>#REF!</v>
      </c>
      <c r="G34" s="43">
        <f>IFERROR(F34/F13,0)</f>
        <v>0</v>
      </c>
      <c r="H34" s="43"/>
      <c r="I34" s="42" t="e">
        <f>I30-I32</f>
        <v>#REF!</v>
      </c>
      <c r="J34" s="42"/>
      <c r="K34" s="43">
        <f>IFERROR(I34/I13,0)</f>
        <v>0</v>
      </c>
      <c r="L34" s="43"/>
      <c r="M34" s="42" t="e">
        <f>M30-M32</f>
        <v>#REF!</v>
      </c>
      <c r="N34" s="42"/>
      <c r="O34" s="43">
        <f>IFERROR(M34/M13,0)</f>
        <v>0</v>
      </c>
      <c r="P34" s="43"/>
      <c r="Q34" s="42" t="e">
        <f>Q30-Q32</f>
        <v>#REF!</v>
      </c>
      <c r="R34" s="42"/>
      <c r="S34" s="43">
        <f>IFERROR(Q34/Q13,0)</f>
        <v>0</v>
      </c>
      <c r="T34" s="17"/>
      <c r="U34" s="14"/>
      <c r="X34" s="42" t="e">
        <f>X30-X32</f>
        <v>#REF!</v>
      </c>
      <c r="Y34" s="42"/>
      <c r="Z34" s="43">
        <f>IFERROR(X34/X13,0)</f>
        <v>0</v>
      </c>
      <c r="AA34" s="43"/>
      <c r="AB34" s="42" t="e">
        <f>AB30-AB32</f>
        <v>#REF!</v>
      </c>
      <c r="AC34" s="42"/>
      <c r="AD34" s="43">
        <f>IFERROR(AB34/AB13,0)</f>
        <v>0</v>
      </c>
      <c r="AE34" s="42" t="e">
        <f>AE30-AE32</f>
        <v>#REF!</v>
      </c>
      <c r="AF34" s="43">
        <f>IFERROR(AE34/AE13,0)</f>
        <v>0</v>
      </c>
      <c r="AG34" s="42" t="e">
        <f>AG30-AG32</f>
        <v>#REF!</v>
      </c>
      <c r="AH34" s="43">
        <f>IFERROR(AG34/AG13,0)</f>
        <v>0</v>
      </c>
      <c r="AI34" s="17"/>
      <c r="AK34" s="44" t="e">
        <f>AK30-AK32</f>
        <v>#REF!</v>
      </c>
      <c r="AL34" s="45">
        <f>IFERROR(AK34/AK13,0)</f>
        <v>0</v>
      </c>
      <c r="AM34" s="44" t="e">
        <f>AM30-AM32</f>
        <v>#REF!</v>
      </c>
      <c r="AN34" s="45">
        <f>IFERROR(AM34/AM13,0)</f>
        <v>0</v>
      </c>
      <c r="AO34" s="44" t="e">
        <f>AO30-AO32</f>
        <v>#REF!</v>
      </c>
      <c r="AP34" s="45">
        <f>IFERROR(AO34/AO13,0)</f>
        <v>0</v>
      </c>
      <c r="AQ34" s="44" t="e">
        <f>AQ30-AQ32</f>
        <v>#REF!</v>
      </c>
      <c r="AR34" s="45">
        <f>IFERROR(AQ34/AQ13,0)</f>
        <v>0</v>
      </c>
      <c r="AU34" s="42" t="e">
        <f>AU30-AU32</f>
        <v>#REF!</v>
      </c>
      <c r="AV34" s="43">
        <f>IFERROR(AU34/AU13,0)</f>
        <v>0</v>
      </c>
      <c r="AW34" s="44" t="e">
        <f>AW30-AW32</f>
        <v>#REF!</v>
      </c>
      <c r="AX34" s="45">
        <f>IFERROR(AW34/AW13,0)</f>
        <v>0</v>
      </c>
      <c r="AY34" s="42" t="e">
        <f>AY30-AY32</f>
        <v>#REF!</v>
      </c>
      <c r="AZ34" s="43">
        <f>IFERROR(AY34/AY13,0)</f>
        <v>0</v>
      </c>
      <c r="BA34" s="44" t="e">
        <f>BA30-BA32</f>
        <v>#REF!</v>
      </c>
      <c r="BB34" s="45">
        <f>IFERROR(BA34/BA13,0)</f>
        <v>0</v>
      </c>
      <c r="BC34" s="42" t="e">
        <f>BC30-BC32</f>
        <v>#REF!</v>
      </c>
      <c r="BD34" s="43">
        <f>IFERROR(BC34/BC13,0)</f>
        <v>0</v>
      </c>
      <c r="BE34" s="44" t="e">
        <f>BE30-BE32</f>
        <v>#REF!</v>
      </c>
      <c r="BF34" s="45">
        <f>IFERROR(BE34/BE13,0)</f>
        <v>0</v>
      </c>
    </row>
    <row r="35" spans="2:58" ht="15.75">
      <c r="B35" s="46" t="s">
        <v>48</v>
      </c>
      <c r="F35" s="98"/>
      <c r="X35" s="98"/>
      <c r="Y35" s="98"/>
    </row>
    <row r="36" spans="2:58" ht="15.75">
      <c r="B36" s="46"/>
      <c r="D36" s="56" t="s">
        <v>49</v>
      </c>
      <c r="F36" s="77" t="str">
        <f>+F11</f>
        <v>MILA 3F</v>
      </c>
      <c r="I36" s="66" t="str">
        <f>+I11</f>
        <v>MILA 2F</v>
      </c>
      <c r="J36" s="66"/>
      <c r="K36" s="57"/>
      <c r="L36" s="57"/>
      <c r="M36" s="66" t="str">
        <f>+M11</f>
        <v>AVA</v>
      </c>
      <c r="N36" s="66"/>
      <c r="O36" s="57"/>
      <c r="P36" s="57"/>
      <c r="Q36" s="66" t="str">
        <f>+Q11</f>
        <v>CASA NEOS</v>
      </c>
      <c r="R36" s="66"/>
      <c r="S36" s="57"/>
      <c r="T36" s="56"/>
      <c r="U36" s="56"/>
      <c r="V36" s="56"/>
      <c r="W36" s="56"/>
      <c r="X36" s="77" t="str">
        <f>+X11</f>
        <v>MILA</v>
      </c>
      <c r="Y36" s="77"/>
      <c r="AB36" s="66" t="str">
        <f>+AB11</f>
        <v>MILA MM</v>
      </c>
      <c r="AC36" s="66"/>
      <c r="AD36" s="57"/>
      <c r="AE36" s="66" t="str">
        <f>+AE11</f>
        <v>AVA</v>
      </c>
      <c r="AF36" s="57"/>
      <c r="AG36" s="66" t="str">
        <f>+AG11</f>
        <v>BAOLI</v>
      </c>
      <c r="AH36" s="57"/>
      <c r="AI36" s="56"/>
    </row>
    <row r="37" spans="2:58">
      <c r="F37" s="98"/>
      <c r="X37" s="98"/>
      <c r="Y37" s="98"/>
    </row>
    <row r="38" spans="2:58">
      <c r="D38" s="54" t="s">
        <v>50</v>
      </c>
      <c r="F38" s="99" t="e">
        <f>+SUMIFS(#REF!,#REF!,'RDG Weekly'!$B$213)/+SUMIFS(#REF!,#REF!,'RDG Weekly'!$B$212)</f>
        <v>#REF!</v>
      </c>
      <c r="I38" s="99" t="e">
        <f>+SUMIFS(#REF!,#REF!,#REF!)/+SUMIFS(#REF!,#REF!,#REF!)</f>
        <v>#REF!</v>
      </c>
      <c r="J38" s="99"/>
      <c r="K38" s="100"/>
      <c r="L38" s="100"/>
      <c r="M38" s="99" t="e">
        <f>+SUMIFS(#REF!,#REF!,#REF!)/+SUMIFS(#REF!,#REF!,#REF!)</f>
        <v>#REF!</v>
      </c>
      <c r="N38" s="99"/>
      <c r="O38" s="99"/>
      <c r="P38" s="99"/>
      <c r="Q38" s="99" t="e">
        <f>+SUMIFS(#REF!,#REF!,#REF!)/+SUMIFS(#REF!,#REF!,#REF!)</f>
        <v>#REF!</v>
      </c>
      <c r="R38" s="99"/>
      <c r="S38" s="99"/>
      <c r="T38" s="100"/>
      <c r="U38" s="100"/>
      <c r="X38" s="99" t="e">
        <f>+SUMIFS(#REF!,#REF!,'RDG Weekly'!$B$213)/+SUMIFS(#REF!,#REF!,'RDG Weekly'!$B$212)</f>
        <v>#REF!</v>
      </c>
      <c r="Y38" s="99"/>
      <c r="AB38" s="99" t="e">
        <f>+SUMIFS(#REF!,#REF!,#REF!)/+SUMIFS(#REF!,#REF!,#REF!)</f>
        <v>#REF!</v>
      </c>
      <c r="AC38" s="99"/>
      <c r="AD38" s="100"/>
      <c r="AE38" s="99" t="e">
        <f>+SUMIFS(#REF!,#REF!,#REF!)/+SUMIFS(#REF!,#REF!,#REF!)</f>
        <v>#REF!</v>
      </c>
      <c r="AF38" s="99"/>
      <c r="AG38" s="99" t="e">
        <f>+SUMIFS(#REF!,#REF!,#REF!)/+SUMIFS(#REF!,#REF!,#REF!)</f>
        <v>#REF!</v>
      </c>
      <c r="AH38" s="99"/>
      <c r="AI38" s="100"/>
    </row>
    <row r="39" spans="2:58">
      <c r="D39" s="54" t="s">
        <v>51</v>
      </c>
      <c r="F39" s="99" t="e">
        <f>+(SUMIFS(#REF!,#REF!,'RDG Weekly'!$C$215)+SUMIFS(#REF!,#REF!,'RDG Weekly'!$C$218))/+SUMIFS(#REF!,#REF!,'RDG Weekly'!$C$214)</f>
        <v>#REF!</v>
      </c>
      <c r="I39" s="99" t="e">
        <f>+(SUMIFS(#REF!,#REF!,#REF!)+SUMIFS(#REF!,#REF!,#REF!))/+SUMIFS(#REF!,#REF!,#REF!)</f>
        <v>#REF!</v>
      </c>
      <c r="J39" s="99"/>
      <c r="K39" s="100"/>
      <c r="L39" s="100"/>
      <c r="M39" s="99" t="e">
        <f>+(SUMIFS(#REF!,#REF!,#REF!)+SUMIFS(#REF!,#REF!,#REF!))/+SUMIFS(#REF!,#REF!,#REF!)</f>
        <v>#REF!</v>
      </c>
      <c r="N39" s="99"/>
      <c r="O39" s="99"/>
      <c r="P39" s="99"/>
      <c r="Q39" s="99" t="e">
        <f>+(SUMIFS(#REF!,#REF!,#REF!)+SUMIFS(#REF!,#REF!,#REF!))/+SUMIFS(#REF!,#REF!,#REF!)</f>
        <v>#REF!</v>
      </c>
      <c r="R39" s="99"/>
      <c r="S39" s="115"/>
      <c r="T39" s="100"/>
      <c r="U39" s="100"/>
      <c r="X39" s="99" t="e">
        <f>+(SUMIFS(#REF!,#REF!,'RDG Weekly'!$C$215)+SUMIFS(#REF!,#REF!,'RDG Weekly'!$C$218))/+SUMIFS(#REF!,#REF!,'RDG Weekly'!$C$214)</f>
        <v>#REF!</v>
      </c>
      <c r="Y39" s="99"/>
      <c r="AB39" s="99" t="e">
        <f>+(SUMIFS(#REF!,#REF!,#REF!)+SUMIFS(#REF!,#REF!,#REF!))/+SUMIFS(#REF!,#REF!,#REF!)</f>
        <v>#REF!</v>
      </c>
      <c r="AC39" s="99"/>
      <c r="AD39" s="100"/>
      <c r="AE39" s="99" t="e">
        <f>+(SUMIFS(#REF!,#REF!,#REF!)+SUMIFS(#REF!,#REF!,#REF!))/+SUMIFS(#REF!,#REF!,#REF!)</f>
        <v>#REF!</v>
      </c>
      <c r="AF39" s="99"/>
      <c r="AG39" s="99" t="e">
        <f>+(SUMIFS(#REF!,#REF!,#REF!)+SUMIFS(#REF!,#REF!,#REF!))/+SUMIFS(#REF!,#REF!,#REF!)</f>
        <v>#REF!</v>
      </c>
      <c r="AH39" s="99"/>
      <c r="AI39" s="100"/>
    </row>
    <row r="40" spans="2:58">
      <c r="D40" s="54" t="s">
        <v>52</v>
      </c>
      <c r="F40" s="99" t="e">
        <f>+(SUMIFS(#REF!,#REF!,'RDG Weekly'!$B$219)++SUMIFS(#REF!,#REF!,'RDG Weekly'!$B$220)+SUMIFS(#REF!,#REF!,'RDG Weekly'!$B$221))/(+SUMIFS(#REF!,#REF!,'RDG Weekly'!$B$214)+SUMIFS(#REF!,#REF!,'RDG Weekly'!$B$215)+SUMIFS(#REF!,#REF!,'RDG Weekly'!$B$218))</f>
        <v>#REF!</v>
      </c>
      <c r="I40" s="99" t="e">
        <f>+(SUMIFS(#REF!,#REF!,#REF!)++SUMIFS(#REF!,#REF!,#REF!)+SUMIFS(#REF!,#REF!,#REF!))/(+SUMIFS(#REF!,#REF!,#REF!)+SUMIFS(#REF!,#REF!,#REF!)+SUMIFS(#REF!,#REF!,#REF!))</f>
        <v>#REF!</v>
      </c>
      <c r="J40" s="99"/>
      <c r="K40" s="100"/>
      <c r="L40" s="100"/>
      <c r="M40" s="99" t="e">
        <f>+(SUMIFS(#REF!,#REF!,#REF!)++SUMIFS(#REF!,#REF!,#REF!)+SUMIFS(#REF!,#REF!,#REF!))/(+SUMIFS(#REF!,#REF!,#REF!)+SUMIFS(#REF!,#REF!,#REF!)+SUMIFS(#REF!,#REF!,#REF!))</f>
        <v>#REF!</v>
      </c>
      <c r="N40" s="99"/>
      <c r="O40" s="99"/>
      <c r="P40" s="99"/>
      <c r="Q40" s="99" t="e">
        <f>+(SUMIFS(#REF!,#REF!,#REF!)++SUMIFS(#REF!,#REF!,#REF!)+SUMIFS(#REF!,#REF!,#REF!))/(+SUMIFS(#REF!,#REF!,#REF!)+SUMIFS(#REF!,#REF!,#REF!)+SUMIFS(#REF!,#REF!,#REF!))</f>
        <v>#REF!</v>
      </c>
      <c r="R40" s="99"/>
      <c r="S40" s="99"/>
      <c r="T40" s="100"/>
      <c r="U40" s="100"/>
      <c r="X40" s="99" t="e">
        <f>+(SUMIFS(#REF!,#REF!,'RDG Weekly'!$B$219)++SUMIFS(#REF!,#REF!,'RDG Weekly'!$B$220)+SUMIFS(#REF!,#REF!,'RDG Weekly'!$B$221))/(+SUMIFS(#REF!,#REF!,'RDG Weekly'!$B$214)+SUMIFS(#REF!,#REF!,'RDG Weekly'!$B$215)+SUMIFS(#REF!,#REF!,'RDG Weekly'!$B$218))</f>
        <v>#REF!</v>
      </c>
      <c r="Y40" s="99"/>
      <c r="AB40" s="99" t="e">
        <f>+(SUMIFS(#REF!,#REF!,#REF!)++SUMIFS(#REF!,#REF!,#REF!)+SUMIFS(#REF!,#REF!,#REF!))/(+SUMIFS(#REF!,#REF!,#REF!)+SUMIFS(#REF!,#REF!,#REF!)+SUMIFS(#REF!,#REF!,#REF!))</f>
        <v>#REF!</v>
      </c>
      <c r="AC40" s="99"/>
      <c r="AD40" s="100"/>
      <c r="AE40" s="99" t="e">
        <f>+(SUMIFS(#REF!,#REF!,#REF!)++SUMIFS(#REF!,#REF!,#REF!)+SUMIFS(#REF!,#REF!,#REF!))/(+SUMIFS(#REF!,#REF!,#REF!)+SUMIFS(#REF!,#REF!,#REF!)+SUMIFS(#REF!,#REF!,#REF!))</f>
        <v>#REF!</v>
      </c>
      <c r="AF40" s="99"/>
      <c r="AG40" s="99" t="e">
        <f>+(SUMIFS(#REF!,#REF!,#REF!)++SUMIFS(#REF!,#REF!,#REF!)+SUMIFS(#REF!,#REF!,#REF!))/(+SUMIFS(#REF!,#REF!,#REF!)+SUMIFS(#REF!,#REF!,#REF!)+SUMIFS(#REF!,#REF!,#REF!))</f>
        <v>#REF!</v>
      </c>
      <c r="AH40" s="99"/>
      <c r="AI40" s="100"/>
    </row>
    <row r="41" spans="2:58" ht="2.65" customHeight="1">
      <c r="D41" s="54"/>
      <c r="F41" s="101"/>
      <c r="G41" s="102"/>
      <c r="H41" s="102"/>
      <c r="X41" s="101"/>
      <c r="Y41" s="101"/>
      <c r="Z41" s="102"/>
      <c r="AA41" s="102"/>
    </row>
    <row r="42" spans="2:58" ht="17.25">
      <c r="D42" s="54" t="s">
        <v>53</v>
      </c>
      <c r="F42" s="99" t="e">
        <f>F20/+SUMIFS(#REF!,#REF!,#REF!)</f>
        <v>#REF!</v>
      </c>
      <c r="I42" s="99" t="e">
        <f>I20/+SUMIFS(#REF!,#REF!,B212)</f>
        <v>#REF!</v>
      </c>
      <c r="J42" s="99"/>
      <c r="K42" s="100"/>
      <c r="L42" s="100"/>
      <c r="M42" s="99" t="e">
        <f>M20/+SUMIFS(#REF!,#REF!,B212)</f>
        <v>#REF!</v>
      </c>
      <c r="N42" s="99"/>
      <c r="O42" s="99"/>
      <c r="P42" s="99"/>
      <c r="Q42" s="99" t="e">
        <f>Q20/+SUMIFS(#REF!,#REF!,B212)</f>
        <v>#REF!</v>
      </c>
      <c r="R42" s="99"/>
      <c r="S42" s="99"/>
      <c r="T42" s="100"/>
      <c r="U42" s="100"/>
      <c r="X42" s="99" t="e">
        <f>X20/+SUMIFS(#REF!,#REF!,#REF!)</f>
        <v>#REF!</v>
      </c>
      <c r="Y42" s="99"/>
      <c r="AB42" s="99" t="e">
        <f>AB20/+SUMIFS(#REF!,#REF!,Q37)</f>
        <v>#REF!</v>
      </c>
      <c r="AC42" s="99"/>
      <c r="AD42" s="100"/>
      <c r="AE42" s="99" t="e">
        <f>AE20/+SUMIFS(#REF!,#REF!,Q37)</f>
        <v>#REF!</v>
      </c>
      <c r="AF42" s="99"/>
      <c r="AG42" s="99" t="e">
        <f>AG20/+SUMIFS(#REF!,#REF!,Q37)</f>
        <v>#REF!</v>
      </c>
      <c r="AH42" s="99"/>
      <c r="AI42" s="100"/>
      <c r="AR42" s="21"/>
      <c r="AS42" s="21"/>
      <c r="AT42" s="21"/>
    </row>
    <row r="43" spans="2:58" ht="15.75" thickBot="1">
      <c r="F43" s="98"/>
      <c r="X43" s="98"/>
      <c r="Y43" s="98"/>
    </row>
    <row r="44" spans="2:58">
      <c r="D44" s="78" t="s">
        <v>54</v>
      </c>
      <c r="E44" s="79"/>
      <c r="F44" s="103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79"/>
      <c r="U44" s="79"/>
      <c r="V44" s="79"/>
      <c r="W44" s="79"/>
      <c r="X44" s="103"/>
      <c r="Y44" s="103"/>
      <c r="Z44" s="104"/>
      <c r="AA44" s="104"/>
      <c r="AB44" s="104"/>
      <c r="AC44" s="104"/>
      <c r="AD44" s="104"/>
      <c r="AE44" s="104"/>
      <c r="AF44" s="104"/>
      <c r="AG44" s="104"/>
      <c r="AH44" s="104"/>
      <c r="AI44" s="79"/>
      <c r="AR44" s="56"/>
      <c r="AS44" s="56"/>
      <c r="AT44" s="56"/>
      <c r="AU44" s="56"/>
    </row>
    <row r="45" spans="2:58">
      <c r="D45" s="80"/>
      <c r="E45" s="75"/>
      <c r="F45" s="105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75"/>
      <c r="U45" s="75"/>
      <c r="V45" s="75"/>
      <c r="W45" s="75"/>
      <c r="X45" s="105"/>
      <c r="Y45" s="105"/>
      <c r="Z45" s="106"/>
      <c r="AA45" s="106"/>
      <c r="AB45" s="106"/>
      <c r="AC45" s="106"/>
      <c r="AD45" s="106"/>
      <c r="AE45" s="106"/>
      <c r="AF45" s="106"/>
      <c r="AG45" s="106"/>
      <c r="AH45" s="106"/>
      <c r="AI45" s="75"/>
    </row>
    <row r="46" spans="2:58">
      <c r="D46" s="82" t="s">
        <v>19</v>
      </c>
      <c r="E46" s="75"/>
      <c r="F46" s="390" t="s">
        <v>55</v>
      </c>
      <c r="G46" s="390"/>
      <c r="H46" s="390"/>
      <c r="I46" s="390"/>
      <c r="J46" s="390"/>
      <c r="K46" s="390"/>
      <c r="L46" s="390"/>
      <c r="M46" s="390"/>
      <c r="N46" s="390"/>
      <c r="O46" s="390"/>
      <c r="P46" s="390"/>
      <c r="Q46" s="390"/>
      <c r="R46" s="390"/>
      <c r="S46" s="390"/>
      <c r="T46" s="390"/>
      <c r="U46" s="390"/>
      <c r="V46" s="390"/>
      <c r="W46" s="390"/>
      <c r="X46" s="390"/>
      <c r="Y46" s="390"/>
      <c r="Z46" s="390"/>
      <c r="AA46" s="390"/>
      <c r="AB46" s="390"/>
      <c r="AC46" s="390"/>
      <c r="AD46" s="390"/>
      <c r="AE46" s="390"/>
      <c r="AF46" s="390"/>
      <c r="AG46" s="81"/>
    </row>
    <row r="47" spans="2:58">
      <c r="D47" s="82" t="s">
        <v>56</v>
      </c>
      <c r="E47" s="75"/>
      <c r="F47" s="390" t="s">
        <v>57</v>
      </c>
      <c r="G47" s="390"/>
      <c r="H47" s="390"/>
      <c r="I47" s="390"/>
      <c r="J47" s="390"/>
      <c r="K47" s="390"/>
      <c r="L47" s="390"/>
      <c r="M47" s="390"/>
      <c r="N47" s="390"/>
      <c r="O47" s="390"/>
      <c r="P47" s="390"/>
      <c r="Q47" s="390"/>
      <c r="R47" s="390"/>
      <c r="S47" s="390"/>
      <c r="T47" s="390"/>
      <c r="U47" s="390"/>
      <c r="V47" s="390"/>
      <c r="W47" s="390"/>
      <c r="X47" s="390"/>
      <c r="Y47" s="390"/>
      <c r="Z47" s="390"/>
      <c r="AA47" s="390"/>
      <c r="AB47" s="390"/>
      <c r="AC47" s="390"/>
      <c r="AD47" s="390"/>
      <c r="AE47" s="390"/>
      <c r="AF47" s="390"/>
      <c r="AG47" s="81"/>
    </row>
    <row r="48" spans="2:58">
      <c r="D48" s="82" t="s">
        <v>31</v>
      </c>
      <c r="E48" s="75"/>
      <c r="F48" s="390" t="s">
        <v>58</v>
      </c>
      <c r="G48" s="390"/>
      <c r="H48" s="390"/>
      <c r="I48" s="390"/>
      <c r="J48" s="390"/>
      <c r="K48" s="390"/>
      <c r="L48" s="390"/>
      <c r="M48" s="390"/>
      <c r="N48" s="390"/>
      <c r="O48" s="390"/>
      <c r="P48" s="390"/>
      <c r="Q48" s="390"/>
      <c r="R48" s="390"/>
      <c r="S48" s="390"/>
      <c r="T48" s="390"/>
      <c r="U48" s="390"/>
      <c r="V48" s="390"/>
      <c r="W48" s="390"/>
      <c r="X48" s="390"/>
      <c r="Y48" s="390"/>
      <c r="Z48" s="390"/>
      <c r="AA48" s="390"/>
      <c r="AB48" s="390"/>
      <c r="AC48" s="390"/>
      <c r="AD48" s="390"/>
      <c r="AE48" s="390"/>
      <c r="AF48" s="390"/>
      <c r="AG48" s="81"/>
    </row>
    <row r="49" spans="2:35">
      <c r="D49" s="82" t="s">
        <v>34</v>
      </c>
      <c r="E49" s="75"/>
      <c r="F49" s="390" t="s">
        <v>59</v>
      </c>
      <c r="G49" s="390"/>
      <c r="H49" s="390"/>
      <c r="I49" s="390"/>
      <c r="J49" s="390"/>
      <c r="K49" s="390"/>
      <c r="L49" s="390"/>
      <c r="M49" s="390"/>
      <c r="N49" s="390"/>
      <c r="O49" s="390"/>
      <c r="P49" s="390"/>
      <c r="Q49" s="390"/>
      <c r="R49" s="390"/>
      <c r="S49" s="390"/>
      <c r="T49" s="390"/>
      <c r="U49" s="390"/>
      <c r="V49" s="390"/>
      <c r="W49" s="390"/>
      <c r="X49" s="390"/>
      <c r="Y49" s="390"/>
      <c r="Z49" s="390"/>
      <c r="AA49" s="390"/>
      <c r="AB49" s="390"/>
      <c r="AC49" s="390"/>
      <c r="AD49" s="390"/>
      <c r="AE49" s="390"/>
      <c r="AF49" s="390"/>
      <c r="AG49" s="81"/>
    </row>
    <row r="50" spans="2:35">
      <c r="D50" s="82" t="s">
        <v>36</v>
      </c>
      <c r="E50" s="75"/>
      <c r="F50" s="390" t="s">
        <v>60</v>
      </c>
      <c r="G50" s="390"/>
      <c r="H50" s="390"/>
      <c r="I50" s="390"/>
      <c r="J50" s="390"/>
      <c r="K50" s="390"/>
      <c r="L50" s="390"/>
      <c r="M50" s="390"/>
      <c r="N50" s="390"/>
      <c r="O50" s="390"/>
      <c r="P50" s="390"/>
      <c r="Q50" s="390"/>
      <c r="R50" s="390"/>
      <c r="S50" s="390"/>
      <c r="T50" s="390"/>
      <c r="U50" s="390"/>
      <c r="V50" s="390"/>
      <c r="W50" s="390"/>
      <c r="X50" s="390"/>
      <c r="Y50" s="390"/>
      <c r="Z50" s="390"/>
      <c r="AA50" s="390"/>
      <c r="AB50" s="390"/>
      <c r="AC50" s="390"/>
      <c r="AD50" s="390"/>
      <c r="AE50" s="390"/>
      <c r="AF50" s="390"/>
      <c r="AG50" s="81"/>
    </row>
    <row r="51" spans="2:35">
      <c r="D51" s="83" t="s">
        <v>38</v>
      </c>
      <c r="E51" s="75"/>
      <c r="F51" s="390"/>
      <c r="G51" s="390"/>
      <c r="H51" s="390"/>
      <c r="I51" s="390"/>
      <c r="J51" s="390"/>
      <c r="K51" s="390"/>
      <c r="L51" s="390"/>
      <c r="M51" s="390"/>
      <c r="N51" s="390"/>
      <c r="O51" s="390"/>
      <c r="P51" s="390"/>
      <c r="Q51" s="390"/>
      <c r="R51" s="390"/>
      <c r="S51" s="390"/>
      <c r="T51" s="390"/>
      <c r="U51" s="390"/>
      <c r="V51" s="390"/>
      <c r="W51" s="390"/>
      <c r="X51" s="390"/>
      <c r="Y51" s="390"/>
      <c r="Z51" s="390"/>
      <c r="AA51" s="390"/>
      <c r="AB51" s="390"/>
      <c r="AC51" s="390"/>
      <c r="AD51" s="390"/>
      <c r="AE51" s="390"/>
      <c r="AF51" s="390"/>
      <c r="AG51" s="81"/>
    </row>
    <row r="52" spans="2:35" ht="15.75" thickBot="1">
      <c r="D52" s="84"/>
      <c r="E52" s="85"/>
      <c r="F52" s="391"/>
      <c r="G52" s="391"/>
      <c r="H52" s="391"/>
      <c r="I52" s="391"/>
      <c r="J52" s="391"/>
      <c r="K52" s="391"/>
      <c r="L52" s="391"/>
      <c r="M52" s="391"/>
      <c r="N52" s="391"/>
      <c r="O52" s="391"/>
      <c r="P52" s="391"/>
      <c r="Q52" s="391"/>
      <c r="R52" s="391"/>
      <c r="S52" s="391"/>
      <c r="T52" s="391"/>
      <c r="U52" s="391"/>
      <c r="V52" s="391"/>
      <c r="W52" s="96"/>
      <c r="X52" s="85"/>
      <c r="Y52" s="85"/>
      <c r="Z52" s="85"/>
      <c r="AA52" s="85"/>
      <c r="AB52" s="85"/>
      <c r="AC52" s="85"/>
      <c r="AD52" s="85"/>
      <c r="AE52" s="85"/>
      <c r="AF52" s="85"/>
      <c r="AG52" s="86"/>
    </row>
    <row r="53" spans="2:35">
      <c r="F53" s="392"/>
      <c r="G53" s="392"/>
      <c r="H53" s="392"/>
      <c r="I53" s="392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9"/>
    </row>
    <row r="54" spans="2:35">
      <c r="F54" s="392"/>
      <c r="G54" s="392"/>
      <c r="H54" s="392"/>
      <c r="I54" s="392"/>
      <c r="J54" s="392"/>
      <c r="K54" s="392"/>
      <c r="L54" s="392"/>
      <c r="M54" s="392"/>
      <c r="N54" s="392"/>
      <c r="O54" s="392"/>
      <c r="P54" s="392"/>
      <c r="Q54" s="392"/>
      <c r="R54" s="392"/>
      <c r="S54" s="392"/>
      <c r="T54" s="392"/>
      <c r="U54" s="392"/>
      <c r="V54" s="392"/>
      <c r="W54" s="69"/>
    </row>
    <row r="55" spans="2:35">
      <c r="F55" s="392"/>
      <c r="G55" s="392"/>
      <c r="H55" s="392"/>
      <c r="I55" s="392"/>
      <c r="J55" s="392"/>
      <c r="K55" s="392"/>
      <c r="L55" s="392"/>
      <c r="M55" s="392"/>
      <c r="N55" s="392"/>
      <c r="O55" s="392"/>
      <c r="P55" s="392"/>
      <c r="Q55" s="392"/>
      <c r="R55" s="392"/>
      <c r="S55" s="392"/>
      <c r="T55" s="392"/>
      <c r="U55" s="392"/>
      <c r="V55" s="392"/>
      <c r="W55" s="69"/>
    </row>
    <row r="56" spans="2:35" ht="17.649999999999999" hidden="1" customHeight="1">
      <c r="B56" s="46"/>
      <c r="D56" s="13" t="s">
        <v>61</v>
      </c>
      <c r="F56" s="404">
        <v>0.88166666666666671</v>
      </c>
      <c r="G56" s="40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7"/>
      <c r="U56" s="47"/>
      <c r="V56" s="47"/>
      <c r="W56" s="47"/>
      <c r="X56" s="404">
        <v>0.88166666666666671</v>
      </c>
      <c r="Y56" s="404"/>
      <c r="Z56" s="404"/>
      <c r="AA56" s="72"/>
      <c r="AB56" s="72"/>
      <c r="AC56" s="72"/>
      <c r="AD56" s="72"/>
      <c r="AE56" s="72"/>
      <c r="AF56" s="72"/>
      <c r="AG56" s="72"/>
      <c r="AH56" s="72"/>
      <c r="AI56" s="47"/>
    </row>
    <row r="57" spans="2:35" ht="17.649999999999999" hidden="1" customHeight="1">
      <c r="B57" s="46"/>
      <c r="D57" s="48" t="s">
        <v>62</v>
      </c>
      <c r="F57" s="405" t="e">
        <f>F34*F56</f>
        <v>#REF!</v>
      </c>
      <c r="G57" s="405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X57" s="405" t="e">
        <f>X34*X56</f>
        <v>#REF!</v>
      </c>
      <c r="Y57" s="405"/>
      <c r="Z57" s="405"/>
      <c r="AA57" s="73"/>
      <c r="AB57" s="73"/>
      <c r="AC57" s="73"/>
      <c r="AD57" s="73"/>
      <c r="AE57" s="73"/>
      <c r="AF57" s="73"/>
      <c r="AG57" s="73"/>
      <c r="AH57" s="73"/>
    </row>
    <row r="58" spans="2:35" ht="15.75">
      <c r="D58" s="49"/>
      <c r="E58" s="50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</row>
    <row r="59" spans="2:35" ht="15.75">
      <c r="E59" s="14"/>
    </row>
    <row r="60" spans="2:35" ht="15.75">
      <c r="D60" s="54" t="s">
        <v>63</v>
      </c>
      <c r="E60" s="14"/>
      <c r="F60" s="95" t="e">
        <f>VLOOKUP(F11,#REF!,4,FALSE)</f>
        <v>#REF!</v>
      </c>
      <c r="G60" s="95"/>
      <c r="H60" s="95"/>
      <c r="I60" s="95" t="e">
        <f>VLOOKUP(I11,#REF!,4,FALSE)</f>
        <v>#REF!</v>
      </c>
      <c r="J60" s="95"/>
      <c r="K60" s="95"/>
      <c r="L60" s="95"/>
      <c r="M60" s="95" t="e">
        <f>VLOOKUP(M11,#REF!,4,FALSE)</f>
        <v>#REF!</v>
      </c>
      <c r="N60" s="95"/>
      <c r="O60" s="95"/>
      <c r="P60" s="95"/>
      <c r="Q60" s="95" t="e">
        <f>VLOOKUP(Q11,#REF!,4,FALSE)</f>
        <v>#REF!</v>
      </c>
      <c r="R60" s="95"/>
      <c r="S60" s="95"/>
      <c r="T60" s="95"/>
      <c r="U60" s="95"/>
      <c r="V60" s="95"/>
      <c r="W60" s="95"/>
      <c r="X60" s="95" t="e">
        <f>VLOOKUP(X11,#REF!,4,FALSE)</f>
        <v>#REF!</v>
      </c>
      <c r="Y60" s="95"/>
      <c r="Z60" s="95"/>
      <c r="AA60" s="95"/>
      <c r="AB60" s="95" t="e">
        <f>VLOOKUP(AB11,#REF!,4,FALSE)</f>
        <v>#REF!</v>
      </c>
      <c r="AC60" s="95"/>
      <c r="AD60" s="95"/>
      <c r="AE60" s="95" t="e">
        <f>VLOOKUP(AE11,#REF!,4,FALSE)</f>
        <v>#REF!</v>
      </c>
      <c r="AF60" s="95"/>
      <c r="AG60" s="95" t="e">
        <f>VLOOKUP(AG11,#REF!,4,FALSE)</f>
        <v>#REF!</v>
      </c>
      <c r="AH60" s="95"/>
      <c r="AI60" s="95"/>
    </row>
    <row r="61" spans="2:35" ht="15.75">
      <c r="D61" s="54" t="s">
        <v>64</v>
      </c>
      <c r="E61" s="14"/>
      <c r="F61" s="91" t="e">
        <f>+F13/F60</f>
        <v>#REF!</v>
      </c>
      <c r="G61" s="91"/>
      <c r="H61" s="91"/>
      <c r="I61" s="91" t="e">
        <f>+I13/I60</f>
        <v>#REF!</v>
      </c>
      <c r="J61" s="91"/>
      <c r="M61" s="91" t="e">
        <f>+M13/M60</f>
        <v>#REF!</v>
      </c>
      <c r="N61" s="91"/>
      <c r="Q61" s="91" t="e">
        <f>+Q13/Q60</f>
        <v>#REF!</v>
      </c>
      <c r="R61" s="91"/>
      <c r="S61" s="91"/>
      <c r="T61" s="91"/>
      <c r="U61" s="91"/>
      <c r="V61" s="91"/>
      <c r="W61" s="91"/>
      <c r="X61" s="91" t="e">
        <f>+X13/X60</f>
        <v>#REF!</v>
      </c>
      <c r="Y61" s="91"/>
      <c r="Z61" s="91"/>
      <c r="AA61" s="91"/>
      <c r="AB61" s="91" t="e">
        <f>+AB13/AB60</f>
        <v>#REF!</v>
      </c>
      <c r="AC61" s="91"/>
      <c r="AE61" s="91" t="e">
        <f>+AE13/AE60</f>
        <v>#REF!</v>
      </c>
      <c r="AG61" s="91" t="e">
        <f>+AG13/AG60</f>
        <v>#REF!</v>
      </c>
      <c r="AH61" s="91"/>
      <c r="AI61" s="91"/>
    </row>
    <row r="62" spans="2:35" ht="15.6" hidden="1" customHeight="1" outlineLevel="1">
      <c r="E62" s="14"/>
    </row>
    <row r="63" spans="2:35" ht="15.6" hidden="1" customHeight="1" outlineLevel="1">
      <c r="E63" s="14"/>
    </row>
    <row r="64" spans="2:35" ht="15.6" hidden="1" customHeight="1" outlineLevel="1">
      <c r="E64" s="14"/>
    </row>
    <row r="65" spans="2:58" ht="15.6" hidden="1" customHeight="1" outlineLevel="1">
      <c r="E65" s="14"/>
    </row>
    <row r="66" spans="2:58" ht="15.6" hidden="1" customHeight="1" outlineLevel="1">
      <c r="E66" s="14"/>
    </row>
    <row r="67" spans="2:58" ht="15.6" hidden="1" customHeight="1" outlineLevel="1">
      <c r="E67" s="14"/>
    </row>
    <row r="68" spans="2:58" ht="15.6" hidden="1" customHeight="1" outlineLevel="1">
      <c r="E68" s="14"/>
    </row>
    <row r="69" spans="2:58" ht="15.6" hidden="1" customHeight="1" outlineLevel="1">
      <c r="E69" s="14"/>
    </row>
    <row r="70" spans="2:58" ht="15.6" hidden="1" customHeight="1" outlineLevel="1">
      <c r="E70" s="14"/>
    </row>
    <row r="71" spans="2:58" ht="15.6" hidden="1" customHeight="1" outlineLevel="1">
      <c r="E71" s="14"/>
    </row>
    <row r="72" spans="2:58" ht="15.6" hidden="1" customHeight="1" outlineLevel="1">
      <c r="E72" s="14"/>
    </row>
    <row r="73" spans="2:58" ht="15.6" hidden="1" customHeight="1" outlineLevel="1">
      <c r="E73" s="14"/>
    </row>
    <row r="74" spans="2:58" ht="15.6" hidden="1" customHeight="1" outlineLevel="1">
      <c r="E74" s="14"/>
    </row>
    <row r="75" spans="2:58" ht="15.6" hidden="1" customHeight="1" outlineLevel="1">
      <c r="E75" s="14"/>
    </row>
    <row r="76" spans="2:58" ht="28.9" hidden="1" customHeight="1" outlineLevel="1">
      <c r="D76" s="402" t="str">
        <f>CONCATENATE("MILA Lounge - Profit &amp; Loss",)</f>
        <v>MILA Lounge - Profit &amp; Loss</v>
      </c>
      <c r="E76" s="403"/>
      <c r="F76" s="403"/>
      <c r="G76" s="403"/>
      <c r="H76" s="403"/>
      <c r="I76" s="403"/>
      <c r="J76" s="403"/>
      <c r="K76" s="403"/>
      <c r="L76" s="403"/>
      <c r="M76" s="403"/>
      <c r="N76" s="403"/>
      <c r="O76" s="403"/>
      <c r="P76" s="403"/>
      <c r="Q76" s="403"/>
      <c r="R76" s="403"/>
      <c r="S76" s="403"/>
      <c r="T76" s="403"/>
      <c r="U76" s="403"/>
      <c r="V76" s="403"/>
      <c r="W76" s="403"/>
      <c r="X76" s="403"/>
      <c r="Y76" s="403"/>
      <c r="Z76" s="403"/>
      <c r="AA76" s="403"/>
      <c r="AB76" s="403"/>
      <c r="AC76" s="403"/>
      <c r="AD76" s="403"/>
      <c r="AE76" s="403"/>
      <c r="AF76" s="403"/>
      <c r="AG76" s="403"/>
      <c r="AI76" s="74"/>
      <c r="AK76" s="395" t="s">
        <v>0</v>
      </c>
      <c r="AL76" s="396"/>
      <c r="AM76" s="396"/>
      <c r="AN76" s="396"/>
      <c r="AO76" s="396"/>
      <c r="AP76" s="396"/>
      <c r="AQ76" s="396"/>
      <c r="AR76" s="396"/>
      <c r="AU76" s="395" t="s">
        <v>1</v>
      </c>
      <c r="AV76" s="396"/>
      <c r="AW76" s="396"/>
      <c r="AX76" s="396"/>
      <c r="AY76" s="396"/>
      <c r="AZ76" s="396"/>
      <c r="BA76" s="396"/>
      <c r="BB76" s="396"/>
      <c r="BC76" s="396"/>
      <c r="BD76" s="396"/>
      <c r="BE76" s="396"/>
      <c r="BF76" s="396"/>
    </row>
    <row r="77" spans="2:58" ht="15.6" hidden="1" customHeight="1" outlineLevel="1">
      <c r="E77" s="14"/>
    </row>
    <row r="78" spans="2:58" ht="14.65" hidden="1" customHeight="1" outlineLevel="1">
      <c r="B78" s="6"/>
      <c r="C78" s="6" t="s">
        <v>5</v>
      </c>
    </row>
    <row r="79" spans="2:58" ht="14.65" hidden="1" customHeight="1" outlineLevel="1"/>
    <row r="80" spans="2:58" ht="14.65" hidden="1" customHeight="1" outlineLevel="1"/>
    <row r="81" spans="4:58" ht="15.6" hidden="1" customHeight="1" outlineLevel="1">
      <c r="D81" s="52" t="s">
        <v>65</v>
      </c>
      <c r="F81" s="397" t="str">
        <f>+F9</f>
        <v>MTD</v>
      </c>
      <c r="G81" s="397"/>
      <c r="H81" s="397"/>
      <c r="I81" s="397"/>
      <c r="J81" s="397"/>
      <c r="K81" s="397"/>
      <c r="L81" s="397"/>
      <c r="M81" s="397"/>
      <c r="N81" s="397"/>
      <c r="O81" s="397"/>
      <c r="P81" s="397"/>
      <c r="Q81" s="397"/>
      <c r="R81" s="397"/>
      <c r="S81" s="397"/>
      <c r="T81" s="397"/>
      <c r="U81" s="397"/>
      <c r="V81" s="397"/>
      <c r="W81" s="94"/>
      <c r="X81" s="8" t="str">
        <f>+X9</f>
        <v>YTD</v>
      </c>
      <c r="Y81" s="8"/>
      <c r="Z81" s="8"/>
      <c r="AA81" s="8"/>
      <c r="AB81" s="8"/>
      <c r="AC81" s="8"/>
      <c r="AD81" s="8"/>
      <c r="AE81" s="8"/>
      <c r="AF81" s="8"/>
      <c r="AG81" s="8"/>
      <c r="AH81" s="53"/>
      <c r="AI81" s="8"/>
      <c r="AK81" s="398" t="e">
        <f>+AK9</f>
        <v>#REF!</v>
      </c>
      <c r="AL81" s="398"/>
      <c r="AM81" s="398" t="e">
        <f>+AM9</f>
        <v>#REF!</v>
      </c>
      <c r="AN81" s="398"/>
      <c r="AO81" s="398" t="e">
        <f>+AO9</f>
        <v>#REF!</v>
      </c>
      <c r="AP81" s="398"/>
      <c r="AQ81" s="398" t="e">
        <f>+AQ9</f>
        <v>#REF!</v>
      </c>
      <c r="AR81" s="398"/>
      <c r="AU81" s="398" t="e">
        <f>+AU9</f>
        <v>#REF!</v>
      </c>
      <c r="AV81" s="398"/>
      <c r="AW81" s="398"/>
      <c r="AX81" s="398"/>
      <c r="AY81" s="398" t="e">
        <f>+AY9</f>
        <v>#REF!</v>
      </c>
      <c r="AZ81" s="398"/>
      <c r="BA81" s="398"/>
      <c r="BB81" s="398"/>
      <c r="BC81" s="398" t="e">
        <f>+BC9</f>
        <v>#REF!</v>
      </c>
      <c r="BD81" s="398"/>
      <c r="BE81" s="398"/>
      <c r="BF81" s="398"/>
    </row>
    <row r="82" spans="4:58" ht="15.6" hidden="1" customHeight="1" outlineLevel="1">
      <c r="D82" s="52"/>
      <c r="F82" s="53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53"/>
      <c r="Y82" s="53"/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 spans="4:58" s="56" customFormat="1" ht="15.6" hidden="1" customHeight="1" outlineLevel="1">
      <c r="D83" s="67"/>
      <c r="E83" s="9"/>
      <c r="F83" s="394" t="str">
        <f>+F11</f>
        <v>MILA 3F</v>
      </c>
      <c r="G83" s="394"/>
      <c r="H83" s="67"/>
      <c r="I83" s="394" t="str">
        <f>+I11</f>
        <v>MILA 2F</v>
      </c>
      <c r="J83" s="394"/>
      <c r="K83" s="394"/>
      <c r="L83" s="67"/>
      <c r="M83" s="394" t="str">
        <f>+M11</f>
        <v>AVA</v>
      </c>
      <c r="N83" s="394"/>
      <c r="O83" s="394"/>
      <c r="P83" s="67"/>
      <c r="Q83" s="394" t="str">
        <f>+Q11</f>
        <v>CASA NEOS</v>
      </c>
      <c r="R83" s="394"/>
      <c r="S83" s="394"/>
      <c r="T83" s="10"/>
      <c r="U83" s="9"/>
      <c r="X83" s="394" t="str">
        <f>+X11</f>
        <v>MILA</v>
      </c>
      <c r="Y83" s="394"/>
      <c r="Z83" s="394"/>
      <c r="AA83" s="67"/>
      <c r="AB83" s="394" t="str">
        <f>+AB11</f>
        <v>MILA MM</v>
      </c>
      <c r="AC83" s="394"/>
      <c r="AD83" s="394"/>
      <c r="AE83" s="394" t="str">
        <f>+AE11</f>
        <v>AVA</v>
      </c>
      <c r="AF83" s="394"/>
      <c r="AG83" s="394" t="str">
        <f>+AG11</f>
        <v>BAOLI</v>
      </c>
      <c r="AH83" s="394"/>
      <c r="AI83" s="10"/>
      <c r="AK83" s="393" t="s">
        <v>15</v>
      </c>
      <c r="AL83" s="393"/>
      <c r="AM83" s="393" t="s">
        <v>15</v>
      </c>
      <c r="AN83" s="393"/>
      <c r="AO83" s="393" t="s">
        <v>15</v>
      </c>
      <c r="AP83" s="393"/>
      <c r="AQ83" s="393" t="s">
        <v>15</v>
      </c>
      <c r="AR83" s="393"/>
      <c r="AU83" s="394">
        <v>2023</v>
      </c>
      <c r="AV83" s="394"/>
      <c r="AW83" s="393" t="s">
        <v>15</v>
      </c>
      <c r="AX83" s="393"/>
      <c r="AY83" s="394">
        <v>2023</v>
      </c>
      <c r="AZ83" s="394"/>
      <c r="BA83" s="393" t="s">
        <v>15</v>
      </c>
      <c r="BB83" s="393"/>
      <c r="BC83" s="394">
        <v>2023</v>
      </c>
      <c r="BD83" s="394"/>
      <c r="BE83" s="393" t="s">
        <v>15</v>
      </c>
      <c r="BF83" s="393"/>
    </row>
    <row r="84" spans="4:58" ht="15.6" hidden="1" customHeight="1" outlineLevel="1">
      <c r="D84" s="8"/>
      <c r="E84" s="9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10"/>
      <c r="U84" s="9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0"/>
      <c r="AK84" s="11"/>
      <c r="AL84" s="11"/>
      <c r="AM84" s="11"/>
      <c r="AN84" s="11"/>
      <c r="AO84" s="11"/>
      <c r="AP84" s="11"/>
      <c r="AQ84" s="11"/>
      <c r="AR84" s="11"/>
      <c r="AU84" s="8"/>
      <c r="AV84" s="8"/>
      <c r="AW84" s="11"/>
      <c r="AX84" s="11"/>
      <c r="AY84" s="8"/>
      <c r="AZ84" s="8"/>
      <c r="BA84" s="11"/>
      <c r="BB84" s="11"/>
      <c r="BC84" s="8"/>
      <c r="BD84" s="8"/>
      <c r="BE84" s="11"/>
      <c r="BF84" s="11"/>
    </row>
    <row r="85" spans="4:58" ht="17.649999999999999" hidden="1" customHeight="1" outlineLevel="1">
      <c r="D85" s="13" t="s">
        <v>17</v>
      </c>
      <c r="E85" s="14"/>
      <c r="F85" s="15" t="e">
        <f>SUMIFS(#REF!,#REF!,'RDG Weekly'!B13)</f>
        <v>#REF!</v>
      </c>
      <c r="G85" s="16">
        <f>IFERROR(F85/F85,0)</f>
        <v>0</v>
      </c>
      <c r="H85" s="16"/>
      <c r="I85" s="15" t="e">
        <f>SUMIFS(#REF!,#REF!,'RDG Weekly'!B13)</f>
        <v>#REF!</v>
      </c>
      <c r="J85" s="15"/>
      <c r="K85" s="16">
        <f>IFERROR(I85/I85,0)</f>
        <v>0</v>
      </c>
      <c r="L85" s="16"/>
      <c r="M85" s="15" t="e">
        <f>SUMIFS(#REF!,#REF!,'RDG Weekly'!B13)</f>
        <v>#REF!</v>
      </c>
      <c r="N85" s="15"/>
      <c r="O85" s="16">
        <f>IFERROR(M85/M85,0)</f>
        <v>0</v>
      </c>
      <c r="P85" s="16"/>
      <c r="Q85" s="15" t="e">
        <f>SUMIFS(#REF!,#REF!,'RDG Weekly'!B13)</f>
        <v>#REF!</v>
      </c>
      <c r="R85" s="15"/>
      <c r="S85" s="16">
        <f>IFERROR(Q85/Q85,0)</f>
        <v>0</v>
      </c>
      <c r="T85" s="17"/>
      <c r="U85" s="14"/>
      <c r="X85" s="15" t="e">
        <f>SUMIFS(#REF!,#REF!,'RDG Weekly'!Q13)</f>
        <v>#REF!</v>
      </c>
      <c r="Y85" s="15"/>
      <c r="Z85" s="16">
        <f>IFERROR(X85/X85,0)</f>
        <v>0</v>
      </c>
      <c r="AA85" s="16"/>
      <c r="AB85" s="15" t="e">
        <f>SUMIFS(#REF!,#REF!,'RDG Weekly'!Q13)</f>
        <v>#REF!</v>
      </c>
      <c r="AC85" s="15"/>
      <c r="AD85" s="16">
        <f>IFERROR(AB85/AB85,0)</f>
        <v>0</v>
      </c>
      <c r="AE85" s="15" t="e">
        <f>SUMIFS(#REF!,#REF!,'RDG Weekly'!Q13)</f>
        <v>#REF!</v>
      </c>
      <c r="AF85" s="16">
        <f>IFERROR(AE85/AE85,0)</f>
        <v>0</v>
      </c>
      <c r="AG85" s="15" t="e">
        <f>SUMIFS(#REF!,#REF!,'RDG Weekly'!Q13)</f>
        <v>#REF!</v>
      </c>
      <c r="AH85" s="16">
        <f>IFERROR(AG85/AG85,0)</f>
        <v>0</v>
      </c>
      <c r="AI85" s="17"/>
      <c r="AK85" s="18" t="e">
        <f>+#REF!/#REF!</f>
        <v>#REF!</v>
      </c>
      <c r="AL85" s="19">
        <f>IFERROR(AK85/AK85,0)</f>
        <v>0</v>
      </c>
      <c r="AM85" s="18" t="e">
        <f>+AK85</f>
        <v>#REF!</v>
      </c>
      <c r="AN85" s="19">
        <f>IFERROR(AM85/AM85,0)</f>
        <v>0</v>
      </c>
      <c r="AO85" s="18" t="e">
        <f>+AM85</f>
        <v>#REF!</v>
      </c>
      <c r="AP85" s="19">
        <f>IFERROR(AO85/AO85,0)</f>
        <v>0</v>
      </c>
      <c r="AQ85" s="18" t="e">
        <f>+AO85</f>
        <v>#REF!</v>
      </c>
      <c r="AR85" s="19">
        <f>IFERROR(AQ85/AQ85,0)</f>
        <v>0</v>
      </c>
      <c r="AU85" s="15" t="e">
        <f>SUMIFS($F$85:$F$106,$D$85:$D$106,D85)</f>
        <v>#REF!</v>
      </c>
      <c r="AV85" s="16">
        <f>IFERROR(AU85/AU85,0)</f>
        <v>0</v>
      </c>
      <c r="AW85" s="18" t="e">
        <f>+AK85</f>
        <v>#REF!</v>
      </c>
      <c r="AX85" s="19">
        <f>IFERROR(AW85/AW85,0)</f>
        <v>0</v>
      </c>
      <c r="AY85" s="15" t="e">
        <f>SUMIFS($I$85:$I$106,$D$85:$D$106,D85)+SUMIFS($AU$85:$AU$106,$D$85:$D$106,D85)</f>
        <v>#REF!</v>
      </c>
      <c r="AZ85" s="16">
        <f>IFERROR(AY85/AY85,0)</f>
        <v>0</v>
      </c>
      <c r="BA85" s="18" t="e">
        <f>SUMIFS($AM$85:$AM$106,$D$85:$D$106,D85)+SUMIFS($AW$85:$AW$106,$D$85:$D$106,D85)</f>
        <v>#REF!</v>
      </c>
      <c r="BB85" s="19">
        <f>IFERROR(BA85/BA85,0)</f>
        <v>0</v>
      </c>
      <c r="BC85" s="15" t="e">
        <f>SUMIFS($M$85:$M$106,$D$85:$D$106,D85)+SUMIFS($AY$85:$AY$106,$D$85:$D$106,D85)</f>
        <v>#REF!</v>
      </c>
      <c r="BD85" s="16">
        <f>IFERROR(BC85/BC85,0)</f>
        <v>0</v>
      </c>
      <c r="BE85" s="18" t="e">
        <f>SUMIFS($AO$85:$AO$106,$D$85:$D$106,D85)+SUMIFS($BA$85:$BA$106,$D$85:$D$106,D85)</f>
        <v>#REF!</v>
      </c>
      <c r="BF85" s="19">
        <f>IFERROR(BE85/BE85,0)</f>
        <v>0</v>
      </c>
    </row>
    <row r="86" spans="4:58" ht="17.649999999999999" hidden="1" customHeight="1" outlineLevel="1">
      <c r="D86" s="21" t="s">
        <v>19</v>
      </c>
      <c r="E86" s="22"/>
      <c r="F86" s="21" t="e">
        <f>SUMIFS(#REF!,#REF!,'RDG Weekly'!B14)+SUMIFS(#REF!,#REF!,'RDG Weekly'!B15)+SUMIFS(#REF!,#REF!,'RDG Weekly'!B16)</f>
        <v>#REF!</v>
      </c>
      <c r="G86" s="23">
        <f>IFERROR(F86/F85,0)</f>
        <v>0</v>
      </c>
      <c r="H86" s="23"/>
      <c r="I86" s="21" t="e">
        <f>SUMIFS(#REF!,#REF!,'RDG Weekly'!B14)+SUMIFS(#REF!,#REF!,'RDG Weekly'!B15)+SUMIFS(#REF!,#REF!,'RDG Weekly'!B16)</f>
        <v>#REF!</v>
      </c>
      <c r="J86" s="21"/>
      <c r="K86" s="23">
        <f>IFERROR(I86/I85,0)</f>
        <v>0</v>
      </c>
      <c r="L86" s="23"/>
      <c r="M86" s="21" t="e">
        <f>SUMIFS(#REF!,#REF!,'RDG Weekly'!B14)+SUMIFS(#REF!,#REF!,'RDG Weekly'!B15)+SUMIFS(#REF!,#REF!,'RDG Weekly'!B16)</f>
        <v>#REF!</v>
      </c>
      <c r="N86" s="21"/>
      <c r="O86" s="23">
        <f>IFERROR(M86/M85,0)</f>
        <v>0</v>
      </c>
      <c r="P86" s="23"/>
      <c r="Q86" s="21" t="e">
        <f>SUMIFS(#REF!,#REF!,'RDG Weekly'!B14)+SUMIFS(#REF!,#REF!,'RDG Weekly'!B15)+SUMIFS(#REF!,#REF!,'RDG Weekly'!B16)</f>
        <v>#REF!</v>
      </c>
      <c r="R86" s="21"/>
      <c r="S86" s="23">
        <f>IFERROR(Q86/Q85,0)</f>
        <v>0</v>
      </c>
      <c r="T86" s="24"/>
      <c r="U86" s="22"/>
      <c r="X86" s="21" t="e">
        <f>SUMIFS(#REF!,#REF!,'RDG Weekly'!Q14)+SUMIFS(#REF!,#REF!,'RDG Weekly'!Q15)+SUMIFS(#REF!,#REF!,'RDG Weekly'!Q16)</f>
        <v>#REF!</v>
      </c>
      <c r="Y86" s="21"/>
      <c r="Z86" s="23">
        <f>IFERROR(X86/X85,0)</f>
        <v>0</v>
      </c>
      <c r="AA86" s="23"/>
      <c r="AB86" s="21" t="e">
        <f>SUMIFS(#REF!,#REF!,'RDG Weekly'!Q14)+SUMIFS(#REF!,#REF!,'RDG Weekly'!Q15)+SUMIFS(#REF!,#REF!,'RDG Weekly'!Q16)</f>
        <v>#REF!</v>
      </c>
      <c r="AC86" s="21"/>
      <c r="AD86" s="23">
        <f>IFERROR(AB86/AB85,0)</f>
        <v>0</v>
      </c>
      <c r="AE86" s="21" t="e">
        <f>SUMIFS(#REF!,#REF!,'RDG Weekly'!Q14)+SUMIFS(#REF!,#REF!,'RDG Weekly'!Q15)+SUMIFS(#REF!,#REF!,'RDG Weekly'!Q16)</f>
        <v>#REF!</v>
      </c>
      <c r="AF86" s="23">
        <f>IFERROR(AE86/AE85,0)</f>
        <v>0</v>
      </c>
      <c r="AG86" s="21" t="e">
        <f>SUMIFS(#REF!,#REF!,'RDG Weekly'!Q14)+SUMIFS(#REF!,#REF!,'RDG Weekly'!Q15)+SUMIFS(#REF!,#REF!,'RDG Weekly'!Q16)</f>
        <v>#REF!</v>
      </c>
      <c r="AH86" s="23">
        <f>IFERROR(AG86/AG85,0)</f>
        <v>0</v>
      </c>
      <c r="AI86" s="24"/>
      <c r="AK86" s="25" t="e">
        <f>+AK85*#REF!</f>
        <v>#REF!</v>
      </c>
      <c r="AL86" s="26">
        <f>IFERROR(AK86/AK85,0)</f>
        <v>0</v>
      </c>
      <c r="AM86" s="25" t="e">
        <f>+AM85*#REF!</f>
        <v>#REF!</v>
      </c>
      <c r="AN86" s="26">
        <f>IFERROR(AM86/AM85,0)</f>
        <v>0</v>
      </c>
      <c r="AO86" s="25" t="e">
        <f>+AO85*#REF!</f>
        <v>#REF!</v>
      </c>
      <c r="AP86" s="26">
        <f>IFERROR(AO86/AO85,0)</f>
        <v>0</v>
      </c>
      <c r="AQ86" s="25" t="e">
        <f>+AQ85*#REF!</f>
        <v>#REF!</v>
      </c>
      <c r="AR86" s="26">
        <f>IFERROR(AQ86/AQ85,0)</f>
        <v>0</v>
      </c>
      <c r="AU86" s="21" t="e">
        <f>SUMIFS($F$85:$F$106,$D$85:$D$106,D86)</f>
        <v>#REF!</v>
      </c>
      <c r="AV86" s="23">
        <f>IFERROR(AU86/AU85,0)</f>
        <v>0</v>
      </c>
      <c r="AW86" s="25" t="e">
        <f>+AK86</f>
        <v>#REF!</v>
      </c>
      <c r="AX86" s="26">
        <f>IFERROR(AW86/AW85,0)</f>
        <v>0</v>
      </c>
      <c r="AY86" s="21" t="e">
        <f>SUMIFS($I$85:$I$106,$D$85:$D$106,D86)+SUMIFS($AU$85:$AU$106,$D$85:$D$106,D86)</f>
        <v>#REF!</v>
      </c>
      <c r="AZ86" s="23">
        <f>IFERROR(AY86/AY85,0)</f>
        <v>0</v>
      </c>
      <c r="BA86" s="25" t="e">
        <f>SUMIFS($AM$85:$AM$106,$D$85:$D$106,D86)+SUMIFS($AW$85:$AW$106,$D$85:$D$106,D86)</f>
        <v>#REF!</v>
      </c>
      <c r="BB86" s="26">
        <f>IFERROR(BA86/BA85,0)</f>
        <v>0</v>
      </c>
      <c r="BC86" s="21" t="e">
        <f>SUMIFS($M$85:$M$106,$D$85:$D$106,D86)+SUMIFS($AY$85:$AY$106,$D$85:$D$106,D86)</f>
        <v>#REF!</v>
      </c>
      <c r="BD86" s="23">
        <f>IFERROR(BC86/BC85,0)</f>
        <v>0</v>
      </c>
      <c r="BE86" s="25" t="e">
        <f>SUMIFS($AO$85:$AO$106,$D$85:$D$106,D86)+SUMIFS($BA$85:$BA$106,$D$85:$D$106,D86)</f>
        <v>#REF!</v>
      </c>
      <c r="BF86" s="26">
        <f>IFERROR(BE86/BE85,0)</f>
        <v>0</v>
      </c>
    </row>
    <row r="87" spans="4:58" ht="17.649999999999999" hidden="1" customHeight="1" outlineLevel="1">
      <c r="D87" s="28"/>
      <c r="E87" s="22"/>
      <c r="F87" s="21"/>
      <c r="G87" s="16"/>
      <c r="H87" s="16"/>
      <c r="I87" s="21"/>
      <c r="J87" s="21"/>
      <c r="K87" s="16"/>
      <c r="L87" s="16"/>
      <c r="M87" s="21"/>
      <c r="N87" s="21"/>
      <c r="O87" s="16"/>
      <c r="P87" s="16"/>
      <c r="Q87" s="21"/>
      <c r="R87" s="21"/>
      <c r="S87" s="16"/>
      <c r="T87" s="24"/>
      <c r="U87" s="22"/>
      <c r="X87" s="21"/>
      <c r="Y87" s="21"/>
      <c r="Z87" s="16"/>
      <c r="AA87" s="16"/>
      <c r="AB87" s="21"/>
      <c r="AC87" s="21"/>
      <c r="AD87" s="16"/>
      <c r="AE87" s="21"/>
      <c r="AF87" s="16"/>
      <c r="AG87" s="21"/>
      <c r="AH87" s="16"/>
      <c r="AI87" s="24"/>
      <c r="AK87" s="25"/>
      <c r="AL87" s="19"/>
      <c r="AM87" s="25"/>
      <c r="AN87" s="19"/>
      <c r="AO87" s="25"/>
      <c r="AP87" s="19"/>
      <c r="AQ87" s="25"/>
      <c r="AR87" s="19"/>
      <c r="AU87" s="21"/>
      <c r="AV87" s="16"/>
      <c r="AW87" s="25"/>
      <c r="AX87" s="19"/>
      <c r="AY87" s="21"/>
      <c r="AZ87" s="16"/>
      <c r="BA87" s="25"/>
      <c r="BB87" s="19"/>
      <c r="BC87" s="21"/>
      <c r="BD87" s="16"/>
      <c r="BE87" s="25"/>
      <c r="BF87" s="19"/>
    </row>
    <row r="88" spans="4:58" ht="17.649999999999999" hidden="1" customHeight="1" outlineLevel="1">
      <c r="D88" s="29" t="s">
        <v>22</v>
      </c>
      <c r="E88" s="14"/>
      <c r="F88" s="30" t="e">
        <f>F85-F86</f>
        <v>#REF!</v>
      </c>
      <c r="G88" s="31">
        <f>IFERROR(F88/F85,0)</f>
        <v>0</v>
      </c>
      <c r="H88" s="31"/>
      <c r="I88" s="30" t="e">
        <f>I85-I86</f>
        <v>#REF!</v>
      </c>
      <c r="J88" s="30"/>
      <c r="K88" s="31">
        <f>IFERROR(I88/I85,0)</f>
        <v>0</v>
      </c>
      <c r="L88" s="31"/>
      <c r="M88" s="30" t="e">
        <f>M85-M86</f>
        <v>#REF!</v>
      </c>
      <c r="N88" s="30"/>
      <c r="O88" s="31">
        <f>IFERROR(M88/M85,0)</f>
        <v>0</v>
      </c>
      <c r="P88" s="31"/>
      <c r="Q88" s="30" t="e">
        <f>Q85-Q86</f>
        <v>#REF!</v>
      </c>
      <c r="R88" s="30"/>
      <c r="S88" s="31">
        <f>IFERROR(Q88/Q85,0)</f>
        <v>0</v>
      </c>
      <c r="T88" s="17"/>
      <c r="U88" s="14"/>
      <c r="X88" s="30" t="e">
        <f>X85-X86</f>
        <v>#REF!</v>
      </c>
      <c r="Y88" s="30"/>
      <c r="Z88" s="31">
        <f>IFERROR(X88/X85,0)</f>
        <v>0</v>
      </c>
      <c r="AA88" s="31"/>
      <c r="AB88" s="30" t="e">
        <f>AB85-AB86</f>
        <v>#REF!</v>
      </c>
      <c r="AC88" s="30"/>
      <c r="AD88" s="31">
        <f>IFERROR(AB88/AB85,0)</f>
        <v>0</v>
      </c>
      <c r="AE88" s="30" t="e">
        <f>AE85-AE86</f>
        <v>#REF!</v>
      </c>
      <c r="AF88" s="31">
        <f>IFERROR(AE88/AE85,0)</f>
        <v>0</v>
      </c>
      <c r="AG88" s="30" t="e">
        <f>AG85-AG86</f>
        <v>#REF!</v>
      </c>
      <c r="AH88" s="31">
        <f>IFERROR(AG88/AG85,0)</f>
        <v>0</v>
      </c>
      <c r="AI88" s="17"/>
      <c r="AK88" s="32" t="e">
        <f>AK85-AK86</f>
        <v>#REF!</v>
      </c>
      <c r="AL88" s="33">
        <f>IFERROR(AK88/AK85,0)</f>
        <v>0</v>
      </c>
      <c r="AM88" s="32" t="e">
        <f>AM85-AM86</f>
        <v>#REF!</v>
      </c>
      <c r="AN88" s="33">
        <f>IFERROR(AM88/AM85,0)</f>
        <v>0</v>
      </c>
      <c r="AO88" s="32" t="e">
        <f>AO85-AO86</f>
        <v>#REF!</v>
      </c>
      <c r="AP88" s="33">
        <f>IFERROR(AO88/AO85,0)</f>
        <v>0</v>
      </c>
      <c r="AQ88" s="32" t="e">
        <f>AQ85-AQ86</f>
        <v>#REF!</v>
      </c>
      <c r="AR88" s="33">
        <f>IFERROR(AQ88/AQ85,0)</f>
        <v>0</v>
      </c>
      <c r="AU88" s="30" t="e">
        <f>AU85-AU86</f>
        <v>#REF!</v>
      </c>
      <c r="AV88" s="31">
        <f>IFERROR(AU88/AU85,0)</f>
        <v>0</v>
      </c>
      <c r="AW88" s="32" t="e">
        <f>AW85-AW86</f>
        <v>#REF!</v>
      </c>
      <c r="AX88" s="33">
        <f>IFERROR(AW88/AW85,0)</f>
        <v>0</v>
      </c>
      <c r="AY88" s="30" t="e">
        <f>AY85-AY86</f>
        <v>#REF!</v>
      </c>
      <c r="AZ88" s="31">
        <f>IFERROR(AY88/AY85,0)</f>
        <v>0</v>
      </c>
      <c r="BA88" s="32" t="e">
        <f>BA85-BA86</f>
        <v>#REF!</v>
      </c>
      <c r="BB88" s="33">
        <f>IFERROR(BA88/BA85,0)</f>
        <v>0</v>
      </c>
      <c r="BC88" s="30" t="e">
        <f>BC85-BC86</f>
        <v>#REF!</v>
      </c>
      <c r="BD88" s="31">
        <f>IFERROR(BC88/BC85,0)</f>
        <v>0</v>
      </c>
      <c r="BE88" s="32" t="e">
        <f>BE85-BE86</f>
        <v>#REF!</v>
      </c>
      <c r="BF88" s="33">
        <f>IFERROR(BE88/BE85,0)</f>
        <v>0</v>
      </c>
    </row>
    <row r="89" spans="4:58" ht="17.649999999999999" hidden="1" customHeight="1" outlineLevel="1">
      <c r="D89" s="28"/>
      <c r="E89" s="22"/>
      <c r="F89" s="21"/>
      <c r="G89" s="16"/>
      <c r="H89" s="16"/>
      <c r="I89" s="21"/>
      <c r="J89" s="21"/>
      <c r="K89" s="16"/>
      <c r="L89" s="16"/>
      <c r="M89" s="21"/>
      <c r="N89" s="21"/>
      <c r="O89" s="16"/>
      <c r="P89" s="16"/>
      <c r="Q89" s="21"/>
      <c r="R89" s="21"/>
      <c r="S89" s="16"/>
      <c r="T89" s="24"/>
      <c r="U89" s="22"/>
      <c r="X89" s="21"/>
      <c r="Y89" s="21"/>
      <c r="Z89" s="16"/>
      <c r="AA89" s="16"/>
      <c r="AB89" s="21"/>
      <c r="AC89" s="21"/>
      <c r="AD89" s="16"/>
      <c r="AE89" s="21"/>
      <c r="AF89" s="16"/>
      <c r="AG89" s="21"/>
      <c r="AH89" s="16"/>
      <c r="AI89" s="24"/>
      <c r="AK89" s="25"/>
      <c r="AL89" s="19"/>
      <c r="AM89" s="25"/>
      <c r="AN89" s="19"/>
      <c r="AO89" s="25"/>
      <c r="AP89" s="19"/>
      <c r="AQ89" s="25"/>
      <c r="AR89" s="19"/>
      <c r="AU89" s="21"/>
      <c r="AV89" s="16"/>
      <c r="AW89" s="25"/>
      <c r="AX89" s="19"/>
      <c r="AY89" s="21"/>
      <c r="AZ89" s="16"/>
      <c r="BA89" s="25"/>
      <c r="BB89" s="19"/>
      <c r="BC89" s="21"/>
      <c r="BD89" s="16"/>
      <c r="BE89" s="25"/>
      <c r="BF89" s="19"/>
    </row>
    <row r="90" spans="4:58" ht="17.649999999999999" hidden="1" customHeight="1" outlineLevel="1">
      <c r="D90" s="21" t="s">
        <v>25</v>
      </c>
      <c r="E90" s="22"/>
      <c r="F90" s="21" t="e">
        <f>+SUMIFS(#REF!,#REF!,'RDG Weekly'!B18)+SUMIFS(#REF!,#REF!,'RDG Weekly'!C18)+SUMIFS(#REF!,#REF!,'RDG Weekly'!C22)+SUMIFS(#REF!,#REF!,'RDG Weekly'!C23)</f>
        <v>#REF!</v>
      </c>
      <c r="G90" s="23">
        <f>IFERROR(F90/F85,0)</f>
        <v>0</v>
      </c>
      <c r="H90" s="23"/>
      <c r="I90" s="21" t="e">
        <f>+SUMIFS(#REF!,#REF!,'RDG Weekly'!B18)+SUMIFS(#REF!,#REF!,'RDG Weekly'!C18)+SUMIFS(#REF!,#REF!,'RDG Weekly'!C22)+SUMIFS(#REF!,#REF!,'RDG Weekly'!C23)</f>
        <v>#REF!</v>
      </c>
      <c r="J90" s="21"/>
      <c r="K90" s="23">
        <f>IFERROR(I90/I85,0)</f>
        <v>0</v>
      </c>
      <c r="L90" s="23"/>
      <c r="M90" s="21" t="e">
        <f>+SUMIFS(#REF!,#REF!,'RDG Weekly'!B18)+SUMIFS(#REF!,#REF!,'RDG Weekly'!C18)+SUMIFS(#REF!,#REF!,'RDG Weekly'!C22)+SUMIFS(#REF!,#REF!,'RDG Weekly'!C23)</f>
        <v>#REF!</v>
      </c>
      <c r="N90" s="21"/>
      <c r="O90" s="23">
        <f>IFERROR(M90/M85,0)</f>
        <v>0</v>
      </c>
      <c r="P90" s="23"/>
      <c r="Q90" s="21" t="e">
        <f>+SUMIFS(#REF!,#REF!,'RDG Weekly'!B18)+SUMIFS(#REF!,#REF!,'RDG Weekly'!C18)+SUMIFS(#REF!,#REF!,'RDG Weekly'!C22)+SUMIFS(#REF!,#REF!,'RDG Weekly'!C23)</f>
        <v>#REF!</v>
      </c>
      <c r="R90" s="21"/>
      <c r="S90" s="23">
        <f>IFERROR(Q90/Q85,0)</f>
        <v>0</v>
      </c>
      <c r="T90" s="24"/>
      <c r="U90" s="22"/>
      <c r="X90" s="21" t="e">
        <f>+SUMIFS(#REF!,#REF!,'RDG Weekly'!Q18)+SUMIFS(#REF!,#REF!,'RDG Weekly'!S18)+SUMIFS(#REF!,#REF!,'RDG Weekly'!S22)+SUMIFS(#REF!,#REF!,'RDG Weekly'!S23)</f>
        <v>#REF!</v>
      </c>
      <c r="Y90" s="21"/>
      <c r="Z90" s="23">
        <f>IFERROR(X90/X85,0)</f>
        <v>0</v>
      </c>
      <c r="AA90" s="23"/>
      <c r="AB90" s="21" t="e">
        <f>+SUMIFS(#REF!,#REF!,'RDG Weekly'!Q18)+SUMIFS(#REF!,#REF!,'RDG Weekly'!S18)+SUMIFS(#REF!,#REF!,'RDG Weekly'!S22)+SUMIFS(#REF!,#REF!,'RDG Weekly'!S23)</f>
        <v>#REF!</v>
      </c>
      <c r="AC90" s="21"/>
      <c r="AD90" s="23">
        <f>IFERROR(AB90/AB85,0)</f>
        <v>0</v>
      </c>
      <c r="AE90" s="21" t="e">
        <f>+SUMIFS(#REF!,#REF!,'RDG Weekly'!Q18)+SUMIFS(#REF!,#REF!,'RDG Weekly'!S18)+SUMIFS(#REF!,#REF!,'RDG Weekly'!S22)+SUMIFS(#REF!,#REF!,'RDG Weekly'!S23)</f>
        <v>#REF!</v>
      </c>
      <c r="AF90" s="23">
        <f>IFERROR(AE90/AE85,0)</f>
        <v>0</v>
      </c>
      <c r="AG90" s="21" t="e">
        <f>+SUMIFS(#REF!,#REF!,'RDG Weekly'!Q18)+SUMIFS(#REF!,#REF!,'RDG Weekly'!S18)+SUMIFS(#REF!,#REF!,'RDG Weekly'!S22)+SUMIFS(#REF!,#REF!,'RDG Weekly'!S23)</f>
        <v>#REF!</v>
      </c>
      <c r="AH90" s="23">
        <f>IFERROR(AG90/AG85,0)</f>
        <v>0</v>
      </c>
      <c r="AI90" s="24"/>
      <c r="AK90" s="25" t="e">
        <f>+#REF!/#REF!</f>
        <v>#REF!</v>
      </c>
      <c r="AL90" s="26">
        <f>IFERROR(AK90/AK85,0)</f>
        <v>0</v>
      </c>
      <c r="AM90" s="25" t="e">
        <f t="shared" ref="AM90:AM98" si="13">+AK90</f>
        <v>#REF!</v>
      </c>
      <c r="AN90" s="26">
        <f>IFERROR(AM90/AM85,0)</f>
        <v>0</v>
      </c>
      <c r="AO90" s="25" t="e">
        <f t="shared" ref="AO90:AO98" si="14">+AM90</f>
        <v>#REF!</v>
      </c>
      <c r="AP90" s="26">
        <f>IFERROR(AO90/AO85,0)</f>
        <v>0</v>
      </c>
      <c r="AQ90" s="25" t="e">
        <f t="shared" ref="AQ90:AQ98" si="15">+AO90</f>
        <v>#REF!</v>
      </c>
      <c r="AR90" s="26">
        <f>IFERROR(AQ90/AQ85,0)</f>
        <v>0</v>
      </c>
      <c r="AU90" s="21" t="e">
        <f t="shared" ref="AU90:AU98" si="16">SUMIFS($F$85:$F$106,$D$85:$D$106,D90)</f>
        <v>#REF!</v>
      </c>
      <c r="AV90" s="23">
        <f>IFERROR(AU90/AU85,0)</f>
        <v>0</v>
      </c>
      <c r="AW90" s="25" t="e">
        <f t="shared" ref="AW90:AW98" si="17">+AK90</f>
        <v>#REF!</v>
      </c>
      <c r="AX90" s="26">
        <f>IFERROR(AW90/AW85,0)</f>
        <v>0</v>
      </c>
      <c r="AY90" s="21" t="e">
        <f t="shared" ref="AY90:AY98" si="18">SUMIFS($I$85:$I$106,$D$85:$D$106,D90)+SUMIFS($AU$85:$AU$106,$D$85:$D$106,D90)</f>
        <v>#REF!</v>
      </c>
      <c r="AZ90" s="23">
        <f>IFERROR(AY90/AY85,0)</f>
        <v>0</v>
      </c>
      <c r="BA90" s="25" t="e">
        <f t="shared" ref="BA90:BA98" si="19">SUMIFS($AM$85:$AM$106,$D$85:$D$106,D90)+SUMIFS($AW$85:$AW$106,$D$85:$D$106,D90)</f>
        <v>#REF!</v>
      </c>
      <c r="BB90" s="26">
        <f>IFERROR(BA90/BA85,0)</f>
        <v>0</v>
      </c>
      <c r="BC90" s="21" t="e">
        <f t="shared" ref="BC90:BC98" si="20">SUMIFS($M$85:$M$106,$D$85:$D$106,D90)+SUMIFS($AY$85:$AY$106,$D$85:$D$106,D90)</f>
        <v>#REF!</v>
      </c>
      <c r="BD90" s="23">
        <f>IFERROR(BC90/BC85,0)</f>
        <v>0</v>
      </c>
      <c r="BE90" s="25" t="e">
        <f t="shared" ref="BE90:BE98" si="21">SUMIFS($AO$85:$AO$106,$D$85:$D$106,D90)+SUMIFS($BA$85:$BA$106,$D$85:$D$106,D90)</f>
        <v>#REF!</v>
      </c>
      <c r="BF90" s="26">
        <f>IFERROR(BE90/BE85,0)</f>
        <v>0</v>
      </c>
    </row>
    <row r="91" spans="4:58" s="58" customFormat="1" ht="14.65" hidden="1" customHeight="1" outlineLevel="1">
      <c r="D91" s="58" t="s">
        <v>26</v>
      </c>
      <c r="E91" s="63"/>
      <c r="F91" s="55" t="e">
        <f>+SUMIFS(#REF!,#REF!,'RDG Weekly'!B18)-F92</f>
        <v>#REF!</v>
      </c>
      <c r="G91" s="59" t="e">
        <f>+F91/$F$85</f>
        <v>#REF!</v>
      </c>
      <c r="H91" s="59"/>
      <c r="I91" s="55" t="e">
        <f>+SUMIFS(#REF!,#REF!,'RDG Weekly'!B18)-I92</f>
        <v>#REF!</v>
      </c>
      <c r="J91" s="55"/>
      <c r="K91" s="59" t="e">
        <f>+I91/$I$85</f>
        <v>#REF!</v>
      </c>
      <c r="L91" s="59"/>
      <c r="M91" s="55" t="e">
        <f>+SUMIFS(#REF!,#REF!,'RDG Weekly'!B18)-M92</f>
        <v>#REF!</v>
      </c>
      <c r="N91" s="55"/>
      <c r="O91" s="59" t="e">
        <f>+M91/$M$85</f>
        <v>#REF!</v>
      </c>
      <c r="P91" s="59"/>
      <c r="Q91" s="55" t="e">
        <f>+SUMIFS(#REF!,#REF!,'RDG Weekly'!B18)-Q92</f>
        <v>#REF!</v>
      </c>
      <c r="R91" s="55"/>
      <c r="S91" s="68">
        <f>IFERROR(+Q91/$Q$85,0)</f>
        <v>0</v>
      </c>
      <c r="T91" s="60"/>
      <c r="U91" s="70"/>
      <c r="X91" s="55" t="e">
        <f>+SUMIFS(#REF!,#REF!,'RDG Weekly'!Q18)-X92</f>
        <v>#REF!</v>
      </c>
      <c r="Y91" s="55"/>
      <c r="Z91" s="59" t="e">
        <f>+X91/$F$85</f>
        <v>#REF!</v>
      </c>
      <c r="AA91" s="59"/>
      <c r="AB91" s="55" t="e">
        <f>+SUMIFS(#REF!,#REF!,'RDG Weekly'!Q18)-AB92</f>
        <v>#REF!</v>
      </c>
      <c r="AC91" s="55"/>
      <c r="AD91" s="59" t="e">
        <f>+AB91/$I$85</f>
        <v>#REF!</v>
      </c>
      <c r="AE91" s="55" t="e">
        <f>+SUMIFS(#REF!,#REF!,'RDG Weekly'!Q18)-AE92</f>
        <v>#REF!</v>
      </c>
      <c r="AF91" s="59" t="e">
        <f>+AE91/$M$85</f>
        <v>#REF!</v>
      </c>
      <c r="AG91" s="55" t="e">
        <f>+SUMIFS(#REF!,#REF!,'RDG Weekly'!Q18)-AG92</f>
        <v>#REF!</v>
      </c>
      <c r="AH91" s="68">
        <f>IFERROR(+AG91/$Q$85,0)</f>
        <v>0</v>
      </c>
      <c r="AI91" s="60"/>
      <c r="AK91" s="61" t="e">
        <f>+#REF!/5</f>
        <v>#REF!</v>
      </c>
      <c r="AL91" s="62" t="e">
        <f>+AK91/$AK$85</f>
        <v>#REF!</v>
      </c>
      <c r="AM91" s="61" t="e">
        <f t="shared" si="13"/>
        <v>#REF!</v>
      </c>
      <c r="AN91" s="62" t="e">
        <f>+AM91/$AM$85</f>
        <v>#REF!</v>
      </c>
      <c r="AO91" s="61" t="e">
        <f t="shared" si="14"/>
        <v>#REF!</v>
      </c>
      <c r="AP91" s="62" t="e">
        <f>+AO91/$AO$85</f>
        <v>#REF!</v>
      </c>
      <c r="AQ91" s="61" t="e">
        <f t="shared" si="15"/>
        <v>#REF!</v>
      </c>
      <c r="AR91" s="62" t="e">
        <f>+AQ91/$AQ$85</f>
        <v>#REF!</v>
      </c>
      <c r="AU91" s="55" t="e">
        <f t="shared" si="16"/>
        <v>#REF!</v>
      </c>
      <c r="AV91" s="59" t="e">
        <f>+AU91/$AU$85</f>
        <v>#REF!</v>
      </c>
      <c r="AW91" s="61" t="e">
        <f t="shared" si="17"/>
        <v>#REF!</v>
      </c>
      <c r="AX91" s="62" t="e">
        <f>+AW91/$AW$85</f>
        <v>#REF!</v>
      </c>
      <c r="AY91" s="55" t="e">
        <f t="shared" si="18"/>
        <v>#REF!</v>
      </c>
      <c r="AZ91" s="59" t="e">
        <f>+AY91/$AY$85</f>
        <v>#REF!</v>
      </c>
      <c r="BA91" s="61" t="e">
        <f t="shared" si="19"/>
        <v>#REF!</v>
      </c>
      <c r="BB91" s="62" t="e">
        <f>+BA91/$BA$85</f>
        <v>#REF!</v>
      </c>
      <c r="BC91" s="55" t="e">
        <f t="shared" si="20"/>
        <v>#REF!</v>
      </c>
      <c r="BD91" s="59" t="e">
        <f>+BC91/$BC$85</f>
        <v>#REF!</v>
      </c>
      <c r="BE91" s="61" t="e">
        <f t="shared" si="21"/>
        <v>#REF!</v>
      </c>
      <c r="BF91" s="62" t="e">
        <f>+BE91/$BE$85</f>
        <v>#REF!</v>
      </c>
    </row>
    <row r="92" spans="4:58" s="58" customFormat="1" ht="14.65" hidden="1" customHeight="1" outlineLevel="1">
      <c r="D92" s="58" t="s">
        <v>27</v>
      </c>
      <c r="E92" s="63"/>
      <c r="F92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G92" s="59" t="e">
        <f t="shared" ref="G92:G93" si="22">+F92/$F$85</f>
        <v>#REF!</v>
      </c>
      <c r="H92" s="59"/>
      <c r="I92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J92" s="55"/>
      <c r="K92" s="59" t="e">
        <f>+I92/$I$85</f>
        <v>#REF!</v>
      </c>
      <c r="L92" s="59"/>
      <c r="M92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N92" s="55"/>
      <c r="O92" s="59" t="e">
        <f>+M92/$M$85</f>
        <v>#REF!</v>
      </c>
      <c r="P92" s="59"/>
      <c r="Q92" s="55" t="e">
        <f>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</f>
        <v>#REF!</v>
      </c>
      <c r="R92" s="55"/>
      <c r="S92" s="68">
        <f>IFERROR(+Q92/$Q$85,0)</f>
        <v>0</v>
      </c>
      <c r="T92" s="60"/>
      <c r="U92" s="70"/>
      <c r="X92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Y92" s="55"/>
      <c r="Z92" s="59" t="e">
        <f t="shared" ref="Z92:Z93" si="23">+X92/$F$85</f>
        <v>#REF!</v>
      </c>
      <c r="AA92" s="59"/>
      <c r="AB92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AC92" s="55"/>
      <c r="AD92" s="59" t="e">
        <f>+AB92/$I$85</f>
        <v>#REF!</v>
      </c>
      <c r="AE92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AF92" s="59" t="e">
        <f>+AE92/$M$85</f>
        <v>#REF!</v>
      </c>
      <c r="AG92" s="55" t="e">
        <f>+SUMIFS(#REF!,#REF!,'RDG Weekly'!Q48)+SUMIFS(#REF!,#REF!,'RDG Weekly'!Q49)+SUMIFS(#REF!,#REF!,'RDG Weekly'!Q50)+SUMIFS(#REF!,#REF!,'RDG Weekly'!Q51)+SUMIFS(#REF!,#REF!,'RDG Weekly'!Q52)+SUMIFS(#REF!,#REF!,'RDG Weekly'!Q53)+SUMIFS(#REF!,#REF!,'RDG Weekly'!Q54)+SUMIFS(#REF!,#REF!,'RDG Weekly'!Q55)</f>
        <v>#REF!</v>
      </c>
      <c r="AH92" s="68">
        <f>IFERROR(+AG92/$Q$85,0)</f>
        <v>0</v>
      </c>
      <c r="AI92" s="60"/>
      <c r="AK92" s="61" t="e">
        <f>+#REF!/5</f>
        <v>#REF!</v>
      </c>
      <c r="AL92" s="62" t="e">
        <f>+AK92/$AK$85</f>
        <v>#REF!</v>
      </c>
      <c r="AM92" s="61" t="e">
        <f t="shared" si="13"/>
        <v>#REF!</v>
      </c>
      <c r="AN92" s="62" t="e">
        <f>+AM92/$AM$85</f>
        <v>#REF!</v>
      </c>
      <c r="AO92" s="61" t="e">
        <f t="shared" si="14"/>
        <v>#REF!</v>
      </c>
      <c r="AP92" s="62" t="e">
        <f>+AO92/$AO$85</f>
        <v>#REF!</v>
      </c>
      <c r="AQ92" s="61" t="e">
        <f t="shared" si="15"/>
        <v>#REF!</v>
      </c>
      <c r="AR92" s="62" t="e">
        <f>+AQ92/$AQ$85</f>
        <v>#REF!</v>
      </c>
      <c r="AU92" s="55" t="e">
        <f t="shared" si="16"/>
        <v>#REF!</v>
      </c>
      <c r="AV92" s="59" t="e">
        <f>+AU92/$AU$85</f>
        <v>#REF!</v>
      </c>
      <c r="AW92" s="61" t="e">
        <f t="shared" si="17"/>
        <v>#REF!</v>
      </c>
      <c r="AX92" s="62" t="e">
        <f>+AW92/$AW$85</f>
        <v>#REF!</v>
      </c>
      <c r="AY92" s="55" t="e">
        <f t="shared" si="18"/>
        <v>#REF!</v>
      </c>
      <c r="AZ92" s="59" t="e">
        <f>+AY92/$AY$85</f>
        <v>#REF!</v>
      </c>
      <c r="BA92" s="61" t="e">
        <f t="shared" si="19"/>
        <v>#REF!</v>
      </c>
      <c r="BB92" s="62" t="e">
        <f>+BA92/$BA$85</f>
        <v>#REF!</v>
      </c>
      <c r="BC92" s="55" t="e">
        <f t="shared" si="20"/>
        <v>#REF!</v>
      </c>
      <c r="BD92" s="59" t="e">
        <f>+BC92/$BC$85</f>
        <v>#REF!</v>
      </c>
      <c r="BE92" s="61" t="e">
        <f t="shared" si="21"/>
        <v>#REF!</v>
      </c>
      <c r="BF92" s="62" t="e">
        <f>+BE92/$BE$85</f>
        <v>#REF!</v>
      </c>
    </row>
    <row r="93" spans="4:58" s="58" customFormat="1" ht="14.65" hidden="1" customHeight="1" outlineLevel="1">
      <c r="D93" s="58" t="s">
        <v>28</v>
      </c>
      <c r="E93" s="63"/>
      <c r="F93" s="55" t="e">
        <f>+SUMIFS(#REF!,#REF!,'RDG Weekly'!C18)</f>
        <v>#REF!</v>
      </c>
      <c r="G93" s="59" t="e">
        <f t="shared" si="22"/>
        <v>#REF!</v>
      </c>
      <c r="H93" s="59"/>
      <c r="I93" s="55" t="e">
        <f>+SUMIFS(#REF!,#REF!,'RDG Weekly'!C18)</f>
        <v>#REF!</v>
      </c>
      <c r="J93" s="55"/>
      <c r="K93" s="59" t="e">
        <f>+I93/$I$85</f>
        <v>#REF!</v>
      </c>
      <c r="L93" s="59"/>
      <c r="M93" s="55" t="e">
        <f>+SUMIFS(#REF!,#REF!,'RDG Weekly'!C18)</f>
        <v>#REF!</v>
      </c>
      <c r="N93" s="55"/>
      <c r="O93" s="59" t="e">
        <f>+M93/$M$85</f>
        <v>#REF!</v>
      </c>
      <c r="P93" s="59"/>
      <c r="Q93" s="55" t="e">
        <f>+SUMIFS(#REF!,#REF!,'RDG Weekly'!C18)</f>
        <v>#REF!</v>
      </c>
      <c r="R93" s="55"/>
      <c r="S93" s="68">
        <f>IFERROR(+Q93/$Q$85,0)</f>
        <v>0</v>
      </c>
      <c r="T93" s="60"/>
      <c r="U93" s="70"/>
      <c r="X93" s="55" t="e">
        <f>+SUMIFS(#REF!,#REF!,'RDG Weekly'!S18)</f>
        <v>#REF!</v>
      </c>
      <c r="Y93" s="55"/>
      <c r="Z93" s="59" t="e">
        <f t="shared" si="23"/>
        <v>#REF!</v>
      </c>
      <c r="AA93" s="59"/>
      <c r="AB93" s="55" t="e">
        <f>+SUMIFS(#REF!,#REF!,'RDG Weekly'!S18)</f>
        <v>#REF!</v>
      </c>
      <c r="AC93" s="55"/>
      <c r="AD93" s="59" t="e">
        <f>+AB93/$I$85</f>
        <v>#REF!</v>
      </c>
      <c r="AE93" s="55" t="e">
        <f>+SUMIFS(#REF!,#REF!,'RDG Weekly'!S18)</f>
        <v>#REF!</v>
      </c>
      <c r="AF93" s="59" t="e">
        <f>+AE93/$M$85</f>
        <v>#REF!</v>
      </c>
      <c r="AG93" s="55" t="e">
        <f>+SUMIFS(#REF!,#REF!,'RDG Weekly'!S18)</f>
        <v>#REF!</v>
      </c>
      <c r="AH93" s="68">
        <f>IFERROR(+AG93/$Q$85,0)</f>
        <v>0</v>
      </c>
      <c r="AI93" s="60"/>
      <c r="AK93" s="61" t="e">
        <f>+#REF!/5</f>
        <v>#REF!</v>
      </c>
      <c r="AL93" s="62" t="e">
        <f>+AK93/$AK$85</f>
        <v>#REF!</v>
      </c>
      <c r="AM93" s="61" t="e">
        <f t="shared" si="13"/>
        <v>#REF!</v>
      </c>
      <c r="AN93" s="62" t="e">
        <f>+AM93/$AM$85</f>
        <v>#REF!</v>
      </c>
      <c r="AO93" s="61" t="e">
        <f t="shared" si="14"/>
        <v>#REF!</v>
      </c>
      <c r="AP93" s="62" t="e">
        <f>+AO93/$AO$85</f>
        <v>#REF!</v>
      </c>
      <c r="AQ93" s="61" t="e">
        <f t="shared" si="15"/>
        <v>#REF!</v>
      </c>
      <c r="AR93" s="62" t="e">
        <f>+AQ93/$AQ$85</f>
        <v>#REF!</v>
      </c>
      <c r="AU93" s="55" t="e">
        <f t="shared" si="16"/>
        <v>#REF!</v>
      </c>
      <c r="AV93" s="59" t="e">
        <f>+AU93/$AU$85</f>
        <v>#REF!</v>
      </c>
      <c r="AW93" s="61" t="e">
        <f t="shared" si="17"/>
        <v>#REF!</v>
      </c>
      <c r="AX93" s="62" t="e">
        <f>+AW93/$AW$85</f>
        <v>#REF!</v>
      </c>
      <c r="AY93" s="55" t="e">
        <f t="shared" si="18"/>
        <v>#REF!</v>
      </c>
      <c r="AZ93" s="59" t="e">
        <f>+AY93/$AY$85</f>
        <v>#REF!</v>
      </c>
      <c r="BA93" s="61" t="e">
        <f t="shared" si="19"/>
        <v>#REF!</v>
      </c>
      <c r="BB93" s="62" t="e">
        <f>+BA93/$BA$85</f>
        <v>#REF!</v>
      </c>
      <c r="BC93" s="55" t="e">
        <f t="shared" si="20"/>
        <v>#REF!</v>
      </c>
      <c r="BD93" s="59" t="e">
        <f>+BC93/$BC$85</f>
        <v>#REF!</v>
      </c>
      <c r="BE93" s="61" t="e">
        <f t="shared" si="21"/>
        <v>#REF!</v>
      </c>
      <c r="BF93" s="62" t="e">
        <f>+BE93/$BE$85</f>
        <v>#REF!</v>
      </c>
    </row>
    <row r="94" spans="4:58" ht="17.649999999999999" hidden="1" customHeight="1" outlineLevel="1">
      <c r="D94" s="21" t="s">
        <v>31</v>
      </c>
      <c r="E94" s="22"/>
      <c r="F94" s="21" t="e">
        <f>+SUMIFS(#REF!,#REF!,'RDG Weekly'!B22)</f>
        <v>#REF!</v>
      </c>
      <c r="G94" s="23">
        <f>IFERROR(F94/F85,0)</f>
        <v>0</v>
      </c>
      <c r="H94" s="23"/>
      <c r="I94" s="21" t="e">
        <f>+SUMIFS(#REF!,#REF!,'RDG Weekly'!B22)</f>
        <v>#REF!</v>
      </c>
      <c r="J94" s="21"/>
      <c r="K94" s="23">
        <f>IFERROR(I94/I85,0)</f>
        <v>0</v>
      </c>
      <c r="L94" s="23"/>
      <c r="M94" s="21" t="e">
        <f>+SUMIFS(#REF!,#REF!,'RDG Weekly'!B22)</f>
        <v>#REF!</v>
      </c>
      <c r="N94" s="21"/>
      <c r="O94" s="23">
        <f>IFERROR(M94/M85,0)</f>
        <v>0</v>
      </c>
      <c r="P94" s="23"/>
      <c r="Q94" s="21" t="e">
        <f>+SUMIFS(#REF!,#REF!,'RDG Weekly'!B22)</f>
        <v>#REF!</v>
      </c>
      <c r="R94" s="21"/>
      <c r="S94" s="23">
        <f>IFERROR(Q94/Q85,0)</f>
        <v>0</v>
      </c>
      <c r="T94" s="24"/>
      <c r="U94" s="22"/>
      <c r="X94" s="21" t="e">
        <f>+SUMIFS(#REF!,#REF!,'RDG Weekly'!Q22)</f>
        <v>#REF!</v>
      </c>
      <c r="Y94" s="21"/>
      <c r="Z94" s="23">
        <f>IFERROR(X94/X85,0)</f>
        <v>0</v>
      </c>
      <c r="AA94" s="23"/>
      <c r="AB94" s="21" t="e">
        <f>+SUMIFS(#REF!,#REF!,'RDG Weekly'!Q22)</f>
        <v>#REF!</v>
      </c>
      <c r="AC94" s="21"/>
      <c r="AD94" s="23">
        <f>IFERROR(AB94/AB85,0)</f>
        <v>0</v>
      </c>
      <c r="AE94" s="21" t="e">
        <f>+SUMIFS(#REF!,#REF!,'RDG Weekly'!Q22)</f>
        <v>#REF!</v>
      </c>
      <c r="AF94" s="23">
        <f>IFERROR(AE94/AE85,0)</f>
        <v>0</v>
      </c>
      <c r="AG94" s="21" t="e">
        <f>+SUMIFS(#REF!,#REF!,'RDG Weekly'!Q22)</f>
        <v>#REF!</v>
      </c>
      <c r="AH94" s="23">
        <f>IFERROR(AG94/AG85,0)</f>
        <v>0</v>
      </c>
      <c r="AI94" s="24"/>
      <c r="AK94" s="25" t="e">
        <f>+#REF!/#REF!</f>
        <v>#REF!</v>
      </c>
      <c r="AL94" s="26">
        <f>IFERROR(AK94/AK85,0)</f>
        <v>0</v>
      </c>
      <c r="AM94" s="25" t="e">
        <f t="shared" si="13"/>
        <v>#REF!</v>
      </c>
      <c r="AN94" s="26">
        <f>IFERROR(AM94/AM85,0)</f>
        <v>0</v>
      </c>
      <c r="AO94" s="25" t="e">
        <f t="shared" si="14"/>
        <v>#REF!</v>
      </c>
      <c r="AP94" s="26">
        <f>IFERROR(AO94/AO85,0)</f>
        <v>0</v>
      </c>
      <c r="AQ94" s="25" t="e">
        <f t="shared" si="15"/>
        <v>#REF!</v>
      </c>
      <c r="AR94" s="26">
        <f>IFERROR(AQ94/AQ85,0)</f>
        <v>0</v>
      </c>
      <c r="AU94" s="21" t="e">
        <f t="shared" si="16"/>
        <v>#REF!</v>
      </c>
      <c r="AV94" s="23">
        <f>IFERROR(AU94/AU85,0)</f>
        <v>0</v>
      </c>
      <c r="AW94" s="25" t="e">
        <f t="shared" si="17"/>
        <v>#REF!</v>
      </c>
      <c r="AX94" s="26">
        <f>IFERROR(AW94/AW85,0)</f>
        <v>0</v>
      </c>
      <c r="AY94" s="21" t="e">
        <f t="shared" si="18"/>
        <v>#REF!</v>
      </c>
      <c r="AZ94" s="23">
        <f>IFERROR(AY94/AY85,0)</f>
        <v>0</v>
      </c>
      <c r="BA94" s="25" t="e">
        <f t="shared" si="19"/>
        <v>#REF!</v>
      </c>
      <c r="BB94" s="26">
        <f>IFERROR(BA94/BA85,0)</f>
        <v>0</v>
      </c>
      <c r="BC94" s="21" t="e">
        <f t="shared" si="20"/>
        <v>#REF!</v>
      </c>
      <c r="BD94" s="23">
        <f>IFERROR(BC94/BC85,0)</f>
        <v>0</v>
      </c>
      <c r="BE94" s="25" t="e">
        <f t="shared" si="21"/>
        <v>#REF!</v>
      </c>
      <c r="BF94" s="26">
        <f>IFERROR(BE94/BE85,0)</f>
        <v>0</v>
      </c>
    </row>
    <row r="95" spans="4:58" ht="17.649999999999999" hidden="1" customHeight="1" outlineLevel="1">
      <c r="D95" s="21" t="s">
        <v>34</v>
      </c>
      <c r="E95" s="22"/>
      <c r="F95" s="21" t="e">
        <f>+SUMIFS(#REF!,#REF!,'RDG Weekly'!B23)</f>
        <v>#REF!</v>
      </c>
      <c r="G95" s="23">
        <f>IFERROR(F95/F85,0)</f>
        <v>0</v>
      </c>
      <c r="H95" s="23"/>
      <c r="I95" s="21" t="e">
        <f>+SUMIFS(#REF!,#REF!,'RDG Weekly'!B23)</f>
        <v>#REF!</v>
      </c>
      <c r="J95" s="21"/>
      <c r="K95" s="23">
        <f>IFERROR(I95/I85,0)</f>
        <v>0</v>
      </c>
      <c r="L95" s="23"/>
      <c r="M95" s="21" t="e">
        <f>+SUMIFS(#REF!,#REF!,'RDG Weekly'!B23)</f>
        <v>#REF!</v>
      </c>
      <c r="N95" s="21"/>
      <c r="O95" s="23">
        <f>IFERROR(M95/M85,0)</f>
        <v>0</v>
      </c>
      <c r="P95" s="23"/>
      <c r="Q95" s="21" t="e">
        <f>+SUMIFS(#REF!,#REF!,'RDG Weekly'!B23)</f>
        <v>#REF!</v>
      </c>
      <c r="R95" s="21"/>
      <c r="S95" s="23">
        <f>IFERROR(Q95/Q85,0)</f>
        <v>0</v>
      </c>
      <c r="T95" s="24"/>
      <c r="U95" s="22"/>
      <c r="X95" s="21" t="e">
        <f>+SUMIFS(#REF!,#REF!,'RDG Weekly'!Q23)</f>
        <v>#REF!</v>
      </c>
      <c r="Y95" s="21"/>
      <c r="Z95" s="23">
        <f>IFERROR(X95/X85,0)</f>
        <v>0</v>
      </c>
      <c r="AA95" s="23"/>
      <c r="AB95" s="21" t="e">
        <f>+SUMIFS(#REF!,#REF!,'RDG Weekly'!Q23)</f>
        <v>#REF!</v>
      </c>
      <c r="AC95" s="21"/>
      <c r="AD95" s="23">
        <f>IFERROR(AB95/AB85,0)</f>
        <v>0</v>
      </c>
      <c r="AE95" s="21" t="e">
        <f>+SUMIFS(#REF!,#REF!,'RDG Weekly'!Q23)</f>
        <v>#REF!</v>
      </c>
      <c r="AF95" s="23">
        <f>IFERROR(AE95/AE85,0)</f>
        <v>0</v>
      </c>
      <c r="AG95" s="21" t="e">
        <f>+SUMIFS(#REF!,#REF!,'RDG Weekly'!Q23)</f>
        <v>#REF!</v>
      </c>
      <c r="AH95" s="23">
        <f>IFERROR(AG95/AG85,0)</f>
        <v>0</v>
      </c>
      <c r="AI95" s="24"/>
      <c r="AK95" s="25" t="e">
        <f>+#REF!/#REF!</f>
        <v>#REF!</v>
      </c>
      <c r="AL95" s="26">
        <f>IFERROR(AK95/AK85,0)</f>
        <v>0</v>
      </c>
      <c r="AM95" s="25" t="e">
        <f t="shared" si="13"/>
        <v>#REF!</v>
      </c>
      <c r="AN95" s="26">
        <f>IFERROR(AM95/AM85,0)</f>
        <v>0</v>
      </c>
      <c r="AO95" s="25" t="e">
        <f t="shared" si="14"/>
        <v>#REF!</v>
      </c>
      <c r="AP95" s="26">
        <f>IFERROR(AO95/AO85,0)</f>
        <v>0</v>
      </c>
      <c r="AQ95" s="25" t="e">
        <f t="shared" si="15"/>
        <v>#REF!</v>
      </c>
      <c r="AR95" s="26">
        <f>IFERROR(AQ95/AQ85,0)</f>
        <v>0</v>
      </c>
      <c r="AU95" s="21" t="e">
        <f t="shared" si="16"/>
        <v>#REF!</v>
      </c>
      <c r="AV95" s="23">
        <f>IFERROR(AU95/AU85,0)</f>
        <v>0</v>
      </c>
      <c r="AW95" s="25" t="e">
        <f t="shared" si="17"/>
        <v>#REF!</v>
      </c>
      <c r="AX95" s="26">
        <f>IFERROR(AW95/AW85,0)</f>
        <v>0</v>
      </c>
      <c r="AY95" s="21" t="e">
        <f t="shared" si="18"/>
        <v>#REF!</v>
      </c>
      <c r="AZ95" s="23">
        <f>IFERROR(AY95/AY85,0)</f>
        <v>0</v>
      </c>
      <c r="BA95" s="25" t="e">
        <f t="shared" si="19"/>
        <v>#REF!</v>
      </c>
      <c r="BB95" s="26">
        <f>IFERROR(BA95/BA85,0)</f>
        <v>0</v>
      </c>
      <c r="BC95" s="21" t="e">
        <f t="shared" si="20"/>
        <v>#REF!</v>
      </c>
      <c r="BD95" s="23">
        <f>IFERROR(BC95/BC85,0)</f>
        <v>0</v>
      </c>
      <c r="BE95" s="25" t="e">
        <f t="shared" si="21"/>
        <v>#REF!</v>
      </c>
      <c r="BF95" s="26">
        <f>IFERROR(BE95/BE85,0)</f>
        <v>0</v>
      </c>
    </row>
    <row r="96" spans="4:58" ht="17.649999999999999" hidden="1" customHeight="1" outlineLevel="1">
      <c r="D96" s="21" t="s">
        <v>36</v>
      </c>
      <c r="E96" s="22"/>
      <c r="F96" s="21" t="e">
        <f>+SUMIFS(#REF!,#REF!,'RDG Weekly'!B24)</f>
        <v>#REF!</v>
      </c>
      <c r="G96" s="23">
        <f>IFERROR(F96/F85,0)</f>
        <v>0</v>
      </c>
      <c r="H96" s="23"/>
      <c r="I96" s="21" t="e">
        <f>+SUMIFS(#REF!,#REF!,'RDG Weekly'!B24)</f>
        <v>#REF!</v>
      </c>
      <c r="J96" s="21"/>
      <c r="K96" s="23">
        <f>IFERROR(I96/I85,0)</f>
        <v>0</v>
      </c>
      <c r="L96" s="23"/>
      <c r="M96" s="21" t="e">
        <f>+SUMIFS(#REF!,#REF!,'RDG Weekly'!B24)</f>
        <v>#REF!</v>
      </c>
      <c r="N96" s="21"/>
      <c r="O96" s="23">
        <f>IFERROR(M96/M85,0)</f>
        <v>0</v>
      </c>
      <c r="P96" s="23"/>
      <c r="Q96" s="21" t="e">
        <f>+SUMIFS(#REF!,#REF!,'RDG Weekly'!B24)</f>
        <v>#REF!</v>
      </c>
      <c r="R96" s="21"/>
      <c r="S96" s="23">
        <f>IFERROR(Q96/Q85,0)</f>
        <v>0</v>
      </c>
      <c r="T96" s="24"/>
      <c r="U96" s="22"/>
      <c r="X96" s="21" t="e">
        <f>+SUMIFS(#REF!,#REF!,'RDG Weekly'!Q24)</f>
        <v>#REF!</v>
      </c>
      <c r="Y96" s="21"/>
      <c r="Z96" s="23">
        <f>IFERROR(X96/X85,0)</f>
        <v>0</v>
      </c>
      <c r="AA96" s="23"/>
      <c r="AB96" s="21" t="e">
        <f>+SUMIFS(#REF!,#REF!,'RDG Weekly'!Q24)</f>
        <v>#REF!</v>
      </c>
      <c r="AC96" s="21"/>
      <c r="AD96" s="23">
        <f>IFERROR(AB96/AB85,0)</f>
        <v>0</v>
      </c>
      <c r="AE96" s="21" t="e">
        <f>+SUMIFS(#REF!,#REF!,'RDG Weekly'!Q24)</f>
        <v>#REF!</v>
      </c>
      <c r="AF96" s="23">
        <f>IFERROR(AE96/AE85,0)</f>
        <v>0</v>
      </c>
      <c r="AG96" s="21" t="e">
        <f>+SUMIFS(#REF!,#REF!,'RDG Weekly'!Q24)</f>
        <v>#REF!</v>
      </c>
      <c r="AH96" s="23">
        <f>IFERROR(AG96/AG85,0)</f>
        <v>0</v>
      </c>
      <c r="AI96" s="24"/>
      <c r="AK96" s="25" t="e">
        <f>+#REF!/#REF!</f>
        <v>#REF!</v>
      </c>
      <c r="AL96" s="26">
        <f>IFERROR(AK96/AK85,0)</f>
        <v>0</v>
      </c>
      <c r="AM96" s="25" t="e">
        <f t="shared" si="13"/>
        <v>#REF!</v>
      </c>
      <c r="AN96" s="26">
        <f>IFERROR(AM96/AM85,0)</f>
        <v>0</v>
      </c>
      <c r="AO96" s="25" t="e">
        <f t="shared" si="14"/>
        <v>#REF!</v>
      </c>
      <c r="AP96" s="26">
        <f>IFERROR(AO96/AO85,0)</f>
        <v>0</v>
      </c>
      <c r="AQ96" s="25" t="e">
        <f t="shared" si="15"/>
        <v>#REF!</v>
      </c>
      <c r="AR96" s="26">
        <f>IFERROR(AQ96/AQ85,0)</f>
        <v>0</v>
      </c>
      <c r="AU96" s="21" t="e">
        <f t="shared" si="16"/>
        <v>#REF!</v>
      </c>
      <c r="AV96" s="23">
        <f>IFERROR(AU96/AU85,0)</f>
        <v>0</v>
      </c>
      <c r="AW96" s="25" t="e">
        <f t="shared" si="17"/>
        <v>#REF!</v>
      </c>
      <c r="AX96" s="26">
        <f>IFERROR(AW96/AW85,0)</f>
        <v>0</v>
      </c>
      <c r="AY96" s="21" t="e">
        <f t="shared" si="18"/>
        <v>#REF!</v>
      </c>
      <c r="AZ96" s="23">
        <f>IFERROR(AY96/AY85,0)</f>
        <v>0</v>
      </c>
      <c r="BA96" s="25" t="e">
        <f t="shared" si="19"/>
        <v>#REF!</v>
      </c>
      <c r="BB96" s="26">
        <f>IFERROR(BA96/BA85,0)</f>
        <v>0</v>
      </c>
      <c r="BC96" s="21" t="e">
        <f t="shared" si="20"/>
        <v>#REF!</v>
      </c>
      <c r="BD96" s="23">
        <f>IFERROR(BC96/BC85,0)</f>
        <v>0</v>
      </c>
      <c r="BE96" s="25" t="e">
        <f t="shared" si="21"/>
        <v>#REF!</v>
      </c>
      <c r="BF96" s="26">
        <f>IFERROR(BE96/BE85,0)</f>
        <v>0</v>
      </c>
    </row>
    <row r="97" spans="4:58" ht="17.649999999999999" hidden="1" customHeight="1" outlineLevel="1">
      <c r="D97" s="21" t="s">
        <v>38</v>
      </c>
      <c r="E97" s="22"/>
      <c r="F97" s="21" t="e">
        <f>+SUMIFS(#REF!,#REF!,'RDG Weekly'!B25)</f>
        <v>#REF!</v>
      </c>
      <c r="G97" s="23">
        <f>IFERROR(F97/F85,0)</f>
        <v>0</v>
      </c>
      <c r="H97" s="23"/>
      <c r="I97" s="21" t="e">
        <f>+SUMIFS(#REF!,#REF!,'RDG Weekly'!B25)</f>
        <v>#REF!</v>
      </c>
      <c r="J97" s="21"/>
      <c r="K97" s="23">
        <f>IFERROR(I97/I85,0)</f>
        <v>0</v>
      </c>
      <c r="L97" s="23"/>
      <c r="M97" s="21" t="e">
        <f>+SUMIFS(#REF!,#REF!,'RDG Weekly'!B25)</f>
        <v>#REF!</v>
      </c>
      <c r="N97" s="21"/>
      <c r="O97" s="23">
        <f>IFERROR(M97/M85,0)</f>
        <v>0</v>
      </c>
      <c r="P97" s="23"/>
      <c r="Q97" s="21" t="e">
        <f>+SUMIFS(#REF!,#REF!,'RDG Weekly'!B25)</f>
        <v>#REF!</v>
      </c>
      <c r="R97" s="21"/>
      <c r="S97" s="23">
        <f>IFERROR(Q97/Q85,0)</f>
        <v>0</v>
      </c>
      <c r="T97" s="24"/>
      <c r="U97" s="22"/>
      <c r="X97" s="21" t="e">
        <f>+SUMIFS(#REF!,#REF!,'RDG Weekly'!Q25)</f>
        <v>#REF!</v>
      </c>
      <c r="Y97" s="21"/>
      <c r="Z97" s="23">
        <f>IFERROR(X97/X85,0)</f>
        <v>0</v>
      </c>
      <c r="AA97" s="23"/>
      <c r="AB97" s="21" t="e">
        <f>+SUMIFS(#REF!,#REF!,'RDG Weekly'!Q25)</f>
        <v>#REF!</v>
      </c>
      <c r="AC97" s="21"/>
      <c r="AD97" s="23">
        <f>IFERROR(AB97/AB85,0)</f>
        <v>0</v>
      </c>
      <c r="AE97" s="21" t="e">
        <f>+SUMIFS(#REF!,#REF!,'RDG Weekly'!Q25)</f>
        <v>#REF!</v>
      </c>
      <c r="AF97" s="23">
        <f>IFERROR(AE97/AE85,0)</f>
        <v>0</v>
      </c>
      <c r="AG97" s="21" t="e">
        <f>+SUMIFS(#REF!,#REF!,'RDG Weekly'!Q25)</f>
        <v>#REF!</v>
      </c>
      <c r="AH97" s="23">
        <f>IFERROR(AG97/AG85,0)</f>
        <v>0</v>
      </c>
      <c r="AI97" s="24"/>
      <c r="AK97" s="25" t="e">
        <f>+#REF!/#REF!</f>
        <v>#REF!</v>
      </c>
      <c r="AL97" s="26">
        <f>IFERROR(AK97/AK85,0)</f>
        <v>0</v>
      </c>
      <c r="AM97" s="25" t="e">
        <f t="shared" si="13"/>
        <v>#REF!</v>
      </c>
      <c r="AN97" s="26">
        <f>IFERROR(AM97/AM85,0)</f>
        <v>0</v>
      </c>
      <c r="AO97" s="25" t="e">
        <f t="shared" si="14"/>
        <v>#REF!</v>
      </c>
      <c r="AP97" s="26">
        <f>IFERROR(AO97/AO85,0)</f>
        <v>0</v>
      </c>
      <c r="AQ97" s="25" t="e">
        <f t="shared" si="15"/>
        <v>#REF!</v>
      </c>
      <c r="AR97" s="26">
        <f>IFERROR(AQ97/AQ85,0)</f>
        <v>0</v>
      </c>
      <c r="AU97" s="21" t="e">
        <f t="shared" si="16"/>
        <v>#REF!</v>
      </c>
      <c r="AV97" s="23">
        <f>IFERROR(AU97/AU85,0)</f>
        <v>0</v>
      </c>
      <c r="AW97" s="25" t="e">
        <f t="shared" si="17"/>
        <v>#REF!</v>
      </c>
      <c r="AX97" s="26">
        <f>IFERROR(AW97/AW85,0)</f>
        <v>0</v>
      </c>
      <c r="AY97" s="21" t="e">
        <f t="shared" si="18"/>
        <v>#REF!</v>
      </c>
      <c r="AZ97" s="23">
        <f>IFERROR(AY97/AY85,0)</f>
        <v>0</v>
      </c>
      <c r="BA97" s="25" t="e">
        <f t="shared" si="19"/>
        <v>#REF!</v>
      </c>
      <c r="BB97" s="26">
        <f>IFERROR(BA97/BA85,0)</f>
        <v>0</v>
      </c>
      <c r="BC97" s="21" t="e">
        <f t="shared" si="20"/>
        <v>#REF!</v>
      </c>
      <c r="BD97" s="23">
        <f>IFERROR(BC97/BC85,0)</f>
        <v>0</v>
      </c>
      <c r="BE97" s="25" t="e">
        <f t="shared" si="21"/>
        <v>#REF!</v>
      </c>
      <c r="BF97" s="26">
        <f>IFERROR(BE97/BE85,0)</f>
        <v>0</v>
      </c>
    </row>
    <row r="98" spans="4:58" ht="17.649999999999999" hidden="1" customHeight="1" outlineLevel="1">
      <c r="D98" s="21" t="s">
        <v>40</v>
      </c>
      <c r="E98" s="22"/>
      <c r="F98" s="21" t="e">
        <f>+SUMIFS(#REF!,#REF!,'RDG Weekly'!B26)</f>
        <v>#REF!</v>
      </c>
      <c r="G98" s="23">
        <f>IFERROR(F98/F85,0)</f>
        <v>0</v>
      </c>
      <c r="H98" s="23"/>
      <c r="I98" s="21" t="e">
        <f>+SUMIFS(#REF!,#REF!,'RDG Weekly'!B26)</f>
        <v>#REF!</v>
      </c>
      <c r="J98" s="21"/>
      <c r="K98" s="23">
        <f>IFERROR(I98/I85,0)</f>
        <v>0</v>
      </c>
      <c r="L98" s="23"/>
      <c r="M98" s="21" t="e">
        <f>+SUMIFS(#REF!,#REF!,'RDG Weekly'!B26)</f>
        <v>#REF!</v>
      </c>
      <c r="N98" s="21"/>
      <c r="O98" s="23">
        <f>IFERROR(M98/M85,0)</f>
        <v>0</v>
      </c>
      <c r="P98" s="23"/>
      <c r="Q98" s="21" t="e">
        <f>+SUMIFS(#REF!,#REF!,'RDG Weekly'!B26)</f>
        <v>#REF!</v>
      </c>
      <c r="R98" s="21"/>
      <c r="S98" s="23">
        <f>IFERROR(Q98/Q85,0)</f>
        <v>0</v>
      </c>
      <c r="T98" s="24"/>
      <c r="U98" s="22"/>
      <c r="X98" s="21" t="e">
        <f>+SUMIFS(#REF!,#REF!,'RDG Weekly'!Q26)</f>
        <v>#REF!</v>
      </c>
      <c r="Y98" s="21"/>
      <c r="Z98" s="23">
        <f>IFERROR(X98/X85,0)</f>
        <v>0</v>
      </c>
      <c r="AA98" s="23"/>
      <c r="AB98" s="21" t="e">
        <f>+SUMIFS(#REF!,#REF!,'RDG Weekly'!Q26)</f>
        <v>#REF!</v>
      </c>
      <c r="AC98" s="21"/>
      <c r="AD98" s="23">
        <f>IFERROR(AB98/AB85,0)</f>
        <v>0</v>
      </c>
      <c r="AE98" s="21" t="e">
        <f>+SUMIFS(#REF!,#REF!,'RDG Weekly'!Q26)</f>
        <v>#REF!</v>
      </c>
      <c r="AF98" s="23">
        <f>IFERROR(AE98/AE85,0)</f>
        <v>0</v>
      </c>
      <c r="AG98" s="21" t="e">
        <f>+SUMIFS(#REF!,#REF!,'RDG Weekly'!Q26)</f>
        <v>#REF!</v>
      </c>
      <c r="AH98" s="23">
        <f>IFERROR(AG98/AG85,0)</f>
        <v>0</v>
      </c>
      <c r="AI98" s="24"/>
      <c r="AK98" s="25" t="e">
        <f>+#REF!/#REF!</f>
        <v>#REF!</v>
      </c>
      <c r="AL98" s="26">
        <f>IFERROR(AK98/AK85,0)</f>
        <v>0</v>
      </c>
      <c r="AM98" s="25" t="e">
        <f t="shared" si="13"/>
        <v>#REF!</v>
      </c>
      <c r="AN98" s="26">
        <f>IFERROR(AM98/AM85,0)</f>
        <v>0</v>
      </c>
      <c r="AO98" s="25" t="e">
        <f t="shared" si="14"/>
        <v>#REF!</v>
      </c>
      <c r="AP98" s="26">
        <f>IFERROR(AO98/AO85,0)</f>
        <v>0</v>
      </c>
      <c r="AQ98" s="25" t="e">
        <f t="shared" si="15"/>
        <v>#REF!</v>
      </c>
      <c r="AR98" s="26">
        <f>IFERROR(AQ98/AQ85,0)</f>
        <v>0</v>
      </c>
      <c r="AU98" s="21" t="e">
        <f t="shared" si="16"/>
        <v>#REF!</v>
      </c>
      <c r="AV98" s="23">
        <f>IFERROR(AU98/AU85,0)</f>
        <v>0</v>
      </c>
      <c r="AW98" s="25" t="e">
        <f t="shared" si="17"/>
        <v>#REF!</v>
      </c>
      <c r="AX98" s="26">
        <f>IFERROR(AW98/AW85,0)</f>
        <v>0</v>
      </c>
      <c r="AY98" s="21" t="e">
        <f t="shared" si="18"/>
        <v>#REF!</v>
      </c>
      <c r="AZ98" s="23">
        <f>IFERROR(AY98/AY85,0)</f>
        <v>0</v>
      </c>
      <c r="BA98" s="25" t="e">
        <f t="shared" si="19"/>
        <v>#REF!</v>
      </c>
      <c r="BB98" s="26">
        <f>IFERROR(BA98/BA85,0)</f>
        <v>0</v>
      </c>
      <c r="BC98" s="21" t="e">
        <f t="shared" si="20"/>
        <v>#REF!</v>
      </c>
      <c r="BD98" s="23">
        <f>IFERROR(BC98/BC85,0)</f>
        <v>0</v>
      </c>
      <c r="BE98" s="25" t="e">
        <f t="shared" si="21"/>
        <v>#REF!</v>
      </c>
      <c r="BF98" s="26">
        <f>IFERROR(BE98/BE85,0)</f>
        <v>0</v>
      </c>
    </row>
    <row r="99" spans="4:58" ht="17.649999999999999" hidden="1" customHeight="1" outlineLevel="1">
      <c r="D99" s="28"/>
      <c r="E99" s="22"/>
      <c r="F99" s="21"/>
      <c r="G99" s="16"/>
      <c r="H99" s="16"/>
      <c r="I99" s="21"/>
      <c r="J99" s="21"/>
      <c r="K99" s="16"/>
      <c r="L99" s="16"/>
      <c r="M99" s="21"/>
      <c r="N99" s="21"/>
      <c r="O99" s="16"/>
      <c r="P99" s="16"/>
      <c r="Q99" s="21"/>
      <c r="R99" s="21"/>
      <c r="S99" s="16"/>
      <c r="T99" s="24"/>
      <c r="U99" s="22"/>
      <c r="X99" s="21"/>
      <c r="Y99" s="21"/>
      <c r="Z99" s="16"/>
      <c r="AA99" s="16"/>
      <c r="AB99" s="21"/>
      <c r="AC99" s="21"/>
      <c r="AD99" s="16"/>
      <c r="AE99" s="21"/>
      <c r="AF99" s="16"/>
      <c r="AG99" s="21"/>
      <c r="AH99" s="16"/>
      <c r="AI99" s="24"/>
      <c r="AK99" s="25"/>
      <c r="AL99" s="19"/>
      <c r="AM99" s="25"/>
      <c r="AN99" s="19"/>
      <c r="AO99" s="25"/>
      <c r="AP99" s="19"/>
      <c r="AQ99" s="25"/>
      <c r="AR99" s="19"/>
      <c r="AU99" s="21"/>
      <c r="AV99" s="16"/>
      <c r="AW99" s="25"/>
      <c r="AX99" s="19"/>
      <c r="AY99" s="21"/>
      <c r="AZ99" s="16"/>
      <c r="BA99" s="25"/>
      <c r="BB99" s="19"/>
      <c r="BC99" s="21"/>
      <c r="BD99" s="16"/>
      <c r="BE99" s="25"/>
      <c r="BF99" s="19"/>
    </row>
    <row r="100" spans="4:58" ht="17.649999999999999" hidden="1" customHeight="1" outlineLevel="1">
      <c r="D100" s="29" t="s">
        <v>41</v>
      </c>
      <c r="E100" s="22"/>
      <c r="F100" s="38" t="e">
        <f>SUM(F94:F98,F90)</f>
        <v>#REF!</v>
      </c>
      <c r="G100" s="31">
        <f>IFERROR(F100/F85,0)</f>
        <v>0</v>
      </c>
      <c r="H100" s="31"/>
      <c r="I100" s="38" t="e">
        <f>SUM(I94:I98,I90)</f>
        <v>#REF!</v>
      </c>
      <c r="J100" s="38"/>
      <c r="K100" s="31">
        <f>IFERROR(I100/I85,0)</f>
        <v>0</v>
      </c>
      <c r="L100" s="31"/>
      <c r="M100" s="38" t="e">
        <f>SUM(M94:M98,M90)</f>
        <v>#REF!</v>
      </c>
      <c r="N100" s="38"/>
      <c r="O100" s="31">
        <f>IFERROR(M100/M85,0)</f>
        <v>0</v>
      </c>
      <c r="P100" s="31"/>
      <c r="Q100" s="38" t="e">
        <f>SUM(Q94:Q98,Q90)</f>
        <v>#REF!</v>
      </c>
      <c r="R100" s="38"/>
      <c r="S100" s="31">
        <f>IFERROR(Q100/Q85,0)</f>
        <v>0</v>
      </c>
      <c r="T100" s="17"/>
      <c r="U100" s="14"/>
      <c r="X100" s="38" t="e">
        <f>SUM(X94:X98,X90)</f>
        <v>#REF!</v>
      </c>
      <c r="Y100" s="38"/>
      <c r="Z100" s="31">
        <f>IFERROR(X100/X85,0)</f>
        <v>0</v>
      </c>
      <c r="AA100" s="31"/>
      <c r="AB100" s="38" t="e">
        <f>SUM(AB94:AB98,AB90)</f>
        <v>#REF!</v>
      </c>
      <c r="AC100" s="38"/>
      <c r="AD100" s="31">
        <f>IFERROR(AB100/AB85,0)</f>
        <v>0</v>
      </c>
      <c r="AE100" s="38" t="e">
        <f>SUM(AE94:AE98,AE90)</f>
        <v>#REF!</v>
      </c>
      <c r="AF100" s="31">
        <f>IFERROR(AE100/AE85,0)</f>
        <v>0</v>
      </c>
      <c r="AG100" s="38" t="e">
        <f>SUM(AG94:AG98,AG90)</f>
        <v>#REF!</v>
      </c>
      <c r="AH100" s="31">
        <f>IFERROR(AG100/AG85,0)</f>
        <v>0</v>
      </c>
      <c r="AI100" s="17"/>
      <c r="AK100" s="39" t="e">
        <f>SUM(AK94:AK98,AK90)</f>
        <v>#REF!</v>
      </c>
      <c r="AL100" s="33">
        <f>IFERROR(AK100/AK85,0)</f>
        <v>0</v>
      </c>
      <c r="AM100" s="39" t="e">
        <f>SUM(AM94:AM98,AM90)</f>
        <v>#REF!</v>
      </c>
      <c r="AN100" s="33">
        <f>IFERROR(AM100/AM85,0)</f>
        <v>0</v>
      </c>
      <c r="AO100" s="39" t="e">
        <f>SUM(AO94:AO98,AO90)</f>
        <v>#REF!</v>
      </c>
      <c r="AP100" s="33">
        <f>IFERROR(AO100/AO85,0)</f>
        <v>0</v>
      </c>
      <c r="AQ100" s="39" t="e">
        <f>SUM(AQ94:AQ98,AQ90)</f>
        <v>#REF!</v>
      </c>
      <c r="AR100" s="33">
        <f>IFERROR(AQ100/AQ85,0)</f>
        <v>0</v>
      </c>
      <c r="AU100" s="38" t="e">
        <f>SUM(AU94:AU98,AU90)</f>
        <v>#REF!</v>
      </c>
      <c r="AV100" s="31">
        <f>IFERROR(AU100/AU85,0)</f>
        <v>0</v>
      </c>
      <c r="AW100" s="39" t="e">
        <f>SUM(AW94:AW98,AW90)</f>
        <v>#REF!</v>
      </c>
      <c r="AX100" s="33">
        <f>IFERROR(AW100/AW85,0)</f>
        <v>0</v>
      </c>
      <c r="AY100" s="38" t="e">
        <f>SUM(AY94:AY98,AY90)</f>
        <v>#REF!</v>
      </c>
      <c r="AZ100" s="31">
        <f>IFERROR(AY100/AY85,0)</f>
        <v>0</v>
      </c>
      <c r="BA100" s="39" t="e">
        <f>SUM(BA94:BA98,BA90)</f>
        <v>#REF!</v>
      </c>
      <c r="BB100" s="33">
        <f>IFERROR(BA100/BA85,0)</f>
        <v>0</v>
      </c>
      <c r="BC100" s="38" t="e">
        <f>SUM(BC94:BC98,BC90)</f>
        <v>#REF!</v>
      </c>
      <c r="BD100" s="31">
        <f>IFERROR(BC100/BC85,0)</f>
        <v>0</v>
      </c>
      <c r="BE100" s="39" t="e">
        <f>SUM(BE94:BE98,BE90)</f>
        <v>#REF!</v>
      </c>
      <c r="BF100" s="33">
        <f>IFERROR(BE100/BE85,0)</f>
        <v>0</v>
      </c>
    </row>
    <row r="101" spans="4:58" ht="17.649999999999999" hidden="1" customHeight="1" outlineLevel="1">
      <c r="D101" s="28"/>
      <c r="E101" s="22"/>
      <c r="F101" s="28"/>
      <c r="G101" s="16"/>
      <c r="H101" s="16"/>
      <c r="I101" s="28"/>
      <c r="J101" s="28"/>
      <c r="K101" s="16"/>
      <c r="L101" s="16"/>
      <c r="M101" s="28"/>
      <c r="N101" s="28"/>
      <c r="O101" s="16"/>
      <c r="P101" s="16"/>
      <c r="Q101" s="28"/>
      <c r="R101" s="28"/>
      <c r="S101" s="16"/>
      <c r="T101" s="24"/>
      <c r="U101" s="22"/>
      <c r="X101" s="28"/>
      <c r="Y101" s="28"/>
      <c r="Z101" s="16"/>
      <c r="AA101" s="16"/>
      <c r="AB101" s="28"/>
      <c r="AC101" s="28"/>
      <c r="AD101" s="16"/>
      <c r="AE101" s="28"/>
      <c r="AF101" s="16"/>
      <c r="AG101" s="28"/>
      <c r="AH101" s="16"/>
      <c r="AI101" s="24"/>
      <c r="AK101" s="40"/>
      <c r="AL101" s="19"/>
      <c r="AM101" s="40"/>
      <c r="AN101" s="19"/>
      <c r="AO101" s="40"/>
      <c r="AP101" s="19"/>
      <c r="AQ101" s="40"/>
      <c r="AR101" s="19"/>
      <c r="AU101" s="28"/>
      <c r="AV101" s="16"/>
      <c r="AW101" s="40"/>
      <c r="AX101" s="19"/>
      <c r="AY101" s="28"/>
      <c r="AZ101" s="16"/>
      <c r="BA101" s="40"/>
      <c r="BB101" s="19"/>
      <c r="BC101" s="28"/>
      <c r="BD101" s="16"/>
      <c r="BE101" s="40"/>
      <c r="BF101" s="19"/>
    </row>
    <row r="102" spans="4:58" ht="17.649999999999999" hidden="1" customHeight="1" outlineLevel="1">
      <c r="D102" s="41" t="s">
        <v>42</v>
      </c>
      <c r="E102" s="22"/>
      <c r="F102" s="42" t="e">
        <f>F88-F100</f>
        <v>#REF!</v>
      </c>
      <c r="G102" s="43">
        <f>IFERROR(F102/F85,0)</f>
        <v>0</v>
      </c>
      <c r="H102" s="43"/>
      <c r="I102" s="42" t="e">
        <f>I88-I100</f>
        <v>#REF!</v>
      </c>
      <c r="J102" s="42"/>
      <c r="K102" s="43">
        <f>IFERROR(I102/I85,0)</f>
        <v>0</v>
      </c>
      <c r="L102" s="43"/>
      <c r="M102" s="42" t="e">
        <f>M88-M100</f>
        <v>#REF!</v>
      </c>
      <c r="N102" s="42"/>
      <c r="O102" s="43">
        <f>IFERROR(M102/M85,0)</f>
        <v>0</v>
      </c>
      <c r="P102" s="43"/>
      <c r="Q102" s="42" t="e">
        <f>Q88-Q100</f>
        <v>#REF!</v>
      </c>
      <c r="R102" s="42"/>
      <c r="S102" s="43">
        <f>IFERROR(Q102/Q85,0)</f>
        <v>0</v>
      </c>
      <c r="T102" s="17"/>
      <c r="U102" s="14"/>
      <c r="X102" s="42" t="e">
        <f>X88-X100</f>
        <v>#REF!</v>
      </c>
      <c r="Y102" s="42"/>
      <c r="Z102" s="43">
        <f>IFERROR(X102/X85,0)</f>
        <v>0</v>
      </c>
      <c r="AA102" s="43"/>
      <c r="AB102" s="42" t="e">
        <f>AB88-AB100</f>
        <v>#REF!</v>
      </c>
      <c r="AC102" s="42"/>
      <c r="AD102" s="43">
        <f>IFERROR(AB102/AB85,0)</f>
        <v>0</v>
      </c>
      <c r="AE102" s="42" t="e">
        <f>AE88-AE100</f>
        <v>#REF!</v>
      </c>
      <c r="AF102" s="43">
        <f>IFERROR(AE102/AE85,0)</f>
        <v>0</v>
      </c>
      <c r="AG102" s="42" t="e">
        <f>AG88-AG100</f>
        <v>#REF!</v>
      </c>
      <c r="AH102" s="43">
        <f>IFERROR(AG102/AG85,0)</f>
        <v>0</v>
      </c>
      <c r="AI102" s="17"/>
      <c r="AK102" s="44" t="e">
        <f>AK88-AK100</f>
        <v>#REF!</v>
      </c>
      <c r="AL102" s="45">
        <f>IFERROR(AK102/AK85,0)</f>
        <v>0</v>
      </c>
      <c r="AM102" s="44" t="e">
        <f>AM88-AM100</f>
        <v>#REF!</v>
      </c>
      <c r="AN102" s="45">
        <f>IFERROR(AM102/AM85,0)</f>
        <v>0</v>
      </c>
      <c r="AO102" s="44" t="e">
        <f>AO88-AO100</f>
        <v>#REF!</v>
      </c>
      <c r="AP102" s="45">
        <f>IFERROR(AO102/AO85,0)</f>
        <v>0</v>
      </c>
      <c r="AQ102" s="44" t="e">
        <f>AQ88-AQ100</f>
        <v>#REF!</v>
      </c>
      <c r="AR102" s="45">
        <f>IFERROR(AQ102/AQ85,0)</f>
        <v>0</v>
      </c>
      <c r="AU102" s="42" t="e">
        <f>AU88-AU100</f>
        <v>#REF!</v>
      </c>
      <c r="AV102" s="43">
        <f>IFERROR(AU102/AU85,0)</f>
        <v>0</v>
      </c>
      <c r="AW102" s="44" t="e">
        <f>AW88-AW100</f>
        <v>#REF!</v>
      </c>
      <c r="AX102" s="45">
        <f>IFERROR(AW102/AW85,0)</f>
        <v>0</v>
      </c>
      <c r="AY102" s="42" t="e">
        <f>AY88-AY100</f>
        <v>#REF!</v>
      </c>
      <c r="AZ102" s="43">
        <f>IFERROR(AY102/AY85,0)</f>
        <v>0</v>
      </c>
      <c r="BA102" s="44" t="e">
        <f>BA88-BA100</f>
        <v>#REF!</v>
      </c>
      <c r="BB102" s="45">
        <f>IFERROR(BA102/BA85,0)</f>
        <v>0</v>
      </c>
      <c r="BC102" s="42" t="e">
        <f>BC88-BC100</f>
        <v>#REF!</v>
      </c>
      <c r="BD102" s="43">
        <f>IFERROR(BC102/BC85,0)</f>
        <v>0</v>
      </c>
      <c r="BE102" s="44" t="e">
        <f>BE88-BE100</f>
        <v>#REF!</v>
      </c>
      <c r="BF102" s="45">
        <f>IFERROR(BE102/BE85,0)</f>
        <v>0</v>
      </c>
    </row>
    <row r="103" spans="4:58" ht="17.649999999999999" hidden="1" customHeight="1" outlineLevel="1">
      <c r="D103" s="28"/>
      <c r="E103" s="22"/>
      <c r="F103" s="21"/>
      <c r="G103" s="16"/>
      <c r="H103" s="16"/>
      <c r="I103" s="21"/>
      <c r="J103" s="21"/>
      <c r="K103" s="16"/>
      <c r="L103" s="16"/>
      <c r="M103" s="21"/>
      <c r="N103" s="21"/>
      <c r="O103" s="16"/>
      <c r="P103" s="16"/>
      <c r="Q103" s="21"/>
      <c r="R103" s="21"/>
      <c r="S103" s="16"/>
      <c r="T103" s="24"/>
      <c r="U103" s="22"/>
      <c r="X103" s="21"/>
      <c r="Y103" s="21"/>
      <c r="Z103" s="16"/>
      <c r="AA103" s="16"/>
      <c r="AB103" s="21"/>
      <c r="AC103" s="21"/>
      <c r="AD103" s="16"/>
      <c r="AE103" s="21"/>
      <c r="AF103" s="16"/>
      <c r="AG103" s="21"/>
      <c r="AH103" s="16"/>
      <c r="AI103" s="24"/>
      <c r="AK103" s="25"/>
      <c r="AL103" s="19"/>
      <c r="AM103" s="25"/>
      <c r="AN103" s="19"/>
      <c r="AO103" s="25"/>
      <c r="AP103" s="19"/>
      <c r="AQ103" s="25"/>
      <c r="AR103" s="19"/>
      <c r="AU103" s="21"/>
      <c r="AV103" s="16"/>
      <c r="AW103" s="25"/>
      <c r="AX103" s="19"/>
      <c r="AY103" s="21"/>
      <c r="AZ103" s="16"/>
      <c r="BA103" s="25"/>
      <c r="BB103" s="19"/>
      <c r="BC103" s="21"/>
      <c r="BD103" s="16"/>
      <c r="BE103" s="25"/>
      <c r="BF103" s="19"/>
    </row>
    <row r="104" spans="4:58" ht="17.649999999999999" hidden="1" customHeight="1" outlineLevel="1">
      <c r="D104" s="21" t="s">
        <v>44</v>
      </c>
      <c r="E104" s="22"/>
      <c r="F104" s="21" t="e">
        <f>+SUMIFS(#REF!,#REF!,'RDG Weekly'!B32)-SUMIFS(#REF!,#REF!,'RDG Weekly'!B33)</f>
        <v>#REF!</v>
      </c>
      <c r="G104" s="23">
        <f>IFERROR(F104/F85,0)</f>
        <v>0</v>
      </c>
      <c r="H104" s="23"/>
      <c r="I104" s="21" t="e">
        <f>+SUMIFS(#REF!,#REF!,'RDG Weekly'!B32)</f>
        <v>#REF!</v>
      </c>
      <c r="J104" s="21"/>
      <c r="K104" s="23">
        <f>IFERROR(I104/I85,0)</f>
        <v>0</v>
      </c>
      <c r="L104" s="23"/>
      <c r="M104" s="21" t="e">
        <f>+SUMIFS(#REF!,#REF!,'RDG Weekly'!B32)</f>
        <v>#REF!</v>
      </c>
      <c r="N104" s="21"/>
      <c r="O104" s="23">
        <f>IFERROR(M104/M85,0)</f>
        <v>0</v>
      </c>
      <c r="P104" s="23"/>
      <c r="Q104" s="21" t="e">
        <f>+SUMIFS(#REF!,#REF!,'RDG Weekly'!B32)</f>
        <v>#REF!</v>
      </c>
      <c r="R104" s="21"/>
      <c r="S104" s="23">
        <f>IFERROR(Q104/Q85,0)</f>
        <v>0</v>
      </c>
      <c r="T104" s="24"/>
      <c r="U104" s="22"/>
      <c r="X104" s="21" t="e">
        <f>+SUMIFS(#REF!,#REF!,'RDG Weekly'!Q32)-SUMIFS(#REF!,#REF!,'RDG Weekly'!Q33)</f>
        <v>#REF!</v>
      </c>
      <c r="Y104" s="21"/>
      <c r="Z104" s="23">
        <f>IFERROR(X104/X85,0)</f>
        <v>0</v>
      </c>
      <c r="AA104" s="23"/>
      <c r="AB104" s="21" t="e">
        <f>+SUMIFS(#REF!,#REF!,'RDG Weekly'!Q32)</f>
        <v>#REF!</v>
      </c>
      <c r="AC104" s="21"/>
      <c r="AD104" s="23">
        <f>IFERROR(AB104/AB85,0)</f>
        <v>0</v>
      </c>
      <c r="AE104" s="21" t="e">
        <f>+SUMIFS(#REF!,#REF!,'RDG Weekly'!Q32)</f>
        <v>#REF!</v>
      </c>
      <c r="AF104" s="23">
        <f>IFERROR(AE104/AE85,0)</f>
        <v>0</v>
      </c>
      <c r="AG104" s="21" t="e">
        <f>+SUMIFS(#REF!,#REF!,'RDG Weekly'!Q32)</f>
        <v>#REF!</v>
      </c>
      <c r="AH104" s="23">
        <f>IFERROR(AG104/AG85,0)</f>
        <v>0</v>
      </c>
      <c r="AI104" s="24"/>
      <c r="AK104" s="25" t="e">
        <f>+#REF!/#REF!</f>
        <v>#REF!</v>
      </c>
      <c r="AL104" s="26">
        <f>IFERROR(AK104/AK85,0)</f>
        <v>0</v>
      </c>
      <c r="AM104" s="25" t="e">
        <f>+AK104</f>
        <v>#REF!</v>
      </c>
      <c r="AN104" s="26">
        <f>IFERROR(AM104/AM85,0)</f>
        <v>0</v>
      </c>
      <c r="AO104" s="25" t="e">
        <f>+AM104</f>
        <v>#REF!</v>
      </c>
      <c r="AP104" s="26">
        <f>IFERROR(AO104/AO85,0)</f>
        <v>0</v>
      </c>
      <c r="AQ104" s="25" t="e">
        <f>+AO104</f>
        <v>#REF!</v>
      </c>
      <c r="AR104" s="26">
        <f>IFERROR(AQ104/AQ85,0)</f>
        <v>0</v>
      </c>
      <c r="AU104" s="21" t="e">
        <f>SUMIFS($F$85:$F$106,$D$85:$D$106,D104)</f>
        <v>#REF!</v>
      </c>
      <c r="AV104" s="23">
        <f>IFERROR(AU104/AU85,0)</f>
        <v>0</v>
      </c>
      <c r="AW104" s="25" t="e">
        <f>+AK104</f>
        <v>#REF!</v>
      </c>
      <c r="AX104" s="26">
        <f>IFERROR(AW104/AW85,0)</f>
        <v>0</v>
      </c>
      <c r="AY104" s="21" t="e">
        <f>SUMIFS($I$85:$I$106,$D$85:$D$106,D104)+SUMIFS($AU$85:$AU$106,$D$85:$D$106,D104)</f>
        <v>#REF!</v>
      </c>
      <c r="AZ104" s="23">
        <f>IFERROR(AY104/AY85,0)</f>
        <v>0</v>
      </c>
      <c r="BA104" s="25" t="e">
        <f>SUMIFS($AM$85:$AM$106,$D$85:$D$106,D104)+SUMIFS($AW$85:$AW$106,$D$85:$D$106,D104)</f>
        <v>#REF!</v>
      </c>
      <c r="BB104" s="26">
        <f>IFERROR(BA104/BA85,0)</f>
        <v>0</v>
      </c>
      <c r="BC104" s="21" t="e">
        <f>SUMIFS($M$85:$M$106,$D$85:$D$106,D104)+SUMIFS($AY$85:$AY$106,$D$85:$D$106,D104)</f>
        <v>#REF!</v>
      </c>
      <c r="BD104" s="23">
        <f>IFERROR(BC104/BC85,0)</f>
        <v>0</v>
      </c>
      <c r="BE104" s="25" t="e">
        <f>SUMIFS($AO$85:$AO$106,$D$85:$D$106,D104)+SUMIFS($BA$85:$BA$106,$D$85:$D$106,D104)</f>
        <v>#REF!</v>
      </c>
      <c r="BF104" s="26">
        <f>IFERROR(BE104/BE85,0)</f>
        <v>0</v>
      </c>
    </row>
    <row r="105" spans="4:58" ht="17.649999999999999" hidden="1" customHeight="1" outlineLevel="1">
      <c r="D105" s="28"/>
      <c r="E105" s="22"/>
      <c r="F105" s="28"/>
      <c r="G105" s="16"/>
      <c r="H105" s="16"/>
      <c r="I105" s="28"/>
      <c r="J105" s="28"/>
      <c r="K105" s="16"/>
      <c r="L105" s="16"/>
      <c r="M105" s="28"/>
      <c r="N105" s="28"/>
      <c r="O105" s="16"/>
      <c r="P105" s="16"/>
      <c r="Q105" s="28"/>
      <c r="R105" s="28"/>
      <c r="S105" s="16"/>
      <c r="T105" s="24"/>
      <c r="U105" s="22"/>
      <c r="X105" s="28"/>
      <c r="Y105" s="28"/>
      <c r="Z105" s="16"/>
      <c r="AA105" s="16"/>
      <c r="AB105" s="28"/>
      <c r="AC105" s="28"/>
      <c r="AD105" s="16"/>
      <c r="AE105" s="28"/>
      <c r="AF105" s="16"/>
      <c r="AG105" s="28"/>
      <c r="AH105" s="16"/>
      <c r="AI105" s="24"/>
      <c r="AK105" s="40"/>
      <c r="AL105" s="19"/>
      <c r="AM105" s="40"/>
      <c r="AN105" s="19"/>
      <c r="AO105" s="40"/>
      <c r="AP105" s="19"/>
      <c r="AQ105" s="40"/>
      <c r="AR105" s="19"/>
      <c r="AU105" s="28"/>
      <c r="AV105" s="16"/>
      <c r="AW105" s="40"/>
      <c r="AX105" s="19"/>
      <c r="AY105" s="28"/>
      <c r="AZ105" s="16"/>
      <c r="BA105" s="40"/>
      <c r="BB105" s="19"/>
      <c r="BC105" s="28"/>
      <c r="BD105" s="16"/>
      <c r="BE105" s="40"/>
      <c r="BF105" s="19"/>
    </row>
    <row r="106" spans="4:58" ht="17.649999999999999" hidden="1" customHeight="1" outlineLevel="1">
      <c r="D106" s="41" t="s">
        <v>47</v>
      </c>
      <c r="E106" s="22"/>
      <c r="F106" s="42" t="e">
        <f>F102-F104</f>
        <v>#REF!</v>
      </c>
      <c r="G106" s="43">
        <f>IFERROR(F106/F85,0)</f>
        <v>0</v>
      </c>
      <c r="H106" s="43"/>
      <c r="I106" s="42" t="e">
        <f>I102-I104</f>
        <v>#REF!</v>
      </c>
      <c r="J106" s="42"/>
      <c r="K106" s="43">
        <f>IFERROR(I106/I85,0)</f>
        <v>0</v>
      </c>
      <c r="L106" s="43"/>
      <c r="M106" s="42" t="e">
        <f>M102-M104</f>
        <v>#REF!</v>
      </c>
      <c r="N106" s="42"/>
      <c r="O106" s="43">
        <f>IFERROR(M106/M85,0)</f>
        <v>0</v>
      </c>
      <c r="P106" s="43"/>
      <c r="Q106" s="42" t="e">
        <f>Q102-Q104</f>
        <v>#REF!</v>
      </c>
      <c r="R106" s="42"/>
      <c r="S106" s="43">
        <f>IFERROR(Q106/Q85,0)</f>
        <v>0</v>
      </c>
      <c r="T106" s="17"/>
      <c r="U106" s="14"/>
      <c r="X106" s="42" t="e">
        <f>X102-X104</f>
        <v>#REF!</v>
      </c>
      <c r="Y106" s="42"/>
      <c r="Z106" s="43">
        <f>IFERROR(X106/X85,0)</f>
        <v>0</v>
      </c>
      <c r="AA106" s="43"/>
      <c r="AB106" s="42" t="e">
        <f>AB102-AB104</f>
        <v>#REF!</v>
      </c>
      <c r="AC106" s="42"/>
      <c r="AD106" s="43">
        <f>IFERROR(AB106/AB85,0)</f>
        <v>0</v>
      </c>
      <c r="AE106" s="42" t="e">
        <f>AE102-AE104</f>
        <v>#REF!</v>
      </c>
      <c r="AF106" s="43">
        <f>IFERROR(AE106/AE85,0)</f>
        <v>0</v>
      </c>
      <c r="AG106" s="42" t="e">
        <f>AG102-AG104</f>
        <v>#REF!</v>
      </c>
      <c r="AH106" s="43">
        <f>IFERROR(AG106/AG85,0)</f>
        <v>0</v>
      </c>
      <c r="AI106" s="17"/>
      <c r="AK106" s="44" t="e">
        <f>AK102-AK104</f>
        <v>#REF!</v>
      </c>
      <c r="AL106" s="45">
        <f>IFERROR(AK106/AK85,0)</f>
        <v>0</v>
      </c>
      <c r="AM106" s="44" t="e">
        <f>AM102-AM104</f>
        <v>#REF!</v>
      </c>
      <c r="AN106" s="45">
        <f>IFERROR(AM106/AM85,0)</f>
        <v>0</v>
      </c>
      <c r="AO106" s="44" t="e">
        <f>AO102-AO104</f>
        <v>#REF!</v>
      </c>
      <c r="AP106" s="45">
        <f>IFERROR(AO106/AO85,0)</f>
        <v>0</v>
      </c>
      <c r="AQ106" s="44" t="e">
        <f>AQ102-AQ104</f>
        <v>#REF!</v>
      </c>
      <c r="AR106" s="45">
        <f>IFERROR(AQ106/AQ85,0)</f>
        <v>0</v>
      </c>
      <c r="AU106" s="42" t="e">
        <f>AU102-AU104</f>
        <v>#REF!</v>
      </c>
      <c r="AV106" s="43">
        <f>IFERROR(AU106/AU85,0)</f>
        <v>0</v>
      </c>
      <c r="AW106" s="44" t="e">
        <f>AW102-AW104</f>
        <v>#REF!</v>
      </c>
      <c r="AX106" s="45">
        <f>IFERROR(AW106/AW85,0)</f>
        <v>0</v>
      </c>
      <c r="AY106" s="42" t="e">
        <f>AY102-AY104</f>
        <v>#REF!</v>
      </c>
      <c r="AZ106" s="43">
        <f>IFERROR(AY106/AY85,0)</f>
        <v>0</v>
      </c>
      <c r="BA106" s="44" t="e">
        <f>BA102-BA104</f>
        <v>#REF!</v>
      </c>
      <c r="BB106" s="45">
        <f>IFERROR(BA106/BA85,0)</f>
        <v>0</v>
      </c>
      <c r="BC106" s="42" t="e">
        <f>BC102-BC104</f>
        <v>#REF!</v>
      </c>
      <c r="BD106" s="43">
        <f>IFERROR(BC106/BC85,0)</f>
        <v>0</v>
      </c>
      <c r="BE106" s="44" t="e">
        <f>BE102-BE104</f>
        <v>#REF!</v>
      </c>
      <c r="BF106" s="45">
        <f>IFERROR(BE106/BE85,0)</f>
        <v>0</v>
      </c>
    </row>
    <row r="107" spans="4:58" ht="14.65" hidden="1" customHeight="1" outlineLevel="1"/>
    <row r="108" spans="4:58" ht="14.65" hidden="1" customHeight="1" outlineLevel="1">
      <c r="D108" s="56" t="s">
        <v>49</v>
      </c>
      <c r="F108" s="77" t="str">
        <f>+F83</f>
        <v>MILA 3F</v>
      </c>
      <c r="I108" s="66" t="str">
        <f>+I83</f>
        <v>MILA 2F</v>
      </c>
      <c r="J108" s="66"/>
      <c r="K108" s="57"/>
      <c r="L108" s="57"/>
      <c r="M108" s="66" t="str">
        <f>+M83</f>
        <v>AVA</v>
      </c>
      <c r="N108" s="66"/>
      <c r="O108" s="57"/>
      <c r="P108" s="57"/>
      <c r="Q108" s="66" t="str">
        <f>+Q83</f>
        <v>CASA NEOS</v>
      </c>
      <c r="R108" s="66"/>
      <c r="S108" s="57"/>
      <c r="T108" s="56"/>
      <c r="U108" s="56"/>
      <c r="V108" s="56"/>
      <c r="W108" s="56"/>
      <c r="X108" s="77" t="str">
        <f>+X83</f>
        <v>MILA</v>
      </c>
      <c r="Y108" s="77"/>
      <c r="AB108" s="66" t="str">
        <f>+AB83</f>
        <v>MILA MM</v>
      </c>
      <c r="AC108" s="66"/>
      <c r="AD108" s="57"/>
      <c r="AE108" s="66" t="str">
        <f>+AE83</f>
        <v>AVA</v>
      </c>
      <c r="AF108" s="57"/>
      <c r="AG108" s="66" t="str">
        <f>+AG83</f>
        <v>BAOLI</v>
      </c>
      <c r="AH108" s="57"/>
      <c r="AI108" s="56"/>
    </row>
    <row r="109" spans="4:58" ht="14.65" hidden="1" customHeight="1" outlineLevel="1">
      <c r="F109" s="98"/>
      <c r="X109" s="98"/>
      <c r="Y109" s="98"/>
    </row>
    <row r="110" spans="4:58" ht="14.65" hidden="1" customHeight="1" outlineLevel="1">
      <c r="D110" s="54" t="s">
        <v>50</v>
      </c>
      <c r="F110" s="99" t="e">
        <f>+SUMIFS(#REF!,#REF!,'RDG Weekly'!$B$213)/+SUMIFS(#REF!,#REF!,'RDG Weekly'!$B$212)</f>
        <v>#REF!</v>
      </c>
      <c r="I110" s="99" t="e">
        <f>+SUMIFS(#REF!,#REF!,#REF!)/+SUMIFS(#REF!,#REF!,#REF!)</f>
        <v>#REF!</v>
      </c>
      <c r="J110" s="99"/>
      <c r="K110" s="100"/>
      <c r="L110" s="100"/>
      <c r="M110" s="99" t="e">
        <f>+SUMIFS(#REF!,#REF!,#REF!)/+SUMIFS(#REF!,#REF!,#REF!)</f>
        <v>#REF!</v>
      </c>
      <c r="N110" s="99"/>
      <c r="O110" s="99"/>
      <c r="P110" s="99"/>
      <c r="Q110" s="99" t="e">
        <f>+SUMIFS(#REF!,#REF!,#REF!)/+SUMIFS(#REF!,#REF!,#REF!)</f>
        <v>#REF!</v>
      </c>
      <c r="R110" s="99"/>
      <c r="S110" s="99"/>
      <c r="T110" s="100"/>
      <c r="U110" s="100"/>
      <c r="X110" s="99" t="e">
        <f>+SUMIFS(#REF!,#REF!,'RDG Weekly'!$B$213)/+SUMIFS(#REF!,#REF!,'RDG Weekly'!$B$212)</f>
        <v>#REF!</v>
      </c>
      <c r="Y110" s="99"/>
      <c r="AB110" s="99" t="e">
        <f>+SUMIFS(#REF!,#REF!,#REF!)/+SUMIFS(#REF!,#REF!,#REF!)</f>
        <v>#REF!</v>
      </c>
      <c r="AC110" s="99"/>
      <c r="AD110" s="100"/>
      <c r="AE110" s="99" t="e">
        <f>+SUMIFS(#REF!,#REF!,#REF!)/+SUMIFS(#REF!,#REF!,#REF!)</f>
        <v>#REF!</v>
      </c>
      <c r="AF110" s="99"/>
      <c r="AG110" s="99" t="e">
        <f>+SUMIFS(#REF!,#REF!,#REF!)/+SUMIFS(#REF!,#REF!,#REF!)</f>
        <v>#REF!</v>
      </c>
      <c r="AH110" s="99"/>
      <c r="AI110" s="100"/>
    </row>
    <row r="111" spans="4:58" ht="14.65" hidden="1" customHeight="1" outlineLevel="1">
      <c r="D111" s="54" t="s">
        <v>51</v>
      </c>
      <c r="F111" s="99" t="e">
        <f>+(SUMIFS(#REF!,#REF!,'RDG Weekly'!$C$215)+SUMIFS(#REF!,#REF!,'RDG Weekly'!$C$218))/+SUMIFS(#REF!,#REF!,'RDG Weekly'!$C$214)</f>
        <v>#REF!</v>
      </c>
      <c r="I111" s="99" t="e">
        <f>+(SUMIFS(#REF!,#REF!,#REF!)+SUMIFS(#REF!,#REF!,#REF!))/+SUMIFS(#REF!,#REF!,#REF!)</f>
        <v>#REF!</v>
      </c>
      <c r="J111" s="99"/>
      <c r="K111" s="100"/>
      <c r="L111" s="100"/>
      <c r="M111" s="99" t="e">
        <f>+(SUMIFS(#REF!,#REF!,#REF!)+SUMIFS(#REF!,#REF!,#REF!))/+SUMIFS(#REF!,#REF!,#REF!)</f>
        <v>#REF!</v>
      </c>
      <c r="N111" s="99"/>
      <c r="O111" s="99"/>
      <c r="P111" s="99"/>
      <c r="Q111" s="99" t="e">
        <f>+(SUMIFS(#REF!,#REF!,#REF!)+SUMIFS(#REF!,#REF!,#REF!))/+SUMIFS(#REF!,#REF!,#REF!)</f>
        <v>#REF!</v>
      </c>
      <c r="R111" s="99"/>
      <c r="S111" s="99"/>
      <c r="T111" s="100"/>
      <c r="U111" s="100"/>
      <c r="X111" s="99" t="e">
        <f>+(SUMIFS(#REF!,#REF!,'RDG Weekly'!$C$215)+SUMIFS(#REF!,#REF!,'RDG Weekly'!$C$218))/+SUMIFS(#REF!,#REF!,'RDG Weekly'!$C$214)</f>
        <v>#REF!</v>
      </c>
      <c r="Y111" s="99"/>
      <c r="AB111" s="99" t="e">
        <f>+(SUMIFS(#REF!,#REF!,#REF!)+SUMIFS(#REF!,#REF!,#REF!))/+SUMIFS(#REF!,#REF!,#REF!)</f>
        <v>#REF!</v>
      </c>
      <c r="AC111" s="99"/>
      <c r="AD111" s="100"/>
      <c r="AE111" s="99" t="e">
        <f>+(SUMIFS(#REF!,#REF!,#REF!)+SUMIFS(#REF!,#REF!,#REF!))/+SUMIFS(#REF!,#REF!,#REF!)</f>
        <v>#REF!</v>
      </c>
      <c r="AF111" s="99"/>
      <c r="AG111" s="99" t="e">
        <f>+(SUMIFS(#REF!,#REF!,#REF!)+SUMIFS(#REF!,#REF!,#REF!))/+SUMIFS(#REF!,#REF!,#REF!)</f>
        <v>#REF!</v>
      </c>
      <c r="AH111" s="99"/>
      <c r="AI111" s="100"/>
    </row>
    <row r="112" spans="4:58" ht="14.65" hidden="1" customHeight="1" outlineLevel="1">
      <c r="D112" s="54" t="s">
        <v>52</v>
      </c>
      <c r="F112" s="99" t="e">
        <f>+(SUMIFS(#REF!,#REF!,'RDG Weekly'!$B$219)++SUMIFS(#REF!,#REF!,'RDG Weekly'!$B$220)+SUMIFS(#REF!,#REF!,'RDG Weekly'!$B$221))/(+SUMIFS(#REF!,#REF!,'RDG Weekly'!$B$214)+SUMIFS(#REF!,#REF!,'RDG Weekly'!$B$215)+SUMIFS(#REF!,#REF!,'RDG Weekly'!$B$218))</f>
        <v>#REF!</v>
      </c>
      <c r="I112" s="99" t="e">
        <f>+(SUMIFS(#REF!,#REF!,#REF!)++SUMIFS(#REF!,#REF!,#REF!)+SUMIFS(#REF!,#REF!,#REF!))/(+SUMIFS(#REF!,#REF!,#REF!)+SUMIFS(#REF!,#REF!,#REF!)+SUMIFS(#REF!,#REF!,#REF!))</f>
        <v>#REF!</v>
      </c>
      <c r="J112" s="99"/>
      <c r="K112" s="100"/>
      <c r="L112" s="100"/>
      <c r="M112" s="99" t="e">
        <f>+(SUMIFS(#REF!,#REF!,#REF!)++SUMIFS(#REF!,#REF!,#REF!)+SUMIFS(#REF!,#REF!,#REF!))/(+SUMIFS(#REF!,#REF!,#REF!)+SUMIFS(#REF!,#REF!,#REF!)+SUMIFS(#REF!,#REF!,#REF!))</f>
        <v>#REF!</v>
      </c>
      <c r="N112" s="99"/>
      <c r="O112" s="99"/>
      <c r="P112" s="99"/>
      <c r="Q112" s="99" t="e">
        <f>+(SUMIFS(#REF!,#REF!,#REF!)++SUMIFS(#REF!,#REF!,#REF!)+SUMIFS(#REF!,#REF!,#REF!))/(+SUMIFS(#REF!,#REF!,#REF!)+SUMIFS(#REF!,#REF!,#REF!)+SUMIFS(#REF!,#REF!,#REF!))</f>
        <v>#REF!</v>
      </c>
      <c r="R112" s="99"/>
      <c r="S112" s="99"/>
      <c r="T112" s="100"/>
      <c r="U112" s="100"/>
      <c r="X112" s="99" t="e">
        <f>+(SUMIFS(#REF!,#REF!,'RDG Weekly'!$B$219)++SUMIFS(#REF!,#REF!,'RDG Weekly'!$B$220)+SUMIFS(#REF!,#REF!,'RDG Weekly'!$B$221))/(+SUMIFS(#REF!,#REF!,'RDG Weekly'!$B$214)+SUMIFS(#REF!,#REF!,'RDG Weekly'!$B$215)+SUMIFS(#REF!,#REF!,'RDG Weekly'!$B$218))</f>
        <v>#REF!</v>
      </c>
      <c r="Y112" s="99"/>
      <c r="AB112" s="99" t="e">
        <f>+(SUMIFS(#REF!,#REF!,#REF!)++SUMIFS(#REF!,#REF!,#REF!)+SUMIFS(#REF!,#REF!,#REF!))/(+SUMIFS(#REF!,#REF!,#REF!)+SUMIFS(#REF!,#REF!,#REF!)+SUMIFS(#REF!,#REF!,#REF!))</f>
        <v>#REF!</v>
      </c>
      <c r="AC112" s="99"/>
      <c r="AD112" s="100"/>
      <c r="AE112" s="99" t="e">
        <f>+(SUMIFS(#REF!,#REF!,#REF!)++SUMIFS(#REF!,#REF!,#REF!)+SUMIFS(#REF!,#REF!,#REF!))/(+SUMIFS(#REF!,#REF!,#REF!)+SUMIFS(#REF!,#REF!,#REF!)+SUMIFS(#REF!,#REF!,#REF!))</f>
        <v>#REF!</v>
      </c>
      <c r="AF112" s="99"/>
      <c r="AG112" s="99" t="e">
        <f>+(SUMIFS(#REF!,#REF!,#REF!)++SUMIFS(#REF!,#REF!,#REF!)+SUMIFS(#REF!,#REF!,#REF!))/(+SUMIFS(#REF!,#REF!,#REF!)+SUMIFS(#REF!,#REF!,#REF!)+SUMIFS(#REF!,#REF!,#REF!))</f>
        <v>#REF!</v>
      </c>
      <c r="AH112" s="99"/>
      <c r="AI112" s="100"/>
    </row>
    <row r="113" spans="4:35" ht="14.65" hidden="1" customHeight="1" outlineLevel="1" thickBot="1">
      <c r="F113" s="98"/>
      <c r="X113" s="98"/>
      <c r="Y113" s="98"/>
    </row>
    <row r="114" spans="4:35" ht="14.65" hidden="1" customHeight="1" outlineLevel="1">
      <c r="D114" s="78" t="s">
        <v>54</v>
      </c>
      <c r="E114" s="79"/>
      <c r="F114" s="103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79"/>
      <c r="U114" s="79"/>
      <c r="V114" s="79"/>
      <c r="W114" s="79"/>
      <c r="X114" s="103"/>
      <c r="Y114" s="103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79"/>
    </row>
    <row r="115" spans="4:35" ht="14.65" hidden="1" customHeight="1" outlineLevel="1">
      <c r="D115" s="80"/>
      <c r="E115" s="75"/>
      <c r="F115" s="105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75"/>
      <c r="U115" s="75"/>
      <c r="V115" s="75"/>
      <c r="W115" s="75"/>
      <c r="X115" s="105"/>
      <c r="Y115" s="105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75"/>
    </row>
    <row r="116" spans="4:35" ht="14.65" hidden="1" customHeight="1" outlineLevel="1">
      <c r="D116" s="82" t="s">
        <v>19</v>
      </c>
      <c r="E116" s="75"/>
      <c r="F116" s="390"/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  <c r="T116" s="390"/>
      <c r="U116" s="390"/>
      <c r="V116" s="390"/>
      <c r="W116" s="390"/>
      <c r="X116" s="390"/>
      <c r="Y116" s="390"/>
      <c r="Z116" s="390"/>
      <c r="AA116" s="390"/>
      <c r="AB116" s="390"/>
      <c r="AC116" s="390"/>
      <c r="AD116" s="390"/>
      <c r="AE116" s="390"/>
      <c r="AF116" s="390"/>
      <c r="AG116" s="81"/>
    </row>
    <row r="117" spans="4:35" ht="14.65" hidden="1" customHeight="1" outlineLevel="1">
      <c r="D117" s="82" t="s">
        <v>56</v>
      </c>
      <c r="E117" s="75"/>
      <c r="F117" s="390" t="s">
        <v>66</v>
      </c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  <c r="T117" s="390"/>
      <c r="U117" s="390"/>
      <c r="V117" s="390"/>
      <c r="W117" s="390"/>
      <c r="X117" s="390"/>
      <c r="Y117" s="390"/>
      <c r="Z117" s="390"/>
      <c r="AA117" s="390"/>
      <c r="AB117" s="390"/>
      <c r="AC117" s="390"/>
      <c r="AD117" s="390"/>
      <c r="AE117" s="390"/>
      <c r="AF117" s="390"/>
      <c r="AG117" s="81"/>
    </row>
    <row r="118" spans="4:35" ht="14.65" hidden="1" customHeight="1" outlineLevel="1">
      <c r="D118" s="82" t="s">
        <v>31</v>
      </c>
      <c r="E118" s="75"/>
      <c r="F118" s="390" t="s">
        <v>58</v>
      </c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  <c r="T118" s="390"/>
      <c r="U118" s="390"/>
      <c r="V118" s="390"/>
      <c r="W118" s="390"/>
      <c r="X118" s="390"/>
      <c r="Y118" s="390"/>
      <c r="Z118" s="390"/>
      <c r="AA118" s="390"/>
      <c r="AB118" s="390"/>
      <c r="AC118" s="390"/>
      <c r="AD118" s="390"/>
      <c r="AE118" s="390"/>
      <c r="AF118" s="390"/>
      <c r="AG118" s="81"/>
    </row>
    <row r="119" spans="4:35" ht="14.65" hidden="1" customHeight="1" outlineLevel="1">
      <c r="D119" s="82" t="s">
        <v>34</v>
      </c>
      <c r="E119" s="75"/>
      <c r="F119" s="390" t="s">
        <v>67</v>
      </c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  <c r="T119" s="390"/>
      <c r="U119" s="390"/>
      <c r="V119" s="390"/>
      <c r="W119" s="390"/>
      <c r="X119" s="390"/>
      <c r="Y119" s="390"/>
      <c r="Z119" s="390"/>
      <c r="AA119" s="390"/>
      <c r="AB119" s="390"/>
      <c r="AC119" s="390"/>
      <c r="AD119" s="390"/>
      <c r="AE119" s="390"/>
      <c r="AF119" s="390"/>
      <c r="AG119" s="81"/>
    </row>
    <row r="120" spans="4:35" ht="14.65" hidden="1" customHeight="1" outlineLevel="1">
      <c r="D120" s="82" t="s">
        <v>36</v>
      </c>
      <c r="E120" s="75"/>
      <c r="F120" s="390" t="s">
        <v>68</v>
      </c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  <c r="T120" s="390"/>
      <c r="U120" s="390"/>
      <c r="V120" s="390"/>
      <c r="W120" s="390"/>
      <c r="X120" s="390"/>
      <c r="Y120" s="390"/>
      <c r="Z120" s="390"/>
      <c r="AA120" s="390"/>
      <c r="AB120" s="390"/>
      <c r="AC120" s="390"/>
      <c r="AD120" s="390"/>
      <c r="AE120" s="390"/>
      <c r="AF120" s="390"/>
      <c r="AG120" s="81"/>
    </row>
    <row r="121" spans="4:35" ht="14.65" hidden="1" customHeight="1" outlineLevel="1">
      <c r="D121" s="83" t="s">
        <v>38</v>
      </c>
      <c r="E121" s="75"/>
      <c r="F121" s="390"/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  <c r="T121" s="390"/>
      <c r="U121" s="390"/>
      <c r="V121" s="390"/>
      <c r="W121" s="390"/>
      <c r="X121" s="390"/>
      <c r="Y121" s="390"/>
      <c r="Z121" s="390"/>
      <c r="AA121" s="390"/>
      <c r="AB121" s="390"/>
      <c r="AC121" s="390"/>
      <c r="AD121" s="390"/>
      <c r="AE121" s="390"/>
      <c r="AF121" s="390"/>
      <c r="AG121" s="81"/>
    </row>
    <row r="122" spans="4:35" ht="15" hidden="1" customHeight="1" outlineLevel="1" thickBot="1">
      <c r="D122" s="84"/>
      <c r="E122" s="85"/>
      <c r="F122" s="391"/>
      <c r="G122" s="391"/>
      <c r="H122" s="391"/>
      <c r="I122" s="391"/>
      <c r="J122" s="391"/>
      <c r="K122" s="391"/>
      <c r="L122" s="391"/>
      <c r="M122" s="391"/>
      <c r="N122" s="391"/>
      <c r="O122" s="391"/>
      <c r="P122" s="391"/>
      <c r="Q122" s="391"/>
      <c r="R122" s="391"/>
      <c r="S122" s="391"/>
      <c r="T122" s="391"/>
      <c r="U122" s="391"/>
      <c r="V122" s="391"/>
      <c r="W122" s="96"/>
      <c r="X122" s="85"/>
      <c r="Y122" s="85"/>
      <c r="Z122" s="85"/>
      <c r="AA122" s="85"/>
      <c r="AB122" s="85"/>
      <c r="AC122" s="85"/>
      <c r="AD122" s="85"/>
      <c r="AE122" s="85"/>
      <c r="AF122" s="85"/>
      <c r="AG122" s="86"/>
    </row>
    <row r="123" spans="4:35" ht="14.65" hidden="1" customHeight="1" outlineLevel="1"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</row>
    <row r="124" spans="4:35" ht="14.65" hidden="1" customHeight="1" outlineLevel="1"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</row>
    <row r="125" spans="4:35" ht="14.65" hidden="1" customHeight="1" outlineLevel="1"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</row>
    <row r="126" spans="4:35" ht="15.6" hidden="1" customHeight="1" outlineLevel="1">
      <c r="D126" s="49"/>
      <c r="E126" s="50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</row>
    <row r="127" spans="4:35" ht="14.65" hidden="1" customHeight="1" outlineLevel="1"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</row>
    <row r="128" spans="4:35" ht="14.65" hidden="1" customHeight="1" outlineLevel="1"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</row>
    <row r="129" spans="4:58" ht="14.65" hidden="1" customHeight="1" outlineLevel="1"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</row>
    <row r="130" spans="4:58" ht="14.65" hidden="1" customHeight="1" outlineLevel="1"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</row>
    <row r="131" spans="4:58" ht="14.65" hidden="1" customHeight="1" outlineLevel="1"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</row>
    <row r="132" spans="4:58" ht="14.65" hidden="1" customHeight="1" outlineLevel="1"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</row>
    <row r="133" spans="4:58" ht="14.65" hidden="1" customHeight="1" outlineLevel="1"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</row>
    <row r="134" spans="4:58" ht="14.65" hidden="1" customHeight="1" outlineLevel="1"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</row>
    <row r="135" spans="4:58" ht="14.65" hidden="1" customHeight="1" outlineLevel="1"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</row>
    <row r="136" spans="4:58" ht="14.65" hidden="1" customHeight="1" outlineLevel="1"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</row>
    <row r="137" spans="4:58" ht="14.65" hidden="1" customHeight="1" outlineLevel="1"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</row>
    <row r="138" spans="4:58" ht="14.65" hidden="1" customHeight="1" outlineLevel="1"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</row>
    <row r="139" spans="4:58" ht="14.65" hidden="1" customHeight="1" outlineLevel="1"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</row>
    <row r="140" spans="4:58" ht="14.65" hidden="1" customHeight="1" outlineLevel="1"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</row>
    <row r="141" spans="4:58" ht="28.9" hidden="1" customHeight="1" outlineLevel="1">
      <c r="D141" s="402" t="s">
        <v>69</v>
      </c>
      <c r="E141" s="403"/>
      <c r="F141" s="403"/>
      <c r="G141" s="403"/>
      <c r="H141" s="403"/>
      <c r="I141" s="403"/>
      <c r="J141" s="403"/>
      <c r="K141" s="403"/>
      <c r="L141" s="403"/>
      <c r="M141" s="403"/>
      <c r="N141" s="403"/>
      <c r="O141" s="403"/>
      <c r="P141" s="403"/>
      <c r="Q141" s="403"/>
      <c r="R141" s="403"/>
      <c r="S141" s="403"/>
      <c r="T141" s="403"/>
      <c r="U141" s="403"/>
      <c r="V141" s="403"/>
      <c r="W141" s="403"/>
      <c r="X141" s="403"/>
      <c r="Y141" s="403"/>
      <c r="Z141" s="403"/>
      <c r="AA141" s="403"/>
      <c r="AB141" s="403"/>
      <c r="AC141" s="403"/>
      <c r="AD141" s="403"/>
      <c r="AE141" s="403"/>
      <c r="AF141" s="403"/>
      <c r="AG141" s="403"/>
      <c r="AH141" s="74"/>
      <c r="AK141" s="395" t="s">
        <v>0</v>
      </c>
      <c r="AL141" s="396"/>
      <c r="AM141" s="396"/>
      <c r="AN141" s="396"/>
      <c r="AO141" s="396"/>
      <c r="AP141" s="396"/>
      <c r="AQ141" s="396"/>
      <c r="AR141" s="396"/>
      <c r="AU141" s="395" t="s">
        <v>1</v>
      </c>
      <c r="AV141" s="396"/>
      <c r="AW141" s="396"/>
      <c r="AX141" s="396"/>
      <c r="AY141" s="396"/>
      <c r="AZ141" s="396"/>
      <c r="BA141" s="396"/>
      <c r="BB141" s="396"/>
      <c r="BC141" s="396"/>
      <c r="BD141" s="396"/>
      <c r="BE141" s="396"/>
      <c r="BF141" s="396"/>
    </row>
    <row r="142" spans="4:58" ht="14.65" hidden="1" customHeight="1" outlineLevel="1"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</row>
    <row r="143" spans="4:58" ht="14.65" hidden="1" customHeight="1" outlineLevel="1"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</row>
    <row r="144" spans="4:58" ht="15.6" hidden="1" customHeight="1" outlineLevel="1">
      <c r="E144" s="14"/>
    </row>
    <row r="145" spans="4:58" ht="14.65" hidden="1" customHeight="1" outlineLevel="1"/>
    <row r="146" spans="4:58" ht="15.6" hidden="1" customHeight="1" outlineLevel="1">
      <c r="D146" s="52" t="s">
        <v>70</v>
      </c>
      <c r="F146" s="397" t="str">
        <f>+F81</f>
        <v>MTD</v>
      </c>
      <c r="G146" s="397"/>
      <c r="H146" s="397"/>
      <c r="I146" s="397"/>
      <c r="J146" s="397"/>
      <c r="K146" s="397"/>
      <c r="L146" s="397"/>
      <c r="M146" s="397"/>
      <c r="N146" s="397"/>
      <c r="O146" s="397"/>
      <c r="P146" s="397"/>
      <c r="Q146" s="397"/>
      <c r="R146" s="397"/>
      <c r="S146" s="397"/>
      <c r="T146" s="397"/>
      <c r="U146" s="397"/>
      <c r="V146" s="397"/>
      <c r="W146" s="94"/>
      <c r="X146" s="8" t="str">
        <f>+X81</f>
        <v>YTD</v>
      </c>
      <c r="Y146" s="8"/>
      <c r="Z146" s="8"/>
      <c r="AA146" s="8"/>
      <c r="AB146" s="8"/>
      <c r="AC146" s="8"/>
      <c r="AD146" s="8"/>
      <c r="AE146" s="8"/>
      <c r="AF146" s="8"/>
      <c r="AG146" s="8"/>
      <c r="AH146" s="94"/>
      <c r="AI146" s="94"/>
      <c r="AK146" s="398" t="e">
        <f>+AK81</f>
        <v>#REF!</v>
      </c>
      <c r="AL146" s="398"/>
      <c r="AM146" s="398" t="e">
        <f>+AM81</f>
        <v>#REF!</v>
      </c>
      <c r="AN146" s="398"/>
      <c r="AO146" s="398" t="e">
        <f>+AO81</f>
        <v>#REF!</v>
      </c>
      <c r="AP146" s="398"/>
      <c r="AQ146" s="398" t="e">
        <f>+AQ81</f>
        <v>#REF!</v>
      </c>
      <c r="AR146" s="398"/>
      <c r="AU146" s="398" t="e">
        <f>+AU81</f>
        <v>#REF!</v>
      </c>
      <c r="AV146" s="398"/>
      <c r="AW146" s="398"/>
      <c r="AX146" s="398"/>
      <c r="AY146" s="398" t="e">
        <f>+AY81</f>
        <v>#REF!</v>
      </c>
      <c r="AZ146" s="398"/>
      <c r="BA146" s="398"/>
      <c r="BB146" s="398"/>
      <c r="BC146" s="398" t="e">
        <f>+BC81</f>
        <v>#REF!</v>
      </c>
      <c r="BD146" s="398"/>
      <c r="BE146" s="398"/>
      <c r="BF146" s="398"/>
    </row>
    <row r="147" spans="4:58" ht="15.6" hidden="1" customHeight="1" outlineLevel="1">
      <c r="D147" s="52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 spans="4:58" s="56" customFormat="1" ht="15.6" hidden="1" customHeight="1" outlineLevel="1">
      <c r="D148" s="67"/>
      <c r="E148" s="9"/>
      <c r="F148" s="394" t="str">
        <f>+F83</f>
        <v>MILA 3F</v>
      </c>
      <c r="G148" s="394"/>
      <c r="H148" s="67"/>
      <c r="I148" s="394" t="str">
        <f>+I83</f>
        <v>MILA 2F</v>
      </c>
      <c r="J148" s="394"/>
      <c r="K148" s="394"/>
      <c r="L148" s="67"/>
      <c r="M148" s="394" t="str">
        <f>+M83</f>
        <v>AVA</v>
      </c>
      <c r="N148" s="394"/>
      <c r="O148" s="394"/>
      <c r="P148" s="67"/>
      <c r="Q148" s="394" t="str">
        <f>+Q83</f>
        <v>CASA NEOS</v>
      </c>
      <c r="R148" s="394"/>
      <c r="S148" s="394"/>
      <c r="T148" s="10"/>
      <c r="U148" s="9"/>
      <c r="X148" s="394" t="str">
        <f>+X83</f>
        <v>MILA</v>
      </c>
      <c r="Y148" s="394"/>
      <c r="Z148" s="394"/>
      <c r="AA148" s="67"/>
      <c r="AB148" s="394" t="str">
        <f>+AB83</f>
        <v>MILA MM</v>
      </c>
      <c r="AC148" s="394"/>
      <c r="AD148" s="394"/>
      <c r="AE148" s="394" t="str">
        <f>+AE83</f>
        <v>AVA</v>
      </c>
      <c r="AF148" s="394"/>
      <c r="AG148" s="394" t="str">
        <f>+AG83</f>
        <v>BAOLI</v>
      </c>
      <c r="AH148" s="394"/>
      <c r="AI148" s="10"/>
      <c r="AK148" s="393" t="s">
        <v>15</v>
      </c>
      <c r="AL148" s="393"/>
      <c r="AM148" s="393" t="s">
        <v>15</v>
      </c>
      <c r="AN148" s="393"/>
      <c r="AO148" s="393" t="s">
        <v>15</v>
      </c>
      <c r="AP148" s="393"/>
      <c r="AQ148" s="393" t="s">
        <v>15</v>
      </c>
      <c r="AR148" s="393"/>
      <c r="AU148" s="394">
        <v>2023</v>
      </c>
      <c r="AV148" s="394"/>
      <c r="AW148" s="393" t="s">
        <v>15</v>
      </c>
      <c r="AX148" s="393"/>
      <c r="AY148" s="394">
        <v>2023</v>
      </c>
      <c r="AZ148" s="394"/>
      <c r="BA148" s="393" t="s">
        <v>15</v>
      </c>
      <c r="BB148" s="393"/>
      <c r="BC148" s="394">
        <v>2023</v>
      </c>
      <c r="BD148" s="394"/>
      <c r="BE148" s="393" t="s">
        <v>15</v>
      </c>
      <c r="BF148" s="393"/>
    </row>
    <row r="149" spans="4:58" ht="15.6" hidden="1" customHeight="1" outlineLevel="1">
      <c r="D149" s="8"/>
      <c r="E149" s="9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10"/>
      <c r="U149" s="9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10"/>
      <c r="AK149" s="11"/>
      <c r="AL149" s="11"/>
      <c r="AM149" s="11"/>
      <c r="AN149" s="11"/>
      <c r="AO149" s="11"/>
      <c r="AP149" s="11"/>
      <c r="AQ149" s="11"/>
      <c r="AR149" s="11"/>
      <c r="AU149" s="8"/>
      <c r="AV149" s="8"/>
      <c r="AW149" s="11"/>
      <c r="AX149" s="11"/>
      <c r="AY149" s="8"/>
      <c r="AZ149" s="8"/>
      <c r="BA149" s="11"/>
      <c r="BB149" s="11"/>
      <c r="BC149" s="8"/>
      <c r="BD149" s="8"/>
      <c r="BE149" s="11"/>
      <c r="BF149" s="11"/>
    </row>
    <row r="150" spans="4:58" ht="17.649999999999999" hidden="1" customHeight="1" outlineLevel="1">
      <c r="D150" s="13" t="s">
        <v>17</v>
      </c>
      <c r="E150" s="14"/>
      <c r="F150" s="15" t="e">
        <f>+F13+F85</f>
        <v>#REF!</v>
      </c>
      <c r="G150" s="16">
        <f>IFERROR(F150/F150,0)</f>
        <v>0</v>
      </c>
      <c r="H150" s="16"/>
      <c r="I150" s="15" t="e">
        <f>+I13+I85</f>
        <v>#REF!</v>
      </c>
      <c r="J150" s="15"/>
      <c r="K150" s="16">
        <f>IFERROR(I150/I150,0)</f>
        <v>0</v>
      </c>
      <c r="L150" s="16"/>
      <c r="M150" s="15" t="e">
        <f>+M13+M85</f>
        <v>#REF!</v>
      </c>
      <c r="N150" s="15"/>
      <c r="O150" s="16">
        <f>IFERROR(M150/M150,0)</f>
        <v>0</v>
      </c>
      <c r="P150" s="16"/>
      <c r="Q150" s="15" t="e">
        <f>+Q13+Q85</f>
        <v>#REF!</v>
      </c>
      <c r="R150" s="15"/>
      <c r="S150" s="16">
        <f>IFERROR(Q150/Q150,0)</f>
        <v>0</v>
      </c>
      <c r="T150" s="17"/>
      <c r="U150" s="14"/>
      <c r="X150" s="15" t="e">
        <f>+X13+X85</f>
        <v>#REF!</v>
      </c>
      <c r="Y150" s="15"/>
      <c r="Z150" s="16">
        <f>IFERROR(X150/X150,0)</f>
        <v>0</v>
      </c>
      <c r="AA150" s="16"/>
      <c r="AB150" s="15" t="e">
        <f>+AB13+AB85</f>
        <v>#REF!</v>
      </c>
      <c r="AC150" s="15"/>
      <c r="AD150" s="16">
        <f>IFERROR(AB150/AB150,0)</f>
        <v>0</v>
      </c>
      <c r="AE150" s="15" t="e">
        <f>+AE13+AE85</f>
        <v>#REF!</v>
      </c>
      <c r="AF150" s="16">
        <f>IFERROR(AE150/AE150,0)</f>
        <v>0</v>
      </c>
      <c r="AG150" s="15" t="e">
        <f>+AG13+AG85</f>
        <v>#REF!</v>
      </c>
      <c r="AH150" s="16">
        <f>IFERROR(AG150/AG150,0)</f>
        <v>0</v>
      </c>
      <c r="AI150" s="17"/>
      <c r="AK150" s="18" t="e">
        <f>+AK13+AK85</f>
        <v>#REF!</v>
      </c>
      <c r="AL150" s="19">
        <f>IFERROR(AK150/AK150,0)</f>
        <v>0</v>
      </c>
      <c r="AM150" s="18" t="e">
        <f>+AM13+AM85</f>
        <v>#REF!</v>
      </c>
      <c r="AN150" s="19">
        <f>IFERROR(AM150/AM150,0)</f>
        <v>0</v>
      </c>
      <c r="AO150" s="18" t="e">
        <f>+AO13+AO85</f>
        <v>#REF!</v>
      </c>
      <c r="AP150" s="19">
        <f>IFERROR(AO150/AO150,0)</f>
        <v>0</v>
      </c>
      <c r="AQ150" s="18" t="e">
        <f>+AQ13+AQ85</f>
        <v>#REF!</v>
      </c>
      <c r="AR150" s="19">
        <f>IFERROR(AQ150/AQ150,0)</f>
        <v>0</v>
      </c>
      <c r="AU150" s="15" t="e">
        <f>SUMIFS($F$150:$F$171,$D$150:$D$171,D150)</f>
        <v>#REF!</v>
      </c>
      <c r="AV150" s="16">
        <f>IFERROR(AU150/AU150,0)</f>
        <v>0</v>
      </c>
      <c r="AW150" s="18" t="e">
        <f>SUMIFS($AK$150:$AK$171,$D$150:$D$171,D150)</f>
        <v>#REF!</v>
      </c>
      <c r="AX150" s="19">
        <f>IFERROR(AW150/AW150,0)</f>
        <v>0</v>
      </c>
      <c r="AY150" s="15" t="e">
        <f>SUMIFS($I$150:$I$171,$D$150:$D$171,D150)+SUMIFS($AU$150:$AU$171,$D$150:$D$171,D150)</f>
        <v>#REF!</v>
      </c>
      <c r="AZ150" s="16">
        <f>IFERROR(AY150/AY150,0)</f>
        <v>0</v>
      </c>
      <c r="BA150" s="18" t="e">
        <f>SUMIFS($AM$150:$AM$171,$D$150:$D$171,D150)+SUMIFS($AW$150:$AW$171,$D$150:$D$171,D150)</f>
        <v>#REF!</v>
      </c>
      <c r="BB150" s="19">
        <f>IFERROR(BA150/BA150,0)</f>
        <v>0</v>
      </c>
      <c r="BC150" s="15">
        <f>SUMIFS($M$150:$M$171,$D$150:$D$171,#REF!)+SUMIFS($AY$150:$AY$171,$D$150:$D$171,#REF!)</f>
        <v>0</v>
      </c>
      <c r="BD150" s="16">
        <f>IFERROR(BC150/BC150,0)</f>
        <v>0</v>
      </c>
      <c r="BE150" s="18">
        <f>SUMIFS($AO$150:$AO$171,$D$150:$D$171,#REF!)+SUMIFS($BA$150:$BA$171,$D$150:$D$171,#REF!)</f>
        <v>0</v>
      </c>
      <c r="BF150" s="19">
        <f>IFERROR(BE150/BE150,0)</f>
        <v>0</v>
      </c>
    </row>
    <row r="151" spans="4:58" ht="17.649999999999999" hidden="1" customHeight="1" outlineLevel="1">
      <c r="D151" s="21" t="s">
        <v>19</v>
      </c>
      <c r="E151" s="22"/>
      <c r="F151" s="21" t="e">
        <f>+F14+F86</f>
        <v>#REF!</v>
      </c>
      <c r="G151" s="23">
        <f>IFERROR(F151/F150,0)</f>
        <v>0</v>
      </c>
      <c r="H151" s="23"/>
      <c r="I151" s="21" t="e">
        <f>+I14+I86</f>
        <v>#REF!</v>
      </c>
      <c r="J151" s="21"/>
      <c r="K151" s="23">
        <f>IFERROR(I151/I150,0)</f>
        <v>0</v>
      </c>
      <c r="L151" s="23"/>
      <c r="M151" s="21" t="e">
        <f>+M14+M86</f>
        <v>#REF!</v>
      </c>
      <c r="N151" s="21"/>
      <c r="O151" s="23">
        <f>IFERROR(M151/M150,0)</f>
        <v>0</v>
      </c>
      <c r="P151" s="23"/>
      <c r="Q151" s="21" t="e">
        <f>+Q14+Q86</f>
        <v>#REF!</v>
      </c>
      <c r="R151" s="21"/>
      <c r="S151" s="23">
        <f>IFERROR(Q151/Q150,0)</f>
        <v>0</v>
      </c>
      <c r="T151" s="24"/>
      <c r="U151" s="22"/>
      <c r="X151" s="21" t="e">
        <f>+X14+X86</f>
        <v>#REF!</v>
      </c>
      <c r="Y151" s="21"/>
      <c r="Z151" s="23">
        <f>IFERROR(X151/X150,0)</f>
        <v>0</v>
      </c>
      <c r="AA151" s="23"/>
      <c r="AB151" s="21" t="e">
        <f>+AB14+AB86</f>
        <v>#REF!</v>
      </c>
      <c r="AC151" s="21"/>
      <c r="AD151" s="23">
        <f>IFERROR(AB151/AB150,0)</f>
        <v>0</v>
      </c>
      <c r="AE151" s="21" t="e">
        <f>+AE14+AE86</f>
        <v>#REF!</v>
      </c>
      <c r="AF151" s="23">
        <f>IFERROR(AE151/AE150,0)</f>
        <v>0</v>
      </c>
      <c r="AG151" s="21" t="e">
        <f>+AG14+AG86</f>
        <v>#REF!</v>
      </c>
      <c r="AH151" s="23">
        <f>IFERROR(AG151/AG150,0)</f>
        <v>0</v>
      </c>
      <c r="AI151" s="24"/>
      <c r="AK151" s="25" t="e">
        <f>+AK14+AK86</f>
        <v>#REF!</v>
      </c>
      <c r="AL151" s="26">
        <f>IFERROR(AK151/AK150,0)</f>
        <v>0</v>
      </c>
      <c r="AM151" s="25" t="e">
        <f>+AM14+AM86</f>
        <v>#REF!</v>
      </c>
      <c r="AN151" s="26">
        <f>IFERROR(AM151/AM150,0)</f>
        <v>0</v>
      </c>
      <c r="AO151" s="25" t="e">
        <f>+AO14+AO86</f>
        <v>#REF!</v>
      </c>
      <c r="AP151" s="26">
        <f>IFERROR(AO151/AO150,0)</f>
        <v>0</v>
      </c>
      <c r="AQ151" s="25" t="e">
        <f>+AQ14+AQ86</f>
        <v>#REF!</v>
      </c>
      <c r="AR151" s="26">
        <f>IFERROR(AQ151/AQ150,0)</f>
        <v>0</v>
      </c>
      <c r="AU151" s="21" t="e">
        <f>SUMIFS($F$150:$F$171,$D$150:$D$171,D151)</f>
        <v>#REF!</v>
      </c>
      <c r="AV151" s="23">
        <f>IFERROR(AU151/AU150,0)</f>
        <v>0</v>
      </c>
      <c r="AW151" s="25" t="e">
        <f>SUMIFS($AK$150:$AK$171,$D$150:$D$171,D151)</f>
        <v>#REF!</v>
      </c>
      <c r="AX151" s="26">
        <f>IFERROR(AW151/AW150,0)</f>
        <v>0</v>
      </c>
      <c r="AY151" s="21" t="e">
        <f>SUMIFS($I$150:$I$171,$D$150:$D$171,D151)+SUMIFS($AU$150:$AU$171,$D$150:$D$171,D151)</f>
        <v>#REF!</v>
      </c>
      <c r="AZ151" s="23">
        <f>IFERROR(AY151/AY150,0)</f>
        <v>0</v>
      </c>
      <c r="BA151" s="25" t="e">
        <f>SUMIFS($AM$150:$AM$171,$D$150:$D$171,D151)+SUMIFS($AW$150:$AW$171,$D$150:$D$171,D151)</f>
        <v>#REF!</v>
      </c>
      <c r="BB151" s="26">
        <f>IFERROR(BA151/BA150,0)</f>
        <v>0</v>
      </c>
      <c r="BC151" s="21">
        <f>SUMIFS($M$150:$M$171,$D$150:$D$171,#REF!)+SUMIFS($AY$150:$AY$171,$D$150:$D$171,#REF!)</f>
        <v>0</v>
      </c>
      <c r="BD151" s="23">
        <f>IFERROR(BC151/BC150,0)</f>
        <v>0</v>
      </c>
      <c r="BE151" s="25">
        <f>SUMIFS($AO$150:$AO$171,$D$150:$D$171,#REF!)+SUMIFS($BA$150:$BA$171,$D$150:$D$171,#REF!)</f>
        <v>0</v>
      </c>
      <c r="BF151" s="26">
        <f>IFERROR(BE151/BE150,0)</f>
        <v>0</v>
      </c>
    </row>
    <row r="152" spans="4:58" ht="17.649999999999999" hidden="1" customHeight="1" outlineLevel="1">
      <c r="D152" s="28"/>
      <c r="E152" s="22"/>
      <c r="F152" s="21"/>
      <c r="G152" s="16"/>
      <c r="H152" s="16"/>
      <c r="I152" s="21"/>
      <c r="J152" s="21"/>
      <c r="K152" s="16"/>
      <c r="L152" s="16"/>
      <c r="M152" s="21"/>
      <c r="N152" s="21"/>
      <c r="O152" s="16"/>
      <c r="P152" s="16"/>
      <c r="Q152" s="21"/>
      <c r="R152" s="21"/>
      <c r="S152" s="16"/>
      <c r="T152" s="24"/>
      <c r="U152" s="22"/>
      <c r="X152" s="21"/>
      <c r="Y152" s="21"/>
      <c r="Z152" s="16"/>
      <c r="AA152" s="16"/>
      <c r="AB152" s="21"/>
      <c r="AC152" s="21"/>
      <c r="AD152" s="16"/>
      <c r="AE152" s="21"/>
      <c r="AF152" s="16"/>
      <c r="AG152" s="21"/>
      <c r="AH152" s="16"/>
      <c r="AI152" s="24"/>
      <c r="AK152" s="25"/>
      <c r="AL152" s="19"/>
      <c r="AM152" s="25"/>
      <c r="AN152" s="19"/>
      <c r="AO152" s="25"/>
      <c r="AP152" s="19"/>
      <c r="AQ152" s="25"/>
      <c r="AR152" s="19"/>
      <c r="AU152" s="21"/>
      <c r="AV152" s="16"/>
      <c r="AW152" s="25"/>
      <c r="AX152" s="19"/>
      <c r="AY152" s="21"/>
      <c r="AZ152" s="16"/>
      <c r="BA152" s="25"/>
      <c r="BB152" s="19"/>
      <c r="BC152" s="21"/>
      <c r="BD152" s="16"/>
      <c r="BE152" s="25"/>
      <c r="BF152" s="19"/>
    </row>
    <row r="153" spans="4:58" ht="17.649999999999999" hidden="1" customHeight="1" outlineLevel="1">
      <c r="D153" s="29" t="s">
        <v>22</v>
      </c>
      <c r="E153" s="14"/>
      <c r="F153" s="30" t="e">
        <f>F150-F151</f>
        <v>#REF!</v>
      </c>
      <c r="G153" s="31">
        <f>IFERROR(F153/F150,0)</f>
        <v>0</v>
      </c>
      <c r="H153" s="31"/>
      <c r="I153" s="30" t="e">
        <f>I150-I151</f>
        <v>#REF!</v>
      </c>
      <c r="J153" s="30"/>
      <c r="K153" s="31">
        <f>IFERROR(I153/I150,0)</f>
        <v>0</v>
      </c>
      <c r="L153" s="31"/>
      <c r="M153" s="30" t="e">
        <f>M150-M151</f>
        <v>#REF!</v>
      </c>
      <c r="N153" s="30"/>
      <c r="O153" s="31">
        <f>IFERROR(M153/M150,0)</f>
        <v>0</v>
      </c>
      <c r="P153" s="31"/>
      <c r="Q153" s="30" t="e">
        <f>Q150-Q151</f>
        <v>#REF!</v>
      </c>
      <c r="R153" s="30"/>
      <c r="S153" s="31">
        <f>IFERROR(Q153/Q150,0)</f>
        <v>0</v>
      </c>
      <c r="T153" s="17"/>
      <c r="U153" s="14"/>
      <c r="X153" s="30" t="e">
        <f>X150-X151</f>
        <v>#REF!</v>
      </c>
      <c r="Y153" s="30"/>
      <c r="Z153" s="31">
        <f>IFERROR(X153/X150,0)</f>
        <v>0</v>
      </c>
      <c r="AA153" s="31"/>
      <c r="AB153" s="30" t="e">
        <f>AB150-AB151</f>
        <v>#REF!</v>
      </c>
      <c r="AC153" s="30"/>
      <c r="AD153" s="31">
        <f>IFERROR(AB153/AB150,0)</f>
        <v>0</v>
      </c>
      <c r="AE153" s="30" t="e">
        <f>AE150-AE151</f>
        <v>#REF!</v>
      </c>
      <c r="AF153" s="31">
        <f>IFERROR(AE153/AE150,0)</f>
        <v>0</v>
      </c>
      <c r="AG153" s="30" t="e">
        <f>AG150-AG151</f>
        <v>#REF!</v>
      </c>
      <c r="AH153" s="31">
        <f>IFERROR(AG153/AG150,0)</f>
        <v>0</v>
      </c>
      <c r="AI153" s="17"/>
      <c r="AK153" s="32" t="e">
        <f>AK150-AK151</f>
        <v>#REF!</v>
      </c>
      <c r="AL153" s="33">
        <f>IFERROR(AK153/AK150,0)</f>
        <v>0</v>
      </c>
      <c r="AM153" s="32" t="e">
        <f>AM150-AM151</f>
        <v>#REF!</v>
      </c>
      <c r="AN153" s="33">
        <f>IFERROR(AM153/AM150,0)</f>
        <v>0</v>
      </c>
      <c r="AO153" s="32" t="e">
        <f>AO150-AO151</f>
        <v>#REF!</v>
      </c>
      <c r="AP153" s="33">
        <f>IFERROR(AO153/AO150,0)</f>
        <v>0</v>
      </c>
      <c r="AQ153" s="32" t="e">
        <f>AQ150-AQ151</f>
        <v>#REF!</v>
      </c>
      <c r="AR153" s="33">
        <f>IFERROR(AQ153/AQ150,0)</f>
        <v>0</v>
      </c>
      <c r="AU153" s="30" t="e">
        <f>AU150-AU151</f>
        <v>#REF!</v>
      </c>
      <c r="AV153" s="31">
        <f>IFERROR(AU153/AU150,0)</f>
        <v>0</v>
      </c>
      <c r="AW153" s="32" t="e">
        <f>AW150-AW151</f>
        <v>#REF!</v>
      </c>
      <c r="AX153" s="33">
        <f>IFERROR(AW153/AW150,0)</f>
        <v>0</v>
      </c>
      <c r="AY153" s="30" t="e">
        <f>AY150-AY151</f>
        <v>#REF!</v>
      </c>
      <c r="AZ153" s="31">
        <f>IFERROR(AY153/AY150,0)</f>
        <v>0</v>
      </c>
      <c r="BA153" s="32" t="e">
        <f>BA150-BA151</f>
        <v>#REF!</v>
      </c>
      <c r="BB153" s="33">
        <f>IFERROR(BA153/BA150,0)</f>
        <v>0</v>
      </c>
      <c r="BC153" s="30">
        <f>BC150-BC151</f>
        <v>0</v>
      </c>
      <c r="BD153" s="31">
        <f>IFERROR(BC153/BC150,0)</f>
        <v>0</v>
      </c>
      <c r="BE153" s="32">
        <f>BE150-BE151</f>
        <v>0</v>
      </c>
      <c r="BF153" s="33">
        <f>IFERROR(BE153/BE150,0)</f>
        <v>0</v>
      </c>
    </row>
    <row r="154" spans="4:58" ht="17.649999999999999" hidden="1" customHeight="1" outlineLevel="1">
      <c r="D154" s="28"/>
      <c r="E154" s="22"/>
      <c r="F154" s="21"/>
      <c r="G154" s="16"/>
      <c r="H154" s="16"/>
      <c r="I154" s="21"/>
      <c r="J154" s="21"/>
      <c r="K154" s="16"/>
      <c r="L154" s="16"/>
      <c r="M154" s="21"/>
      <c r="N154" s="21"/>
      <c r="O154" s="16"/>
      <c r="P154" s="16"/>
      <c r="Q154" s="21"/>
      <c r="R154" s="21"/>
      <c r="S154" s="16"/>
      <c r="T154" s="24"/>
      <c r="U154" s="22"/>
      <c r="X154" s="21"/>
      <c r="Y154" s="21"/>
      <c r="Z154" s="16"/>
      <c r="AA154" s="16"/>
      <c r="AB154" s="21"/>
      <c r="AC154" s="21"/>
      <c r="AD154" s="16"/>
      <c r="AE154" s="21"/>
      <c r="AF154" s="16"/>
      <c r="AG154" s="21"/>
      <c r="AH154" s="16"/>
      <c r="AI154" s="24"/>
      <c r="AK154" s="25"/>
      <c r="AL154" s="19"/>
      <c r="AM154" s="25"/>
      <c r="AN154" s="19"/>
      <c r="AO154" s="25"/>
      <c r="AP154" s="19"/>
      <c r="AQ154" s="25"/>
      <c r="AR154" s="19"/>
      <c r="AU154" s="21"/>
      <c r="AV154" s="16"/>
      <c r="AW154" s="25"/>
      <c r="AX154" s="19"/>
      <c r="AY154" s="21"/>
      <c r="AZ154" s="16"/>
      <c r="BA154" s="25"/>
      <c r="BB154" s="19"/>
      <c r="BC154" s="21"/>
      <c r="BD154" s="16"/>
      <c r="BE154" s="25"/>
      <c r="BF154" s="19"/>
    </row>
    <row r="155" spans="4:58" ht="17.649999999999999" hidden="1" customHeight="1" outlineLevel="1">
      <c r="D155" s="21" t="s">
        <v>25</v>
      </c>
      <c r="E155" s="22"/>
      <c r="F155" s="21" t="e">
        <f t="shared" ref="F155:F163" si="24">+F18+F90</f>
        <v>#REF!</v>
      </c>
      <c r="G155" s="23">
        <f>IFERROR(F155/F150,0)</f>
        <v>0</v>
      </c>
      <c r="H155" s="23"/>
      <c r="I155" s="21" t="e">
        <f t="shared" ref="I155:I163" si="25">+I18+I90</f>
        <v>#REF!</v>
      </c>
      <c r="J155" s="21"/>
      <c r="K155" s="23">
        <f>IFERROR(I155/I150,0)</f>
        <v>0</v>
      </c>
      <c r="L155" s="23"/>
      <c r="M155" s="21" t="e">
        <f t="shared" ref="M155:M163" si="26">+M18+M90</f>
        <v>#REF!</v>
      </c>
      <c r="N155" s="21"/>
      <c r="O155" s="23">
        <f>IFERROR(M155/M150,0)</f>
        <v>0</v>
      </c>
      <c r="P155" s="23"/>
      <c r="Q155" s="21" t="e">
        <f t="shared" ref="Q155:Q163" si="27">+Q18+Q90</f>
        <v>#REF!</v>
      </c>
      <c r="R155" s="21"/>
      <c r="S155" s="23">
        <f>IFERROR(Q155/Q150,0)</f>
        <v>0</v>
      </c>
      <c r="T155" s="24"/>
      <c r="U155" s="22"/>
      <c r="X155" s="21" t="e">
        <f t="shared" ref="X155:X163" si="28">+X18+X90</f>
        <v>#REF!</v>
      </c>
      <c r="Y155" s="21"/>
      <c r="Z155" s="23">
        <f>IFERROR(X155/X150,0)</f>
        <v>0</v>
      </c>
      <c r="AA155" s="23"/>
      <c r="AB155" s="21" t="e">
        <f t="shared" ref="AB155:AB163" si="29">+AB18+AB90</f>
        <v>#REF!</v>
      </c>
      <c r="AC155" s="21"/>
      <c r="AD155" s="23">
        <f>IFERROR(AB155/AB150,0)</f>
        <v>0</v>
      </c>
      <c r="AE155" s="21" t="e">
        <f t="shared" ref="AE155:AE163" si="30">+AE18+AE90</f>
        <v>#REF!</v>
      </c>
      <c r="AF155" s="23">
        <f>IFERROR(AE155/AE150,0)</f>
        <v>0</v>
      </c>
      <c r="AG155" s="21" t="e">
        <f t="shared" ref="AG155:AG163" si="31">+AG18+AG90</f>
        <v>#REF!</v>
      </c>
      <c r="AH155" s="23">
        <f>IFERROR(AG155/AG150,0)</f>
        <v>0</v>
      </c>
      <c r="AI155" s="24"/>
      <c r="AK155" s="25" t="e">
        <f t="shared" ref="AK155:AK163" si="32">+AK18+AK90</f>
        <v>#REF!</v>
      </c>
      <c r="AL155" s="26">
        <f>IFERROR(AK155/AK150,0)</f>
        <v>0</v>
      </c>
      <c r="AM155" s="25" t="e">
        <f t="shared" ref="AM155:AM163" si="33">+AM18+AM90</f>
        <v>#REF!</v>
      </c>
      <c r="AN155" s="26">
        <f>IFERROR(AM155/AM150,0)</f>
        <v>0</v>
      </c>
      <c r="AO155" s="25" t="e">
        <f t="shared" ref="AO155:AO163" si="34">+AO18+AO90</f>
        <v>#REF!</v>
      </c>
      <c r="AP155" s="26">
        <f>IFERROR(AO155/AO150,0)</f>
        <v>0</v>
      </c>
      <c r="AQ155" s="25" t="e">
        <f t="shared" ref="AQ155:AQ163" si="35">+AQ18+AQ90</f>
        <v>#REF!</v>
      </c>
      <c r="AR155" s="26">
        <f>IFERROR(AQ155/AQ150,0)</f>
        <v>0</v>
      </c>
      <c r="AU155" s="21" t="e">
        <f t="shared" ref="AU155:AU163" si="36">SUMIFS($F$150:$F$171,$D$150:$D$171,D155)</f>
        <v>#REF!</v>
      </c>
      <c r="AV155" s="23">
        <f>IFERROR(AU155/AU150,0)</f>
        <v>0</v>
      </c>
      <c r="AW155" s="25" t="e">
        <f t="shared" ref="AW155:AW163" si="37">SUMIFS($AK$150:$AK$171,$D$150:$D$171,D155)</f>
        <v>#REF!</v>
      </c>
      <c r="AX155" s="26">
        <f>IFERROR(AW155/AW150,0)</f>
        <v>0</v>
      </c>
      <c r="AY155" s="21" t="e">
        <f t="shared" ref="AY155:AY163" si="38">SUMIFS($I$150:$I$171,$D$150:$D$171,D155)+SUMIFS($AU$150:$AU$171,$D$150:$D$171,D155)</f>
        <v>#REF!</v>
      </c>
      <c r="AZ155" s="23">
        <f>IFERROR(AY155/AY150,0)</f>
        <v>0</v>
      </c>
      <c r="BA155" s="25" t="e">
        <f t="shared" ref="BA155:BA163" si="39">SUMIFS($AM$150:$AM$171,$D$150:$D$171,D155)+SUMIFS($AW$150:$AW$171,$D$150:$D$171,D155)</f>
        <v>#REF!</v>
      </c>
      <c r="BB155" s="26">
        <f>IFERROR(BA155/BA150,0)</f>
        <v>0</v>
      </c>
      <c r="BC155" s="21">
        <f>SUMIFS($M$150:$M$171,$D$150:$D$171,#REF!)+SUMIFS($AY$150:$AY$171,$D$150:$D$171,#REF!)</f>
        <v>0</v>
      </c>
      <c r="BD155" s="23">
        <f>IFERROR(BC155/BC150,0)</f>
        <v>0</v>
      </c>
      <c r="BE155" s="25">
        <f>SUMIFS($AO$150:$AO$171,$D$150:$D$171,#REF!)+SUMIFS($BA$150:$BA$171,$D$150:$D$171,#REF!)</f>
        <v>0</v>
      </c>
      <c r="BF155" s="26">
        <f>IFERROR(BE155/BE150,0)</f>
        <v>0</v>
      </c>
    </row>
    <row r="156" spans="4:58" ht="15.6" hidden="1" customHeight="1" outlineLevel="1">
      <c r="D156" s="58" t="s">
        <v>26</v>
      </c>
      <c r="E156" s="22"/>
      <c r="F156" s="55" t="e">
        <f t="shared" si="24"/>
        <v>#REF!</v>
      </c>
      <c r="G156" s="59" t="e">
        <f>+F156/$F$150</f>
        <v>#REF!</v>
      </c>
      <c r="H156" s="59"/>
      <c r="I156" s="55" t="e">
        <f t="shared" si="25"/>
        <v>#REF!</v>
      </c>
      <c r="J156" s="55"/>
      <c r="K156" s="59" t="e">
        <f>+I156/$I$150</f>
        <v>#REF!</v>
      </c>
      <c r="L156" s="59"/>
      <c r="M156" s="55" t="e">
        <f t="shared" si="26"/>
        <v>#REF!</v>
      </c>
      <c r="N156" s="55"/>
      <c r="O156" s="59" t="e">
        <f>+M156/$M$150</f>
        <v>#REF!</v>
      </c>
      <c r="P156" s="59"/>
      <c r="Q156" s="55" t="e">
        <f t="shared" si="27"/>
        <v>#REF!</v>
      </c>
      <c r="R156" s="55"/>
      <c r="S156" s="59" t="e">
        <f>+Q156/$Q$150</f>
        <v>#REF!</v>
      </c>
      <c r="T156" s="24"/>
      <c r="U156" s="22"/>
      <c r="X156" s="55" t="e">
        <f t="shared" si="28"/>
        <v>#REF!</v>
      </c>
      <c r="Y156" s="55"/>
      <c r="Z156" s="59" t="e">
        <f>+X156/$F$150</f>
        <v>#REF!</v>
      </c>
      <c r="AA156" s="59"/>
      <c r="AB156" s="55" t="e">
        <f t="shared" si="29"/>
        <v>#REF!</v>
      </c>
      <c r="AC156" s="55"/>
      <c r="AD156" s="59" t="e">
        <f>+AB156/$I$150</f>
        <v>#REF!</v>
      </c>
      <c r="AE156" s="55" t="e">
        <f t="shared" si="30"/>
        <v>#REF!</v>
      </c>
      <c r="AF156" s="59" t="e">
        <f>+AE156/$M$150</f>
        <v>#REF!</v>
      </c>
      <c r="AG156" s="55" t="e">
        <f t="shared" si="31"/>
        <v>#REF!</v>
      </c>
      <c r="AH156" s="59" t="e">
        <f>+AG156/$Q$150</f>
        <v>#REF!</v>
      </c>
      <c r="AI156" s="24"/>
      <c r="AK156" s="61" t="e">
        <f t="shared" si="32"/>
        <v>#REF!</v>
      </c>
      <c r="AL156" s="62" t="e">
        <f>+AK156/$AK$150</f>
        <v>#REF!</v>
      </c>
      <c r="AM156" s="61" t="e">
        <f t="shared" si="33"/>
        <v>#REF!</v>
      </c>
      <c r="AN156" s="62" t="e">
        <f>+AM156/$AM$150</f>
        <v>#REF!</v>
      </c>
      <c r="AO156" s="61" t="e">
        <f t="shared" si="34"/>
        <v>#REF!</v>
      </c>
      <c r="AP156" s="62" t="e">
        <f>+AO156/$AO$150</f>
        <v>#REF!</v>
      </c>
      <c r="AQ156" s="61" t="e">
        <f t="shared" si="35"/>
        <v>#REF!</v>
      </c>
      <c r="AR156" s="62" t="e">
        <f>+AQ156/$AQ$150</f>
        <v>#REF!</v>
      </c>
      <c r="AU156" s="55" t="e">
        <f t="shared" si="36"/>
        <v>#REF!</v>
      </c>
      <c r="AV156" s="59" t="e">
        <f>+AU156/$AU$150</f>
        <v>#REF!</v>
      </c>
      <c r="AW156" s="61" t="e">
        <f t="shared" si="37"/>
        <v>#REF!</v>
      </c>
      <c r="AX156" s="62" t="e">
        <f>+AW156/$AW$150</f>
        <v>#REF!</v>
      </c>
      <c r="AY156" s="55" t="e">
        <f t="shared" si="38"/>
        <v>#REF!</v>
      </c>
      <c r="AZ156" s="59" t="e">
        <f>+AY156/$AY$150</f>
        <v>#REF!</v>
      </c>
      <c r="BA156" s="61" t="e">
        <f t="shared" si="39"/>
        <v>#REF!</v>
      </c>
      <c r="BB156" s="62" t="e">
        <f>+BA156/$BA$150</f>
        <v>#REF!</v>
      </c>
      <c r="BC156" s="55">
        <f>SUMIFS($M$150:$M$171,$D$150:$D$171,#REF!)+SUMIFS($AY$150:$AY$171,$D$150:$D$171,#REF!)</f>
        <v>0</v>
      </c>
      <c r="BD156" s="59" t="e">
        <f>+BC156/$BC$150</f>
        <v>#DIV/0!</v>
      </c>
      <c r="BE156" s="61">
        <f>SUMIFS($AO$150:$AO$171,$D$150:$D$171,#REF!)+SUMIFS($BA$150:$BA$171,$D$150:$D$171,#REF!)</f>
        <v>0</v>
      </c>
      <c r="BF156" s="62" t="e">
        <f>+BE156/$BE$150</f>
        <v>#DIV/0!</v>
      </c>
    </row>
    <row r="157" spans="4:58" ht="15.6" hidden="1" customHeight="1" outlineLevel="1">
      <c r="D157" s="58" t="s">
        <v>27</v>
      </c>
      <c r="E157" s="22"/>
      <c r="F157" s="55" t="e">
        <f t="shared" si="24"/>
        <v>#REF!</v>
      </c>
      <c r="G157" s="59" t="e">
        <f t="shared" ref="G157:G158" si="40">+F157/$F$150</f>
        <v>#REF!</v>
      </c>
      <c r="H157" s="59"/>
      <c r="I157" s="55" t="e">
        <f t="shared" si="25"/>
        <v>#REF!</v>
      </c>
      <c r="J157" s="55"/>
      <c r="K157" s="59" t="e">
        <f>+I157/$I$150</f>
        <v>#REF!</v>
      </c>
      <c r="L157" s="59"/>
      <c r="M157" s="55" t="e">
        <f t="shared" si="26"/>
        <v>#REF!</v>
      </c>
      <c r="N157" s="55"/>
      <c r="O157" s="59" t="e">
        <f>+M157/$M$150</f>
        <v>#REF!</v>
      </c>
      <c r="P157" s="59"/>
      <c r="Q157" s="55" t="e">
        <f t="shared" si="27"/>
        <v>#REF!</v>
      </c>
      <c r="R157" s="55"/>
      <c r="S157" s="59" t="e">
        <f>+Q157/$Q$150</f>
        <v>#REF!</v>
      </c>
      <c r="T157" s="24"/>
      <c r="U157" s="22"/>
      <c r="X157" s="55" t="e">
        <f t="shared" si="28"/>
        <v>#REF!</v>
      </c>
      <c r="Y157" s="55"/>
      <c r="Z157" s="59" t="e">
        <f t="shared" ref="Z157:Z158" si="41">+X157/$F$150</f>
        <v>#REF!</v>
      </c>
      <c r="AA157" s="59"/>
      <c r="AB157" s="55" t="e">
        <f t="shared" si="29"/>
        <v>#REF!</v>
      </c>
      <c r="AC157" s="55"/>
      <c r="AD157" s="59" t="e">
        <f>+AB157/$I$150</f>
        <v>#REF!</v>
      </c>
      <c r="AE157" s="55" t="e">
        <f t="shared" si="30"/>
        <v>#REF!</v>
      </c>
      <c r="AF157" s="59" t="e">
        <f>+AE157/$M$150</f>
        <v>#REF!</v>
      </c>
      <c r="AG157" s="55" t="e">
        <f t="shared" si="31"/>
        <v>#REF!</v>
      </c>
      <c r="AH157" s="59" t="e">
        <f>+AG157/$Q$150</f>
        <v>#REF!</v>
      </c>
      <c r="AI157" s="24"/>
      <c r="AK157" s="61" t="e">
        <f t="shared" si="32"/>
        <v>#REF!</v>
      </c>
      <c r="AL157" s="62" t="e">
        <f>+AK157/$AK$150</f>
        <v>#REF!</v>
      </c>
      <c r="AM157" s="61" t="e">
        <f t="shared" si="33"/>
        <v>#REF!</v>
      </c>
      <c r="AN157" s="62" t="e">
        <f>+AM157/$AM$150</f>
        <v>#REF!</v>
      </c>
      <c r="AO157" s="61" t="e">
        <f t="shared" si="34"/>
        <v>#REF!</v>
      </c>
      <c r="AP157" s="62" t="e">
        <f>+AO157/$AO$150</f>
        <v>#REF!</v>
      </c>
      <c r="AQ157" s="61" t="e">
        <f t="shared" si="35"/>
        <v>#REF!</v>
      </c>
      <c r="AR157" s="62" t="e">
        <f>+AQ157/$AQ$150</f>
        <v>#REF!</v>
      </c>
      <c r="AU157" s="55" t="e">
        <f t="shared" si="36"/>
        <v>#REF!</v>
      </c>
      <c r="AV157" s="59" t="e">
        <f>+AU157/$AU$150</f>
        <v>#REF!</v>
      </c>
      <c r="AW157" s="61" t="e">
        <f t="shared" si="37"/>
        <v>#REF!</v>
      </c>
      <c r="AX157" s="62" t="e">
        <f>+AW157/$AW$150</f>
        <v>#REF!</v>
      </c>
      <c r="AY157" s="55" t="e">
        <f t="shared" si="38"/>
        <v>#REF!</v>
      </c>
      <c r="AZ157" s="59" t="e">
        <f>+AY157/$AY$150</f>
        <v>#REF!</v>
      </c>
      <c r="BA157" s="61" t="e">
        <f t="shared" si="39"/>
        <v>#REF!</v>
      </c>
      <c r="BB157" s="62" t="e">
        <f>+BA157/$BA$150</f>
        <v>#REF!</v>
      </c>
      <c r="BC157" s="55">
        <f>SUMIFS($M$150:$M$171,$D$150:$D$171,#REF!)+SUMIFS($AY$150:$AY$171,$D$150:$D$171,#REF!)</f>
        <v>0</v>
      </c>
      <c r="BD157" s="59" t="e">
        <f>+BC157/$BC$150</f>
        <v>#DIV/0!</v>
      </c>
      <c r="BE157" s="61">
        <f>SUMIFS($AO$150:$AO$171,$D$150:$D$171,#REF!)+SUMIFS($BA$150:$BA$171,$D$150:$D$171,#REF!)</f>
        <v>0</v>
      </c>
      <c r="BF157" s="62" t="e">
        <f>+BE157/$BE$150</f>
        <v>#DIV/0!</v>
      </c>
    </row>
    <row r="158" spans="4:58" ht="15.6" hidden="1" customHeight="1" outlineLevel="1">
      <c r="D158" s="58" t="s">
        <v>28</v>
      </c>
      <c r="E158" s="22"/>
      <c r="F158" s="55" t="e">
        <f t="shared" si="24"/>
        <v>#REF!</v>
      </c>
      <c r="G158" s="59" t="e">
        <f t="shared" si="40"/>
        <v>#REF!</v>
      </c>
      <c r="H158" s="59"/>
      <c r="I158" s="55" t="e">
        <f t="shared" si="25"/>
        <v>#REF!</v>
      </c>
      <c r="J158" s="55"/>
      <c r="K158" s="59" t="e">
        <f>+I158/$I$150</f>
        <v>#REF!</v>
      </c>
      <c r="L158" s="59"/>
      <c r="M158" s="55" t="e">
        <f t="shared" si="26"/>
        <v>#REF!</v>
      </c>
      <c r="N158" s="55"/>
      <c r="O158" s="59" t="e">
        <f>+M158/$M$150</f>
        <v>#REF!</v>
      </c>
      <c r="P158" s="59"/>
      <c r="Q158" s="55" t="e">
        <f t="shared" si="27"/>
        <v>#REF!</v>
      </c>
      <c r="R158" s="55"/>
      <c r="S158" s="59" t="e">
        <f>+Q158/$Q$150</f>
        <v>#REF!</v>
      </c>
      <c r="T158" s="24"/>
      <c r="U158" s="22"/>
      <c r="X158" s="55" t="e">
        <f t="shared" si="28"/>
        <v>#REF!</v>
      </c>
      <c r="Y158" s="55"/>
      <c r="Z158" s="59" t="e">
        <f t="shared" si="41"/>
        <v>#REF!</v>
      </c>
      <c r="AA158" s="59"/>
      <c r="AB158" s="55" t="e">
        <f t="shared" si="29"/>
        <v>#REF!</v>
      </c>
      <c r="AC158" s="55"/>
      <c r="AD158" s="59" t="e">
        <f>+AB158/$I$150</f>
        <v>#REF!</v>
      </c>
      <c r="AE158" s="55" t="e">
        <f t="shared" si="30"/>
        <v>#REF!</v>
      </c>
      <c r="AF158" s="59" t="e">
        <f>+AE158/$M$150</f>
        <v>#REF!</v>
      </c>
      <c r="AG158" s="55" t="e">
        <f t="shared" si="31"/>
        <v>#REF!</v>
      </c>
      <c r="AH158" s="59" t="e">
        <f>+AG158/$Q$150</f>
        <v>#REF!</v>
      </c>
      <c r="AI158" s="24"/>
      <c r="AK158" s="61" t="e">
        <f t="shared" si="32"/>
        <v>#REF!</v>
      </c>
      <c r="AL158" s="62" t="e">
        <f>+AK158/$AK$150</f>
        <v>#REF!</v>
      </c>
      <c r="AM158" s="61" t="e">
        <f t="shared" si="33"/>
        <v>#REF!</v>
      </c>
      <c r="AN158" s="62" t="e">
        <f>+AM158/$AM$150</f>
        <v>#REF!</v>
      </c>
      <c r="AO158" s="61" t="e">
        <f t="shared" si="34"/>
        <v>#REF!</v>
      </c>
      <c r="AP158" s="62" t="e">
        <f>+AO158/$AO$150</f>
        <v>#REF!</v>
      </c>
      <c r="AQ158" s="61" t="e">
        <f t="shared" si="35"/>
        <v>#REF!</v>
      </c>
      <c r="AR158" s="62" t="e">
        <f>+AQ158/$AQ$150</f>
        <v>#REF!</v>
      </c>
      <c r="AU158" s="55" t="e">
        <f t="shared" si="36"/>
        <v>#REF!</v>
      </c>
      <c r="AV158" s="59" t="e">
        <f>+AU158/$AU$150</f>
        <v>#REF!</v>
      </c>
      <c r="AW158" s="61" t="e">
        <f t="shared" si="37"/>
        <v>#REF!</v>
      </c>
      <c r="AX158" s="62" t="e">
        <f>+AW158/$AW$150</f>
        <v>#REF!</v>
      </c>
      <c r="AY158" s="55" t="e">
        <f t="shared" si="38"/>
        <v>#REF!</v>
      </c>
      <c r="AZ158" s="59" t="e">
        <f>+AY158/$AY$150</f>
        <v>#REF!</v>
      </c>
      <c r="BA158" s="61" t="e">
        <f t="shared" si="39"/>
        <v>#REF!</v>
      </c>
      <c r="BB158" s="62" t="e">
        <f>+BA158/$BA$150</f>
        <v>#REF!</v>
      </c>
      <c r="BC158" s="55">
        <f>SUMIFS($M$150:$M$171,$D$150:$D$171,#REF!)+SUMIFS($AY$150:$AY$171,$D$150:$D$171,#REF!)</f>
        <v>0</v>
      </c>
      <c r="BD158" s="59" t="e">
        <f>+BC158/$BC$150</f>
        <v>#DIV/0!</v>
      </c>
      <c r="BE158" s="61">
        <f>SUMIFS($AO$150:$AO$171,$D$150:$D$171,#REF!)+SUMIFS($BA$150:$BA$171,$D$150:$D$171,#REF!)</f>
        <v>0</v>
      </c>
      <c r="BF158" s="62" t="e">
        <f>+BE158/$BE$150</f>
        <v>#DIV/0!</v>
      </c>
    </row>
    <row r="159" spans="4:58" ht="17.649999999999999" hidden="1" customHeight="1" outlineLevel="1">
      <c r="D159" s="21" t="s">
        <v>31</v>
      </c>
      <c r="E159" s="22"/>
      <c r="F159" s="21" t="e">
        <f t="shared" si="24"/>
        <v>#REF!</v>
      </c>
      <c r="G159" s="23">
        <f>IFERROR(F159/F150,0)</f>
        <v>0</v>
      </c>
      <c r="H159" s="23"/>
      <c r="I159" s="21" t="e">
        <f t="shared" si="25"/>
        <v>#REF!</v>
      </c>
      <c r="J159" s="21"/>
      <c r="K159" s="23">
        <f>IFERROR(I159/I150,0)</f>
        <v>0</v>
      </c>
      <c r="L159" s="23"/>
      <c r="M159" s="21" t="e">
        <f t="shared" si="26"/>
        <v>#REF!</v>
      </c>
      <c r="N159" s="21"/>
      <c r="O159" s="23">
        <f>IFERROR(M159/M150,0)</f>
        <v>0</v>
      </c>
      <c r="P159" s="23"/>
      <c r="Q159" s="21" t="e">
        <f t="shared" si="27"/>
        <v>#REF!</v>
      </c>
      <c r="R159" s="21"/>
      <c r="S159" s="23">
        <f>IFERROR(Q159/Q150,0)</f>
        <v>0</v>
      </c>
      <c r="T159" s="24"/>
      <c r="U159" s="22"/>
      <c r="X159" s="21" t="e">
        <f t="shared" si="28"/>
        <v>#REF!</v>
      </c>
      <c r="Y159" s="21"/>
      <c r="Z159" s="23">
        <f>IFERROR(X159/X150,0)</f>
        <v>0</v>
      </c>
      <c r="AA159" s="23"/>
      <c r="AB159" s="21" t="e">
        <f t="shared" si="29"/>
        <v>#REF!</v>
      </c>
      <c r="AC159" s="21"/>
      <c r="AD159" s="23">
        <f>IFERROR(AB159/AB150,0)</f>
        <v>0</v>
      </c>
      <c r="AE159" s="21" t="e">
        <f t="shared" si="30"/>
        <v>#REF!</v>
      </c>
      <c r="AF159" s="23">
        <f>IFERROR(AE159/AE150,0)</f>
        <v>0</v>
      </c>
      <c r="AG159" s="21" t="e">
        <f t="shared" si="31"/>
        <v>#REF!</v>
      </c>
      <c r="AH159" s="23">
        <f>IFERROR(AG159/AG150,0)</f>
        <v>0</v>
      </c>
      <c r="AI159" s="24"/>
      <c r="AK159" s="25" t="e">
        <f t="shared" si="32"/>
        <v>#REF!</v>
      </c>
      <c r="AL159" s="26">
        <f>IFERROR(AK159/AK150,0)</f>
        <v>0</v>
      </c>
      <c r="AM159" s="25" t="e">
        <f t="shared" si="33"/>
        <v>#REF!</v>
      </c>
      <c r="AN159" s="26">
        <f>IFERROR(AM159/AM150,0)</f>
        <v>0</v>
      </c>
      <c r="AO159" s="25" t="e">
        <f t="shared" si="34"/>
        <v>#REF!</v>
      </c>
      <c r="AP159" s="26">
        <f>IFERROR(AO159/AO150,0)</f>
        <v>0</v>
      </c>
      <c r="AQ159" s="25" t="e">
        <f t="shared" si="35"/>
        <v>#REF!</v>
      </c>
      <c r="AR159" s="26">
        <f>IFERROR(AQ159/AQ150,0)</f>
        <v>0</v>
      </c>
      <c r="AU159" s="21" t="e">
        <f t="shared" si="36"/>
        <v>#REF!</v>
      </c>
      <c r="AV159" s="23">
        <f>IFERROR(AU159/AU150,0)</f>
        <v>0</v>
      </c>
      <c r="AW159" s="25" t="e">
        <f t="shared" si="37"/>
        <v>#REF!</v>
      </c>
      <c r="AX159" s="26">
        <f>IFERROR(AW159/AW150,0)</f>
        <v>0</v>
      </c>
      <c r="AY159" s="21" t="e">
        <f t="shared" si="38"/>
        <v>#REF!</v>
      </c>
      <c r="AZ159" s="23">
        <f>IFERROR(AY159/AY150,0)</f>
        <v>0</v>
      </c>
      <c r="BA159" s="25" t="e">
        <f t="shared" si="39"/>
        <v>#REF!</v>
      </c>
      <c r="BB159" s="26">
        <f>IFERROR(BA159/BA150,0)</f>
        <v>0</v>
      </c>
      <c r="BC159" s="21">
        <f>SUMIFS($M$150:$M$171,$D$150:$D$171,#REF!)+SUMIFS($AY$150:$AY$171,$D$150:$D$171,#REF!)</f>
        <v>0</v>
      </c>
      <c r="BD159" s="23">
        <f>IFERROR(BC159/BC150,0)</f>
        <v>0</v>
      </c>
      <c r="BE159" s="25">
        <f>SUMIFS($AO$150:$AO$171,$D$150:$D$171,#REF!)+SUMIFS($BA$150:$BA$171,$D$150:$D$171,#REF!)</f>
        <v>0</v>
      </c>
      <c r="BF159" s="26">
        <f>IFERROR(BE159/BE150,0)</f>
        <v>0</v>
      </c>
    </row>
    <row r="160" spans="4:58" ht="17.649999999999999" hidden="1" customHeight="1" outlineLevel="1">
      <c r="D160" s="21" t="s">
        <v>34</v>
      </c>
      <c r="E160" s="22"/>
      <c r="F160" s="21" t="e">
        <f t="shared" si="24"/>
        <v>#REF!</v>
      </c>
      <c r="G160" s="23">
        <f>IFERROR(F160/F150,0)</f>
        <v>0</v>
      </c>
      <c r="H160" s="23"/>
      <c r="I160" s="21" t="e">
        <f t="shared" si="25"/>
        <v>#REF!</v>
      </c>
      <c r="J160" s="21"/>
      <c r="K160" s="23">
        <f>IFERROR(I160/I150,0)</f>
        <v>0</v>
      </c>
      <c r="L160" s="23"/>
      <c r="M160" s="21" t="e">
        <f t="shared" si="26"/>
        <v>#REF!</v>
      </c>
      <c r="N160" s="21"/>
      <c r="O160" s="23">
        <f>IFERROR(M160/M150,0)</f>
        <v>0</v>
      </c>
      <c r="P160" s="23"/>
      <c r="Q160" s="21" t="e">
        <f t="shared" si="27"/>
        <v>#REF!</v>
      </c>
      <c r="R160" s="21"/>
      <c r="S160" s="23">
        <f>IFERROR(Q160/Q150,0)</f>
        <v>0</v>
      </c>
      <c r="T160" s="24"/>
      <c r="U160" s="22"/>
      <c r="X160" s="21" t="e">
        <f t="shared" si="28"/>
        <v>#REF!</v>
      </c>
      <c r="Y160" s="21"/>
      <c r="Z160" s="23">
        <f>IFERROR(X160/X150,0)</f>
        <v>0</v>
      </c>
      <c r="AA160" s="23"/>
      <c r="AB160" s="21" t="e">
        <f t="shared" si="29"/>
        <v>#REF!</v>
      </c>
      <c r="AC160" s="21"/>
      <c r="AD160" s="23">
        <f>IFERROR(AB160/AB150,0)</f>
        <v>0</v>
      </c>
      <c r="AE160" s="21" t="e">
        <f t="shared" si="30"/>
        <v>#REF!</v>
      </c>
      <c r="AF160" s="23">
        <f>IFERROR(AE160/AE150,0)</f>
        <v>0</v>
      </c>
      <c r="AG160" s="21" t="e">
        <f t="shared" si="31"/>
        <v>#REF!</v>
      </c>
      <c r="AH160" s="23">
        <f>IFERROR(AG160/AG150,0)</f>
        <v>0</v>
      </c>
      <c r="AI160" s="24"/>
      <c r="AK160" s="25" t="e">
        <f t="shared" si="32"/>
        <v>#REF!</v>
      </c>
      <c r="AL160" s="26">
        <f>IFERROR(AK160/AK150,0)</f>
        <v>0</v>
      </c>
      <c r="AM160" s="25" t="e">
        <f t="shared" si="33"/>
        <v>#REF!</v>
      </c>
      <c r="AN160" s="26">
        <f>IFERROR(AM160/AM150,0)</f>
        <v>0</v>
      </c>
      <c r="AO160" s="25" t="e">
        <f t="shared" si="34"/>
        <v>#REF!</v>
      </c>
      <c r="AP160" s="26">
        <f>IFERROR(AO160/AO150,0)</f>
        <v>0</v>
      </c>
      <c r="AQ160" s="25" t="e">
        <f t="shared" si="35"/>
        <v>#REF!</v>
      </c>
      <c r="AR160" s="26">
        <f>IFERROR(AQ160/AQ150,0)</f>
        <v>0</v>
      </c>
      <c r="AU160" s="21" t="e">
        <f t="shared" si="36"/>
        <v>#REF!</v>
      </c>
      <c r="AV160" s="23">
        <f>IFERROR(AU160/AU150,0)</f>
        <v>0</v>
      </c>
      <c r="AW160" s="25" t="e">
        <f t="shared" si="37"/>
        <v>#REF!</v>
      </c>
      <c r="AX160" s="26">
        <f>IFERROR(AW160/AW150,0)</f>
        <v>0</v>
      </c>
      <c r="AY160" s="21" t="e">
        <f t="shared" si="38"/>
        <v>#REF!</v>
      </c>
      <c r="AZ160" s="23">
        <f>IFERROR(AY160/AY150,0)</f>
        <v>0</v>
      </c>
      <c r="BA160" s="25" t="e">
        <f t="shared" si="39"/>
        <v>#REF!</v>
      </c>
      <c r="BB160" s="26">
        <f>IFERROR(BA160/BA150,0)</f>
        <v>0</v>
      </c>
      <c r="BC160" s="21">
        <f>SUMIFS($M$150:$M$171,$D$150:$D$171,#REF!)+SUMIFS($AY$150:$AY$171,$D$150:$D$171,#REF!)</f>
        <v>0</v>
      </c>
      <c r="BD160" s="23">
        <f>IFERROR(BC160/BC150,0)</f>
        <v>0</v>
      </c>
      <c r="BE160" s="25">
        <f>SUMIFS($AO$150:$AO$171,$D$150:$D$171,#REF!)+SUMIFS($BA$150:$BA$171,$D$150:$D$171,#REF!)</f>
        <v>0</v>
      </c>
      <c r="BF160" s="26">
        <f>IFERROR(BE160/BE150,0)</f>
        <v>0</v>
      </c>
    </row>
    <row r="161" spans="4:58" ht="17.649999999999999" hidden="1" customHeight="1" outlineLevel="1">
      <c r="D161" s="21" t="s">
        <v>36</v>
      </c>
      <c r="E161" s="22"/>
      <c r="F161" s="21" t="e">
        <f t="shared" si="24"/>
        <v>#REF!</v>
      </c>
      <c r="G161" s="23">
        <f>IFERROR(F161/F150,0)</f>
        <v>0</v>
      </c>
      <c r="H161" s="23"/>
      <c r="I161" s="21" t="e">
        <f t="shared" si="25"/>
        <v>#REF!</v>
      </c>
      <c r="J161" s="21"/>
      <c r="K161" s="23">
        <f>IFERROR(I161/I150,0)</f>
        <v>0</v>
      </c>
      <c r="L161" s="23"/>
      <c r="M161" s="21" t="e">
        <f t="shared" si="26"/>
        <v>#REF!</v>
      </c>
      <c r="N161" s="21"/>
      <c r="O161" s="23">
        <f>IFERROR(M161/M150,0)</f>
        <v>0</v>
      </c>
      <c r="P161" s="23"/>
      <c r="Q161" s="21" t="e">
        <f t="shared" si="27"/>
        <v>#REF!</v>
      </c>
      <c r="R161" s="21"/>
      <c r="S161" s="23">
        <f>IFERROR(Q161/Q150,0)</f>
        <v>0</v>
      </c>
      <c r="T161" s="24"/>
      <c r="U161" s="22"/>
      <c r="X161" s="21" t="e">
        <f t="shared" si="28"/>
        <v>#REF!</v>
      </c>
      <c r="Y161" s="21"/>
      <c r="Z161" s="23">
        <f>IFERROR(X161/X150,0)</f>
        <v>0</v>
      </c>
      <c r="AA161" s="23"/>
      <c r="AB161" s="21" t="e">
        <f t="shared" si="29"/>
        <v>#REF!</v>
      </c>
      <c r="AC161" s="21"/>
      <c r="AD161" s="23">
        <f>IFERROR(AB161/AB150,0)</f>
        <v>0</v>
      </c>
      <c r="AE161" s="21" t="e">
        <f t="shared" si="30"/>
        <v>#REF!</v>
      </c>
      <c r="AF161" s="23">
        <f>IFERROR(AE161/AE150,0)</f>
        <v>0</v>
      </c>
      <c r="AG161" s="21" t="e">
        <f t="shared" si="31"/>
        <v>#REF!</v>
      </c>
      <c r="AH161" s="23">
        <f>IFERROR(AG161/AG150,0)</f>
        <v>0</v>
      </c>
      <c r="AI161" s="24"/>
      <c r="AK161" s="25" t="e">
        <f t="shared" si="32"/>
        <v>#REF!</v>
      </c>
      <c r="AL161" s="26">
        <f>IFERROR(AK161/AK150,0)</f>
        <v>0</v>
      </c>
      <c r="AM161" s="25" t="e">
        <f t="shared" si="33"/>
        <v>#REF!</v>
      </c>
      <c r="AN161" s="26">
        <f>IFERROR(AM161/AM150,0)</f>
        <v>0</v>
      </c>
      <c r="AO161" s="25" t="e">
        <f t="shared" si="34"/>
        <v>#REF!</v>
      </c>
      <c r="AP161" s="26">
        <f>IFERROR(AO161/AO150,0)</f>
        <v>0</v>
      </c>
      <c r="AQ161" s="25" t="e">
        <f t="shared" si="35"/>
        <v>#REF!</v>
      </c>
      <c r="AR161" s="26">
        <f>IFERROR(AQ161/AQ150,0)</f>
        <v>0</v>
      </c>
      <c r="AU161" s="21" t="e">
        <f t="shared" si="36"/>
        <v>#REF!</v>
      </c>
      <c r="AV161" s="23">
        <f>IFERROR(AU161/AU150,0)</f>
        <v>0</v>
      </c>
      <c r="AW161" s="25" t="e">
        <f t="shared" si="37"/>
        <v>#REF!</v>
      </c>
      <c r="AX161" s="26">
        <f>IFERROR(AW161/AW150,0)</f>
        <v>0</v>
      </c>
      <c r="AY161" s="21" t="e">
        <f t="shared" si="38"/>
        <v>#REF!</v>
      </c>
      <c r="AZ161" s="23">
        <f>IFERROR(AY161/AY150,0)</f>
        <v>0</v>
      </c>
      <c r="BA161" s="25" t="e">
        <f t="shared" si="39"/>
        <v>#REF!</v>
      </c>
      <c r="BB161" s="26">
        <f>IFERROR(BA161/BA150,0)</f>
        <v>0</v>
      </c>
      <c r="BC161" s="21">
        <f>SUMIFS($M$150:$M$171,$D$150:$D$171,#REF!)+SUMIFS($AY$150:$AY$171,$D$150:$D$171,#REF!)</f>
        <v>0</v>
      </c>
      <c r="BD161" s="23">
        <f>IFERROR(BC161/BC150,0)</f>
        <v>0</v>
      </c>
      <c r="BE161" s="25">
        <f>SUMIFS($AO$150:$AO$171,$D$150:$D$171,#REF!)+SUMIFS($BA$150:$BA$171,$D$150:$D$171,#REF!)</f>
        <v>0</v>
      </c>
      <c r="BF161" s="26">
        <f>IFERROR(BE161/BE150,0)</f>
        <v>0</v>
      </c>
    </row>
    <row r="162" spans="4:58" ht="17.649999999999999" hidden="1" customHeight="1" outlineLevel="1">
      <c r="D162" s="21" t="s">
        <v>38</v>
      </c>
      <c r="E162" s="22"/>
      <c r="F162" s="21" t="e">
        <f t="shared" si="24"/>
        <v>#REF!</v>
      </c>
      <c r="G162" s="23">
        <f>IFERROR(F162/F150,0)</f>
        <v>0</v>
      </c>
      <c r="H162" s="23"/>
      <c r="I162" s="21" t="e">
        <f t="shared" si="25"/>
        <v>#REF!</v>
      </c>
      <c r="J162" s="21"/>
      <c r="K162" s="23">
        <f>IFERROR(I162/I150,0)</f>
        <v>0</v>
      </c>
      <c r="L162" s="23"/>
      <c r="M162" s="21" t="e">
        <f t="shared" si="26"/>
        <v>#REF!</v>
      </c>
      <c r="N162" s="21"/>
      <c r="O162" s="23">
        <f>IFERROR(M162/M150,0)</f>
        <v>0</v>
      </c>
      <c r="P162" s="23"/>
      <c r="Q162" s="21" t="e">
        <f t="shared" si="27"/>
        <v>#REF!</v>
      </c>
      <c r="R162" s="21"/>
      <c r="S162" s="23">
        <f>IFERROR(Q162/Q150,0)</f>
        <v>0</v>
      </c>
      <c r="T162" s="24"/>
      <c r="U162" s="22"/>
      <c r="X162" s="21" t="e">
        <f t="shared" si="28"/>
        <v>#REF!</v>
      </c>
      <c r="Y162" s="21"/>
      <c r="Z162" s="23">
        <f>IFERROR(X162/X150,0)</f>
        <v>0</v>
      </c>
      <c r="AA162" s="23"/>
      <c r="AB162" s="21" t="e">
        <f t="shared" si="29"/>
        <v>#REF!</v>
      </c>
      <c r="AC162" s="21"/>
      <c r="AD162" s="23">
        <f>IFERROR(AB162/AB150,0)</f>
        <v>0</v>
      </c>
      <c r="AE162" s="21" t="e">
        <f t="shared" si="30"/>
        <v>#REF!</v>
      </c>
      <c r="AF162" s="23">
        <f>IFERROR(AE162/AE150,0)</f>
        <v>0</v>
      </c>
      <c r="AG162" s="21" t="e">
        <f t="shared" si="31"/>
        <v>#REF!</v>
      </c>
      <c r="AH162" s="23">
        <f>IFERROR(AG162/AG150,0)</f>
        <v>0</v>
      </c>
      <c r="AI162" s="24"/>
      <c r="AK162" s="25" t="e">
        <f t="shared" si="32"/>
        <v>#REF!</v>
      </c>
      <c r="AL162" s="26">
        <f>IFERROR(AK162/AK150,0)</f>
        <v>0</v>
      </c>
      <c r="AM162" s="25" t="e">
        <f t="shared" si="33"/>
        <v>#REF!</v>
      </c>
      <c r="AN162" s="26">
        <f>IFERROR(AM162/AM150,0)</f>
        <v>0</v>
      </c>
      <c r="AO162" s="25" t="e">
        <f t="shared" si="34"/>
        <v>#REF!</v>
      </c>
      <c r="AP162" s="26">
        <f>IFERROR(AO162/AO150,0)</f>
        <v>0</v>
      </c>
      <c r="AQ162" s="25" t="e">
        <f t="shared" si="35"/>
        <v>#REF!</v>
      </c>
      <c r="AR162" s="26">
        <f>IFERROR(AQ162/AQ150,0)</f>
        <v>0</v>
      </c>
      <c r="AU162" s="21" t="e">
        <f t="shared" si="36"/>
        <v>#REF!</v>
      </c>
      <c r="AV162" s="23">
        <f>IFERROR(AU162/AU150,0)</f>
        <v>0</v>
      </c>
      <c r="AW162" s="25" t="e">
        <f t="shared" si="37"/>
        <v>#REF!</v>
      </c>
      <c r="AX162" s="26">
        <f>IFERROR(AW162/AW150,0)</f>
        <v>0</v>
      </c>
      <c r="AY162" s="21" t="e">
        <f t="shared" si="38"/>
        <v>#REF!</v>
      </c>
      <c r="AZ162" s="23">
        <f>IFERROR(AY162/AY150,0)</f>
        <v>0</v>
      </c>
      <c r="BA162" s="25" t="e">
        <f t="shared" si="39"/>
        <v>#REF!</v>
      </c>
      <c r="BB162" s="26">
        <f>IFERROR(BA162/BA150,0)</f>
        <v>0</v>
      </c>
      <c r="BC162" s="21">
        <f>SUMIFS($M$150:$M$171,$D$150:$D$171,#REF!)+SUMIFS($AY$150:$AY$171,$D$150:$D$171,#REF!)</f>
        <v>0</v>
      </c>
      <c r="BD162" s="23">
        <f>IFERROR(BC162/BC150,0)</f>
        <v>0</v>
      </c>
      <c r="BE162" s="25">
        <f>SUMIFS($AO$150:$AO$171,$D$150:$D$171,#REF!)+SUMIFS($BA$150:$BA$171,$D$150:$D$171,#REF!)</f>
        <v>0</v>
      </c>
      <c r="BF162" s="26">
        <f>IFERROR(BE162/BE150,0)</f>
        <v>0</v>
      </c>
    </row>
    <row r="163" spans="4:58" ht="17.649999999999999" hidden="1" customHeight="1" outlineLevel="1">
      <c r="D163" s="21" t="s">
        <v>40</v>
      </c>
      <c r="E163" s="22"/>
      <c r="F163" s="21" t="e">
        <f t="shared" si="24"/>
        <v>#REF!</v>
      </c>
      <c r="G163" s="23">
        <f>IFERROR(F163/F150,0)</f>
        <v>0</v>
      </c>
      <c r="H163" s="23"/>
      <c r="I163" s="21" t="e">
        <f t="shared" si="25"/>
        <v>#REF!</v>
      </c>
      <c r="J163" s="21"/>
      <c r="K163" s="23">
        <f>IFERROR(I163/I150,0)</f>
        <v>0</v>
      </c>
      <c r="L163" s="23"/>
      <c r="M163" s="21" t="e">
        <f t="shared" si="26"/>
        <v>#REF!</v>
      </c>
      <c r="N163" s="21"/>
      <c r="O163" s="23">
        <f>IFERROR(M163/M150,0)</f>
        <v>0</v>
      </c>
      <c r="P163" s="23"/>
      <c r="Q163" s="21" t="e">
        <f t="shared" si="27"/>
        <v>#REF!</v>
      </c>
      <c r="R163" s="21"/>
      <c r="S163" s="23">
        <f>IFERROR(Q163/Q150,0)</f>
        <v>0</v>
      </c>
      <c r="T163" s="24"/>
      <c r="U163" s="22"/>
      <c r="X163" s="21" t="e">
        <f t="shared" si="28"/>
        <v>#REF!</v>
      </c>
      <c r="Y163" s="21"/>
      <c r="Z163" s="23">
        <f>IFERROR(X163/X150,0)</f>
        <v>0</v>
      </c>
      <c r="AA163" s="23"/>
      <c r="AB163" s="21" t="e">
        <f t="shared" si="29"/>
        <v>#REF!</v>
      </c>
      <c r="AC163" s="21"/>
      <c r="AD163" s="23">
        <f>IFERROR(AB163/AB150,0)</f>
        <v>0</v>
      </c>
      <c r="AE163" s="21" t="e">
        <f t="shared" si="30"/>
        <v>#REF!</v>
      </c>
      <c r="AF163" s="23">
        <f>IFERROR(AE163/AE150,0)</f>
        <v>0</v>
      </c>
      <c r="AG163" s="21" t="e">
        <f t="shared" si="31"/>
        <v>#REF!</v>
      </c>
      <c r="AH163" s="23">
        <f>IFERROR(AG163/AG150,0)</f>
        <v>0</v>
      </c>
      <c r="AI163" s="24"/>
      <c r="AK163" s="25" t="e">
        <f t="shared" si="32"/>
        <v>#REF!</v>
      </c>
      <c r="AL163" s="26">
        <f>IFERROR(AK163/AK150,0)</f>
        <v>0</v>
      </c>
      <c r="AM163" s="25" t="e">
        <f t="shared" si="33"/>
        <v>#REF!</v>
      </c>
      <c r="AN163" s="26">
        <f>IFERROR(AM163/AM150,0)</f>
        <v>0</v>
      </c>
      <c r="AO163" s="25" t="e">
        <f t="shared" si="34"/>
        <v>#REF!</v>
      </c>
      <c r="AP163" s="26">
        <f>IFERROR(AO163/AO150,0)</f>
        <v>0</v>
      </c>
      <c r="AQ163" s="25" t="e">
        <f t="shared" si="35"/>
        <v>#REF!</v>
      </c>
      <c r="AR163" s="26">
        <f>IFERROR(AQ163/AQ150,0)</f>
        <v>0</v>
      </c>
      <c r="AU163" s="21" t="e">
        <f t="shared" si="36"/>
        <v>#REF!</v>
      </c>
      <c r="AV163" s="23">
        <f>IFERROR(AU163/AU150,0)</f>
        <v>0</v>
      </c>
      <c r="AW163" s="25" t="e">
        <f t="shared" si="37"/>
        <v>#REF!</v>
      </c>
      <c r="AX163" s="26">
        <f>IFERROR(AW163/AW150,0)</f>
        <v>0</v>
      </c>
      <c r="AY163" s="21" t="e">
        <f t="shared" si="38"/>
        <v>#REF!</v>
      </c>
      <c r="AZ163" s="23">
        <f>IFERROR(AY163/AY150,0)</f>
        <v>0</v>
      </c>
      <c r="BA163" s="25" t="e">
        <f t="shared" si="39"/>
        <v>#REF!</v>
      </c>
      <c r="BB163" s="26">
        <f>IFERROR(BA163/BA150,0)</f>
        <v>0</v>
      </c>
      <c r="BC163" s="21">
        <f>SUMIFS($M$150:$M$171,$D$150:$D$171,#REF!)+SUMIFS($AY$150:$AY$171,$D$150:$D$171,#REF!)</f>
        <v>0</v>
      </c>
      <c r="BD163" s="23">
        <f>IFERROR(BC163/BC150,0)</f>
        <v>0</v>
      </c>
      <c r="BE163" s="25">
        <f>SUMIFS($AO$150:$AO$171,$D$150:$D$171,#REF!)+SUMIFS($BA$150:$BA$171,$D$150:$D$171,#REF!)</f>
        <v>0</v>
      </c>
      <c r="BF163" s="26">
        <f>IFERROR(BE163/BE150,0)</f>
        <v>0</v>
      </c>
    </row>
    <row r="164" spans="4:58" ht="17.649999999999999" hidden="1" customHeight="1" outlineLevel="1">
      <c r="D164" s="28"/>
      <c r="E164" s="22"/>
      <c r="F164" s="21"/>
      <c r="G164" s="16"/>
      <c r="H164" s="16"/>
      <c r="I164" s="21"/>
      <c r="J164" s="21"/>
      <c r="K164" s="16"/>
      <c r="L164" s="16"/>
      <c r="M164" s="21"/>
      <c r="N164" s="21"/>
      <c r="O164" s="16"/>
      <c r="P164" s="16"/>
      <c r="Q164" s="21"/>
      <c r="R164" s="21"/>
      <c r="S164" s="16"/>
      <c r="T164" s="24"/>
      <c r="U164" s="22"/>
      <c r="X164" s="21"/>
      <c r="Y164" s="21"/>
      <c r="Z164" s="16"/>
      <c r="AA164" s="16"/>
      <c r="AB164" s="21"/>
      <c r="AC164" s="21"/>
      <c r="AD164" s="16"/>
      <c r="AE164" s="21"/>
      <c r="AF164" s="16"/>
      <c r="AG164" s="21"/>
      <c r="AH164" s="16"/>
      <c r="AI164" s="24"/>
      <c r="AK164" s="25"/>
      <c r="AL164" s="19"/>
      <c r="AM164" s="25"/>
      <c r="AN164" s="19"/>
      <c r="AO164" s="25"/>
      <c r="AP164" s="19"/>
      <c r="AQ164" s="25"/>
      <c r="AR164" s="19"/>
      <c r="AU164" s="21"/>
      <c r="AV164" s="16"/>
      <c r="AW164" s="25"/>
      <c r="AX164" s="19"/>
      <c r="AY164" s="21"/>
      <c r="AZ164" s="16"/>
      <c r="BA164" s="25"/>
      <c r="BB164" s="19"/>
      <c r="BC164" s="21"/>
      <c r="BD164" s="16"/>
      <c r="BE164" s="25"/>
      <c r="BF164" s="19"/>
    </row>
    <row r="165" spans="4:58" ht="17.649999999999999" hidden="1" customHeight="1" outlineLevel="1">
      <c r="D165" s="29" t="s">
        <v>41</v>
      </c>
      <c r="E165" s="22"/>
      <c r="F165" s="38" t="e">
        <f>SUM(F159:F163,F155)</f>
        <v>#REF!</v>
      </c>
      <c r="G165" s="31">
        <f>IFERROR(F165/F150,0)</f>
        <v>0</v>
      </c>
      <c r="H165" s="31"/>
      <c r="I165" s="38" t="e">
        <f>SUM(I159:I163,I155)</f>
        <v>#REF!</v>
      </c>
      <c r="J165" s="38"/>
      <c r="K165" s="31">
        <f>IFERROR(I165/I150,0)</f>
        <v>0</v>
      </c>
      <c r="L165" s="31"/>
      <c r="M165" s="38" t="e">
        <f>SUM(M159:M163,M155)</f>
        <v>#REF!</v>
      </c>
      <c r="N165" s="38"/>
      <c r="O165" s="31">
        <f>IFERROR(M165/M150,0)</f>
        <v>0</v>
      </c>
      <c r="P165" s="31"/>
      <c r="Q165" s="38" t="e">
        <f>SUM(Q159:Q163,Q155)</f>
        <v>#REF!</v>
      </c>
      <c r="R165" s="38"/>
      <c r="S165" s="31">
        <f>IFERROR(Q165/Q150,0)</f>
        <v>0</v>
      </c>
      <c r="T165" s="17"/>
      <c r="U165" s="14"/>
      <c r="X165" s="38" t="e">
        <f>SUM(X159:X163,X155)</f>
        <v>#REF!</v>
      </c>
      <c r="Y165" s="38"/>
      <c r="Z165" s="31">
        <f>IFERROR(X165/X150,0)</f>
        <v>0</v>
      </c>
      <c r="AA165" s="31"/>
      <c r="AB165" s="38" t="e">
        <f>SUM(AB159:AB163,AB155)</f>
        <v>#REF!</v>
      </c>
      <c r="AC165" s="38"/>
      <c r="AD165" s="31">
        <f>IFERROR(AB165/AB150,0)</f>
        <v>0</v>
      </c>
      <c r="AE165" s="38" t="e">
        <f>SUM(AE159:AE163,AE155)</f>
        <v>#REF!</v>
      </c>
      <c r="AF165" s="31">
        <f>IFERROR(AE165/AE150,0)</f>
        <v>0</v>
      </c>
      <c r="AG165" s="38" t="e">
        <f>SUM(AG159:AG163,AG155)</f>
        <v>#REF!</v>
      </c>
      <c r="AH165" s="31">
        <f>IFERROR(AG165/AG150,0)</f>
        <v>0</v>
      </c>
      <c r="AI165" s="17"/>
      <c r="AK165" s="39" t="e">
        <f>SUM(AK159:AK163,AK155)</f>
        <v>#REF!</v>
      </c>
      <c r="AL165" s="33">
        <f>IFERROR(AK165/AK150,0)</f>
        <v>0</v>
      </c>
      <c r="AM165" s="39" t="e">
        <f>SUM(AM159:AM163,AM155)</f>
        <v>#REF!</v>
      </c>
      <c r="AN165" s="33">
        <f>IFERROR(AM165/AM150,0)</f>
        <v>0</v>
      </c>
      <c r="AO165" s="39" t="e">
        <f>SUM(AO159:AO163,AO155)</f>
        <v>#REF!</v>
      </c>
      <c r="AP165" s="33">
        <f>IFERROR(AO165/AO150,0)</f>
        <v>0</v>
      </c>
      <c r="AQ165" s="39" t="e">
        <f>SUM(AQ159:AQ163,AQ155)</f>
        <v>#REF!</v>
      </c>
      <c r="AR165" s="33">
        <f>IFERROR(AQ165/AQ150,0)</f>
        <v>0</v>
      </c>
      <c r="AU165" s="38" t="e">
        <f>SUM(AU159:AU163,AU155)</f>
        <v>#REF!</v>
      </c>
      <c r="AV165" s="31">
        <f>IFERROR(AU165/AU150,0)</f>
        <v>0</v>
      </c>
      <c r="AW165" s="39" t="e">
        <f>SUM(AW159:AW163,AW155)</f>
        <v>#REF!</v>
      </c>
      <c r="AX165" s="33">
        <f>IFERROR(AW165/AW150,0)</f>
        <v>0</v>
      </c>
      <c r="AY165" s="38" t="e">
        <f>SUM(AY159:AY163,AY155)</f>
        <v>#REF!</v>
      </c>
      <c r="AZ165" s="31">
        <f>IFERROR(AY165/AY150,0)</f>
        <v>0</v>
      </c>
      <c r="BA165" s="39" t="e">
        <f>SUM(BA159:BA163,BA155)</f>
        <v>#REF!</v>
      </c>
      <c r="BB165" s="33">
        <f>IFERROR(BA165/BA150,0)</f>
        <v>0</v>
      </c>
      <c r="BC165" s="38">
        <f>SUM(BC159:BC163,BC155)</f>
        <v>0</v>
      </c>
      <c r="BD165" s="31">
        <f>IFERROR(BC165/BC150,0)</f>
        <v>0</v>
      </c>
      <c r="BE165" s="39">
        <f>SUM(BE159:BE163,BE155)</f>
        <v>0</v>
      </c>
      <c r="BF165" s="33">
        <f>IFERROR(BE165/BE150,0)</f>
        <v>0</v>
      </c>
    </row>
    <row r="166" spans="4:58" ht="17.649999999999999" hidden="1" customHeight="1" outlineLevel="1">
      <c r="D166" s="28"/>
      <c r="E166" s="22"/>
      <c r="F166" s="28"/>
      <c r="G166" s="16"/>
      <c r="H166" s="16"/>
      <c r="I166" s="65"/>
      <c r="J166" s="28"/>
      <c r="K166" s="16"/>
      <c r="L166" s="16"/>
      <c r="M166" s="28"/>
      <c r="N166" s="28"/>
      <c r="O166" s="16"/>
      <c r="P166" s="16"/>
      <c r="Q166" s="28"/>
      <c r="R166" s="28"/>
      <c r="S166" s="16"/>
      <c r="T166" s="24"/>
      <c r="U166" s="22"/>
      <c r="X166" s="28"/>
      <c r="Y166" s="28"/>
      <c r="Z166" s="16"/>
      <c r="AA166" s="16"/>
      <c r="AB166" s="65"/>
      <c r="AC166" s="28"/>
      <c r="AD166" s="16"/>
      <c r="AE166" s="28"/>
      <c r="AF166" s="16"/>
      <c r="AG166" s="28"/>
      <c r="AH166" s="16"/>
      <c r="AI166" s="24"/>
      <c r="AK166" s="40"/>
      <c r="AL166" s="19"/>
      <c r="AM166" s="40"/>
      <c r="AN166" s="19"/>
      <c r="AO166" s="40"/>
      <c r="AP166" s="19"/>
      <c r="AQ166" s="40"/>
      <c r="AR166" s="19"/>
      <c r="AU166" s="28"/>
      <c r="AV166" s="16"/>
      <c r="AW166" s="40"/>
      <c r="AX166" s="19"/>
      <c r="AY166" s="28"/>
      <c r="AZ166" s="16"/>
      <c r="BA166" s="40"/>
      <c r="BB166" s="19"/>
      <c r="BC166" s="28"/>
      <c r="BD166" s="16"/>
      <c r="BE166" s="40"/>
      <c r="BF166" s="19"/>
    </row>
    <row r="167" spans="4:58" ht="17.649999999999999" hidden="1" customHeight="1" outlineLevel="1">
      <c r="D167" s="41" t="s">
        <v>42</v>
      </c>
      <c r="E167" s="22"/>
      <c r="F167" s="42" t="e">
        <f>F153-F165</f>
        <v>#REF!</v>
      </c>
      <c r="G167" s="43">
        <f>IFERROR(F167/F150,0)</f>
        <v>0</v>
      </c>
      <c r="H167" s="120"/>
      <c r="I167" s="64" t="e">
        <f>I153-I165</f>
        <v>#REF!</v>
      </c>
      <c r="J167" s="64"/>
      <c r="K167" s="43">
        <f>IFERROR(I167/I150,0)</f>
        <v>0</v>
      </c>
      <c r="L167" s="43"/>
      <c r="M167" s="42" t="e">
        <f>M153-M165</f>
        <v>#REF!</v>
      </c>
      <c r="N167" s="42"/>
      <c r="O167" s="43">
        <f>IFERROR(M167/M150,0)</f>
        <v>0</v>
      </c>
      <c r="P167" s="43"/>
      <c r="Q167" s="42" t="e">
        <f>Q153-Q165</f>
        <v>#REF!</v>
      </c>
      <c r="R167" s="42"/>
      <c r="S167" s="43">
        <f>IFERROR(Q167/Q150,0)</f>
        <v>0</v>
      </c>
      <c r="T167" s="17"/>
      <c r="U167" s="14"/>
      <c r="X167" s="42" t="e">
        <f>X153-X165</f>
        <v>#REF!</v>
      </c>
      <c r="Y167" s="42"/>
      <c r="Z167" s="43">
        <f>IFERROR(X167/X150,0)</f>
        <v>0</v>
      </c>
      <c r="AA167" s="120"/>
      <c r="AB167" s="64" t="e">
        <f>AB153-AB165</f>
        <v>#REF!</v>
      </c>
      <c r="AC167" s="64"/>
      <c r="AD167" s="43">
        <f>IFERROR(AB167/AB150,0)</f>
        <v>0</v>
      </c>
      <c r="AE167" s="42" t="e">
        <f>AE153-AE165</f>
        <v>#REF!</v>
      </c>
      <c r="AF167" s="43">
        <f>IFERROR(AE167/AE150,0)</f>
        <v>0</v>
      </c>
      <c r="AG167" s="42" t="e">
        <f>AG153-AG165</f>
        <v>#REF!</v>
      </c>
      <c r="AH167" s="43">
        <f>IFERROR(AG167/AG150,0)</f>
        <v>0</v>
      </c>
      <c r="AI167" s="17"/>
      <c r="AK167" s="44" t="e">
        <f>AK153-AK165</f>
        <v>#REF!</v>
      </c>
      <c r="AL167" s="45">
        <f>IFERROR(AK167/AK150,0)</f>
        <v>0</v>
      </c>
      <c r="AM167" s="44" t="e">
        <f>AM153-AM165</f>
        <v>#REF!</v>
      </c>
      <c r="AN167" s="45">
        <f>IFERROR(AM167/AM150,0)</f>
        <v>0</v>
      </c>
      <c r="AO167" s="44" t="e">
        <f>AO153-AO165</f>
        <v>#REF!</v>
      </c>
      <c r="AP167" s="45">
        <f>IFERROR(AO167/AO150,0)</f>
        <v>0</v>
      </c>
      <c r="AQ167" s="44" t="e">
        <f>AQ153-AQ165</f>
        <v>#REF!</v>
      </c>
      <c r="AR167" s="45">
        <f>IFERROR(AQ167/AQ150,0)</f>
        <v>0</v>
      </c>
      <c r="AU167" s="42" t="e">
        <f>AU153-AU165</f>
        <v>#REF!</v>
      </c>
      <c r="AV167" s="43">
        <f>IFERROR(AU167/AU150,0)</f>
        <v>0</v>
      </c>
      <c r="AW167" s="44" t="e">
        <f>AW153-AW165</f>
        <v>#REF!</v>
      </c>
      <c r="AX167" s="45">
        <f>IFERROR(AW167/AW150,0)</f>
        <v>0</v>
      </c>
      <c r="AY167" s="42" t="e">
        <f>AY153-AY165</f>
        <v>#REF!</v>
      </c>
      <c r="AZ167" s="43">
        <f>IFERROR(AY167/AY150,0)</f>
        <v>0</v>
      </c>
      <c r="BA167" s="44" t="e">
        <f>BA153-BA165</f>
        <v>#REF!</v>
      </c>
      <c r="BB167" s="45">
        <f>IFERROR(BA167/BA150,0)</f>
        <v>0</v>
      </c>
      <c r="BC167" s="42">
        <f>BC153-BC165</f>
        <v>0</v>
      </c>
      <c r="BD167" s="43">
        <f>IFERROR(BC167/BC150,0)</f>
        <v>0</v>
      </c>
      <c r="BE167" s="44">
        <f>BE153-BE165</f>
        <v>0</v>
      </c>
      <c r="BF167" s="45">
        <f>IFERROR(BE167/BE150,0)</f>
        <v>0</v>
      </c>
    </row>
    <row r="168" spans="4:58" ht="17.649999999999999" hidden="1" customHeight="1" outlineLevel="1">
      <c r="D168" s="28"/>
      <c r="E168" s="22"/>
      <c r="F168" s="21"/>
      <c r="G168" s="16"/>
      <c r="H168" s="16"/>
      <c r="I168" s="21"/>
      <c r="J168" s="21"/>
      <c r="K168" s="16"/>
      <c r="L168" s="16"/>
      <c r="M168" s="21"/>
      <c r="N168" s="21"/>
      <c r="O168" s="16"/>
      <c r="P168" s="16"/>
      <c r="Q168" s="21"/>
      <c r="R168" s="21"/>
      <c r="S168" s="16"/>
      <c r="T168" s="24"/>
      <c r="U168" s="22"/>
      <c r="X168" s="21"/>
      <c r="Y168" s="21"/>
      <c r="Z168" s="16"/>
      <c r="AA168" s="16"/>
      <c r="AB168" s="21"/>
      <c r="AC168" s="21"/>
      <c r="AD168" s="16"/>
      <c r="AE168" s="21"/>
      <c r="AF168" s="16"/>
      <c r="AG168" s="21"/>
      <c r="AH168" s="16"/>
      <c r="AI168" s="24"/>
      <c r="AK168" s="25"/>
      <c r="AL168" s="19"/>
      <c r="AM168" s="25"/>
      <c r="AN168" s="19"/>
      <c r="AO168" s="25"/>
      <c r="AP168" s="19"/>
      <c r="AQ168" s="25"/>
      <c r="AR168" s="19"/>
      <c r="AU168" s="21"/>
      <c r="AV168" s="16"/>
      <c r="AW168" s="25"/>
      <c r="AX168" s="19"/>
      <c r="AY168" s="21"/>
      <c r="AZ168" s="16"/>
      <c r="BA168" s="25"/>
      <c r="BB168" s="19"/>
      <c r="BC168" s="21"/>
      <c r="BD168" s="16"/>
      <c r="BE168" s="25"/>
      <c r="BF168" s="19"/>
    </row>
    <row r="169" spans="4:58" ht="17.649999999999999" hidden="1" customHeight="1" outlineLevel="1">
      <c r="D169" s="21" t="s">
        <v>44</v>
      </c>
      <c r="E169" s="22"/>
      <c r="F169" s="21" t="e">
        <f>+F32+F104</f>
        <v>#REF!</v>
      </c>
      <c r="G169" s="23">
        <f>IFERROR(F169/F150,0)</f>
        <v>0</v>
      </c>
      <c r="H169" s="23"/>
      <c r="I169" s="21" t="e">
        <f>+I32+I104</f>
        <v>#REF!</v>
      </c>
      <c r="J169" s="21"/>
      <c r="K169" s="23">
        <f>IFERROR(I169/I150,0)</f>
        <v>0</v>
      </c>
      <c r="L169" s="23"/>
      <c r="M169" s="21" t="e">
        <f>+M32+M104</f>
        <v>#REF!</v>
      </c>
      <c r="N169" s="21"/>
      <c r="O169" s="23">
        <f>IFERROR(M169/M150,0)</f>
        <v>0</v>
      </c>
      <c r="P169" s="23"/>
      <c r="Q169" s="21" t="e">
        <f>+Q32+Q104</f>
        <v>#REF!</v>
      </c>
      <c r="R169" s="21"/>
      <c r="S169" s="23">
        <f>IFERROR(Q169/Q150,0)</f>
        <v>0</v>
      </c>
      <c r="T169" s="24"/>
      <c r="U169" s="22"/>
      <c r="X169" s="21" t="e">
        <f>+X32+X104</f>
        <v>#REF!</v>
      </c>
      <c r="Y169" s="21"/>
      <c r="Z169" s="23">
        <f>IFERROR(X169/X150,0)</f>
        <v>0</v>
      </c>
      <c r="AA169" s="23"/>
      <c r="AB169" s="21" t="e">
        <f>+AB32+AB104</f>
        <v>#REF!</v>
      </c>
      <c r="AC169" s="21"/>
      <c r="AD169" s="23">
        <f>IFERROR(AB169/AB150,0)</f>
        <v>0</v>
      </c>
      <c r="AE169" s="21" t="e">
        <f>+AE32+AE104</f>
        <v>#REF!</v>
      </c>
      <c r="AF169" s="23">
        <f>IFERROR(AE169/AE150,0)</f>
        <v>0</v>
      </c>
      <c r="AG169" s="21" t="e">
        <f>+AG32+AG104</f>
        <v>#REF!</v>
      </c>
      <c r="AH169" s="23">
        <f>IFERROR(AG169/AG150,0)</f>
        <v>0</v>
      </c>
      <c r="AI169" s="24"/>
      <c r="AK169" s="25" t="e">
        <f>+AK32+AK104</f>
        <v>#REF!</v>
      </c>
      <c r="AL169" s="26">
        <f>IFERROR(AK169/AK150,0)</f>
        <v>0</v>
      </c>
      <c r="AM169" s="25" t="e">
        <f>+AM104+AM32</f>
        <v>#REF!</v>
      </c>
      <c r="AN169" s="26">
        <f>IFERROR(AM169/AM150,0)</f>
        <v>0</v>
      </c>
      <c r="AO169" s="25" t="e">
        <f>+AO104+AO32</f>
        <v>#REF!</v>
      </c>
      <c r="AP169" s="26">
        <f>IFERROR(AO169/AO150,0)</f>
        <v>0</v>
      </c>
      <c r="AQ169" s="25" t="e">
        <f>+AQ104+AQ32</f>
        <v>#REF!</v>
      </c>
      <c r="AR169" s="26">
        <f>IFERROR(AQ169/AQ150,0)</f>
        <v>0</v>
      </c>
      <c r="AU169" s="21" t="e">
        <f>SUMIFS($F$150:$F$171,$D$150:$D$171,D169)</f>
        <v>#REF!</v>
      </c>
      <c r="AV169" s="23">
        <f>IFERROR(AU169/AU150,0)</f>
        <v>0</v>
      </c>
      <c r="AW169" s="25" t="e">
        <f>SUMIFS($AK$150:$AK$171,$D$150:$D$171,D169)</f>
        <v>#REF!</v>
      </c>
      <c r="AX169" s="26">
        <f>IFERROR(AW169/AW150,0)</f>
        <v>0</v>
      </c>
      <c r="AY169" s="21" t="e">
        <f>SUMIFS($I$150:$I$171,$D$150:$D$171,D169)+SUMIFS($AU$150:$AU$171,$D$150:$D$171,D169)</f>
        <v>#REF!</v>
      </c>
      <c r="AZ169" s="23">
        <f>IFERROR(AY169/AY150,0)</f>
        <v>0</v>
      </c>
      <c r="BA169" s="25" t="e">
        <f>SUMIFS($AM$150:$AM$171,$D$150:$D$171,D169)+SUMIFS($AW$150:$AW$171,$D$150:$D$171,D169)</f>
        <v>#REF!</v>
      </c>
      <c r="BB169" s="26">
        <f>IFERROR(BA169/BA150,0)</f>
        <v>0</v>
      </c>
      <c r="BC169" s="21">
        <f>SUMIFS($M$150:$M$171,$D$150:$D$171,#REF!)+SUMIFS($AY$150:$AY$171,$D$150:$D$171,#REF!)</f>
        <v>0</v>
      </c>
      <c r="BD169" s="23">
        <f>IFERROR(BC169/BC150,0)</f>
        <v>0</v>
      </c>
      <c r="BE169" s="25">
        <f>SUMIFS($AO$150:$AO$171,$D$150:$D$171,#REF!)+SUMIFS($BA$150:$BA$171,$D$150:$D$171,#REF!)</f>
        <v>0</v>
      </c>
      <c r="BF169" s="26">
        <f>IFERROR(BE169/BE150,0)</f>
        <v>0</v>
      </c>
    </row>
    <row r="170" spans="4:58" ht="17.649999999999999" hidden="1" customHeight="1" outlineLevel="1">
      <c r="D170" s="28"/>
      <c r="E170" s="22"/>
      <c r="F170" s="28"/>
      <c r="G170" s="16"/>
      <c r="H170" s="16"/>
      <c r="I170" s="28"/>
      <c r="J170" s="28"/>
      <c r="K170" s="16"/>
      <c r="L170" s="16"/>
      <c r="M170" s="28"/>
      <c r="N170" s="28"/>
      <c r="O170" s="16"/>
      <c r="P170" s="16"/>
      <c r="Q170" s="28"/>
      <c r="R170" s="28"/>
      <c r="S170" s="16"/>
      <c r="T170" s="24"/>
      <c r="U170" s="22"/>
      <c r="X170" s="28"/>
      <c r="Y170" s="28"/>
      <c r="Z170" s="16"/>
      <c r="AA170" s="16"/>
      <c r="AB170" s="28"/>
      <c r="AC170" s="28"/>
      <c r="AD170" s="16"/>
      <c r="AE170" s="28"/>
      <c r="AF170" s="16"/>
      <c r="AG170" s="28"/>
      <c r="AH170" s="16"/>
      <c r="AI170" s="24"/>
      <c r="AK170" s="40"/>
      <c r="AL170" s="19"/>
      <c r="AM170" s="40"/>
      <c r="AN170" s="19"/>
      <c r="AO170" s="40"/>
      <c r="AP170" s="19"/>
      <c r="AQ170" s="40"/>
      <c r="AR170" s="19"/>
      <c r="AU170" s="28"/>
      <c r="AV170" s="16"/>
      <c r="AW170" s="40"/>
      <c r="AX170" s="19"/>
      <c r="AY170" s="28"/>
      <c r="AZ170" s="16"/>
      <c r="BA170" s="40"/>
      <c r="BB170" s="19"/>
      <c r="BC170" s="28"/>
      <c r="BD170" s="16"/>
      <c r="BE170" s="40"/>
      <c r="BF170" s="19"/>
    </row>
    <row r="171" spans="4:58" ht="17.649999999999999" hidden="1" customHeight="1" outlineLevel="1">
      <c r="D171" s="41" t="s">
        <v>47</v>
      </c>
      <c r="E171" s="22"/>
      <c r="F171" s="42" t="e">
        <f>F167-F169</f>
        <v>#REF!</v>
      </c>
      <c r="G171" s="43">
        <f>IFERROR(F171/F150,0)</f>
        <v>0</v>
      </c>
      <c r="H171" s="43"/>
      <c r="I171" s="42" t="e">
        <f>I167-I169</f>
        <v>#REF!</v>
      </c>
      <c r="J171" s="42"/>
      <c r="K171" s="43">
        <f>IFERROR(I171/I150,0)</f>
        <v>0</v>
      </c>
      <c r="L171" s="43"/>
      <c r="M171" s="42" t="e">
        <f>M167-M169</f>
        <v>#REF!</v>
      </c>
      <c r="N171" s="42"/>
      <c r="O171" s="43">
        <f>IFERROR(M171/M150,0)</f>
        <v>0</v>
      </c>
      <c r="P171" s="43"/>
      <c r="Q171" s="42" t="e">
        <f>Q167-Q169</f>
        <v>#REF!</v>
      </c>
      <c r="R171" s="42"/>
      <c r="S171" s="43">
        <f>IFERROR(Q171/Q150,0)</f>
        <v>0</v>
      </c>
      <c r="T171" s="17"/>
      <c r="U171" s="14"/>
      <c r="X171" s="42" t="e">
        <f>X167-X169</f>
        <v>#REF!</v>
      </c>
      <c r="Y171" s="42"/>
      <c r="Z171" s="43">
        <f>IFERROR(X171/X150,0)</f>
        <v>0</v>
      </c>
      <c r="AA171" s="43"/>
      <c r="AB171" s="42" t="e">
        <f>AB167-AB169</f>
        <v>#REF!</v>
      </c>
      <c r="AC171" s="42"/>
      <c r="AD171" s="43">
        <f>IFERROR(AB171/AB150,0)</f>
        <v>0</v>
      </c>
      <c r="AE171" s="42" t="e">
        <f>AE167-AE169</f>
        <v>#REF!</v>
      </c>
      <c r="AF171" s="43">
        <f>IFERROR(AE171/AE150,0)</f>
        <v>0</v>
      </c>
      <c r="AG171" s="42" t="e">
        <f>AG167-AG169</f>
        <v>#REF!</v>
      </c>
      <c r="AH171" s="43">
        <f>IFERROR(AG171/AG150,0)</f>
        <v>0</v>
      </c>
      <c r="AI171" s="17"/>
      <c r="AK171" s="44" t="e">
        <f>AK167-AK169</f>
        <v>#REF!</v>
      </c>
      <c r="AL171" s="45">
        <f>IFERROR(AK171/AK150,0)</f>
        <v>0</v>
      </c>
      <c r="AM171" s="44" t="e">
        <f>AM167-AM169</f>
        <v>#REF!</v>
      </c>
      <c r="AN171" s="45">
        <f>IFERROR(AM171/AM150,0)</f>
        <v>0</v>
      </c>
      <c r="AO171" s="44" t="e">
        <f>AO167-AO169</f>
        <v>#REF!</v>
      </c>
      <c r="AP171" s="45">
        <f>IFERROR(AO171/AO150,0)</f>
        <v>0</v>
      </c>
      <c r="AQ171" s="44" t="e">
        <f>AQ167-AQ169</f>
        <v>#REF!</v>
      </c>
      <c r="AR171" s="45">
        <f>IFERROR(AQ171/AQ150,0)</f>
        <v>0</v>
      </c>
      <c r="AU171" s="42" t="e">
        <f>AU167-AU169</f>
        <v>#REF!</v>
      </c>
      <c r="AV171" s="43">
        <f>IFERROR(AU171/AU150,0)</f>
        <v>0</v>
      </c>
      <c r="AW171" s="44" t="e">
        <f>AW167-AW169</f>
        <v>#REF!</v>
      </c>
      <c r="AX171" s="45">
        <f>IFERROR(AW171/AW150,0)</f>
        <v>0</v>
      </c>
      <c r="AY171" s="42" t="e">
        <f>AY167-AY169</f>
        <v>#REF!</v>
      </c>
      <c r="AZ171" s="43">
        <f>IFERROR(AY171/AY150,0)</f>
        <v>0</v>
      </c>
      <c r="BA171" s="44" t="e">
        <f>BA167-BA169</f>
        <v>#REF!</v>
      </c>
      <c r="BB171" s="45">
        <f>IFERROR(BA171/BA150,0)</f>
        <v>0</v>
      </c>
      <c r="BC171" s="42">
        <f>BC167-BC169</f>
        <v>0</v>
      </c>
      <c r="BD171" s="43">
        <f>IFERROR(BC171/BC150,0)</f>
        <v>0</v>
      </c>
      <c r="BE171" s="44">
        <f>BE167-BE169</f>
        <v>0</v>
      </c>
      <c r="BF171" s="45">
        <f>IFERROR(BE171/BE150,0)</f>
        <v>0</v>
      </c>
    </row>
    <row r="172" spans="4:58" ht="14.65" hidden="1" customHeight="1" outlineLevel="1"/>
    <row r="173" spans="4:58" ht="14.65" hidden="1" customHeight="1" outlineLevel="1"/>
    <row r="174" spans="4:58" collapsed="1"/>
    <row r="183" spans="4:48" ht="21">
      <c r="AQ183" s="111" t="s">
        <v>71</v>
      </c>
      <c r="AR183" s="111" t="s">
        <v>72</v>
      </c>
      <c r="AS183" s="111" t="s">
        <v>73</v>
      </c>
      <c r="AT183" s="111" t="s">
        <v>74</v>
      </c>
      <c r="AU183" s="111" t="s">
        <v>44</v>
      </c>
      <c r="AV183" s="111" t="s">
        <v>75</v>
      </c>
    </row>
    <row r="191" spans="4:48" ht="28.5">
      <c r="D191" s="399" t="str">
        <f>CONCATENATE("Riviera Dining Group - Profit &amp; Loss",)</f>
        <v>Riviera Dining Group - Profit &amp; Loss</v>
      </c>
      <c r="E191" s="400"/>
      <c r="F191" s="400"/>
      <c r="G191" s="400"/>
      <c r="H191" s="400"/>
      <c r="I191" s="400"/>
      <c r="J191" s="400"/>
      <c r="K191" s="400"/>
      <c r="L191" s="400"/>
      <c r="M191" s="400"/>
      <c r="N191" s="400"/>
      <c r="O191" s="400"/>
      <c r="P191" s="400"/>
      <c r="Q191" s="400"/>
      <c r="R191" s="400"/>
      <c r="S191" s="400"/>
      <c r="T191" s="400"/>
      <c r="U191" s="400"/>
      <c r="V191" s="400"/>
      <c r="W191" s="400"/>
      <c r="X191" s="400"/>
      <c r="Y191" s="400"/>
      <c r="Z191" s="400"/>
      <c r="AA191" s="400"/>
      <c r="AB191" s="400"/>
      <c r="AC191" s="400"/>
      <c r="AD191" s="400"/>
      <c r="AE191" s="112"/>
      <c r="AF191" s="112"/>
      <c r="AG191" s="112"/>
      <c r="AH191" s="112"/>
      <c r="AI191" s="112"/>
    </row>
    <row r="193" spans="3:52" ht="23.25">
      <c r="C193" s="121" t="e">
        <f>VLOOKUP($D$193,#REF!,2,FALSE)</f>
        <v>#REF!</v>
      </c>
      <c r="D193" s="118" t="s">
        <v>76</v>
      </c>
      <c r="F193" s="406" t="s">
        <v>6</v>
      </c>
      <c r="G193" s="406"/>
      <c r="H193" s="406"/>
      <c r="I193" s="406"/>
      <c r="J193" s="406"/>
      <c r="K193" s="406"/>
      <c r="L193" s="406"/>
      <c r="M193" s="406"/>
      <c r="N193" s="406"/>
      <c r="O193" s="406"/>
      <c r="P193" s="110"/>
      <c r="Q193" s="71"/>
      <c r="R193" s="71"/>
      <c r="S193" s="406" t="s">
        <v>7</v>
      </c>
      <c r="T193" s="406"/>
      <c r="U193" s="406"/>
      <c r="V193" s="406"/>
      <c r="W193" s="406"/>
      <c r="X193" s="406"/>
      <c r="Y193" s="406"/>
      <c r="Z193" s="406"/>
      <c r="AA193" s="406"/>
      <c r="AB193" s="406"/>
      <c r="AC193" s="110"/>
    </row>
    <row r="195" spans="3:52" ht="27" customHeight="1">
      <c r="F195" s="142" t="s">
        <v>77</v>
      </c>
      <c r="G195" s="407" t="s">
        <v>72</v>
      </c>
      <c r="H195" s="408"/>
      <c r="I195" s="407" t="s">
        <v>73</v>
      </c>
      <c r="J195" s="408"/>
      <c r="K195" s="407" t="s">
        <v>74</v>
      </c>
      <c r="L195" s="408"/>
      <c r="M195" s="407" t="s">
        <v>44</v>
      </c>
      <c r="N195" s="408"/>
      <c r="O195" s="407" t="s">
        <v>47</v>
      </c>
      <c r="P195" s="408"/>
      <c r="Q195" s="141"/>
      <c r="R195" s="141"/>
      <c r="S195" s="142" t="s">
        <v>77</v>
      </c>
      <c r="T195" s="407" t="s">
        <v>72</v>
      </c>
      <c r="U195" s="408"/>
      <c r="V195" s="407" t="s">
        <v>73</v>
      </c>
      <c r="W195" s="408"/>
      <c r="X195" s="407" t="s">
        <v>74</v>
      </c>
      <c r="Y195" s="408"/>
      <c r="Z195" s="407" t="s">
        <v>44</v>
      </c>
      <c r="AA195" s="408"/>
      <c r="AB195" s="407" t="s">
        <v>47</v>
      </c>
      <c r="AC195" s="408"/>
    </row>
    <row r="196" spans="3:52" s="108" customFormat="1" ht="28.9" customHeight="1">
      <c r="D196" s="109" t="s">
        <v>8</v>
      </c>
      <c r="F196" s="149" t="e">
        <f>SUMIFS(#REF!,#REF!,$B$13)</f>
        <v>#REF!</v>
      </c>
      <c r="G196" s="113" t="e">
        <f>SUMIFS(#REF!,#REF!,'RDG Weekly'!$B$14)+SUMIFS(#REF!,#REF!,'RDG Weekly'!$B$15)+SUMIFS(#REF!,#REF!,'RDG Weekly'!$B$16)</f>
        <v>#REF!</v>
      </c>
      <c r="H196" s="143">
        <f>IFERROR(G196/$F$196,0)</f>
        <v>0</v>
      </c>
      <c r="I196" s="113" t="e">
        <f>+SUMIFS(#REF!,#REF!,'RDG Weekly'!$B$18)
+SUMIFS(#REF!,#REF!,'RDG Weekly'!$C$18)
+SUMIFS(#REF!,#REF!,'RDG Weekly'!$C$22)
+SUMIFS(#REF!,#REF!,'RDG Weekly'!$C$23)</f>
        <v>#REF!</v>
      </c>
      <c r="J196" s="143">
        <f>IFERROR(I196/$F$196,0)</f>
        <v>0</v>
      </c>
      <c r="K196" s="113" t="e">
        <f>+SUMIFS(#REF!,#REF!,'RDG Weekly'!$B$22)
+SUMIFS(#REF!,#REF!,'RDG Weekly'!$B$23)
+SUMIFS(#REF!,#REF!,'RDG Weekly'!$B$24)
+SUMIFS(#REF!,#REF!,'RDG Weekly'!$B$25)
+SUMIFS(#REF!,#REF!,'RDG Weekly'!$B$26)</f>
        <v>#REF!</v>
      </c>
      <c r="L196" s="143">
        <f>IFERROR(K196/$F$196,0)</f>
        <v>0</v>
      </c>
      <c r="M196" s="113" t="e">
        <f>+SUMIFS(#REF!,#REF!,'RDG Weekly'!$B$32)
-SUMIFS(#REF!,#REF!,'RDG Weekly'!$B$35)-SUMIFS(#REF!,#REF!,'RDG Weekly'!$B$33)</f>
        <v>#REF!</v>
      </c>
      <c r="N196" s="143">
        <f>IFERROR(M196/$F$196,0)</f>
        <v>0</v>
      </c>
      <c r="O196" s="113" t="e">
        <f>F196-G196-I196-K196-M196</f>
        <v>#REF!</v>
      </c>
      <c r="P196" s="143">
        <f>IFERROR(O196/$F$196,0)</f>
        <v>0</v>
      </c>
      <c r="S196" s="149" t="e">
        <f>SUMIFS(#REF!,#REF!,$B$13)</f>
        <v>#REF!</v>
      </c>
      <c r="T196" s="113" t="e">
        <f>SUMIFS(#REF!,#REF!,'RDG Weekly'!$B$14)+SUMIFS(#REF!,#REF!,'RDG Weekly'!$B$15)+SUMIFS(#REF!,#REF!,'RDG Weekly'!$B$16)</f>
        <v>#REF!</v>
      </c>
      <c r="U196" s="143">
        <f>IFERROR(T196/$S196,0)</f>
        <v>0</v>
      </c>
      <c r="V196" s="113" t="e">
        <f>+SUMIFS(#REF!,#REF!,'RDG Weekly'!$B$18)
+SUMIFS(#REF!,#REF!,'RDG Weekly'!$C$18)
+SUMIFS(#REF!,#REF!,'RDG Weekly'!$C$22)
+SUMIFS(#REF!,#REF!,'RDG Weekly'!$C$23)</f>
        <v>#REF!</v>
      </c>
      <c r="W196" s="143">
        <f>IFERROR(V196/$S196,0)</f>
        <v>0</v>
      </c>
      <c r="X196" s="113" t="e">
        <f>+SUMIFS(#REF!,#REF!,'RDG Weekly'!$B$22)
+SUMIFS(#REF!,#REF!,'RDG Weekly'!$B$23)
+SUMIFS(#REF!,#REF!,'RDG Weekly'!$B$24)
+SUMIFS(#REF!,#REF!,'RDG Weekly'!$B$25)
+SUMIFS(#REF!,#REF!,'RDG Weekly'!$B$26)</f>
        <v>#REF!</v>
      </c>
      <c r="Y196" s="143">
        <f>IFERROR(X196/$S196,0)</f>
        <v>0</v>
      </c>
      <c r="Z196" s="113" t="e">
        <f>+SUMIFS(#REF!,#REF!,'RDG Weekly'!$B$32)
-SUMIFS(#REF!,#REF!,'RDG Weekly'!$B$35)-SUMIFS(#REF!,#REF!,'RDG Weekly'!$B$33)</f>
        <v>#REF!</v>
      </c>
      <c r="AA196" s="143">
        <f>IFERROR(Z196/$S196,0)</f>
        <v>0</v>
      </c>
      <c r="AB196" s="113" t="e">
        <f>S196-T196-V196-X196-Z196</f>
        <v>#REF!</v>
      </c>
      <c r="AC196" s="143">
        <f>IFERROR(AB196/$S196,0)</f>
        <v>0</v>
      </c>
    </row>
    <row r="197" spans="3:52" ht="28.9" customHeight="1">
      <c r="D197" s="117" t="s">
        <v>78</v>
      </c>
      <c r="F197" s="150" t="e">
        <f>HLOOKUP($D$193,#REF!,2,FALSE)</f>
        <v>#REF!</v>
      </c>
      <c r="G197" s="116" t="e">
        <f>HLOOKUP($D$193,#REF!,3,FALSE)</f>
        <v>#REF!</v>
      </c>
      <c r="H197" s="144">
        <f>IFERROR(G197/$F$197,0)</f>
        <v>0</v>
      </c>
      <c r="I197" s="116" t="e">
        <f>HLOOKUP($D$193,#REF!,7,FALSE)</f>
        <v>#REF!</v>
      </c>
      <c r="J197" s="144">
        <f>IFERROR(I197/$F$197,0)</f>
        <v>0</v>
      </c>
      <c r="K197" s="116" t="e">
        <f>HLOOKUP($D$193,#REF!,8,FALSE)+HLOOKUP($D$193,#REF!,9,FALSE)+HLOOKUP($D$193,#REF!,10,FALSE)+HLOOKUP($D$193,#REF!,11,FALSE)+HLOOKUP($D$193,#REF!,12,FALSE)</f>
        <v>#REF!</v>
      </c>
      <c r="L197" s="144">
        <f>IFERROR(K197/$F$197,0)</f>
        <v>0</v>
      </c>
      <c r="M197" s="116" t="e">
        <f>HLOOKUP($D$193,#REF!,18,FALSE)</f>
        <v>#REF!</v>
      </c>
      <c r="N197" s="144">
        <f>IFERROR(M197/$F$197,0)</f>
        <v>0</v>
      </c>
      <c r="O197" s="116" t="e">
        <f>F197-G197-I197-K197-M197</f>
        <v>#REF!</v>
      </c>
      <c r="P197" s="144">
        <f>IFERROR(O197/$F$197,0)</f>
        <v>0</v>
      </c>
      <c r="S197" s="150" t="e">
        <f>SUMIF(#REF!,"actual",#REF!)</f>
        <v>#REF!</v>
      </c>
      <c r="T197" s="116" t="e">
        <f>SUMIF(#REF!,"actual",#REF!)</f>
        <v>#REF!</v>
      </c>
      <c r="U197" s="144">
        <f>IFERROR(T197/$S197,0)</f>
        <v>0</v>
      </c>
      <c r="V197" s="116" t="e">
        <f>SUMIF(#REF!,"actual",#REF!)</f>
        <v>#REF!</v>
      </c>
      <c r="W197" s="144">
        <f>IFERROR(V197/$S197,0)</f>
        <v>0</v>
      </c>
      <c r="X197" s="116" t="e">
        <f>SUMIF(#REF!,"actual",#REF!)+SUMIF(#REF!,"actual",#REF!)+SUMIF(#REF!,"actual",#REF!)+SUMIF(#REF!,"actual",#REF!)+SUMIF(#REF!,"actual",#REF!)</f>
        <v>#REF!</v>
      </c>
      <c r="Y197" s="144">
        <f>IFERROR(X197/$S197,0)</f>
        <v>0</v>
      </c>
      <c r="Z197" s="116" t="e">
        <f>SUMIF(#REF!,"actual",#REF!)</f>
        <v>#REF!</v>
      </c>
      <c r="AA197" s="144">
        <f>IFERROR(Z197/$S197,0)</f>
        <v>0</v>
      </c>
      <c r="AB197" s="116" t="e">
        <f>S197-T197-V197-X197-Z197</f>
        <v>#REF!</v>
      </c>
      <c r="AC197" s="144">
        <f>IFERROR(AB197/$S197,0)</f>
        <v>0</v>
      </c>
    </row>
    <row r="198" spans="3:52" ht="12" customHeight="1">
      <c r="D198" s="54"/>
      <c r="F198" s="151"/>
      <c r="G198" s="114"/>
      <c r="H198" s="145"/>
      <c r="I198" s="76"/>
      <c r="J198" s="147"/>
      <c r="K198" s="76"/>
      <c r="L198" s="147"/>
      <c r="M198" s="76"/>
      <c r="N198" s="147"/>
      <c r="O198" s="76"/>
      <c r="P198" s="147"/>
      <c r="S198" s="151"/>
      <c r="T198" s="76"/>
      <c r="U198" s="151"/>
      <c r="V198" s="76"/>
      <c r="W198" s="151"/>
      <c r="X198" s="76"/>
      <c r="Y198" s="151"/>
      <c r="Z198" s="76"/>
      <c r="AA198" s="151"/>
      <c r="AB198" s="76"/>
      <c r="AC198" s="151"/>
    </row>
    <row r="199" spans="3:52" ht="28.9" customHeight="1">
      <c r="D199" s="109" t="s">
        <v>9</v>
      </c>
      <c r="E199" s="49"/>
      <c r="F199" s="149" t="e">
        <f>SUMIFS(#REF!,#REF!,$B$13)</f>
        <v>#REF!</v>
      </c>
      <c r="G199" s="113" t="e">
        <f>SUMIFS(#REF!,#REF!,'RDG Weekly'!$B$14)+SUMIFS(#REF!,#REF!,'RDG Weekly'!$B$15)+SUMIFS(#REF!,#REF!,'RDG Weekly'!$B$16)</f>
        <v>#REF!</v>
      </c>
      <c r="H199" s="143">
        <f>IFERROR(G199/$F199,0)</f>
        <v>0</v>
      </c>
      <c r="I199" s="113" t="e">
        <f>+SUMIFS(#REF!,#REF!,'RDG Weekly'!$B$18)
+SUMIFS(#REF!,#REF!,'RDG Weekly'!$C$18)
+SUMIFS(#REF!,#REF!,'RDG Weekly'!$C$22)
+SUMIFS(#REF!,#REF!,'RDG Weekly'!$C$23)</f>
        <v>#REF!</v>
      </c>
      <c r="J199" s="143">
        <f>IFERROR(I199/$F199,0)</f>
        <v>0</v>
      </c>
      <c r="K199" s="113" t="e">
        <f>+SUMIFS(#REF!,#REF!,'RDG Weekly'!$B$22)
+SUMIFS(#REF!,#REF!,'RDG Weekly'!$B$23)
+SUMIFS(#REF!,#REF!,'RDG Weekly'!$B$24)
+SUMIFS(#REF!,#REF!,'RDG Weekly'!$B$25)
+SUMIFS(#REF!,#REF!,'RDG Weekly'!$B$26)</f>
        <v>#REF!</v>
      </c>
      <c r="L199" s="143">
        <f>IFERROR(K199/$F199,0)</f>
        <v>0</v>
      </c>
      <c r="M199" s="113" t="e">
        <f>+SUMIFS(#REF!,#REF!,'RDG Weekly'!$B$32)
-SUMIFS(#REF!,#REF!,'RDG Weekly'!$B$35)-SUMIFS(#REF!,#REF!,'RDG Weekly'!$B$33)</f>
        <v>#REF!</v>
      </c>
      <c r="N199" s="143">
        <f>IFERROR(M199/$F199,0)</f>
        <v>0</v>
      </c>
      <c r="O199" s="113" t="e">
        <f>F199-G199-I199-K199-M199</f>
        <v>#REF!</v>
      </c>
      <c r="P199" s="143">
        <f>IFERROR(O199/$F199,0)</f>
        <v>0</v>
      </c>
      <c r="S199" s="149" t="e">
        <f>SUMIFS(#REF!,#REF!,$B$13)</f>
        <v>#REF!</v>
      </c>
      <c r="T199" s="113" t="e">
        <f>SUMIFS(#REF!,#REF!,'RDG Weekly'!$B$14)+SUMIFS(#REF!,#REF!,'RDG Weekly'!$B$15)+SUMIFS(#REF!,#REF!,'RDG Weekly'!$B$16)</f>
        <v>#REF!</v>
      </c>
      <c r="U199" s="143">
        <f>IFERROR(T199/$S199,0)</f>
        <v>0</v>
      </c>
      <c r="V199" s="113" t="e">
        <f>+SUMIFS(#REF!,#REF!,'RDG Weekly'!$B$18)
+SUMIFS(#REF!,#REF!,'RDG Weekly'!$C$18)
+SUMIFS(#REF!,#REF!,'RDG Weekly'!$C$22)
+SUMIFS(#REF!,#REF!,'RDG Weekly'!$C$23)</f>
        <v>#REF!</v>
      </c>
      <c r="W199" s="143">
        <f>IFERROR(V199/$S199,0)</f>
        <v>0</v>
      </c>
      <c r="X199" s="113" t="e">
        <f>+SUMIFS(#REF!,#REF!,'RDG Weekly'!$B$22)
+SUMIFS(#REF!,#REF!,'RDG Weekly'!$B$23)
+SUMIFS(#REF!,#REF!,'RDG Weekly'!$B$24)
+SUMIFS(#REF!,#REF!,'RDG Weekly'!$B$25)
+SUMIFS(#REF!,#REF!,'RDG Weekly'!$B$26)</f>
        <v>#REF!</v>
      </c>
      <c r="Y199" s="143">
        <f>IFERROR(X199/$S199,0)</f>
        <v>0</v>
      </c>
      <c r="Z199" s="113" t="e">
        <f>+SUMIFS(#REF!,#REF!,'RDG Weekly'!$B$32)
-SUMIFS(#REF!,#REF!,'RDG Weekly'!$B$35)-SUMIFS(#REF!,#REF!,'RDG Weekly'!$B$33)</f>
        <v>#REF!</v>
      </c>
      <c r="AA199" s="143">
        <f>IFERROR(Z199/$S199,0)</f>
        <v>0</v>
      </c>
      <c r="AB199" s="113" t="e">
        <f>S199-T199-V199-X199-Z199</f>
        <v>#REF!</v>
      </c>
      <c r="AC199" s="143">
        <f>IFERROR(AB199/$S199,0)</f>
        <v>0</v>
      </c>
      <c r="AE199" s="91"/>
    </row>
    <row r="200" spans="3:52" ht="27.6" customHeight="1">
      <c r="D200" s="117" t="s">
        <v>78</v>
      </c>
      <c r="F200" s="150" t="e">
        <f>HLOOKUP($D$193,#REF!,2,FALSE)</f>
        <v>#REF!</v>
      </c>
      <c r="G200" s="116" t="e">
        <f>HLOOKUP($D$193,#REF!,3,FALSE)</f>
        <v>#REF!</v>
      </c>
      <c r="H200" s="144">
        <f>IFERROR(G200/$F200,0)</f>
        <v>0</v>
      </c>
      <c r="I200" s="116" t="e">
        <f>HLOOKUP($D$193,#REF!,7,FALSE)</f>
        <v>#REF!</v>
      </c>
      <c r="J200" s="144">
        <f>IFERROR(I200/$F200,0)</f>
        <v>0</v>
      </c>
      <c r="K200" s="116" t="e">
        <f>HLOOKUP($D$193,#REF!,8,FALSE)+HLOOKUP($D$193,#REF!,9,FALSE)+HLOOKUP($D$193,#REF!,10,FALSE)+HLOOKUP($D$193,#REF!,11,FALSE)+HLOOKUP($D$193,#REF!,12,FALSE)</f>
        <v>#REF!</v>
      </c>
      <c r="L200" s="144">
        <f>IFERROR(K200/$F200,0)</f>
        <v>0</v>
      </c>
      <c r="M200" s="116" t="e">
        <f>HLOOKUP($D$193,#REF!,18,FALSE)</f>
        <v>#REF!</v>
      </c>
      <c r="N200" s="144">
        <f>IFERROR(M200/$F200,0)</f>
        <v>0</v>
      </c>
      <c r="O200" s="116" t="e">
        <f>F200-G200-I200-K200-M200</f>
        <v>#REF!</v>
      </c>
      <c r="P200" s="144">
        <f>IFERROR(O200/$F200,0)</f>
        <v>0</v>
      </c>
      <c r="S200" s="150" t="e">
        <f>SUMIF(#REF!,"actual",#REF!)</f>
        <v>#REF!</v>
      </c>
      <c r="T200" s="116" t="e">
        <f>SUMIF(#REF!,"actual",#REF!)</f>
        <v>#REF!</v>
      </c>
      <c r="U200" s="144">
        <f>IFERROR(T200/$S200,0)</f>
        <v>0</v>
      </c>
      <c r="V200" s="116" t="e">
        <f>SUMIF(#REF!,"actual",#REF!)</f>
        <v>#REF!</v>
      </c>
      <c r="W200" s="144">
        <f>IFERROR(V200/$S200,0)</f>
        <v>0</v>
      </c>
      <c r="X200" s="116" t="e">
        <f>SUMIF(#REF!,"actual",#REF!)+SUMIF(#REF!,"actual",#REF!)+SUMIF(#REF!,"actual",#REF!)+SUMIF(#REF!,"actual",#REF!)+SUMIF(#REF!,"actual",#REF!)</f>
        <v>#REF!</v>
      </c>
      <c r="Y200" s="144">
        <f>IFERROR(X200/$S200,0)</f>
        <v>0</v>
      </c>
      <c r="Z200" s="116" t="e">
        <f>SUMIF(#REF!,"actual",#REF!)</f>
        <v>#REF!</v>
      </c>
      <c r="AA200" s="144">
        <f>IFERROR(Z200/$S200,0)</f>
        <v>0</v>
      </c>
      <c r="AB200" s="116" t="e">
        <f>S200-T200-V200-X200-Z200</f>
        <v>#REF!</v>
      </c>
      <c r="AC200" s="144">
        <f>IFERROR(AB200/$S200,0)</f>
        <v>0</v>
      </c>
      <c r="AL200" s="409" t="s">
        <v>6</v>
      </c>
      <c r="AM200" s="409"/>
      <c r="AN200" s="409"/>
      <c r="AO200" s="409"/>
      <c r="AP200" s="409"/>
      <c r="AQ200" s="409"/>
    </row>
    <row r="201" spans="3:52" ht="12" customHeight="1">
      <c r="D201" s="54"/>
      <c r="F201" s="152"/>
      <c r="G201" s="114"/>
      <c r="H201" s="145"/>
      <c r="I201" s="1"/>
      <c r="J201" s="148"/>
      <c r="K201" s="1"/>
      <c r="L201" s="148"/>
      <c r="M201" s="76"/>
      <c r="N201" s="147"/>
      <c r="O201" s="76"/>
      <c r="P201" s="147"/>
      <c r="S201" s="151"/>
      <c r="T201" s="114"/>
      <c r="U201" s="153"/>
      <c r="V201" s="1"/>
      <c r="W201" s="152"/>
      <c r="X201" s="1"/>
      <c r="Y201" s="152"/>
      <c r="Z201" s="76"/>
      <c r="AA201" s="151"/>
      <c r="AB201" s="76"/>
      <c r="AC201" s="151"/>
      <c r="AL201" s="409"/>
      <c r="AM201" s="409"/>
      <c r="AN201" s="409"/>
      <c r="AO201" s="409"/>
      <c r="AP201" s="409"/>
      <c r="AQ201" s="409"/>
    </row>
    <row r="202" spans="3:52" ht="28.9" customHeight="1">
      <c r="D202" s="109" t="s">
        <v>79</v>
      </c>
      <c r="F202" s="153" t="e">
        <f>SUMIFS(#REF!,#REF!,$B$13)</f>
        <v>#REF!</v>
      </c>
      <c r="G202" s="114" t="e">
        <f>SUMIFS(#REF!,#REF!,'RDG Weekly'!$B$14)+SUMIFS(#REF!,#REF!,'RDG Weekly'!$B$15)+SUMIFS(#REF!,#REF!,'RDG Weekly'!$B$16)</f>
        <v>#REF!</v>
      </c>
      <c r="H202" s="143">
        <f>IFERROR(G202/$F202,0)</f>
        <v>0</v>
      </c>
      <c r="I202" s="114" t="e">
        <f>+SUMIFS(#REF!,#REF!,'RDG Weekly'!$B$18)
+SUMIFS(#REF!,#REF!,'RDG Weekly'!$C$18)
+SUMIFS(#REF!,#REF!,'RDG Weekly'!$C$22)
+SUMIFS(#REF!,#REF!,'RDG Weekly'!$C$23)</f>
        <v>#REF!</v>
      </c>
      <c r="J202" s="143">
        <f>IFERROR(I202/$F202,0)</f>
        <v>0</v>
      </c>
      <c r="K202" s="114" t="e">
        <f>+SUMIFS(#REF!,#REF!,'RDG Weekly'!$B$22)
+SUMIFS(#REF!,#REF!,'RDG Weekly'!$B$23)
+SUMIFS(#REF!,#REF!,'RDG Weekly'!$B$24)
+SUMIFS(#REF!,#REF!,'RDG Weekly'!$B$25)
+SUMIFS(#REF!,#REF!,'RDG Weekly'!$B$26)</f>
        <v>#REF!</v>
      </c>
      <c r="L202" s="143">
        <f>IFERROR(K202/$F202,0)</f>
        <v>0</v>
      </c>
      <c r="M202" s="114" t="e">
        <f>+SUMIFS(#REF!,#REF!,'RDG Weekly'!$B$32)
-SUMIFS(#REF!,#REF!,'RDG Weekly'!$B$35)-SUMIFS(#REF!,#REF!,'RDG Weekly'!$B$33)</f>
        <v>#REF!</v>
      </c>
      <c r="N202" s="143">
        <f>IFERROR(M202/$F202,0)</f>
        <v>0</v>
      </c>
      <c r="O202" s="114" t="e">
        <f>F202-G202-I202-K202-M202</f>
        <v>#REF!</v>
      </c>
      <c r="P202" s="143">
        <f>IFERROR(O202/$F202,0)</f>
        <v>0</v>
      </c>
      <c r="S202" s="149" t="e">
        <f>SUMIFS(#REF!,#REF!,$B$13)</f>
        <v>#REF!</v>
      </c>
      <c r="T202" s="113" t="e">
        <f>SUMIFS(#REF!,#REF!,'RDG Weekly'!$B$14)+SUMIFS(#REF!,#REF!,'RDG Weekly'!$B$15)+SUMIFS(#REF!,#REF!,'RDG Weekly'!$B$16)</f>
        <v>#REF!</v>
      </c>
      <c r="U202" s="143">
        <f>IFERROR(T202/$S202,0)</f>
        <v>0</v>
      </c>
      <c r="V202" s="113" t="e">
        <f>+SUMIFS(#REF!,#REF!,'RDG Weekly'!$B$18)
+SUMIFS(#REF!,#REF!,'RDG Weekly'!$C$18)
+SUMIFS(#REF!,#REF!,'RDG Weekly'!$C$22)
+SUMIFS(#REF!,#REF!,'RDG Weekly'!$C$23)</f>
        <v>#REF!</v>
      </c>
      <c r="W202" s="143">
        <f>IFERROR(V202/$S202,0)</f>
        <v>0</v>
      </c>
      <c r="X202" s="113" t="e">
        <f>+SUMIFS(#REF!,#REF!,'RDG Weekly'!$B$22)
+SUMIFS(#REF!,#REF!,'RDG Weekly'!$B$23)
+SUMIFS(#REF!,#REF!,'RDG Weekly'!$B$24)
+SUMIFS(#REF!,#REF!,'RDG Weekly'!$B$25)
+SUMIFS(#REF!,#REF!,'RDG Weekly'!$B$26)</f>
        <v>#REF!</v>
      </c>
      <c r="Y202" s="143">
        <f>IFERROR(X202/$S202,0)</f>
        <v>0</v>
      </c>
      <c r="Z202" s="113" t="e">
        <f>+SUMIFS(#REF!,#REF!,'RDG Weekly'!$B$32)
-SUMIFS(#REF!,#REF!,'RDG Weekly'!$B$35)-SUMIFS(#REF!,#REF!,'RDG Weekly'!$B$33)</f>
        <v>#REF!</v>
      </c>
      <c r="AA202" s="143">
        <f>IFERROR(Z202/$S202,0)</f>
        <v>0</v>
      </c>
      <c r="AB202" s="113" t="e">
        <f>S202-T202-V202-X202-Z202</f>
        <v>#REF!</v>
      </c>
      <c r="AC202" s="143">
        <f>IFERROR(AB202/$S202,0)</f>
        <v>0</v>
      </c>
      <c r="AL202" s="124" t="s">
        <v>49</v>
      </c>
      <c r="AM202" s="125"/>
      <c r="AN202" s="126" t="s">
        <v>8</v>
      </c>
      <c r="AO202" s="127" t="s">
        <v>9</v>
      </c>
      <c r="AP202" s="127" t="s">
        <v>10</v>
      </c>
      <c r="AQ202" s="127" t="s">
        <v>11</v>
      </c>
      <c r="AU202" s="124" t="s">
        <v>49</v>
      </c>
      <c r="AV202" s="125"/>
      <c r="AW202" s="133" t="s">
        <v>8</v>
      </c>
      <c r="AX202" s="134" t="s">
        <v>9</v>
      </c>
      <c r="AY202" s="134" t="s">
        <v>10</v>
      </c>
      <c r="AZ202" s="134" t="s">
        <v>11</v>
      </c>
    </row>
    <row r="203" spans="3:52" ht="28.9" customHeight="1">
      <c r="D203" s="117" t="s">
        <v>78</v>
      </c>
      <c r="F203" s="154" t="e">
        <f>HLOOKUP($D$193,#REF!,2,FALSE)</f>
        <v>#REF!</v>
      </c>
      <c r="G203" s="119" t="e">
        <f>HLOOKUP($D$193,#REF!,3,FALSE)</f>
        <v>#REF!</v>
      </c>
      <c r="H203" s="146">
        <f>IFERROR(G203/$F203,0)</f>
        <v>0</v>
      </c>
      <c r="I203" s="119" t="e">
        <f>HLOOKUP($D$193,#REF!,5,FALSE)</f>
        <v>#REF!</v>
      </c>
      <c r="J203" s="146">
        <f>IFERROR(I203/$F203,0)</f>
        <v>0</v>
      </c>
      <c r="K203" s="119" t="e">
        <f>HLOOKUP($D$193,#REF!,6,FALSE)+HLOOKUP($D$193,#REF!,7,FALSE)+HLOOKUP($D$193,#REF!,8,FALSE)+HLOOKUP($D$193,#REF!,9,FALSE)+HLOOKUP($D$193,#REF!,10,FALSE)</f>
        <v>#REF!</v>
      </c>
      <c r="L203" s="146">
        <f>IFERROR(K203/$F203,0)</f>
        <v>0</v>
      </c>
      <c r="M203" s="119" t="e">
        <f>HLOOKUP($D$193,#REF!,16,FALSE)</f>
        <v>#REF!</v>
      </c>
      <c r="N203" s="146">
        <f>IFERROR(M203/$F203,0)</f>
        <v>0</v>
      </c>
      <c r="O203" s="119" t="e">
        <f>F203-G203-I203-K203-M203</f>
        <v>#REF!</v>
      </c>
      <c r="P203" s="146">
        <f>IFERROR(O203/$F203,0)</f>
        <v>0</v>
      </c>
      <c r="S203" s="150" t="e">
        <f>SUMIF(#REF!,"actual",#REF!)</f>
        <v>#REF!</v>
      </c>
      <c r="T203" s="116" t="e">
        <f>SUMIF(#REF!,"actual",#REF!)</f>
        <v>#REF!</v>
      </c>
      <c r="U203" s="144">
        <f>IFERROR(T203/$S203,0)</f>
        <v>0</v>
      </c>
      <c r="V203" s="116" t="e">
        <f>SUMIF(#REF!,"actual",#REF!)</f>
        <v>#REF!</v>
      </c>
      <c r="W203" s="144">
        <f>IFERROR(V203/$S203,0)</f>
        <v>0</v>
      </c>
      <c r="X203" s="116" t="e">
        <f>SUMIF(#REF!,"actual",#REF!)+SUMIF(#REF!,"actual",#REF!)+SUMIF(#REF!,"actual",#REF!)+SUMIF(#REF!,"actual",#REF!)</f>
        <v>#REF!</v>
      </c>
      <c r="Y203" s="144">
        <f>IFERROR(X203/$S203,0)</f>
        <v>0</v>
      </c>
      <c r="Z203" s="116" t="e">
        <f>SUMIF(#REF!,"actual",#REF!)</f>
        <v>#REF!</v>
      </c>
      <c r="AA203" s="144">
        <f>IFERROR(Z203/$S203,0)</f>
        <v>0</v>
      </c>
      <c r="AB203" s="116" t="e">
        <f>S203-T203-V203-X203-Z203</f>
        <v>#REF!</v>
      </c>
      <c r="AC203" s="144">
        <f>IFERROR(AB203/$S203,0)</f>
        <v>0</v>
      </c>
      <c r="AL203" s="125"/>
      <c r="AM203" s="125"/>
      <c r="AN203" s="128"/>
      <c r="AO203" s="125"/>
      <c r="AP203" s="125"/>
      <c r="AQ203" s="125"/>
      <c r="AU203" s="125"/>
      <c r="AV203" s="125"/>
      <c r="AW203" s="135"/>
      <c r="AX203" s="135"/>
      <c r="AY203" s="135"/>
      <c r="AZ203" s="135"/>
    </row>
    <row r="204" spans="3:52" ht="16.350000000000001" customHeight="1">
      <c r="D204" s="54"/>
      <c r="F204" s="152"/>
      <c r="G204" s="114"/>
      <c r="H204" s="145"/>
      <c r="I204" s="1"/>
      <c r="J204" s="148"/>
      <c r="K204" s="1"/>
      <c r="L204" s="148"/>
      <c r="M204" s="76"/>
      <c r="N204" s="147"/>
      <c r="O204" s="76"/>
      <c r="P204" s="147"/>
      <c r="S204" s="151"/>
      <c r="T204" s="114"/>
      <c r="U204" s="153"/>
      <c r="V204" s="1"/>
      <c r="W204" s="152"/>
      <c r="X204" s="1"/>
      <c r="Y204" s="152"/>
      <c r="Z204" s="76"/>
      <c r="AA204" s="151"/>
      <c r="AB204" s="76"/>
      <c r="AC204" s="151"/>
      <c r="AL204" s="137" t="s">
        <v>80</v>
      </c>
      <c r="AM204" s="125"/>
      <c r="AN204" s="129" t="e">
        <f>+SUMIFS(#REF!,#REF!,'RDG Weekly'!$B$213)/+SUMIFS(#REF!,#REF!,'RDG Weekly'!$B$212)</f>
        <v>#REF!</v>
      </c>
      <c r="AO204" s="129" t="e">
        <f>+SUMIFS(#REF!,#REF!,'RDG Weekly'!$B$213)/+SUMIFS(#REF!,#REF!,'RDG Weekly'!$B$212)</f>
        <v>#REF!</v>
      </c>
      <c r="AP204" s="129" t="e">
        <f>+SUMIFS(#REF!,#REF!,$B$213)/+SUMIFS(#REF!,#REF!,'RDG Weekly'!$B$212)</f>
        <v>#REF!</v>
      </c>
      <c r="AQ204" s="129" t="e">
        <f>+SUMIFS(#REF!,#REF!,$B$213)/+SUMIFS(#REF!,#REF!,'RDG Weekly'!$B$212)</f>
        <v>#REF!</v>
      </c>
      <c r="AU204" s="125" t="s">
        <v>81</v>
      </c>
      <c r="AV204" s="125"/>
      <c r="AW204" s="135">
        <f>[4]KPI!$C$6</f>
        <v>15093</v>
      </c>
      <c r="AX204" s="135">
        <f>[4]KPI!$C$24</f>
        <v>4408</v>
      </c>
      <c r="AY204" s="135">
        <f>[4]KPI!$C$62</f>
        <v>7402</v>
      </c>
      <c r="AZ204" s="135">
        <f>[4]KPI!$C$82</f>
        <v>6461</v>
      </c>
    </row>
    <row r="205" spans="3:52" ht="28.9" customHeight="1">
      <c r="D205" s="109" t="s">
        <v>11</v>
      </c>
      <c r="E205" s="76"/>
      <c r="F205" s="153" t="e">
        <f>SUMIFS(#REF!,#REF!,$B$13)</f>
        <v>#REF!</v>
      </c>
      <c r="G205" s="114" t="e">
        <f>SUMIFS(#REF!,#REF!,'RDG Weekly'!$B$14)
+SUMIFS(#REF!,#REF!,'RDG Weekly'!$B$15)
+SUMIFS(#REF!,#REF!,'RDG Weekly'!$B$16)</f>
        <v>#REF!</v>
      </c>
      <c r="H205" s="143">
        <f>IFERROR(G205/$F205,0)</f>
        <v>0</v>
      </c>
      <c r="I205" s="114" t="e">
        <f>+SUMIFS(#REF!,#REF!,'RDG Weekly'!$B$18)
+SUMIFS(#REF!,#REF!,'RDG Weekly'!$C$18)
+SUMIFS(#REF!,#REF!,'RDG Weekly'!$C$22)
+SUMIFS(#REF!,#REF!,'RDG Weekly'!$C$23)</f>
        <v>#REF!</v>
      </c>
      <c r="J205" s="143">
        <f>IFERROR(I205/$F205,0)</f>
        <v>0</v>
      </c>
      <c r="K205" s="114" t="e">
        <f>+SUMIFS(#REF!,#REF!,'RDG Weekly'!$B$22)
+SUMIFS(#REF!,#REF!,'RDG Weekly'!$B$23)
+SUMIFS(#REF!,#REF!,'RDG Weekly'!$B$24)
+SUMIFS(#REF!,#REF!,'RDG Weekly'!$B$25)
+SUMIFS(#REF!,#REF!,'RDG Weekly'!$B$26)</f>
        <v>#REF!</v>
      </c>
      <c r="L205" s="143">
        <f>IFERROR(K205/$F205,0)</f>
        <v>0</v>
      </c>
      <c r="M205" s="114" t="e">
        <f>+SUMIFS(#REF!,#REF!,'RDG Weekly'!$B$32)
-SUMIFS(#REF!,#REF!,'RDG Weekly'!$B$35)-SUMIFS(#REF!,#REF!,'RDG Weekly'!$B$33)</f>
        <v>#REF!</v>
      </c>
      <c r="N205" s="143">
        <f>IFERROR(M205/$F205,0)</f>
        <v>0</v>
      </c>
      <c r="O205" s="114" t="e">
        <f>F205-G205-I205-K205-M205</f>
        <v>#REF!</v>
      </c>
      <c r="P205" s="143">
        <f>IFERROR(O205/$F205,0)</f>
        <v>0</v>
      </c>
      <c r="S205" s="149" t="e">
        <f>SUMIFS(#REF!,#REF!,$B$13)</f>
        <v>#REF!</v>
      </c>
      <c r="T205" s="113" t="e">
        <f>SUMIFS(#REF!,#REF!,'RDG Weekly'!$B$14)
+SUMIFS(#REF!,#REF!,'RDG Weekly'!$B$15)
+SUMIFS(#REF!,#REF!,'RDG Weekly'!$B$16)</f>
        <v>#REF!</v>
      </c>
      <c r="U205" s="143">
        <f>IFERROR(T205/$S205,0)</f>
        <v>0</v>
      </c>
      <c r="V205" s="113" t="e">
        <f>+SUMIFS(#REF!,#REF!,'RDG Weekly'!$B$18)
+SUMIFS(#REF!,#REF!,'RDG Weekly'!$C$18)
+SUMIFS(#REF!,#REF!,'RDG Weekly'!$C$22)
+SUMIFS(#REF!,#REF!,'RDG Weekly'!$C$23)</f>
        <v>#REF!</v>
      </c>
      <c r="W205" s="143">
        <f>IFERROR(V205/$S205,0)</f>
        <v>0</v>
      </c>
      <c r="X205" s="113" t="e">
        <f>+SUMIFS(#REF!,#REF!,'RDG Weekly'!$B$22)
+SUMIFS(#REF!,#REF!,'RDG Weekly'!$B$23)
+SUMIFS(#REF!,#REF!,'RDG Weekly'!$B$24)
+SUMIFS(#REF!,#REF!,'RDG Weekly'!$B$25)
+SUMIFS(#REF!,#REF!,'RDG Weekly'!$B$26)</f>
        <v>#REF!</v>
      </c>
      <c r="Y205" s="143">
        <f>IFERROR(X205/$S205,0)</f>
        <v>0</v>
      </c>
      <c r="Z205" s="113" t="e">
        <f>+SUMIFS(#REF!,#REF!,'RDG Weekly'!$B$32)
-SUMIFS(#REF!,#REF!,'RDG Weekly'!$B$35)-SUMIFS(#REF!,#REF!,'RDG Weekly'!$B$33)</f>
        <v>#REF!</v>
      </c>
      <c r="AA205" s="143">
        <f>IFERROR(Z205/$S205,0)</f>
        <v>0</v>
      </c>
      <c r="AB205" s="113" t="e">
        <f>S205-T205-V205-X205-Z205</f>
        <v>#REF!</v>
      </c>
      <c r="AC205" s="143">
        <f>IFERROR(AB205/$S205,0)</f>
        <v>0</v>
      </c>
      <c r="AL205" s="138" t="s">
        <v>51</v>
      </c>
      <c r="AM205" s="125"/>
      <c r="AN205" s="129" t="e">
        <f>+(SUMIFS(#REF!,#REF!,'RDG Weekly'!$C$215)+SUMIFS(#REF!,#REF!,'RDG Weekly'!$C$218))/+SUMIFS(#REF!,#REF!,'RDG Weekly'!$C$214)</f>
        <v>#REF!</v>
      </c>
      <c r="AO205" s="129" t="e">
        <f>+(SUMIFS(#REF!,#REF!,'RDG Weekly'!$C$215)+SUMIFS(#REF!,#REF!,'RDG Weekly'!$C$218))/+SUMIFS(#REF!,#REF!,'RDG Weekly'!$C$214)</f>
        <v>#REF!</v>
      </c>
      <c r="AP205" s="129" t="e">
        <f>+(SUMIFS(#REF!,#REF!,'RDG Weekly'!$C$215)+SUMIFS(#REF!,#REF!,'RDG Weekly'!$C$218))/+SUMIFS(#REF!,#REF!,'RDG Weekly'!$C$214)</f>
        <v>#REF!</v>
      </c>
      <c r="AQ205" s="129" t="e">
        <f>+(SUMIFS(#REF!,#REF!,'RDG Weekly'!$C$215)+SUMIFS(#REF!,#REF!,'RDG Weekly'!$C$218))/+SUMIFS(#REF!,#REF!,'RDG Weekly'!$C$214)</f>
        <v>#REF!</v>
      </c>
      <c r="AU205" s="125" t="s">
        <v>82</v>
      </c>
      <c r="AV205" s="125"/>
      <c r="AW205" s="136">
        <f>[4]KPI!$C$9</f>
        <v>157.8113847478964</v>
      </c>
      <c r="AX205" s="136">
        <f>[4]KPI!$C$28</f>
        <v>276.01779038112528</v>
      </c>
      <c r="AY205" s="136">
        <f>[4]KPI!$C$66</f>
        <v>101.17650770062147</v>
      </c>
      <c r="AZ205" s="136">
        <f>[4]KPI!$C$85</f>
        <v>144.84053397306917</v>
      </c>
    </row>
    <row r="206" spans="3:52" ht="28.9" customHeight="1">
      <c r="D206" s="117" t="s">
        <v>78</v>
      </c>
      <c r="F206" s="154" t="e">
        <f>HLOOKUP($D$193,#REF!,2,FALSE)</f>
        <v>#REF!</v>
      </c>
      <c r="G206" s="119" t="e">
        <f>HLOOKUP($D$193,#REF!,3,FALSE)</f>
        <v>#REF!</v>
      </c>
      <c r="H206" s="146">
        <f>IFERROR(G206/$F206,0)</f>
        <v>0</v>
      </c>
      <c r="I206" s="119" t="e">
        <f>HLOOKUP($D$193,#REF!,5,FALSE)</f>
        <v>#REF!</v>
      </c>
      <c r="J206" s="146">
        <f>IFERROR(I206/$F206,0)</f>
        <v>0</v>
      </c>
      <c r="K206" s="119" t="e">
        <f>HLOOKUP($D$193,#REF!,6,FALSE)+HLOOKUP($D$193,#REF!,7,FALSE)+HLOOKUP($D$193,#REF!,8,FALSE)+HLOOKUP($D$193,#REF!,9,FALSE)+HLOOKUP($D$193,#REF!,10,FALSE)</f>
        <v>#REF!</v>
      </c>
      <c r="L206" s="146">
        <f>IFERROR(K206/$F206,0)</f>
        <v>0</v>
      </c>
      <c r="M206" s="119" t="e">
        <f>HLOOKUP($D$193,#REF!,16,FALSE)</f>
        <v>#REF!</v>
      </c>
      <c r="N206" s="146">
        <f>IFERROR(M206/$F206,0)</f>
        <v>0</v>
      </c>
      <c r="O206" s="119" t="e">
        <f>F206-G206-I206-K206-M206</f>
        <v>#REF!</v>
      </c>
      <c r="P206" s="146">
        <f>IFERROR(O206/$F206,0)</f>
        <v>0</v>
      </c>
      <c r="S206" s="150" t="e">
        <f>SUMIF(#REF!,"actual",#REF!)</f>
        <v>#REF!</v>
      </c>
      <c r="T206" s="116" t="e">
        <f>SUMIF(#REF!,"actual",#REF!)</f>
        <v>#REF!</v>
      </c>
      <c r="U206" s="144">
        <f>IFERROR(T206/$S206,0)</f>
        <v>0</v>
      </c>
      <c r="V206" s="116" t="e">
        <f>SUMIF(#REF!,"actual",#REF!)</f>
        <v>#REF!</v>
      </c>
      <c r="W206" s="144">
        <f>IFERROR(V206/$S206,0)</f>
        <v>0</v>
      </c>
      <c r="X206" s="116" t="e">
        <f>SUMIF(#REF!,"actual",#REF!)+SUMIF(#REF!,"actual",#REF!)+SUMIF(#REF!,"actual",#REF!)+SUMIF(#REF!,"actual",#REF!)+SUMIF(#REF!,"actual",#REF!)</f>
        <v>#REF!</v>
      </c>
      <c r="Y206" s="144">
        <f>IFERROR(X206/$S206,0)</f>
        <v>0</v>
      </c>
      <c r="Z206" s="116" t="e">
        <f>SUMIF(#REF!,"actual",#REF!)</f>
        <v>#REF!</v>
      </c>
      <c r="AA206" s="144">
        <f>IFERROR(Z206/$S206,0)</f>
        <v>0</v>
      </c>
      <c r="AB206" s="116" t="e">
        <f>S206-T206-V206-X206-Z206</f>
        <v>#REF!</v>
      </c>
      <c r="AC206" s="144">
        <f>IFERROR(AB206/$S206,0)</f>
        <v>0</v>
      </c>
      <c r="AL206" s="138" t="s">
        <v>52</v>
      </c>
      <c r="AM206" s="125"/>
      <c r="AN206" s="129" t="e">
        <f>+(SUMIFS(#REF!,#REF!,'RDG Weekly'!$B$219)+SUMIFS(#REF!,#REF!,'RDG Weekly'!$B$220)+SUMIFS(#REF!,#REF!,'RDG Weekly'!$B$221))/(+SUMIFS(#REF!,#REF!,'RDG Weekly'!$B$214)+SUMIFS(#REF!,#REF!,'RDG Weekly'!$B$215)+SUMIFS(#REF!,#REF!,'RDG Weekly'!$B$218))</f>
        <v>#REF!</v>
      </c>
      <c r="AO206" s="129" t="e">
        <f>+(SUMIFS(#REF!,#REF!,'RDG Weekly'!$B$219)+SUMIFS(#REF!,#REF!,'RDG Weekly'!$B$220)+SUMIFS(#REF!,#REF!,'RDG Weekly'!$B$221))/(+SUMIFS(#REF!,#REF!,'RDG Weekly'!$B$214)+SUMIFS(#REF!,#REF!,'RDG Weekly'!$B$215)+SUMIFS(#REF!,#REF!,'RDG Weekly'!$B$218))</f>
        <v>#REF!</v>
      </c>
      <c r="AP206" s="129" t="e">
        <f>+(SUMIFS(#REF!,#REF!,'RDG Weekly'!$B$219)+SUMIFS(#REF!,#REF!,'RDG Weekly'!$B$220)+SUMIFS(#REF!,#REF!,'RDG Weekly'!$B$221))/(+SUMIFS(#REF!,#REF!,'RDG Weekly'!$B$214)+SUMIFS(#REF!,#REF!,'RDG Weekly'!$B$215)+SUMIFS(#REF!,#REF!,'RDG Weekly'!$B$218))</f>
        <v>#REF!</v>
      </c>
      <c r="AQ206" s="129" t="e">
        <f>+(SUMIFS(#REF!,#REF!,'RDG Weekly'!$B$219)+SUMIFS(#REF!,#REF!,'RDG Weekly'!$B$220)+SUMIFS(#REF!,#REF!,'RDG Weekly'!$B$221))/(+SUMIFS(#REF!,#REF!,'RDG Weekly'!$B$214)+SUMIFS(#REF!,#REF!,'RDG Weekly'!$B$215)+SUMIFS(#REF!,#REF!,'RDG Weekly'!$B$218))</f>
        <v>#REF!</v>
      </c>
    </row>
    <row r="207" spans="3:52" ht="13.35" customHeight="1">
      <c r="D207" s="54"/>
      <c r="F207" s="151"/>
      <c r="G207" s="114"/>
      <c r="H207" s="145"/>
      <c r="I207" s="76"/>
      <c r="J207" s="147"/>
      <c r="K207" s="76"/>
      <c r="L207" s="147"/>
      <c r="M207" s="76"/>
      <c r="N207" s="147"/>
      <c r="O207" s="76"/>
      <c r="P207" s="147"/>
      <c r="S207" s="151"/>
      <c r="T207" s="76"/>
      <c r="U207" s="151"/>
      <c r="V207" s="76"/>
      <c r="W207" s="151"/>
      <c r="X207" s="76"/>
      <c r="Y207" s="151"/>
      <c r="Z207" s="76"/>
      <c r="AA207" s="151"/>
      <c r="AB207" s="76"/>
      <c r="AC207" s="151"/>
      <c r="AL207" s="138"/>
      <c r="AM207" s="125"/>
      <c r="AN207" s="130"/>
      <c r="AO207" s="125"/>
      <c r="AP207" s="125"/>
      <c r="AQ207" s="125"/>
    </row>
    <row r="208" spans="3:52" ht="28.9" customHeight="1">
      <c r="D208" s="109" t="s">
        <v>83</v>
      </c>
      <c r="F208" s="155" t="e">
        <f>SUM(F196,F199,F202,F205)</f>
        <v>#REF!</v>
      </c>
      <c r="G208" s="156" t="e">
        <f>SUM(G196,G199,G202,G205)</f>
        <v>#REF!</v>
      </c>
      <c r="H208" s="157">
        <f>IFERROR(G208/$F208,0)</f>
        <v>0</v>
      </c>
      <c r="I208" s="156" t="e">
        <f>SUM(I196,I199,I202,I205)</f>
        <v>#REF!</v>
      </c>
      <c r="J208" s="157">
        <f>IFERROR(I208/$F208,0)</f>
        <v>0</v>
      </c>
      <c r="K208" s="156" t="e">
        <f>SUM(K196,K199,K202,K205)</f>
        <v>#REF!</v>
      </c>
      <c r="L208" s="157">
        <f>IFERROR(K208/$F208,0)</f>
        <v>0</v>
      </c>
      <c r="M208" s="156" t="e">
        <f>SUM(M196,M199,M202,M205)</f>
        <v>#REF!</v>
      </c>
      <c r="N208" s="157">
        <f>IFERROR(M208/$F208,0)</f>
        <v>0</v>
      </c>
      <c r="O208" s="156" t="e">
        <f>F208-G208-I208-K208-M208</f>
        <v>#REF!</v>
      </c>
      <c r="P208" s="157">
        <f>IFERROR(O208/$F208,0)</f>
        <v>0</v>
      </c>
      <c r="S208" s="158" t="e">
        <f>SUM(S196,S199,S202,S205)</f>
        <v>#REF!</v>
      </c>
      <c r="T208" s="159" t="e">
        <f>SUM(T196,T199,T202,T205)</f>
        <v>#REF!</v>
      </c>
      <c r="U208" s="157">
        <f>IFERROR(T208/$S208,0)</f>
        <v>0</v>
      </c>
      <c r="V208" s="159" t="e">
        <f>SUM(V196,V199,V202,V205)</f>
        <v>#REF!</v>
      </c>
      <c r="W208" s="157">
        <f>IFERROR(V208/$S208,0)</f>
        <v>0</v>
      </c>
      <c r="X208" s="159" t="e">
        <f>SUM(X196,X199,X202,X205)</f>
        <v>#REF!</v>
      </c>
      <c r="Y208" s="157">
        <f>IFERROR(X208/$S208,0)</f>
        <v>0</v>
      </c>
      <c r="Z208" s="159" t="e">
        <f>SUM(Z196,Z199,Z202,Z205)</f>
        <v>#REF!</v>
      </c>
      <c r="AA208" s="157">
        <f>IFERROR(Z208/$S208,0)</f>
        <v>0</v>
      </c>
      <c r="AB208" s="159" t="e">
        <f>S208-T208-V208-X208-Z208</f>
        <v>#REF!</v>
      </c>
      <c r="AC208" s="157">
        <f>IFERROR(AB208/$S208,0)</f>
        <v>0</v>
      </c>
      <c r="AL208" s="138" t="s">
        <v>53</v>
      </c>
      <c r="AM208" s="125"/>
      <c r="AN208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  <c r="AO208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  <c r="AP208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  <c r="AQ208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</row>
    <row r="209" spans="2:43" ht="27.6" customHeight="1">
      <c r="D209" s="117" t="s">
        <v>78</v>
      </c>
      <c r="F209" s="154" t="e">
        <f>SUM(F197,F200,F203,F206)</f>
        <v>#REF!</v>
      </c>
      <c r="G209" s="119" t="e">
        <f>SUM(G197,G200,G203,G206)</f>
        <v>#REF!</v>
      </c>
      <c r="H209" s="146">
        <f>IFERROR(G209/$F209,0)</f>
        <v>0</v>
      </c>
      <c r="I209" s="119" t="e">
        <f>SUM(I197,I200,I203,I206)</f>
        <v>#REF!</v>
      </c>
      <c r="J209" s="146">
        <f>IFERROR(I209/$F209,0)</f>
        <v>0</v>
      </c>
      <c r="K209" s="119" t="e">
        <f>SUM(K197,K200,K203,K206)</f>
        <v>#REF!</v>
      </c>
      <c r="L209" s="146">
        <f>IFERROR(K209/$F209,0)</f>
        <v>0</v>
      </c>
      <c r="M209" s="119" t="e">
        <f>SUM(M197,M200,M203,M206)</f>
        <v>#REF!</v>
      </c>
      <c r="N209" s="146">
        <f>IFERROR(M209/$F209,0)</f>
        <v>0</v>
      </c>
      <c r="O209" s="119" t="e">
        <f>F209-G209-I209-K209-M209</f>
        <v>#REF!</v>
      </c>
      <c r="P209" s="146">
        <f>IFERROR(O209/$F209,0)</f>
        <v>0</v>
      </c>
      <c r="S209" s="150" t="e">
        <f>S197+S200+S203+S206</f>
        <v>#REF!</v>
      </c>
      <c r="T209" s="116" t="e">
        <f>T197+T200+T203+T206</f>
        <v>#REF!</v>
      </c>
      <c r="U209" s="144">
        <f>IFERROR(T209/$S209,0)</f>
        <v>0</v>
      </c>
      <c r="V209" s="116" t="e">
        <f>V197+V200+V203+V206</f>
        <v>#REF!</v>
      </c>
      <c r="W209" s="144">
        <f>IFERROR(V209/$S209,0)</f>
        <v>0</v>
      </c>
      <c r="X209" s="116" t="e">
        <f>X197+X200+X203+X206</f>
        <v>#REF!</v>
      </c>
      <c r="Y209" s="144">
        <f>IFERROR(X209/$S209,0)</f>
        <v>0</v>
      </c>
      <c r="Z209" s="116" t="e">
        <f>Z197+Z200+Z203+Z206</f>
        <v>#REF!</v>
      </c>
      <c r="AA209" s="144">
        <f>IFERROR(Z209/$S209,0)</f>
        <v>0</v>
      </c>
      <c r="AB209" s="116" t="e">
        <f>AB197+AB200+AB203+AB206</f>
        <v>#REF!</v>
      </c>
      <c r="AC209" s="144">
        <f>IFERROR(AB209/$S209,0)</f>
        <v>0</v>
      </c>
      <c r="AL209" s="139"/>
    </row>
    <row r="210" spans="2:43" ht="21">
      <c r="AL210" s="138" t="s">
        <v>81</v>
      </c>
      <c r="AM210" s="125"/>
      <c r="AN210" s="140">
        <f>[4]KPI!$C$6</f>
        <v>15093</v>
      </c>
      <c r="AO210" s="140">
        <f>[4]KPI!$C$24</f>
        <v>4408</v>
      </c>
      <c r="AP210" s="140">
        <f>[4]KPI!$C$62</f>
        <v>7402</v>
      </c>
      <c r="AQ210" s="140">
        <f>[4]KPI!$C$82</f>
        <v>6461</v>
      </c>
    </row>
    <row r="211" spans="2:43" ht="21">
      <c r="AL211" s="138"/>
      <c r="AM211" s="125"/>
      <c r="AN211" s="140"/>
      <c r="AO211" s="140"/>
      <c r="AP211" s="140"/>
      <c r="AQ211" s="140"/>
    </row>
    <row r="212" spans="2:43" ht="28.9" customHeight="1">
      <c r="D212" s="109" t="s">
        <v>84</v>
      </c>
      <c r="F212" s="153" t="e">
        <f>SUM(F199,F202,F205,F208)</f>
        <v>#REF!</v>
      </c>
      <c r="G212" s="114" t="e">
        <f>SUM(G199,G202,G205,G208)</f>
        <v>#REF!</v>
      </c>
      <c r="H212" s="143">
        <f>IFERROR(G212/$F212,0)</f>
        <v>0</v>
      </c>
      <c r="I212" s="114" t="e">
        <f>SUM(I199,I202,I205,I208)</f>
        <v>#REF!</v>
      </c>
      <c r="J212" s="143">
        <f>IFERROR(I212/$F212,0)</f>
        <v>0</v>
      </c>
      <c r="K212" s="114" t="e">
        <f>SUM(K199,K202,K205,K208)</f>
        <v>#REF!</v>
      </c>
      <c r="L212" s="143">
        <f>IFERROR(K212/$F212,0)</f>
        <v>0</v>
      </c>
      <c r="M212" s="114" t="e">
        <f>SUM(M199,M202,M205,M208)</f>
        <v>#REF!</v>
      </c>
      <c r="N212" s="143">
        <f>IFERROR(M212/$F212,0)</f>
        <v>0</v>
      </c>
      <c r="O212" s="114" t="e">
        <f>F212-G212-I212-K212-M212</f>
        <v>#REF!</v>
      </c>
      <c r="P212" s="143">
        <f>IFERROR(O212/$F212,0)</f>
        <v>0</v>
      </c>
      <c r="S212" s="149" t="e">
        <f>SUM(S199,S202,S205,S208)</f>
        <v>#REF!</v>
      </c>
      <c r="T212" s="113" t="e">
        <f>SUM(T199,T202,T205,T208)</f>
        <v>#REF!</v>
      </c>
      <c r="U212" s="143">
        <f>IFERROR(T212/$S212,0)</f>
        <v>0</v>
      </c>
      <c r="V212" s="113" t="e">
        <f>SUM(V199,V202,V205,V208)</f>
        <v>#REF!</v>
      </c>
      <c r="W212" s="143">
        <f>IFERROR(V212/$S212,0)</f>
        <v>0</v>
      </c>
      <c r="X212" s="113" t="e">
        <f>SUM(X199,X202,X205,X208)</f>
        <v>#REF!</v>
      </c>
      <c r="Y212" s="143">
        <f>IFERROR(X212/$S212,0)</f>
        <v>0</v>
      </c>
      <c r="Z212" s="113" t="e">
        <f>SUM(Z199,Z202,Z205,Z208)</f>
        <v>#REF!</v>
      </c>
      <c r="AA212" s="143">
        <f>IFERROR(Z212/$S212,0)</f>
        <v>0</v>
      </c>
      <c r="AB212" s="113" t="e">
        <f>S212-T212-V212-X212-Z212</f>
        <v>#REF!</v>
      </c>
      <c r="AC212" s="143">
        <f>IFERROR(AB212/$S212,0)</f>
        <v>0</v>
      </c>
      <c r="AL212" s="138" t="s">
        <v>53</v>
      </c>
      <c r="AM212" s="125"/>
      <c r="AN212" s="129" t="e">
        <f>(+SUMIFS(#REF!,#REF!,'RDG Weekly'!B226)+SUMIFS(#REF!,#REF!,'RDG Weekly'!B227)+SUMIFS(#REF!,#REF!,'RDG Weekly'!B228)+SUMIFS(#REF!,#REF!,'RDG Weekly'!B229)+SUMIFS(#REF!,#REF!,'RDG Weekly'!B230)+SUMIFS(#REF!,#REF!,'RDG Weekly'!B231)+SUMIFS(#REF!,#REF!,'RDG Weekly'!B232)+SUMIFS(#REF!,#REF!,'RDG Weekly'!B233))/+SUMIFS(#REF!,#REF!,'RDG Weekly'!$B$212)</f>
        <v>#REF!</v>
      </c>
      <c r="AO212" s="129" t="e">
        <f>(+SUMIFS(#REF!,#REF!,'RDG Weekly'!B226)+SUMIFS(#REF!,#REF!,'RDG Weekly'!B227)+SUMIFS(#REF!,#REF!,'RDG Weekly'!B228)+SUMIFS(#REF!,#REF!,'RDG Weekly'!B229)+SUMIFS(#REF!,#REF!,'RDG Weekly'!B230)+SUMIFS(#REF!,#REF!,'RDG Weekly'!B231)+SUMIFS(#REF!,#REF!,'RDG Weekly'!B232)+SUMIFS(#REF!,#REF!,'RDG Weekly'!B233))/+SUMIFS(#REF!,#REF!,'RDG Weekly'!$B$212)</f>
        <v>#REF!</v>
      </c>
      <c r="AP212" s="129" t="e">
        <f>(+SUMIFS(#REF!,#REF!,'RDG Weekly'!B226)+SUMIFS(#REF!,#REF!,'RDG Weekly'!B227)+SUMIFS(#REF!,#REF!,'RDG Weekly'!B228)+SUMIFS(#REF!,#REF!,'RDG Weekly'!B229)+SUMIFS(#REF!,#REF!,'RDG Weekly'!B230)+SUMIFS(#REF!,#REF!,'RDG Weekly'!B231)+SUMIFS(#REF!,#REF!,'RDG Weekly'!B232)+SUMIFS(#REF!,#REF!,'RDG Weekly'!B233))/+SUMIFS(#REF!,#REF!,'RDG Weekly'!$B$212)</f>
        <v>#REF!</v>
      </c>
      <c r="AQ212" s="129" t="e">
        <f>(+SUMIFS(#REF!,#REF!,'RDG Weekly'!B226)+SUMIFS(#REF!,#REF!,'RDG Weekly'!B227)+SUMIFS(#REF!,#REF!,'RDG Weekly'!B228)+SUMIFS(#REF!,#REF!,'RDG Weekly'!B229)+SUMIFS(#REF!,#REF!,'RDG Weekly'!B230)+SUMIFS(#REF!,#REF!,'RDG Weekly'!B231)+SUMIFS(#REF!,#REF!,'RDG Weekly'!B232)+SUMIFS(#REF!,#REF!,'RDG Weekly'!B233))/+SUMIFS(#REF!,#REF!,'RDG Weekly'!$B$212)</f>
        <v>#REF!</v>
      </c>
    </row>
    <row r="213" spans="2:43" ht="27.6" customHeight="1">
      <c r="D213" s="117" t="s">
        <v>78</v>
      </c>
      <c r="F213" s="154" t="e">
        <f>SUM(F200,F203,F206,F209)</f>
        <v>#REF!</v>
      </c>
      <c r="G213" s="119" t="e">
        <f>SUM(G200,G203,G206,G209)</f>
        <v>#REF!</v>
      </c>
      <c r="H213" s="146">
        <f>IFERROR(G213/$F213,0)</f>
        <v>0</v>
      </c>
      <c r="I213" s="119" t="e">
        <f>SUM(I200,I203,I206,I209)</f>
        <v>#REF!</v>
      </c>
      <c r="J213" s="146">
        <f>IFERROR(I213/$F213,0)</f>
        <v>0</v>
      </c>
      <c r="K213" s="119" t="e">
        <f>SUM(K200,K203,K206,K209)</f>
        <v>#REF!</v>
      </c>
      <c r="L213" s="146">
        <f>IFERROR(K213/$F213,0)</f>
        <v>0</v>
      </c>
      <c r="M213" s="119" t="e">
        <f>SUM(M200,M203,M206,M209)</f>
        <v>#REF!</v>
      </c>
      <c r="N213" s="146">
        <f>IFERROR(M213/$F213,0)</f>
        <v>0</v>
      </c>
      <c r="O213" s="119" t="e">
        <f>F213-G213-I213-K213-M213</f>
        <v>#REF!</v>
      </c>
      <c r="P213" s="146">
        <f>IFERROR(O213/$F213,0)</f>
        <v>0</v>
      </c>
      <c r="S213" s="150" t="e">
        <f>S200+S203+S206+S209</f>
        <v>#REF!</v>
      </c>
      <c r="T213" s="116" t="e">
        <f>T200+T203+T206+T209</f>
        <v>#REF!</v>
      </c>
      <c r="U213" s="144">
        <f>IFERROR(T213/$S213,0)</f>
        <v>0</v>
      </c>
      <c r="V213" s="116" t="e">
        <f>V200+V203+V206+V209</f>
        <v>#REF!</v>
      </c>
      <c r="W213" s="144">
        <f>IFERROR(V213/$S213,0)</f>
        <v>0</v>
      </c>
      <c r="X213" s="116" t="e">
        <f>X200+X203+X206+X209</f>
        <v>#REF!</v>
      </c>
      <c r="Y213" s="144">
        <f>IFERROR(X213/$S213,0)</f>
        <v>0</v>
      </c>
      <c r="Z213" s="116" t="e">
        <f>Z200+Z203+Z206+Z209</f>
        <v>#REF!</v>
      </c>
      <c r="AA213" s="144">
        <f>IFERROR(Z213/$S213,0)</f>
        <v>0</v>
      </c>
      <c r="AB213" s="116" t="e">
        <f>AB200+AB203+AB206+AB209</f>
        <v>#REF!</v>
      </c>
      <c r="AC213" s="144">
        <f>IFERROR(AB213/$S213,0)</f>
        <v>0</v>
      </c>
      <c r="AL213" s="139"/>
    </row>
    <row r="214" spans="2:43" ht="13.35" customHeight="1">
      <c r="B214" s="5" t="s">
        <v>85</v>
      </c>
      <c r="C214" s="5" t="s">
        <v>86</v>
      </c>
      <c r="D214" s="54"/>
      <c r="F214" s="151"/>
      <c r="G214" s="114"/>
      <c r="H214" s="145"/>
      <c r="I214" s="76"/>
      <c r="J214" s="147"/>
      <c r="K214" s="76"/>
      <c r="L214" s="147"/>
      <c r="M214" s="76"/>
      <c r="N214" s="147"/>
      <c r="O214" s="76"/>
      <c r="P214" s="147"/>
      <c r="S214" s="151"/>
      <c r="T214" s="76"/>
      <c r="U214" s="151"/>
      <c r="V214" s="76"/>
      <c r="W214" s="151"/>
      <c r="X214" s="76"/>
      <c r="Y214" s="151"/>
      <c r="Z214" s="76"/>
      <c r="AA214" s="151"/>
      <c r="AB214" s="76"/>
      <c r="AC214" s="151"/>
      <c r="AL214" s="138" t="s">
        <v>7</v>
      </c>
      <c r="AM214" s="125"/>
      <c r="AN214" s="130"/>
      <c r="AO214" s="125"/>
      <c r="AP214" s="125"/>
      <c r="AQ214" s="125"/>
    </row>
    <row r="215" spans="2:43" ht="28.9" customHeight="1">
      <c r="D215" s="109" t="s">
        <v>87</v>
      </c>
      <c r="F215" s="153" t="e">
        <f>SUM(F202,F205,F208,F212)</f>
        <v>#REF!</v>
      </c>
      <c r="G215" s="114" t="e">
        <f>SUM(G202,G205,G208,G212)</f>
        <v>#REF!</v>
      </c>
      <c r="H215" s="143">
        <f>IFERROR(G215/$F215,0)</f>
        <v>0</v>
      </c>
      <c r="I215" s="114" t="e">
        <f>SUM(I202,I205,I208,I212)</f>
        <v>#REF!</v>
      </c>
      <c r="J215" s="143">
        <f>IFERROR(I215/$F215,0)</f>
        <v>0</v>
      </c>
      <c r="K215" s="114" t="e">
        <f>SUM(K202,K205,K208,K212)</f>
        <v>#REF!</v>
      </c>
      <c r="L215" s="143">
        <f>IFERROR(K215/$F215,0)</f>
        <v>0</v>
      </c>
      <c r="M215" s="114" t="e">
        <f>SUM(M202,M205,M208,M212)</f>
        <v>#REF!</v>
      </c>
      <c r="N215" s="143">
        <f>IFERROR(M215/$F215,0)</f>
        <v>0</v>
      </c>
      <c r="O215" s="114" t="e">
        <f>F215-G215-I215-K215-M215</f>
        <v>#REF!</v>
      </c>
      <c r="P215" s="143">
        <f>IFERROR(O215/$F215,0)</f>
        <v>0</v>
      </c>
      <c r="S215" s="149" t="e">
        <f>SUM(S202,S205,S208,S212)</f>
        <v>#REF!</v>
      </c>
      <c r="T215" s="113" t="e">
        <f>SUM(T202,T205,T208,T212)</f>
        <v>#REF!</v>
      </c>
      <c r="U215" s="143">
        <f>IFERROR(T215/$S215,0)</f>
        <v>0</v>
      </c>
      <c r="V215" s="113" t="e">
        <f>SUM(V202,V205,V208,V212)</f>
        <v>#REF!</v>
      </c>
      <c r="W215" s="143">
        <f>IFERROR(V215/$S215,0)</f>
        <v>0</v>
      </c>
      <c r="X215" s="113" t="e">
        <f>SUM(X202,X205,X208,X212)</f>
        <v>#REF!</v>
      </c>
      <c r="Y215" s="143">
        <f>IFERROR(X215/$S215,0)</f>
        <v>0</v>
      </c>
      <c r="Z215" s="113" t="e">
        <f>SUM(Z202,Z205,Z208,Z212)</f>
        <v>#REF!</v>
      </c>
      <c r="AA215" s="143">
        <f>IFERROR(Z215/$S215,0)</f>
        <v>0</v>
      </c>
      <c r="AB215" s="113" t="e">
        <f>S215-T215-V215-X215-Z215</f>
        <v>#REF!</v>
      </c>
      <c r="AC215" s="143">
        <f>IFERROR(AB215/$S215,0)</f>
        <v>0</v>
      </c>
      <c r="AL215" s="138" t="s">
        <v>53</v>
      </c>
      <c r="AM215" s="125"/>
      <c r="AN215" s="129" t="e">
        <f>(+SUMIFS(#REF!,#REF!,'RDG Weekly'!B229)+SUMIFS(#REF!,#REF!,'RDG Weekly'!B230)+SUMIFS(#REF!,#REF!,'RDG Weekly'!B231)+SUMIFS(#REF!,#REF!,'RDG Weekly'!B232)+SUMIFS(#REF!,#REF!,'RDG Weekly'!B233)+SUMIFS(#REF!,#REF!,'RDG Weekly'!B234)+SUMIFS(#REF!,#REF!,'RDG Weekly'!B235)+SUMIFS(#REF!,#REF!,'RDG Weekly'!B236))/+SUMIFS(#REF!,#REF!,'RDG Weekly'!$B$212)</f>
        <v>#REF!</v>
      </c>
      <c r="AO215" s="129" t="e">
        <f>(+SUMIFS(#REF!,#REF!,'RDG Weekly'!B229)+SUMIFS(#REF!,#REF!,'RDG Weekly'!B230)+SUMIFS(#REF!,#REF!,'RDG Weekly'!B231)+SUMIFS(#REF!,#REF!,'RDG Weekly'!B232)+SUMIFS(#REF!,#REF!,'RDG Weekly'!B233)+SUMIFS(#REF!,#REF!,'RDG Weekly'!B234)+SUMIFS(#REF!,#REF!,'RDG Weekly'!B235)+SUMIFS(#REF!,#REF!,'RDG Weekly'!B236))/+SUMIFS(#REF!,#REF!,'RDG Weekly'!$B$212)</f>
        <v>#REF!</v>
      </c>
      <c r="AP215" s="129" t="e">
        <f>(+SUMIFS(#REF!,#REF!,'RDG Weekly'!B229)+SUMIFS(#REF!,#REF!,'RDG Weekly'!B230)+SUMIFS(#REF!,#REF!,'RDG Weekly'!B231)+SUMIFS(#REF!,#REF!,'RDG Weekly'!B232)+SUMIFS(#REF!,#REF!,'RDG Weekly'!B233)+SUMIFS(#REF!,#REF!,'RDG Weekly'!B234)+SUMIFS(#REF!,#REF!,'RDG Weekly'!B235)+SUMIFS(#REF!,#REF!,'RDG Weekly'!B236))/+SUMIFS(#REF!,#REF!,'RDG Weekly'!$B$212)</f>
        <v>#REF!</v>
      </c>
      <c r="AQ215" s="129" t="e">
        <f>(+SUMIFS(#REF!,#REF!,'RDG Weekly'!B229)+SUMIFS(#REF!,#REF!,'RDG Weekly'!B230)+SUMIFS(#REF!,#REF!,'RDG Weekly'!B231)+SUMIFS(#REF!,#REF!,'RDG Weekly'!B232)+SUMIFS(#REF!,#REF!,'RDG Weekly'!B233)+SUMIFS(#REF!,#REF!,'RDG Weekly'!B234)+SUMIFS(#REF!,#REF!,'RDG Weekly'!B235)+SUMIFS(#REF!,#REF!,'RDG Weekly'!B236))/+SUMIFS(#REF!,#REF!,'RDG Weekly'!$B$212)</f>
        <v>#REF!</v>
      </c>
    </row>
    <row r="216" spans="2:43" ht="27.6" customHeight="1">
      <c r="D216" s="117" t="s">
        <v>78</v>
      </c>
      <c r="F216" s="154" t="e">
        <f>SUM(F203,F206,F209,F213)</f>
        <v>#REF!</v>
      </c>
      <c r="G216" s="119" t="e">
        <f>SUM(G203,G206,G209,G213)</f>
        <v>#REF!</v>
      </c>
      <c r="H216" s="146">
        <f>IFERROR(G216/$F216,0)</f>
        <v>0</v>
      </c>
      <c r="I216" s="119" t="e">
        <f>SUM(I203,I206,I209,I213)</f>
        <v>#REF!</v>
      </c>
      <c r="J216" s="146">
        <f>IFERROR(I216/$F216,0)</f>
        <v>0</v>
      </c>
      <c r="K216" s="119" t="e">
        <f>SUM(K203,K206,K209,K213)</f>
        <v>#REF!</v>
      </c>
      <c r="L216" s="146">
        <f>IFERROR(K216/$F216,0)</f>
        <v>0</v>
      </c>
      <c r="M216" s="119" t="e">
        <f>SUM(M203,M206,M209,M213)</f>
        <v>#REF!</v>
      </c>
      <c r="N216" s="146">
        <f>IFERROR(M216/$F216,0)</f>
        <v>0</v>
      </c>
      <c r="O216" s="119" t="e">
        <f>F216-G216-I216-K216-M216</f>
        <v>#REF!</v>
      </c>
      <c r="P216" s="146">
        <f>IFERROR(O216/$F216,0)</f>
        <v>0</v>
      </c>
      <c r="S216" s="150" t="e">
        <f>S203+S206+S209+S213</f>
        <v>#REF!</v>
      </c>
      <c r="T216" s="116" t="e">
        <f>T203+T206+T209+T213</f>
        <v>#REF!</v>
      </c>
      <c r="U216" s="144">
        <f>IFERROR(T216/$S216,0)</f>
        <v>0</v>
      </c>
      <c r="V216" s="116" t="e">
        <f>V203+V206+V209+V213</f>
        <v>#REF!</v>
      </c>
      <c r="W216" s="144">
        <f>IFERROR(V216/$S216,0)</f>
        <v>0</v>
      </c>
      <c r="X216" s="116" t="e">
        <f>X203+X206+X209+X213</f>
        <v>#REF!</v>
      </c>
      <c r="Y216" s="144">
        <f>IFERROR(X216/$S216,0)</f>
        <v>0</v>
      </c>
      <c r="Z216" s="116" t="e">
        <f>Z203+Z206+Z209+Z213</f>
        <v>#REF!</v>
      </c>
      <c r="AA216" s="144">
        <f>IFERROR(Z216/$S216,0)</f>
        <v>0</v>
      </c>
      <c r="AB216" s="116" t="e">
        <f>AB203+AB206+AB209+AB213</f>
        <v>#REF!</v>
      </c>
      <c r="AC216" s="144">
        <f>IFERROR(AB216/$S216,0)</f>
        <v>0</v>
      </c>
      <c r="AL216" s="139"/>
    </row>
    <row r="217" spans="2:43" ht="13.35" customHeight="1">
      <c r="D217" s="54"/>
      <c r="F217" s="151"/>
      <c r="G217" s="114"/>
      <c r="H217" s="145"/>
      <c r="I217" s="76"/>
      <c r="J217" s="147"/>
      <c r="K217" s="76"/>
      <c r="L217" s="147"/>
      <c r="M217" s="76"/>
      <c r="N217" s="147"/>
      <c r="O217" s="76"/>
      <c r="P217" s="147"/>
      <c r="S217" s="151"/>
      <c r="T217" s="76"/>
      <c r="U217" s="151"/>
      <c r="V217" s="76"/>
      <c r="W217" s="151"/>
      <c r="X217" s="76"/>
      <c r="Y217" s="151"/>
      <c r="Z217" s="76"/>
      <c r="AA217" s="151"/>
      <c r="AB217" s="76"/>
      <c r="AC217" s="151"/>
      <c r="AL217" s="138"/>
      <c r="AM217" s="125"/>
      <c r="AN217" s="130"/>
      <c r="AO217" s="125"/>
      <c r="AP217" s="125"/>
      <c r="AQ217" s="125"/>
    </row>
    <row r="218" spans="2:43" ht="28.9" customHeight="1">
      <c r="D218" s="109" t="s">
        <v>88</v>
      </c>
      <c r="F218" s="155" t="e">
        <f>SUM(F205,F208,F212,F215)</f>
        <v>#REF!</v>
      </c>
      <c r="G218" s="156" t="e">
        <f>SUM(G205,G208,G212,G215)</f>
        <v>#REF!</v>
      </c>
      <c r="H218" s="157">
        <f>IFERROR(G218/$F218,0)</f>
        <v>0</v>
      </c>
      <c r="I218" s="156" t="e">
        <f>SUM(I205,I208,I212,I215)</f>
        <v>#REF!</v>
      </c>
      <c r="J218" s="157">
        <f>IFERROR(I218/$F218,0)</f>
        <v>0</v>
      </c>
      <c r="K218" s="156" t="e">
        <f>SUM(K205,K208,K212,K215)</f>
        <v>#REF!</v>
      </c>
      <c r="L218" s="157">
        <f>IFERROR(K218/$F218,0)</f>
        <v>0</v>
      </c>
      <c r="M218" s="156" t="e">
        <f>SUM(M205,M208,M212,M215)</f>
        <v>#REF!</v>
      </c>
      <c r="N218" s="157">
        <f>IFERROR(M218/$F218,0)</f>
        <v>0</v>
      </c>
      <c r="O218" s="156" t="e">
        <f>F218-G218-I218-K218-M218</f>
        <v>#REF!</v>
      </c>
      <c r="P218" s="157">
        <f>IFERROR(O218/$F218,0)</f>
        <v>0</v>
      </c>
      <c r="S218" s="158" t="e">
        <f>SUM(S205,S208,S212,S215)</f>
        <v>#REF!</v>
      </c>
      <c r="T218" s="159" t="e">
        <f>SUM(T205,T208,T212,T215)</f>
        <v>#REF!</v>
      </c>
      <c r="U218" s="157">
        <f>IFERROR(T218/$S218,0)</f>
        <v>0</v>
      </c>
      <c r="V218" s="159" t="e">
        <f>SUM(V205,V208,V212,V215)</f>
        <v>#REF!</v>
      </c>
      <c r="W218" s="157">
        <f>IFERROR(V218/$S218,0)</f>
        <v>0</v>
      </c>
      <c r="X218" s="159" t="e">
        <f>SUM(X205,X208,X212,X215)</f>
        <v>#REF!</v>
      </c>
      <c r="Y218" s="157">
        <f>IFERROR(X218/$S218,0)</f>
        <v>0</v>
      </c>
      <c r="Z218" s="159" t="e">
        <f>SUM(Z205,Z208,Z212,Z215)</f>
        <v>#REF!</v>
      </c>
      <c r="AA218" s="157">
        <f>IFERROR(Z218/$S218,0)</f>
        <v>0</v>
      </c>
      <c r="AB218" s="159" t="e">
        <f>S218-T218-V218-X218-Z218</f>
        <v>#REF!</v>
      </c>
      <c r="AC218" s="157">
        <f>IFERROR(AB218/$S218,0)</f>
        <v>0</v>
      </c>
      <c r="AL218" s="138" t="s">
        <v>53</v>
      </c>
      <c r="AM218" s="125"/>
      <c r="AN218" s="129" t="e">
        <f>(+SUMIFS(#REF!,#REF!,'RDG Weekly'!B232)+SUMIFS(#REF!,#REF!,'RDG Weekly'!B233)+SUMIFS(#REF!,#REF!,'RDG Weekly'!B234)+SUMIFS(#REF!,#REF!,'RDG Weekly'!B235)+SUMIFS(#REF!,#REF!,'RDG Weekly'!B236)+SUMIFS(#REF!,#REF!,'RDG Weekly'!B237)+SUMIFS(#REF!,#REF!,'RDG Weekly'!B238)+SUMIFS(#REF!,#REF!,'RDG Weekly'!B239))/+SUMIFS(#REF!,#REF!,'RDG Weekly'!$B$212)</f>
        <v>#REF!</v>
      </c>
      <c r="AO218" s="129" t="e">
        <f>(+SUMIFS(#REF!,#REF!,'RDG Weekly'!B232)+SUMIFS(#REF!,#REF!,'RDG Weekly'!B233)+SUMIFS(#REF!,#REF!,'RDG Weekly'!B234)+SUMIFS(#REF!,#REF!,'RDG Weekly'!B235)+SUMIFS(#REF!,#REF!,'RDG Weekly'!B236)+SUMIFS(#REF!,#REF!,'RDG Weekly'!B237)+SUMIFS(#REF!,#REF!,'RDG Weekly'!B238)+SUMIFS(#REF!,#REF!,'RDG Weekly'!B239))/+SUMIFS(#REF!,#REF!,'RDG Weekly'!$B$212)</f>
        <v>#REF!</v>
      </c>
      <c r="AP218" s="129" t="e">
        <f>(+SUMIFS(#REF!,#REF!,'RDG Weekly'!B232)+SUMIFS(#REF!,#REF!,'RDG Weekly'!B233)+SUMIFS(#REF!,#REF!,'RDG Weekly'!B234)+SUMIFS(#REF!,#REF!,'RDG Weekly'!B235)+SUMIFS(#REF!,#REF!,'RDG Weekly'!B236)+SUMIFS(#REF!,#REF!,'RDG Weekly'!B237)+SUMIFS(#REF!,#REF!,'RDG Weekly'!B238)+SUMIFS(#REF!,#REF!,'RDG Weekly'!B239))/+SUMIFS(#REF!,#REF!,'RDG Weekly'!$B$212)</f>
        <v>#REF!</v>
      </c>
      <c r="AQ218" s="129" t="e">
        <f>(+SUMIFS(#REF!,#REF!,'RDG Weekly'!B232)+SUMIFS(#REF!,#REF!,'RDG Weekly'!B233)+SUMIFS(#REF!,#REF!,'RDG Weekly'!B234)+SUMIFS(#REF!,#REF!,'RDG Weekly'!B235)+SUMIFS(#REF!,#REF!,'RDG Weekly'!B236)+SUMIFS(#REF!,#REF!,'RDG Weekly'!B237)+SUMIFS(#REF!,#REF!,'RDG Weekly'!B238)+SUMIFS(#REF!,#REF!,'RDG Weekly'!B239))/+SUMIFS(#REF!,#REF!,'RDG Weekly'!$B$212)</f>
        <v>#REF!</v>
      </c>
    </row>
    <row r="219" spans="2:43" ht="27.6" customHeight="1">
      <c r="D219" s="117" t="s">
        <v>78</v>
      </c>
      <c r="F219" s="154" t="e">
        <f>SUM(F213,F216)</f>
        <v>#REF!</v>
      </c>
      <c r="G219" s="119" t="e">
        <f>SUM(G206,G209,G213,G216)</f>
        <v>#REF!</v>
      </c>
      <c r="H219" s="146">
        <f>IFERROR(G219/$F219,0)</f>
        <v>0</v>
      </c>
      <c r="I219" s="119" t="e">
        <f>SUM(I206,I209,I213,I216)</f>
        <v>#REF!</v>
      </c>
      <c r="J219" s="146">
        <f>IFERROR(I219/$F219,0)</f>
        <v>0</v>
      </c>
      <c r="K219" s="119" t="e">
        <f>SUM(K206,K209,K213,K216)</f>
        <v>#REF!</v>
      </c>
      <c r="L219" s="146">
        <f>IFERROR(K219/$F219,0)</f>
        <v>0</v>
      </c>
      <c r="M219" s="119" t="e">
        <f>SUM(M206,M209,M213,M216)</f>
        <v>#REF!</v>
      </c>
      <c r="N219" s="146">
        <f>IFERROR(M219/$F219,0)</f>
        <v>0</v>
      </c>
      <c r="O219" s="119" t="e">
        <f>F219-G219-I219-K219-M219</f>
        <v>#REF!</v>
      </c>
      <c r="P219" s="146">
        <f>IFERROR(O219/$F219,0)</f>
        <v>0</v>
      </c>
      <c r="S219" s="150" t="e">
        <f>S206+S209+S213+S216</f>
        <v>#REF!</v>
      </c>
      <c r="T219" s="116" t="e">
        <f>T206+T209+T213+T216</f>
        <v>#REF!</v>
      </c>
      <c r="U219" s="144">
        <f>IFERROR(T219/$S219,0)</f>
        <v>0</v>
      </c>
      <c r="V219" s="116" t="e">
        <f>V206+V209+V213+V216</f>
        <v>#REF!</v>
      </c>
      <c r="W219" s="144">
        <f>IFERROR(V219/$S219,0)</f>
        <v>0</v>
      </c>
      <c r="X219" s="116" t="e">
        <f>X206+X209+X213+X216</f>
        <v>#REF!</v>
      </c>
      <c r="Y219" s="144">
        <f>IFERROR(X219/$S219,0)</f>
        <v>0</v>
      </c>
      <c r="Z219" s="116" t="e">
        <f>Z206+Z209+Z213+Z216</f>
        <v>#REF!</v>
      </c>
      <c r="AA219" s="144">
        <f>IFERROR(Z219/$S219,0)</f>
        <v>0</v>
      </c>
      <c r="AB219" s="116" t="e">
        <f>AB206+AB209+AB213+AB216</f>
        <v>#REF!</v>
      </c>
      <c r="AC219" s="144">
        <f>IFERROR(AB219/$S219,0)</f>
        <v>0</v>
      </c>
      <c r="AL219" s="139"/>
    </row>
    <row r="220" spans="2:43" ht="21">
      <c r="B220" s="46" t="s">
        <v>89</v>
      </c>
      <c r="C220" s="5" t="s">
        <v>90</v>
      </c>
      <c r="AL220" s="138"/>
      <c r="AM220" s="125"/>
      <c r="AN220" s="129"/>
      <c r="AO220" s="131"/>
      <c r="AP220" s="131"/>
      <c r="AQ220" s="131"/>
    </row>
    <row r="221" spans="2:43" ht="21">
      <c r="B221" s="46" t="s">
        <v>91</v>
      </c>
      <c r="L221" s="99"/>
      <c r="N221" s="99"/>
      <c r="AL221" s="138" t="s">
        <v>53</v>
      </c>
      <c r="AM221" s="125"/>
      <c r="AN221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  <c r="AO221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  <c r="AP221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  <c r="AQ221" s="129" t="e">
        <f>(+SUMIFS(#REF!,#REF!,'RDG Weekly'!B223)+SUMIFS(#REF!,#REF!,'RDG Weekly'!B224)+SUMIFS(#REF!,#REF!,'RDG Weekly'!B225)+SUMIFS(#REF!,#REF!,'RDG Weekly'!B226)+SUMIFS(#REF!,#REF!,'RDG Weekly'!B227)+SUMIFS(#REF!,#REF!,'RDG Weekly'!B228)+SUMIFS(#REF!,#REF!,'RDG Weekly'!B229)+SUMIFS(#REF!,#REF!,'RDG Weekly'!B230))/+SUMIFS(#REF!,#REF!,'RDG Weekly'!$B$212)</f>
        <v>#REF!</v>
      </c>
    </row>
    <row r="222" spans="2:43" ht="28.9" customHeight="1">
      <c r="D222" s="109" t="s">
        <v>92</v>
      </c>
      <c r="F222" s="155" t="e">
        <f>SUM(F209,F212,F216,F219)</f>
        <v>#REF!</v>
      </c>
      <c r="G222" s="156" t="e">
        <f>SUM(G209,G212,G216,G219)</f>
        <v>#REF!</v>
      </c>
      <c r="H222" s="157">
        <f>IFERROR(G222/$F222,0)</f>
        <v>0</v>
      </c>
      <c r="I222" s="156" t="e">
        <f>SUM(I209,I212,I216,I219)</f>
        <v>#REF!</v>
      </c>
      <c r="J222" s="157">
        <f>IFERROR(I222/$F222,0)</f>
        <v>0</v>
      </c>
      <c r="K222" s="156" t="e">
        <f>SUM(K209,K212,K216,K219)</f>
        <v>#REF!</v>
      </c>
      <c r="L222" s="157">
        <f>IFERROR(K222/$F222,0)</f>
        <v>0</v>
      </c>
      <c r="M222" s="156" t="e">
        <f>SUM(M209,M212,M216,M219)</f>
        <v>#REF!</v>
      </c>
      <c r="N222" s="157">
        <f>IFERROR(M222/$F222,0)</f>
        <v>0</v>
      </c>
      <c r="O222" s="156" t="e">
        <f>F222-G222-I222-K222-M222</f>
        <v>#REF!</v>
      </c>
      <c r="P222" s="157">
        <f>IFERROR(O222/$F222,0)</f>
        <v>0</v>
      </c>
      <c r="S222" s="158" t="e">
        <f>SUM(S209,S212,S216,S219)</f>
        <v>#REF!</v>
      </c>
      <c r="T222" s="159" t="e">
        <f>SUM(T209,T212,T216,T219)</f>
        <v>#REF!</v>
      </c>
      <c r="U222" s="157">
        <f>IFERROR(T222/$S222,0)</f>
        <v>0</v>
      </c>
      <c r="V222" s="159" t="e">
        <f>SUM(V209,V212,V216,V219)</f>
        <v>#REF!</v>
      </c>
      <c r="W222" s="157">
        <f>IFERROR(V222/$S222,0)</f>
        <v>0</v>
      </c>
      <c r="X222" s="159" t="e">
        <f>SUM(X209,X212,X216,X219)</f>
        <v>#REF!</v>
      </c>
      <c r="Y222" s="157">
        <f>IFERROR(X222/$S222,0)</f>
        <v>0</v>
      </c>
      <c r="Z222" s="159" t="e">
        <f>SUM(Z209,Z212,Z216,Z219)</f>
        <v>#REF!</v>
      </c>
      <c r="AA222" s="157">
        <f>IFERROR(Z222/$S222,0)</f>
        <v>0</v>
      </c>
      <c r="AB222" s="159" t="e">
        <f>S222-T222-V222-X222-Z222</f>
        <v>#REF!</v>
      </c>
      <c r="AC222" s="157">
        <f>IFERROR(AB222/$S222,0)</f>
        <v>0</v>
      </c>
      <c r="AL222" s="138" t="s">
        <v>53</v>
      </c>
      <c r="AM222" s="125"/>
      <c r="AN222" s="129" t="e">
        <f>(+SUMIFS(#REF!,#REF!,'RDG Weekly'!B236)+SUMIFS(#REF!,#REF!,'RDG Weekly'!B237)+SUMIFS(#REF!,#REF!,'RDG Weekly'!B238)+SUMIFS(#REF!,#REF!,'RDG Weekly'!B239)+SUMIFS(#REF!,#REF!,'RDG Weekly'!B240)+SUMIFS(#REF!,#REF!,'RDG Weekly'!B241)+SUMIFS(#REF!,#REF!,'RDG Weekly'!B242)+SUMIFS(#REF!,#REF!,'RDG Weekly'!B243))/+SUMIFS(#REF!,#REF!,'RDG Weekly'!$B$212)</f>
        <v>#REF!</v>
      </c>
      <c r="AO222" s="129" t="e">
        <f>(+SUMIFS(#REF!,#REF!,'RDG Weekly'!B236)+SUMIFS(#REF!,#REF!,'RDG Weekly'!B237)+SUMIFS(#REF!,#REF!,'RDG Weekly'!B238)+SUMIFS(#REF!,#REF!,'RDG Weekly'!B239)+SUMIFS(#REF!,#REF!,'RDG Weekly'!B240)+SUMIFS(#REF!,#REF!,'RDG Weekly'!B241)+SUMIFS(#REF!,#REF!,'RDG Weekly'!B242)+SUMIFS(#REF!,#REF!,'RDG Weekly'!B243))/+SUMIFS(#REF!,#REF!,'RDG Weekly'!$B$212)</f>
        <v>#REF!</v>
      </c>
      <c r="AP222" s="129" t="e">
        <f>(+SUMIFS(#REF!,#REF!,'RDG Weekly'!B236)+SUMIFS(#REF!,#REF!,'RDG Weekly'!B237)+SUMIFS(#REF!,#REF!,'RDG Weekly'!B238)+SUMIFS(#REF!,#REF!,'RDG Weekly'!B239)+SUMIFS(#REF!,#REF!,'RDG Weekly'!B240)+SUMIFS(#REF!,#REF!,'RDG Weekly'!B241)+SUMIFS(#REF!,#REF!,'RDG Weekly'!B242)+SUMIFS(#REF!,#REF!,'RDG Weekly'!B243))/+SUMIFS(#REF!,#REF!,'RDG Weekly'!$B$212)</f>
        <v>#REF!</v>
      </c>
      <c r="AQ222" s="129" t="e">
        <f>(+SUMIFS(#REF!,#REF!,'RDG Weekly'!B236)+SUMIFS(#REF!,#REF!,'RDG Weekly'!B237)+SUMIFS(#REF!,#REF!,'RDG Weekly'!B238)+SUMIFS(#REF!,#REF!,'RDG Weekly'!B239)+SUMIFS(#REF!,#REF!,'RDG Weekly'!B240)+SUMIFS(#REF!,#REF!,'RDG Weekly'!B241)+SUMIFS(#REF!,#REF!,'RDG Weekly'!B242)+SUMIFS(#REF!,#REF!,'RDG Weekly'!B243))/+SUMIFS(#REF!,#REF!,'RDG Weekly'!$B$212)</f>
        <v>#REF!</v>
      </c>
    </row>
    <row r="223" spans="2:43" ht="27.6" customHeight="1">
      <c r="D223" s="117" t="s">
        <v>78</v>
      </c>
      <c r="F223" s="154" t="e">
        <f>SUM(#REF!,F213,F217,F220)</f>
        <v>#REF!</v>
      </c>
      <c r="G223" s="119" t="e">
        <f>SUM(#REF!,G213,G217,G220)</f>
        <v>#REF!</v>
      </c>
      <c r="H223" s="146">
        <f>IFERROR(G223/$F223,0)</f>
        <v>0</v>
      </c>
      <c r="I223" s="119" t="e">
        <f>SUM(#REF!,I213,I217,I220)</f>
        <v>#REF!</v>
      </c>
      <c r="J223" s="146">
        <f>IFERROR(I223/$F223,0)</f>
        <v>0</v>
      </c>
      <c r="K223" s="119" t="e">
        <f>SUM(#REF!,K213,K217,K220)</f>
        <v>#REF!</v>
      </c>
      <c r="L223" s="146">
        <f>IFERROR(K223/$F223,0)</f>
        <v>0</v>
      </c>
      <c r="M223" s="119" t="e">
        <f>SUM(#REF!,M213,M217,M220)</f>
        <v>#REF!</v>
      </c>
      <c r="N223" s="146">
        <f>IFERROR(M223/$F223,0)</f>
        <v>0</v>
      </c>
      <c r="O223" s="119" t="e">
        <f>F223-G223-I223-K223-M223</f>
        <v>#REF!</v>
      </c>
      <c r="P223" s="146">
        <f>IFERROR(O223/$F223,0)</f>
        <v>0</v>
      </c>
      <c r="S223" s="150" t="e">
        <f>#REF!+S213+S217+S220</f>
        <v>#REF!</v>
      </c>
      <c r="T223" s="116" t="e">
        <f>#REF!+T213+T217+T220</f>
        <v>#REF!</v>
      </c>
      <c r="U223" s="144">
        <f>IFERROR(T223/$S223,0)</f>
        <v>0</v>
      </c>
      <c r="V223" s="116" t="e">
        <f>#REF!+V213+V217+V220</f>
        <v>#REF!</v>
      </c>
      <c r="W223" s="144">
        <f>IFERROR(V223/$S223,0)</f>
        <v>0</v>
      </c>
      <c r="X223" s="116" t="e">
        <f>#REF!+X213+X217+X220</f>
        <v>#REF!</v>
      </c>
      <c r="Y223" s="144">
        <f>IFERROR(X223/$S223,0)</f>
        <v>0</v>
      </c>
      <c r="Z223" s="116" t="e">
        <f>#REF!+Z213+Z217+Z220</f>
        <v>#REF!</v>
      </c>
      <c r="AA223" s="144">
        <f>IFERROR(Z223/$S223,0)</f>
        <v>0</v>
      </c>
      <c r="AB223" s="116" t="e">
        <f>#REF!+AB213+AB217+AB220</f>
        <v>#REF!</v>
      </c>
      <c r="AC223" s="144">
        <f>IFERROR(AB223/$S223,0)</f>
        <v>0</v>
      </c>
      <c r="AL223" s="139"/>
    </row>
    <row r="224" spans="2:43" ht="21">
      <c r="B224" s="46" t="s">
        <v>93</v>
      </c>
      <c r="L224" s="66"/>
      <c r="M224" s="57"/>
      <c r="N224" s="57"/>
      <c r="P224" s="66"/>
      <c r="Q224" s="57"/>
      <c r="R224" s="57"/>
      <c r="AL224" s="138" t="s">
        <v>81</v>
      </c>
      <c r="AM224" s="125"/>
      <c r="AN224" s="140">
        <f>[4]KPI!$E$6</f>
        <v>170664</v>
      </c>
      <c r="AO224" s="140">
        <f>[4]KPI!$E$24</f>
        <v>49008</v>
      </c>
      <c r="AP224" s="140">
        <f>[4]KPI!$E$62</f>
        <v>93765</v>
      </c>
      <c r="AQ224" s="140">
        <f>[4]KPI!$E$82</f>
        <v>26015</v>
      </c>
    </row>
    <row r="225" spans="2:43" ht="21">
      <c r="B225" s="46" t="s">
        <v>94</v>
      </c>
      <c r="AL225" s="138" t="s">
        <v>82</v>
      </c>
      <c r="AM225" s="125"/>
      <c r="AN225" s="132">
        <f>[4]KPI!$E$9</f>
        <v>152.7354468429194</v>
      </c>
      <c r="AO225" s="132">
        <f>[4]KPI!$E$28</f>
        <v>284.11783388089265</v>
      </c>
      <c r="AP225" s="132">
        <f>[4]KPI!$E$66</f>
        <v>102.49201237135391</v>
      </c>
      <c r="AQ225" s="132">
        <f>[4]KPI!$E$85</f>
        <v>199.11453353834327</v>
      </c>
    </row>
    <row r="226" spans="2:43" ht="15.75">
      <c r="B226" s="46" t="s">
        <v>95</v>
      </c>
      <c r="L226" s="99"/>
      <c r="M226" s="100"/>
      <c r="N226" s="100"/>
      <c r="P226" s="99"/>
      <c r="Q226" s="99"/>
      <c r="R226" s="99"/>
    </row>
    <row r="227" spans="2:43" ht="15.75">
      <c r="B227" s="46" t="s">
        <v>96</v>
      </c>
      <c r="L227" s="99"/>
      <c r="M227" s="100"/>
      <c r="N227" s="100"/>
      <c r="P227" s="99"/>
      <c r="Q227" s="99"/>
      <c r="R227" s="99"/>
    </row>
    <row r="228" spans="2:43" ht="15.75">
      <c r="B228" s="46" t="s">
        <v>97</v>
      </c>
      <c r="L228" s="99"/>
      <c r="M228" s="100"/>
      <c r="N228" s="100"/>
      <c r="P228" s="99"/>
      <c r="Q228" s="99"/>
      <c r="R228" s="99"/>
    </row>
    <row r="229" spans="2:43" ht="15.75">
      <c r="B229" s="46" t="s">
        <v>98</v>
      </c>
    </row>
    <row r="230" spans="2:43" ht="15.75">
      <c r="B230" s="46" t="s">
        <v>99</v>
      </c>
      <c r="L230" s="99"/>
      <c r="M230" s="100"/>
      <c r="N230" s="100"/>
      <c r="P230" s="99"/>
      <c r="Q230" s="99"/>
      <c r="R230" s="99"/>
    </row>
    <row r="232" spans="2:43">
      <c r="H232" s="77" t="s">
        <v>8</v>
      </c>
      <c r="I232" s="66" t="s">
        <v>9</v>
      </c>
      <c r="J232" s="66" t="s">
        <v>10</v>
      </c>
      <c r="K232" s="66" t="s">
        <v>11</v>
      </c>
    </row>
    <row r="233" spans="2:43">
      <c r="F233" s="54"/>
    </row>
    <row r="234" spans="2:43">
      <c r="F234" s="54" t="s">
        <v>81</v>
      </c>
      <c r="H234" s="5">
        <f>[4]KPI!$C$6</f>
        <v>15093</v>
      </c>
      <c r="I234" s="76">
        <f>[4]KPI!$C$24</f>
        <v>4408</v>
      </c>
      <c r="J234" s="5">
        <f>[4]KPI!$C$62</f>
        <v>7402</v>
      </c>
      <c r="K234" s="5">
        <f>[4]KPI!$C$82</f>
        <v>6461</v>
      </c>
    </row>
    <row r="235" spans="2:43">
      <c r="F235" s="54" t="s">
        <v>82</v>
      </c>
      <c r="H235" s="122">
        <f>[4]KPI!$C$9</f>
        <v>157.8113847478964</v>
      </c>
      <c r="I235" s="123">
        <f>[4]KPI!$C$28</f>
        <v>276.01779038112528</v>
      </c>
      <c r="J235" s="122">
        <f>[4]KPI!$C$66</f>
        <v>101.17650770062147</v>
      </c>
      <c r="K235" s="122">
        <f>[4]KPI!$C$85</f>
        <v>144.84053397306917</v>
      </c>
    </row>
    <row r="237" spans="2:43">
      <c r="H237" s="77" t="s">
        <v>8</v>
      </c>
      <c r="I237" s="66" t="s">
        <v>9</v>
      </c>
      <c r="J237" s="66" t="s">
        <v>10</v>
      </c>
      <c r="K237" s="66" t="s">
        <v>11</v>
      </c>
    </row>
    <row r="238" spans="2:43">
      <c r="F238" s="54"/>
    </row>
  </sheetData>
  <mergeCells count="123">
    <mergeCell ref="AL200:AQ201"/>
    <mergeCell ref="BC148:BD148"/>
    <mergeCell ref="BE148:BF148"/>
    <mergeCell ref="AB148:AD148"/>
    <mergeCell ref="AG148:AH148"/>
    <mergeCell ref="AM148:AN148"/>
    <mergeCell ref="AO148:AP148"/>
    <mergeCell ref="AQ148:AR148"/>
    <mergeCell ref="AU148:AV148"/>
    <mergeCell ref="AW148:AX148"/>
    <mergeCell ref="AY148:AZ148"/>
    <mergeCell ref="F193:O193"/>
    <mergeCell ref="D191:AD191"/>
    <mergeCell ref="S193:AB193"/>
    <mergeCell ref="O195:P195"/>
    <mergeCell ref="M195:N195"/>
    <mergeCell ref="K195:L195"/>
    <mergeCell ref="I195:J195"/>
    <mergeCell ref="G195:H195"/>
    <mergeCell ref="AB195:AC195"/>
    <mergeCell ref="Z195:AA195"/>
    <mergeCell ref="X195:Y195"/>
    <mergeCell ref="V195:W195"/>
    <mergeCell ref="T195:U195"/>
    <mergeCell ref="AY146:BB146"/>
    <mergeCell ref="BC146:BF146"/>
    <mergeCell ref="F148:G148"/>
    <mergeCell ref="F118:AF118"/>
    <mergeCell ref="F119:AF119"/>
    <mergeCell ref="F120:AF120"/>
    <mergeCell ref="F121:AF121"/>
    <mergeCell ref="F122:V122"/>
    <mergeCell ref="D141:AG141"/>
    <mergeCell ref="I148:K148"/>
    <mergeCell ref="M148:O148"/>
    <mergeCell ref="Q148:S148"/>
    <mergeCell ref="X148:Z148"/>
    <mergeCell ref="AE148:AF148"/>
    <mergeCell ref="AK148:AL148"/>
    <mergeCell ref="AK141:AR141"/>
    <mergeCell ref="AU141:BF141"/>
    <mergeCell ref="F146:V146"/>
    <mergeCell ref="AK146:AL146"/>
    <mergeCell ref="AM146:AN146"/>
    <mergeCell ref="AO146:AP146"/>
    <mergeCell ref="AQ146:AR146"/>
    <mergeCell ref="AU146:AX146"/>
    <mergeCell ref="BA148:BB148"/>
    <mergeCell ref="BE83:BF83"/>
    <mergeCell ref="F116:AF116"/>
    <mergeCell ref="F117:AF117"/>
    <mergeCell ref="AK83:AL83"/>
    <mergeCell ref="AM83:AN83"/>
    <mergeCell ref="AO83:AP83"/>
    <mergeCell ref="AQ83:AR83"/>
    <mergeCell ref="AU83:AV83"/>
    <mergeCell ref="AW83:AX83"/>
    <mergeCell ref="AY83:AZ83"/>
    <mergeCell ref="BA83:BB83"/>
    <mergeCell ref="BC83:BD83"/>
    <mergeCell ref="AB83:AD83"/>
    <mergeCell ref="AG83:AH83"/>
    <mergeCell ref="F83:G83"/>
    <mergeCell ref="I83:K83"/>
    <mergeCell ref="M83:O83"/>
    <mergeCell ref="Q83:S83"/>
    <mergeCell ref="X83:Z83"/>
    <mergeCell ref="AE83:AF83"/>
    <mergeCell ref="D76:AG76"/>
    <mergeCell ref="AK76:AR76"/>
    <mergeCell ref="AU76:BF76"/>
    <mergeCell ref="F81:V81"/>
    <mergeCell ref="AK81:AL81"/>
    <mergeCell ref="AM81:AN81"/>
    <mergeCell ref="AO81:AP81"/>
    <mergeCell ref="AQ81:AR81"/>
    <mergeCell ref="F55:V55"/>
    <mergeCell ref="F56:G56"/>
    <mergeCell ref="X56:Z56"/>
    <mergeCell ref="F57:G57"/>
    <mergeCell ref="X57:Z57"/>
    <mergeCell ref="AU81:AX81"/>
    <mergeCell ref="AY81:BB81"/>
    <mergeCell ref="BC81:BF81"/>
    <mergeCell ref="AM11:AN11"/>
    <mergeCell ref="AO11:AP11"/>
    <mergeCell ref="AQ11:AR11"/>
    <mergeCell ref="AU11:AV11"/>
    <mergeCell ref="AW11:AX11"/>
    <mergeCell ref="AY11:AZ11"/>
    <mergeCell ref="AB11:AD11"/>
    <mergeCell ref="AG11:AH11"/>
    <mergeCell ref="F11:G11"/>
    <mergeCell ref="I11:K11"/>
    <mergeCell ref="M11:O11"/>
    <mergeCell ref="Q11:S11"/>
    <mergeCell ref="X11:Z11"/>
    <mergeCell ref="AE11:AF11"/>
    <mergeCell ref="AK11:AL11"/>
    <mergeCell ref="F51:AF51"/>
    <mergeCell ref="F52:V52"/>
    <mergeCell ref="F53:V53"/>
    <mergeCell ref="F54:V54"/>
    <mergeCell ref="BA11:BB11"/>
    <mergeCell ref="BC11:BD11"/>
    <mergeCell ref="F49:AF49"/>
    <mergeCell ref="F50:AF50"/>
    <mergeCell ref="AK2:AR2"/>
    <mergeCell ref="AU2:BF2"/>
    <mergeCell ref="F9:V9"/>
    <mergeCell ref="AK9:AL9"/>
    <mergeCell ref="AM9:AN9"/>
    <mergeCell ref="AO9:AP9"/>
    <mergeCell ref="AQ9:AR9"/>
    <mergeCell ref="AU9:AX9"/>
    <mergeCell ref="D2:AI2"/>
    <mergeCell ref="AY9:BB9"/>
    <mergeCell ref="BC9:BF9"/>
    <mergeCell ref="X9:AH9"/>
    <mergeCell ref="BE11:BF11"/>
    <mergeCell ref="F46:AF46"/>
    <mergeCell ref="F47:AF47"/>
    <mergeCell ref="F48:AF48"/>
  </mergeCells>
  <pageMargins left="0.7" right="0.7" top="0.75" bottom="0.75" header="0.3" footer="0.3"/>
  <pageSetup scale="37" orientation="landscape" r:id="rId1"/>
  <headerFooter>
    <oddFooter>&amp;LMILA&amp;CWeekly Flash Report&amp;R&amp;P</oddFooter>
  </headerFooter>
  <ignoredErrors>
    <ignoredError sqref="AD13:AG34 Q15:Q34 G19:G34 G13:G15 G17 I15:I19 K13:K34 M15:M34 O13:O34 I197:O197 S13:T34 V13:V34 X13:X34 Z13:Z34 AB13:AB34 V197:AC198 I21:I34 V203:AC204 V202:Y202 AA202:AC202 V196:Y196 AA196:AC196 V200:AC201 V199:Y199 AA199:AC199 V206:AC209 V205:Y205 AA205:AC205 I196:J196 L196 N196:O1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E0C3-A2E0-47CC-93DC-91719311C5BA}">
  <dimension ref="B2:G51"/>
  <sheetViews>
    <sheetView showGridLines="0" workbookViewId="0">
      <selection activeCell="C2" sqref="C2"/>
    </sheetView>
  </sheetViews>
  <sheetFormatPr defaultColWidth="9.140625" defaultRowHeight="11.25"/>
  <cols>
    <col min="1" max="1" width="2.85546875" style="343" customWidth="1"/>
    <col min="2" max="2" width="14.85546875" style="343" customWidth="1"/>
    <col min="3" max="3" width="11.7109375" style="343" bestFit="1" customWidth="1"/>
    <col min="4" max="4" width="12.140625" style="343" customWidth="1"/>
    <col min="5" max="5" width="15.28515625" style="343" customWidth="1"/>
    <col min="6" max="6" width="9.140625" style="343"/>
    <col min="7" max="7" width="10.85546875" style="343" bestFit="1" customWidth="1"/>
    <col min="8" max="16384" width="9.140625" style="343"/>
  </cols>
  <sheetData>
    <row r="2" spans="2:7">
      <c r="B2" s="350" t="s">
        <v>100</v>
      </c>
      <c r="C2" s="382" t="s">
        <v>101</v>
      </c>
    </row>
    <row r="3" spans="2:7">
      <c r="B3" s="350" t="s">
        <v>102</v>
      </c>
      <c r="C3" s="383" t="str" cm="1">
        <f t="array" ref="C3">_xlfn._xlws.FILTER(Table3[Period],Table3[Week '#]=Reconciliation!$C$2,"")</f>
        <v>P8</v>
      </c>
    </row>
    <row r="6" spans="2:7">
      <c r="B6" s="364" t="s">
        <v>100</v>
      </c>
      <c r="C6" s="365" t="s">
        <v>103</v>
      </c>
      <c r="D6" s="365" t="s">
        <v>104</v>
      </c>
      <c r="E6" s="365" t="s">
        <v>105</v>
      </c>
    </row>
    <row r="7" spans="2:7">
      <c r="B7" s="369" t="str" cm="1">
        <f t="array" ref="B7:C7">_xlfn.UNIQUE(_xlfn._xlws.FILTER(CHOOSE({1,2},Table6[Week '#],SUMPRODUCT((Table6[Week '#]=Reconciliation!$C$2)*(Table6[Net sales]))),Table6[Week '#]=Reconciliation!$C$2,""))</f>
        <v>Week 34</v>
      </c>
      <c r="C7" s="370">
        <v>2000757.3100000003</v>
      </c>
      <c r="D7" s="370">
        <f>SUMIF('Actual - 2026'!$A$5:$A$56,$C$2,'Actual - 2026'!$K$5:$K$56)+SUMIF('Actual - 2026'!$A$5:$A$56,$C$2,'Actual - 2026'!$W$5:$W$56)+SUMIF('Actual - 2026'!$A$5:$A$56,$C$2,'Actual - 2026'!$AI$5:$AI$56)+SUMIF('Actual - 2026'!$A$5:$A$56,$C$2,'Actual - 2026'!$AR$5:$AR$56)+SUMIF('Actual - 2026'!$A$5:$A$56,$C$2,'Actual - 2026'!$BA$5:$BA$56)+SUMIF('Actual - 2026'!$A$5:$A$56,$C$2,'Actual - 2026'!$BM$5:$BM$56)+SUMIF('Actual - 2026'!$A$5:$A$56,$C$2,'Actual - 2026'!$BV$5:$BV$56)</f>
        <v>1995361.79</v>
      </c>
      <c r="E7" s="371">
        <f>C7-D7</f>
        <v>5395.5200000002515</v>
      </c>
      <c r="G7" s="389"/>
    </row>
    <row r="8" spans="2:7">
      <c r="B8" s="372" t="s">
        <v>106</v>
      </c>
      <c r="C8" s="373"/>
      <c r="D8" s="372"/>
      <c r="E8" s="377" cm="1">
        <f t="array" ref="E8">SUMPRODUCT((Table4[Week '#]=Reconciliation!$C$2)*(Table4[Non-Grat Service $]))</f>
        <v>5552.87</v>
      </c>
    </row>
    <row r="9" spans="2:7">
      <c r="B9" s="374" t="s">
        <v>107</v>
      </c>
      <c r="C9" s="375"/>
      <c r="D9" s="376"/>
      <c r="E9" s="366">
        <f>E7-E8</f>
        <v>-157.34999999974843</v>
      </c>
    </row>
    <row r="10" spans="2:7">
      <c r="C10" s="362"/>
    </row>
    <row r="11" spans="2:7">
      <c r="C11" s="362"/>
    </row>
    <row r="12" spans="2:7">
      <c r="C12" s="362"/>
    </row>
    <row r="13" spans="2:7">
      <c r="B13" s="364" t="s">
        <v>100</v>
      </c>
      <c r="C13" s="378" t="s">
        <v>108</v>
      </c>
      <c r="D13" s="365" t="s">
        <v>103</v>
      </c>
    </row>
    <row r="14" spans="2:7">
      <c r="B14" s="369" t="str" cm="1">
        <f t="array" ref="B14:D20">_xlfn._xlws.FILTER(CHOOSE({1,2,3},Table6[Week '#],Table6[Day of Week],Table6[Net sales]),Table6[Week '#]=Reconciliation!$C$2,"")</f>
        <v>Week 34</v>
      </c>
      <c r="C14" s="370" t="str">
        <v>Monday</v>
      </c>
      <c r="D14" s="375">
        <v>99798.77</v>
      </c>
    </row>
    <row r="15" spans="2:7">
      <c r="B15" s="369" t="str">
        <v>Week 34</v>
      </c>
      <c r="C15" s="370" t="str">
        <v>Tuesday</v>
      </c>
      <c r="D15" s="375">
        <v>170377.19</v>
      </c>
    </row>
    <row r="16" spans="2:7">
      <c r="B16" s="369" t="str">
        <v>Week 34</v>
      </c>
      <c r="C16" s="370" t="str">
        <v>Wednesday</v>
      </c>
      <c r="D16" s="375">
        <v>179832.09</v>
      </c>
    </row>
    <row r="17" spans="2:4">
      <c r="B17" s="369" t="str">
        <v>Week 34</v>
      </c>
      <c r="C17" s="370" t="str">
        <v>Thursday</v>
      </c>
      <c r="D17" s="375">
        <v>295283.89</v>
      </c>
    </row>
    <row r="18" spans="2:4">
      <c r="B18" s="369" t="str">
        <v>Week 34</v>
      </c>
      <c r="C18" s="370" t="str">
        <v>Friday</v>
      </c>
      <c r="D18" s="375">
        <v>440631.69</v>
      </c>
    </row>
    <row r="19" spans="2:4">
      <c r="B19" s="369" t="str">
        <v>Week 34</v>
      </c>
      <c r="C19" s="370" t="str">
        <v>Saturday</v>
      </c>
      <c r="D19" s="375">
        <v>511041.9</v>
      </c>
    </row>
    <row r="20" spans="2:4">
      <c r="B20" s="372" t="str">
        <v>Week 34</v>
      </c>
      <c r="C20" s="373" t="str">
        <v>Sunday</v>
      </c>
      <c r="D20" s="375">
        <v>303791.78000000003</v>
      </c>
    </row>
    <row r="21" spans="2:4">
      <c r="B21" s="381" t="s">
        <v>107</v>
      </c>
      <c r="C21" s="379"/>
      <c r="D21" s="380">
        <f>SUM(D14:D20)</f>
        <v>2000757.3100000003</v>
      </c>
    </row>
    <row r="22" spans="2:4">
      <c r="C22" s="362"/>
    </row>
    <row r="23" spans="2:4">
      <c r="C23" s="362"/>
    </row>
    <row r="24" spans="2:4">
      <c r="C24" s="362"/>
    </row>
    <row r="25" spans="2:4">
      <c r="C25" s="362"/>
    </row>
    <row r="26" spans="2:4">
      <c r="C26" s="362"/>
    </row>
    <row r="27" spans="2:4">
      <c r="C27" s="362"/>
    </row>
    <row r="28" spans="2:4">
      <c r="C28" s="362"/>
    </row>
    <row r="29" spans="2:4">
      <c r="C29" s="362"/>
    </row>
    <row r="30" spans="2:4">
      <c r="C30" s="362"/>
    </row>
    <row r="31" spans="2:4">
      <c r="C31" s="362"/>
    </row>
    <row r="32" spans="2:4">
      <c r="C32" s="362"/>
    </row>
    <row r="33" spans="3:3">
      <c r="C33" s="362"/>
    </row>
    <row r="34" spans="3:3">
      <c r="C34" s="362"/>
    </row>
    <row r="35" spans="3:3">
      <c r="C35" s="362"/>
    </row>
    <row r="36" spans="3:3">
      <c r="C36" s="362"/>
    </row>
    <row r="37" spans="3:3">
      <c r="C37" s="362"/>
    </row>
    <row r="38" spans="3:3">
      <c r="C38" s="362"/>
    </row>
    <row r="39" spans="3:3">
      <c r="C39" s="362"/>
    </row>
    <row r="40" spans="3:3">
      <c r="C40" s="362"/>
    </row>
    <row r="41" spans="3:3">
      <c r="C41" s="362"/>
    </row>
    <row r="42" spans="3:3">
      <c r="C42" s="362"/>
    </row>
    <row r="43" spans="3:3">
      <c r="C43" s="362"/>
    </row>
    <row r="44" spans="3:3">
      <c r="C44" s="362"/>
    </row>
    <row r="45" spans="3:3">
      <c r="C45" s="362"/>
    </row>
    <row r="46" spans="3:3">
      <c r="C46" s="362"/>
    </row>
    <row r="47" spans="3:3">
      <c r="C47" s="362"/>
    </row>
    <row r="48" spans="3:3">
      <c r="C48" s="362"/>
    </row>
    <row r="49" spans="3:3">
      <c r="C49" s="362"/>
    </row>
    <row r="50" spans="3:3">
      <c r="C50" s="362"/>
    </row>
    <row r="51" spans="3:3">
      <c r="C51" s="36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7EB742-2DB3-4C73-93F1-90BE2A6385F9}">
          <x14:formula1>
            <xm:f>'Reference Tab'!$C$6:$C$57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EDE8-6127-4E24-89B7-AF834B5D6783}">
  <dimension ref="B3:T243"/>
  <sheetViews>
    <sheetView showGridLines="0" topLeftCell="B210" workbookViewId="0">
      <selection activeCell="H235" sqref="H235"/>
    </sheetView>
  </sheetViews>
  <sheetFormatPr defaultColWidth="9.140625" defaultRowHeight="11.25"/>
  <cols>
    <col min="1" max="1" width="2.140625" style="343" customWidth="1"/>
    <col min="2" max="7" width="9.140625" style="343"/>
    <col min="8" max="8" width="10.7109375" style="343" customWidth="1"/>
    <col min="9" max="9" width="11.42578125" style="343" bestFit="1" customWidth="1"/>
    <col min="10" max="17" width="9.140625" style="343"/>
    <col min="18" max="18" width="12.85546875" style="343" bestFit="1" customWidth="1"/>
    <col min="19" max="19" width="12" style="343" bestFit="1" customWidth="1"/>
    <col min="20" max="20" width="19.140625" style="343" bestFit="1" customWidth="1"/>
    <col min="21" max="16384" width="9.140625" style="343"/>
  </cols>
  <sheetData>
    <row r="3" spans="2:20">
      <c r="B3" s="368" t="s">
        <v>109</v>
      </c>
      <c r="C3" s="368"/>
      <c r="D3" s="368"/>
      <c r="E3" s="368"/>
      <c r="F3" s="368"/>
      <c r="H3" s="368" t="s">
        <v>110</v>
      </c>
      <c r="I3" s="368"/>
      <c r="J3" s="368"/>
      <c r="K3" s="368"/>
      <c r="L3" s="368"/>
      <c r="M3" s="368"/>
      <c r="N3" s="368"/>
      <c r="P3" s="368" t="s">
        <v>111</v>
      </c>
      <c r="Q3" s="368"/>
      <c r="R3" s="368"/>
      <c r="S3" s="368"/>
      <c r="T3" s="368"/>
    </row>
    <row r="4" spans="2:20">
      <c r="H4" s="367"/>
    </row>
    <row r="5" spans="2:20" ht="12">
      <c r="B5" s="344" t="s">
        <v>102</v>
      </c>
      <c r="C5" s="344" t="s">
        <v>100</v>
      </c>
      <c r="D5" s="344" t="s">
        <v>112</v>
      </c>
      <c r="E5" s="344" t="s">
        <v>113</v>
      </c>
      <c r="F5" s="345" t="s">
        <v>114</v>
      </c>
      <c r="H5" s="359" t="s">
        <v>115</v>
      </c>
      <c r="I5" s="360" t="s">
        <v>116</v>
      </c>
      <c r="J5" s="360" t="s">
        <v>117</v>
      </c>
      <c r="K5" s="360" t="s">
        <v>118</v>
      </c>
      <c r="L5" s="360" t="s">
        <v>119</v>
      </c>
      <c r="M5" s="360" t="s">
        <v>108</v>
      </c>
      <c r="N5" s="361" t="s">
        <v>100</v>
      </c>
      <c r="P5" s="344" t="s">
        <v>102</v>
      </c>
      <c r="Q5" s="344" t="s">
        <v>100</v>
      </c>
      <c r="R5" s="345" t="s">
        <v>112</v>
      </c>
      <c r="S5" s="345" t="s">
        <v>113</v>
      </c>
      <c r="T5" s="345" t="s">
        <v>120</v>
      </c>
    </row>
    <row r="6" spans="2:20" ht="12">
      <c r="B6" s="346" t="s">
        <v>121</v>
      </c>
      <c r="C6" s="347" t="s">
        <v>122</v>
      </c>
      <c r="D6" s="348">
        <v>46020</v>
      </c>
      <c r="E6" s="349">
        <f>Table3[[#This Row],[Start Date]]+6</f>
        <v>46026</v>
      </c>
      <c r="F6" s="350" t="s">
        <v>114</v>
      </c>
      <c r="H6" s="343">
        <v>20251229</v>
      </c>
      <c r="I6" s="362">
        <v>395375.12</v>
      </c>
      <c r="J6" s="343">
        <v>1227</v>
      </c>
      <c r="K6" s="343">
        <v>2791</v>
      </c>
      <c r="L6" s="363">
        <f t="shared" ref="L6:L37" si="0">DATE(LEFT(H6,4),MID(H6,5,2),RIGHT(H6,2))</f>
        <v>46020</v>
      </c>
      <c r="M6" s="350" t="str">
        <f t="shared" ref="M6:M37" si="1">TEXT(L6,"DDDD")</f>
        <v>Monday</v>
      </c>
      <c r="N6" s="350" t="str" cm="1">
        <f t="array" ref="N6">_xlfn._xlws.FILTER(Table3[Week '#],(Table3[Start Date]&lt;=Table6[[#This Row],[Date]])*(Table3[End Date]&gt;=Table6[[#This Row],[Date]]),"")</f>
        <v>Week 1</v>
      </c>
      <c r="P6" s="343" t="s">
        <v>121</v>
      </c>
      <c r="Q6" s="343" t="s">
        <v>122</v>
      </c>
      <c r="R6" s="348">
        <v>46020</v>
      </c>
      <c r="S6" s="349">
        <v>46026</v>
      </c>
      <c r="T6" s="362">
        <v>4667.91</v>
      </c>
    </row>
    <row r="7" spans="2:20" ht="12">
      <c r="B7" s="351" t="s">
        <v>121</v>
      </c>
      <c r="C7" s="352" t="s">
        <v>123</v>
      </c>
      <c r="D7" s="353">
        <f>+E6+1</f>
        <v>46027</v>
      </c>
      <c r="E7" s="354">
        <f>Table3[[#This Row],[Start Date]]+6</f>
        <v>46033</v>
      </c>
      <c r="F7" s="350" t="s">
        <v>114</v>
      </c>
      <c r="H7" s="343">
        <v>20251230</v>
      </c>
      <c r="I7" s="362">
        <v>677868.52</v>
      </c>
      <c r="J7" s="343">
        <v>2060</v>
      </c>
      <c r="K7" s="343">
        <v>5012</v>
      </c>
      <c r="L7" s="363">
        <f t="shared" si="0"/>
        <v>46021</v>
      </c>
      <c r="M7" s="350" t="str">
        <f t="shared" si="1"/>
        <v>Tuesday</v>
      </c>
      <c r="N7" s="350" t="str" cm="1">
        <f t="array" ref="N7">_xlfn._xlws.FILTER(Table3[Week '#],(Table3[Start Date]&lt;=Table6[[#This Row],[Date]])*(Table3[End Date]&gt;=Table6[[#This Row],[Date]]),"")</f>
        <v>Week 1</v>
      </c>
      <c r="P7" s="343" t="s">
        <v>121</v>
      </c>
      <c r="Q7" s="343" t="s">
        <v>123</v>
      </c>
      <c r="R7" s="353">
        <v>46027</v>
      </c>
      <c r="S7" s="354">
        <v>46033</v>
      </c>
      <c r="T7" s="362">
        <v>27138.13</v>
      </c>
    </row>
    <row r="8" spans="2:20" ht="12">
      <c r="B8" s="346" t="s">
        <v>121</v>
      </c>
      <c r="C8" s="347" t="s">
        <v>124</v>
      </c>
      <c r="D8" s="348">
        <f t="shared" ref="D8:D57" si="2">+E7+1</f>
        <v>46034</v>
      </c>
      <c r="E8" s="349">
        <f>Table3[[#This Row],[Start Date]]+6</f>
        <v>46040</v>
      </c>
      <c r="F8" s="350" t="s">
        <v>114</v>
      </c>
      <c r="H8" s="343">
        <v>20251231</v>
      </c>
      <c r="I8" s="362">
        <v>1515267.96</v>
      </c>
      <c r="J8" s="343">
        <v>1850</v>
      </c>
      <c r="K8" s="343">
        <v>4252</v>
      </c>
      <c r="L8" s="363">
        <f t="shared" si="0"/>
        <v>46022</v>
      </c>
      <c r="M8" s="350" t="str">
        <f t="shared" si="1"/>
        <v>Wednesday</v>
      </c>
      <c r="N8" s="350" t="str" cm="1">
        <f t="array" ref="N8">_xlfn._xlws.FILTER(Table3[Week '#],(Table3[Start Date]&lt;=Table6[[#This Row],[Date]])*(Table3[End Date]&gt;=Table6[[#This Row],[Date]]),"")</f>
        <v>Week 1</v>
      </c>
      <c r="P8" s="343" t="s">
        <v>121</v>
      </c>
      <c r="Q8" s="343" t="s">
        <v>124</v>
      </c>
      <c r="R8" s="348">
        <v>46034</v>
      </c>
      <c r="S8" s="349">
        <v>46040</v>
      </c>
      <c r="T8" s="362">
        <v>25872</v>
      </c>
    </row>
    <row r="9" spans="2:20" ht="12">
      <c r="B9" s="351" t="s">
        <v>121</v>
      </c>
      <c r="C9" s="352" t="s">
        <v>125</v>
      </c>
      <c r="D9" s="353">
        <f t="shared" si="2"/>
        <v>46041</v>
      </c>
      <c r="E9" s="354">
        <f>Table3[[#This Row],[Start Date]]+6</f>
        <v>46047</v>
      </c>
      <c r="F9" s="350" t="s">
        <v>126</v>
      </c>
      <c r="H9" s="343">
        <v>20260101</v>
      </c>
      <c r="I9" s="362">
        <v>398848.39</v>
      </c>
      <c r="J9" s="343">
        <v>1285</v>
      </c>
      <c r="K9" s="343">
        <v>3192</v>
      </c>
      <c r="L9" s="363">
        <f t="shared" si="0"/>
        <v>46023</v>
      </c>
      <c r="M9" s="350" t="str">
        <f t="shared" si="1"/>
        <v>Thursday</v>
      </c>
      <c r="N9" s="350" t="str" cm="1">
        <f t="array" ref="N9">_xlfn._xlws.FILTER(Table3[Week '#],(Table3[Start Date]&lt;=Table6[[#This Row],[Date]])*(Table3[End Date]&gt;=Table6[[#This Row],[Date]]),"")</f>
        <v>Week 1</v>
      </c>
      <c r="P9" s="343" t="s">
        <v>121</v>
      </c>
      <c r="Q9" s="343" t="s">
        <v>125</v>
      </c>
      <c r="R9" s="353">
        <v>46041</v>
      </c>
      <c r="S9" s="354">
        <v>46047</v>
      </c>
      <c r="T9" s="362">
        <v>19485.47</v>
      </c>
    </row>
    <row r="10" spans="2:20" ht="12">
      <c r="B10" s="346" t="s">
        <v>127</v>
      </c>
      <c r="C10" s="347" t="s">
        <v>128</v>
      </c>
      <c r="D10" s="348">
        <f t="shared" si="2"/>
        <v>46048</v>
      </c>
      <c r="E10" s="349">
        <f>Table3[[#This Row],[Start Date]]+6</f>
        <v>46054</v>
      </c>
      <c r="F10" s="350" t="s">
        <v>126</v>
      </c>
      <c r="H10" s="343">
        <v>20260102</v>
      </c>
      <c r="I10" s="362">
        <v>514278.04</v>
      </c>
      <c r="J10" s="343">
        <v>1768</v>
      </c>
      <c r="K10" s="343">
        <v>4087</v>
      </c>
      <c r="L10" s="363">
        <f t="shared" si="0"/>
        <v>46024</v>
      </c>
      <c r="M10" s="350" t="str">
        <f t="shared" si="1"/>
        <v>Friday</v>
      </c>
      <c r="N10" s="350" t="str" cm="1">
        <f t="array" ref="N10">_xlfn._xlws.FILTER(Table3[Week '#],(Table3[Start Date]&lt;=Table6[[#This Row],[Date]])*(Table3[End Date]&gt;=Table6[[#This Row],[Date]]),"")</f>
        <v>Week 1</v>
      </c>
      <c r="P10" s="343" t="s">
        <v>127</v>
      </c>
      <c r="Q10" s="343" t="s">
        <v>128</v>
      </c>
      <c r="R10" s="348">
        <v>46048</v>
      </c>
      <c r="S10" s="349">
        <v>46054</v>
      </c>
      <c r="T10" s="362">
        <v>25498.07</v>
      </c>
    </row>
    <row r="11" spans="2:20" ht="12">
      <c r="B11" s="351" t="s">
        <v>127</v>
      </c>
      <c r="C11" s="352" t="s">
        <v>129</v>
      </c>
      <c r="D11" s="353">
        <f t="shared" si="2"/>
        <v>46055</v>
      </c>
      <c r="E11" s="354">
        <f>Table3[[#This Row],[Start Date]]+6</f>
        <v>46061</v>
      </c>
      <c r="F11" s="350" t="s">
        <v>126</v>
      </c>
      <c r="H11" s="343">
        <v>20260103</v>
      </c>
      <c r="I11" s="362">
        <v>756008.97</v>
      </c>
      <c r="J11" s="343">
        <v>2673</v>
      </c>
      <c r="K11" s="343">
        <v>7579</v>
      </c>
      <c r="L11" s="363">
        <f t="shared" si="0"/>
        <v>46025</v>
      </c>
      <c r="M11" s="350" t="str">
        <f t="shared" si="1"/>
        <v>Saturday</v>
      </c>
      <c r="N11" s="350" t="str" cm="1">
        <f t="array" ref="N11">_xlfn._xlws.FILTER(Table3[Week '#],(Table3[Start Date]&lt;=Table6[[#This Row],[Date]])*(Table3[End Date]&gt;=Table6[[#This Row],[Date]]),"")</f>
        <v>Week 1</v>
      </c>
      <c r="P11" s="343" t="s">
        <v>127</v>
      </c>
      <c r="Q11" s="343" t="s">
        <v>129</v>
      </c>
      <c r="R11" s="353">
        <v>46055</v>
      </c>
      <c r="S11" s="354">
        <v>46061</v>
      </c>
      <c r="T11" s="362">
        <v>17785.490000000002</v>
      </c>
    </row>
    <row r="12" spans="2:20" ht="12">
      <c r="B12" s="346" t="s">
        <v>127</v>
      </c>
      <c r="C12" s="347" t="s">
        <v>130</v>
      </c>
      <c r="D12" s="348">
        <f t="shared" si="2"/>
        <v>46062</v>
      </c>
      <c r="E12" s="349">
        <f>Table3[[#This Row],[Start Date]]+6</f>
        <v>46068</v>
      </c>
      <c r="F12" s="350" t="s">
        <v>126</v>
      </c>
      <c r="H12" s="343">
        <v>20260104</v>
      </c>
      <c r="I12" s="362">
        <v>421022.34</v>
      </c>
      <c r="J12" s="343">
        <v>1406</v>
      </c>
      <c r="K12" s="343">
        <v>3316</v>
      </c>
      <c r="L12" s="363">
        <f t="shared" si="0"/>
        <v>46026</v>
      </c>
      <c r="M12" s="350" t="str">
        <f t="shared" si="1"/>
        <v>Sunday</v>
      </c>
      <c r="N12" s="350" t="str" cm="1">
        <f t="array" ref="N12">_xlfn._xlws.FILTER(Table3[Week '#],(Table3[Start Date]&lt;=Table6[[#This Row],[Date]])*(Table3[End Date]&gt;=Table6[[#This Row],[Date]]),"")</f>
        <v>Week 1</v>
      </c>
      <c r="P12" s="343" t="s">
        <v>127</v>
      </c>
      <c r="Q12" s="343" t="s">
        <v>130</v>
      </c>
      <c r="R12" s="348">
        <v>46062</v>
      </c>
      <c r="S12" s="349">
        <v>46068</v>
      </c>
      <c r="T12" s="362">
        <v>19543.79</v>
      </c>
    </row>
    <row r="13" spans="2:20" ht="12">
      <c r="B13" s="351" t="s">
        <v>127</v>
      </c>
      <c r="C13" s="352" t="s">
        <v>131</v>
      </c>
      <c r="D13" s="353">
        <f t="shared" si="2"/>
        <v>46069</v>
      </c>
      <c r="E13" s="354">
        <f>Table3[[#This Row],[Start Date]]+6</f>
        <v>46075</v>
      </c>
      <c r="F13" s="350" t="s">
        <v>132</v>
      </c>
      <c r="H13" s="343">
        <v>20260105</v>
      </c>
      <c r="I13" s="362">
        <v>180439.84</v>
      </c>
      <c r="J13" s="343">
        <v>460</v>
      </c>
      <c r="K13" s="343">
        <v>1088</v>
      </c>
      <c r="L13" s="363">
        <f t="shared" si="0"/>
        <v>46027</v>
      </c>
      <c r="M13" s="350" t="str">
        <f t="shared" si="1"/>
        <v>Monday</v>
      </c>
      <c r="N13" s="350" t="str" cm="1">
        <f t="array" ref="N13">_xlfn._xlws.FILTER(Table3[Week '#],(Table3[Start Date]&lt;=Table6[[#This Row],[Date]])*(Table3[End Date]&gt;=Table6[[#This Row],[Date]]),"")</f>
        <v>Week 2</v>
      </c>
      <c r="P13" s="343" t="s">
        <v>127</v>
      </c>
      <c r="Q13" s="343" t="s">
        <v>131</v>
      </c>
      <c r="R13" s="353">
        <v>46069</v>
      </c>
      <c r="S13" s="354">
        <v>46075</v>
      </c>
      <c r="T13" s="362">
        <v>14781.81</v>
      </c>
    </row>
    <row r="14" spans="2:20" ht="12">
      <c r="B14" s="346" t="s">
        <v>133</v>
      </c>
      <c r="C14" s="347" t="s">
        <v>134</v>
      </c>
      <c r="D14" s="348">
        <f t="shared" si="2"/>
        <v>46076</v>
      </c>
      <c r="E14" s="349">
        <f>Table3[[#This Row],[Start Date]]+6</f>
        <v>46082</v>
      </c>
      <c r="F14" s="350" t="s">
        <v>132</v>
      </c>
      <c r="H14" s="343">
        <v>20260106</v>
      </c>
      <c r="I14" s="362">
        <v>148250.4</v>
      </c>
      <c r="J14" s="343">
        <v>627</v>
      </c>
      <c r="K14" s="343">
        <v>1271</v>
      </c>
      <c r="L14" s="363">
        <f t="shared" si="0"/>
        <v>46028</v>
      </c>
      <c r="M14" s="350" t="str">
        <f t="shared" si="1"/>
        <v>Tuesday</v>
      </c>
      <c r="N14" s="350" t="str" cm="1">
        <f t="array" ref="N14">_xlfn._xlws.FILTER(Table3[Week '#],(Table3[Start Date]&lt;=Table6[[#This Row],[Date]])*(Table3[End Date]&gt;=Table6[[#This Row],[Date]]),"")</f>
        <v>Week 2</v>
      </c>
      <c r="P14" s="343" t="s">
        <v>133</v>
      </c>
      <c r="Q14" s="343" t="s">
        <v>134</v>
      </c>
      <c r="R14" s="348">
        <v>46076</v>
      </c>
      <c r="S14" s="349">
        <v>46082</v>
      </c>
      <c r="T14" s="362">
        <v>37196.71</v>
      </c>
    </row>
    <row r="15" spans="2:20" ht="12">
      <c r="B15" s="351" t="s">
        <v>133</v>
      </c>
      <c r="C15" s="352" t="s">
        <v>135</v>
      </c>
      <c r="D15" s="353">
        <f t="shared" si="2"/>
        <v>46083</v>
      </c>
      <c r="E15" s="354">
        <f>Table3[[#This Row],[Start Date]]+6</f>
        <v>46089</v>
      </c>
      <c r="F15" s="350" t="s">
        <v>132</v>
      </c>
      <c r="H15" s="343">
        <v>20260107</v>
      </c>
      <c r="I15" s="362">
        <v>304728.96000000002</v>
      </c>
      <c r="J15" s="343">
        <v>403</v>
      </c>
      <c r="K15" s="343">
        <v>1357</v>
      </c>
      <c r="L15" s="363">
        <f t="shared" si="0"/>
        <v>46029</v>
      </c>
      <c r="M15" s="350" t="str">
        <f t="shared" si="1"/>
        <v>Wednesday</v>
      </c>
      <c r="N15" s="350" t="str" cm="1">
        <f t="array" ref="N15">_xlfn._xlws.FILTER(Table3[Week '#],(Table3[Start Date]&lt;=Table6[[#This Row],[Date]])*(Table3[End Date]&gt;=Table6[[#This Row],[Date]]),"")</f>
        <v>Week 2</v>
      </c>
      <c r="P15" s="343" t="s">
        <v>133</v>
      </c>
      <c r="Q15" s="343" t="s">
        <v>135</v>
      </c>
      <c r="R15" s="353">
        <v>46083</v>
      </c>
      <c r="S15" s="354">
        <v>46089</v>
      </c>
      <c r="T15" s="362">
        <v>18728.150000000001</v>
      </c>
    </row>
    <row r="16" spans="2:20" ht="12">
      <c r="B16" s="346" t="s">
        <v>133</v>
      </c>
      <c r="C16" s="347" t="s">
        <v>136</v>
      </c>
      <c r="D16" s="348">
        <f t="shared" si="2"/>
        <v>46090</v>
      </c>
      <c r="E16" s="349">
        <f>Table3[[#This Row],[Start Date]]+6</f>
        <v>46096</v>
      </c>
      <c r="F16" s="350" t="s">
        <v>132</v>
      </c>
      <c r="H16" s="343">
        <v>20260108</v>
      </c>
      <c r="I16" s="362">
        <v>276687.96000000002</v>
      </c>
      <c r="J16" s="343">
        <v>1008</v>
      </c>
      <c r="K16" s="343">
        <v>2498</v>
      </c>
      <c r="L16" s="363">
        <f t="shared" si="0"/>
        <v>46030</v>
      </c>
      <c r="M16" s="350" t="str">
        <f t="shared" si="1"/>
        <v>Thursday</v>
      </c>
      <c r="N16" s="350" t="str" cm="1">
        <f t="array" ref="N16">_xlfn._xlws.FILTER(Table3[Week '#],(Table3[Start Date]&lt;=Table6[[#This Row],[Date]])*(Table3[End Date]&gt;=Table6[[#This Row],[Date]]),"")</f>
        <v>Week 2</v>
      </c>
      <c r="P16" s="343" t="s">
        <v>133</v>
      </c>
      <c r="Q16" s="343" t="s">
        <v>136</v>
      </c>
      <c r="R16" s="348">
        <v>46090</v>
      </c>
      <c r="S16" s="349">
        <v>46096</v>
      </c>
      <c r="T16" s="362">
        <v>54236.2</v>
      </c>
    </row>
    <row r="17" spans="2:20" ht="12">
      <c r="B17" s="351" t="s">
        <v>133</v>
      </c>
      <c r="C17" s="352" t="s">
        <v>137</v>
      </c>
      <c r="D17" s="353">
        <f t="shared" si="2"/>
        <v>46097</v>
      </c>
      <c r="E17" s="354">
        <f>Table3[[#This Row],[Start Date]]+6</f>
        <v>46103</v>
      </c>
      <c r="F17" s="350" t="s">
        <v>132</v>
      </c>
      <c r="H17" s="343">
        <v>20260109</v>
      </c>
      <c r="I17" s="362">
        <v>446916.64</v>
      </c>
      <c r="J17" s="343">
        <v>1702</v>
      </c>
      <c r="K17" s="343">
        <v>4372</v>
      </c>
      <c r="L17" s="363">
        <f t="shared" si="0"/>
        <v>46031</v>
      </c>
      <c r="M17" s="350" t="str">
        <f t="shared" si="1"/>
        <v>Friday</v>
      </c>
      <c r="N17" s="350" t="str" cm="1">
        <f t="array" ref="N17">_xlfn._xlws.FILTER(Table3[Week '#],(Table3[Start Date]&lt;=Table6[[#This Row],[Date]])*(Table3[End Date]&gt;=Table6[[#This Row],[Date]]),"")</f>
        <v>Week 2</v>
      </c>
      <c r="P17" s="343" t="s">
        <v>133</v>
      </c>
      <c r="Q17" s="343" t="s">
        <v>137</v>
      </c>
      <c r="R17" s="353">
        <v>46097</v>
      </c>
      <c r="S17" s="354">
        <v>46103</v>
      </c>
      <c r="T17" s="362">
        <v>23589.84</v>
      </c>
    </row>
    <row r="18" spans="2:20" ht="12">
      <c r="B18" s="346" t="s">
        <v>133</v>
      </c>
      <c r="C18" s="347" t="s">
        <v>138</v>
      </c>
      <c r="D18" s="348">
        <f t="shared" si="2"/>
        <v>46104</v>
      </c>
      <c r="E18" s="349">
        <f>Table3[[#This Row],[Start Date]]+6</f>
        <v>46110</v>
      </c>
      <c r="F18" s="350" t="s">
        <v>139</v>
      </c>
      <c r="H18" s="343">
        <v>20260110</v>
      </c>
      <c r="I18" s="362">
        <v>796057.2</v>
      </c>
      <c r="J18" s="343">
        <v>2249</v>
      </c>
      <c r="K18" s="343">
        <v>5255</v>
      </c>
      <c r="L18" s="363">
        <f t="shared" si="0"/>
        <v>46032</v>
      </c>
      <c r="M18" s="350" t="str">
        <f t="shared" si="1"/>
        <v>Saturday</v>
      </c>
      <c r="N18" s="350" t="str" cm="1">
        <f t="array" ref="N18">_xlfn._xlws.FILTER(Table3[Week '#],(Table3[Start Date]&lt;=Table6[[#This Row],[Date]])*(Table3[End Date]&gt;=Table6[[#This Row],[Date]]),"")</f>
        <v>Week 2</v>
      </c>
      <c r="P18" s="343" t="s">
        <v>133</v>
      </c>
      <c r="Q18" s="343" t="s">
        <v>138</v>
      </c>
      <c r="R18" s="348">
        <v>46104</v>
      </c>
      <c r="S18" s="349">
        <v>46110</v>
      </c>
      <c r="T18" s="362">
        <v>13744.82</v>
      </c>
    </row>
    <row r="19" spans="2:20" ht="12">
      <c r="B19" s="351" t="s">
        <v>140</v>
      </c>
      <c r="C19" s="352" t="s">
        <v>141</v>
      </c>
      <c r="D19" s="353">
        <f t="shared" si="2"/>
        <v>46111</v>
      </c>
      <c r="E19" s="354">
        <f>Table3[[#This Row],[Start Date]]+6</f>
        <v>46117</v>
      </c>
      <c r="F19" s="350" t="s">
        <v>139</v>
      </c>
      <c r="H19" s="343">
        <v>20260111</v>
      </c>
      <c r="I19" s="362">
        <v>516606.58</v>
      </c>
      <c r="J19" s="343">
        <v>1319</v>
      </c>
      <c r="K19" s="343">
        <v>3164</v>
      </c>
      <c r="L19" s="363">
        <f t="shared" si="0"/>
        <v>46033</v>
      </c>
      <c r="M19" s="350" t="str">
        <f t="shared" si="1"/>
        <v>Sunday</v>
      </c>
      <c r="N19" s="350" t="str" cm="1">
        <f t="array" ref="N19">_xlfn._xlws.FILTER(Table3[Week '#],(Table3[Start Date]&lt;=Table6[[#This Row],[Date]])*(Table3[End Date]&gt;=Table6[[#This Row],[Date]]),"")</f>
        <v>Week 2</v>
      </c>
      <c r="P19" s="343" t="s">
        <v>140</v>
      </c>
      <c r="Q19" s="343" t="s">
        <v>141</v>
      </c>
      <c r="R19" s="353">
        <v>46111</v>
      </c>
      <c r="S19" s="354">
        <v>46117</v>
      </c>
      <c r="T19" s="362">
        <v>6759.07</v>
      </c>
    </row>
    <row r="20" spans="2:20" ht="12">
      <c r="B20" s="346" t="s">
        <v>140</v>
      </c>
      <c r="C20" s="347" t="s">
        <v>142</v>
      </c>
      <c r="D20" s="348">
        <f t="shared" si="2"/>
        <v>46118</v>
      </c>
      <c r="E20" s="349">
        <f>Table3[[#This Row],[Start Date]]+6</f>
        <v>46124</v>
      </c>
      <c r="F20" s="350" t="s">
        <v>139</v>
      </c>
      <c r="H20" s="343">
        <v>20260112</v>
      </c>
      <c r="I20" s="362">
        <v>272687.35999999999</v>
      </c>
      <c r="J20" s="343">
        <v>422</v>
      </c>
      <c r="K20" s="343">
        <v>1164</v>
      </c>
      <c r="L20" s="363">
        <f t="shared" si="0"/>
        <v>46034</v>
      </c>
      <c r="M20" s="350" t="str">
        <f t="shared" si="1"/>
        <v>Monday</v>
      </c>
      <c r="N20" s="350" t="str" cm="1">
        <f t="array" ref="N20">_xlfn._xlws.FILTER(Table3[Week '#],(Table3[Start Date]&lt;=Table6[[#This Row],[Date]])*(Table3[End Date]&gt;=Table6[[#This Row],[Date]]),"")</f>
        <v>Week 3</v>
      </c>
      <c r="P20" s="343" t="s">
        <v>140</v>
      </c>
      <c r="Q20" s="343" t="s">
        <v>142</v>
      </c>
      <c r="R20" s="348">
        <v>46118</v>
      </c>
      <c r="S20" s="349">
        <v>46124</v>
      </c>
      <c r="T20" s="362">
        <v>11872.42</v>
      </c>
    </row>
    <row r="21" spans="2:20" ht="12">
      <c r="B21" s="351" t="s">
        <v>140</v>
      </c>
      <c r="C21" s="352" t="s">
        <v>143</v>
      </c>
      <c r="D21" s="353">
        <f t="shared" si="2"/>
        <v>46125</v>
      </c>
      <c r="E21" s="354">
        <f>Table3[[#This Row],[Start Date]]+6</f>
        <v>46131</v>
      </c>
      <c r="F21" s="350" t="s">
        <v>139</v>
      </c>
      <c r="H21" s="343">
        <v>20260113</v>
      </c>
      <c r="I21" s="362">
        <v>215194.58</v>
      </c>
      <c r="J21" s="343">
        <v>535</v>
      </c>
      <c r="K21" s="343">
        <v>1343</v>
      </c>
      <c r="L21" s="363">
        <f t="shared" si="0"/>
        <v>46035</v>
      </c>
      <c r="M21" s="350" t="str">
        <f t="shared" si="1"/>
        <v>Tuesday</v>
      </c>
      <c r="N21" s="350" t="str" cm="1">
        <f t="array" ref="N21">_xlfn._xlws.FILTER(Table3[Week '#],(Table3[Start Date]&lt;=Table6[[#This Row],[Date]])*(Table3[End Date]&gt;=Table6[[#This Row],[Date]]),"")</f>
        <v>Week 3</v>
      </c>
      <c r="P21" s="343" t="s">
        <v>140</v>
      </c>
      <c r="Q21" s="343" t="s">
        <v>143</v>
      </c>
      <c r="R21" s="353">
        <v>46125</v>
      </c>
      <c r="S21" s="354">
        <v>46131</v>
      </c>
      <c r="T21" s="362">
        <v>20585.490000000002</v>
      </c>
    </row>
    <row r="22" spans="2:20" ht="12">
      <c r="B22" s="346" t="s">
        <v>140</v>
      </c>
      <c r="C22" s="347" t="s">
        <v>144</v>
      </c>
      <c r="D22" s="348">
        <f t="shared" si="2"/>
        <v>46132</v>
      </c>
      <c r="E22" s="349">
        <f>Table3[[#This Row],[Start Date]]+6</f>
        <v>46138</v>
      </c>
      <c r="F22" s="350" t="s">
        <v>145</v>
      </c>
      <c r="H22" s="343">
        <v>20260114</v>
      </c>
      <c r="I22" s="362">
        <v>241006.65</v>
      </c>
      <c r="J22" s="343">
        <v>900</v>
      </c>
      <c r="K22" s="343">
        <v>2110</v>
      </c>
      <c r="L22" s="363">
        <f t="shared" si="0"/>
        <v>46036</v>
      </c>
      <c r="M22" s="350" t="str">
        <f t="shared" si="1"/>
        <v>Wednesday</v>
      </c>
      <c r="N22" s="350" t="str" cm="1">
        <f t="array" ref="N22">_xlfn._xlws.FILTER(Table3[Week '#],(Table3[Start Date]&lt;=Table6[[#This Row],[Date]])*(Table3[End Date]&gt;=Table6[[#This Row],[Date]]),"")</f>
        <v>Week 3</v>
      </c>
      <c r="P22" s="343" t="s">
        <v>140</v>
      </c>
      <c r="Q22" s="343" t="s">
        <v>144</v>
      </c>
      <c r="R22" s="348">
        <v>46132</v>
      </c>
      <c r="S22" s="349">
        <v>46138</v>
      </c>
      <c r="T22" s="362">
        <v>23268.26</v>
      </c>
    </row>
    <row r="23" spans="2:20" ht="12">
      <c r="B23" s="351" t="s">
        <v>146</v>
      </c>
      <c r="C23" s="352" t="s">
        <v>147</v>
      </c>
      <c r="D23" s="353">
        <f t="shared" si="2"/>
        <v>46139</v>
      </c>
      <c r="E23" s="354">
        <f>Table3[[#This Row],[Start Date]]+6</f>
        <v>46145</v>
      </c>
      <c r="F23" s="350" t="s">
        <v>145</v>
      </c>
      <c r="H23" s="343">
        <v>20260115</v>
      </c>
      <c r="I23" s="362">
        <v>442457.76</v>
      </c>
      <c r="J23" s="343">
        <v>1016</v>
      </c>
      <c r="K23" s="343">
        <v>2504</v>
      </c>
      <c r="L23" s="363">
        <f t="shared" si="0"/>
        <v>46037</v>
      </c>
      <c r="M23" s="350" t="str">
        <f t="shared" si="1"/>
        <v>Thursday</v>
      </c>
      <c r="N23" s="350" t="str" cm="1">
        <f t="array" ref="N23">_xlfn._xlws.FILTER(Table3[Week '#],(Table3[Start Date]&lt;=Table6[[#This Row],[Date]])*(Table3[End Date]&gt;=Table6[[#This Row],[Date]]),"")</f>
        <v>Week 3</v>
      </c>
      <c r="P23" s="343" t="s">
        <v>146</v>
      </c>
      <c r="Q23" s="343" t="s">
        <v>147</v>
      </c>
      <c r="R23" s="353">
        <v>46139</v>
      </c>
      <c r="S23" s="354">
        <v>46145</v>
      </c>
      <c r="T23" s="362">
        <v>37245.410000000003</v>
      </c>
    </row>
    <row r="24" spans="2:20" ht="12">
      <c r="B24" s="346" t="s">
        <v>146</v>
      </c>
      <c r="C24" s="347" t="s">
        <v>148</v>
      </c>
      <c r="D24" s="348">
        <f t="shared" si="2"/>
        <v>46146</v>
      </c>
      <c r="E24" s="349">
        <f>Table3[[#This Row],[Start Date]]+6</f>
        <v>46152</v>
      </c>
      <c r="F24" s="350" t="s">
        <v>145</v>
      </c>
      <c r="H24" s="343">
        <v>20260116</v>
      </c>
      <c r="I24" s="362">
        <v>545384.82999999996</v>
      </c>
      <c r="J24" s="343">
        <v>1910</v>
      </c>
      <c r="K24" s="343">
        <v>4379</v>
      </c>
      <c r="L24" s="363">
        <f t="shared" si="0"/>
        <v>46038</v>
      </c>
      <c r="M24" s="350" t="str">
        <f t="shared" si="1"/>
        <v>Friday</v>
      </c>
      <c r="N24" s="350" t="str" cm="1">
        <f t="array" ref="N24">_xlfn._xlws.FILTER(Table3[Week '#],(Table3[Start Date]&lt;=Table6[[#This Row],[Date]])*(Table3[End Date]&gt;=Table6[[#This Row],[Date]]),"")</f>
        <v>Week 3</v>
      </c>
      <c r="P24" s="343" t="s">
        <v>146</v>
      </c>
      <c r="Q24" s="343" t="s">
        <v>148</v>
      </c>
      <c r="R24" s="348">
        <v>46146</v>
      </c>
      <c r="S24" s="349">
        <v>46152</v>
      </c>
      <c r="T24" s="362">
        <v>33215.43</v>
      </c>
    </row>
    <row r="25" spans="2:20" ht="12">
      <c r="B25" s="351" t="s">
        <v>146</v>
      </c>
      <c r="C25" s="352" t="s">
        <v>149</v>
      </c>
      <c r="D25" s="353">
        <f t="shared" si="2"/>
        <v>46153</v>
      </c>
      <c r="E25" s="354">
        <f>Table3[[#This Row],[Start Date]]+6</f>
        <v>46159</v>
      </c>
      <c r="F25" s="350" t="s">
        <v>145</v>
      </c>
      <c r="H25" s="343">
        <v>20260117</v>
      </c>
      <c r="I25" s="362">
        <v>722518.06</v>
      </c>
      <c r="J25" s="343">
        <v>2350</v>
      </c>
      <c r="K25" s="343">
        <v>5612</v>
      </c>
      <c r="L25" s="363">
        <f t="shared" si="0"/>
        <v>46039</v>
      </c>
      <c r="M25" s="350" t="str">
        <f t="shared" si="1"/>
        <v>Saturday</v>
      </c>
      <c r="N25" s="350" t="str" cm="1">
        <f t="array" ref="N25">_xlfn._xlws.FILTER(Table3[Week '#],(Table3[Start Date]&lt;=Table6[[#This Row],[Date]])*(Table3[End Date]&gt;=Table6[[#This Row],[Date]]),"")</f>
        <v>Week 3</v>
      </c>
      <c r="P25" s="343" t="s">
        <v>146</v>
      </c>
      <c r="Q25" s="343" t="s">
        <v>149</v>
      </c>
      <c r="R25" s="353">
        <v>46153</v>
      </c>
      <c r="S25" s="354">
        <v>46159</v>
      </c>
      <c r="T25" s="362">
        <v>19374.650000000001</v>
      </c>
    </row>
    <row r="26" spans="2:20" ht="12">
      <c r="B26" s="346" t="s">
        <v>146</v>
      </c>
      <c r="C26" s="347" t="s">
        <v>150</v>
      </c>
      <c r="D26" s="348">
        <f t="shared" si="2"/>
        <v>46160</v>
      </c>
      <c r="E26" s="349">
        <f>Table3[[#This Row],[Start Date]]+6</f>
        <v>46166</v>
      </c>
      <c r="F26" s="350" t="s">
        <v>151</v>
      </c>
      <c r="H26" s="343">
        <v>20260118</v>
      </c>
      <c r="I26" s="362">
        <v>636097.6</v>
      </c>
      <c r="J26" s="343">
        <v>1869</v>
      </c>
      <c r="K26" s="343">
        <v>5271</v>
      </c>
      <c r="L26" s="363">
        <f t="shared" si="0"/>
        <v>46040</v>
      </c>
      <c r="M26" s="350" t="str">
        <f t="shared" si="1"/>
        <v>Sunday</v>
      </c>
      <c r="N26" s="350" t="str" cm="1">
        <f t="array" ref="N26">_xlfn._xlws.FILTER(Table3[Week '#],(Table3[Start Date]&lt;=Table6[[#This Row],[Date]])*(Table3[End Date]&gt;=Table6[[#This Row],[Date]]),"")</f>
        <v>Week 3</v>
      </c>
      <c r="P26" s="343" t="s">
        <v>146</v>
      </c>
      <c r="Q26" s="343" t="s">
        <v>150</v>
      </c>
      <c r="R26" s="348">
        <v>46160</v>
      </c>
      <c r="S26" s="349">
        <v>46166</v>
      </c>
      <c r="T26" s="362">
        <v>14319.27</v>
      </c>
    </row>
    <row r="27" spans="2:20" ht="12">
      <c r="B27" s="351" t="s">
        <v>152</v>
      </c>
      <c r="C27" s="352" t="s">
        <v>153</v>
      </c>
      <c r="D27" s="353">
        <f t="shared" si="2"/>
        <v>46167</v>
      </c>
      <c r="E27" s="354">
        <f>Table3[[#This Row],[Start Date]]+6</f>
        <v>46173</v>
      </c>
      <c r="F27" s="350" t="s">
        <v>151</v>
      </c>
      <c r="H27" s="343">
        <v>20260119</v>
      </c>
      <c r="I27" s="362">
        <v>107970.65</v>
      </c>
      <c r="J27" s="343">
        <v>365</v>
      </c>
      <c r="K27" s="343">
        <v>845</v>
      </c>
      <c r="L27" s="363">
        <f t="shared" si="0"/>
        <v>46041</v>
      </c>
      <c r="M27" s="350" t="str">
        <f t="shared" si="1"/>
        <v>Monday</v>
      </c>
      <c r="N27" s="350" t="str" cm="1">
        <f t="array" ref="N27">_xlfn._xlws.FILTER(Table3[Week '#],(Table3[Start Date]&lt;=Table6[[#This Row],[Date]])*(Table3[End Date]&gt;=Table6[[#This Row],[Date]]),"")</f>
        <v>Week 4</v>
      </c>
      <c r="P27" s="343" t="s">
        <v>152</v>
      </c>
      <c r="Q27" s="343" t="s">
        <v>153</v>
      </c>
      <c r="R27" s="353">
        <v>46167</v>
      </c>
      <c r="S27" s="354">
        <v>46173</v>
      </c>
      <c r="T27" s="362">
        <v>19970.099999999999</v>
      </c>
    </row>
    <row r="28" spans="2:20" ht="12">
      <c r="B28" s="346" t="s">
        <v>152</v>
      </c>
      <c r="C28" s="347" t="s">
        <v>154</v>
      </c>
      <c r="D28" s="348">
        <f t="shared" si="2"/>
        <v>46174</v>
      </c>
      <c r="E28" s="349">
        <f>Table3[[#This Row],[Start Date]]+6</f>
        <v>46180</v>
      </c>
      <c r="F28" s="350" t="s">
        <v>151</v>
      </c>
      <c r="H28" s="343">
        <v>20260120</v>
      </c>
      <c r="I28" s="362">
        <v>181178.93</v>
      </c>
      <c r="J28" s="343">
        <v>613</v>
      </c>
      <c r="K28" s="343">
        <v>1297</v>
      </c>
      <c r="L28" s="363">
        <f t="shared" si="0"/>
        <v>46042</v>
      </c>
      <c r="M28" s="350" t="str">
        <f t="shared" si="1"/>
        <v>Tuesday</v>
      </c>
      <c r="N28" s="350" t="str" cm="1">
        <f t="array" ref="N28">_xlfn._xlws.FILTER(Table3[Week '#],(Table3[Start Date]&lt;=Table6[[#This Row],[Date]])*(Table3[End Date]&gt;=Table6[[#This Row],[Date]]),"")</f>
        <v>Week 4</v>
      </c>
      <c r="P28" s="343" t="s">
        <v>152</v>
      </c>
      <c r="Q28" s="343" t="s">
        <v>154</v>
      </c>
      <c r="R28" s="348">
        <v>46174</v>
      </c>
      <c r="S28" s="349">
        <v>46180</v>
      </c>
      <c r="T28" s="362">
        <v>15089.72</v>
      </c>
    </row>
    <row r="29" spans="2:20" ht="12">
      <c r="B29" s="351" t="s">
        <v>152</v>
      </c>
      <c r="C29" s="352" t="s">
        <v>155</v>
      </c>
      <c r="D29" s="353">
        <f t="shared" si="2"/>
        <v>46181</v>
      </c>
      <c r="E29" s="354">
        <f>Table3[[#This Row],[Start Date]]+6</f>
        <v>46187</v>
      </c>
      <c r="F29" s="350" t="s">
        <v>151</v>
      </c>
      <c r="H29" s="343">
        <v>20260121</v>
      </c>
      <c r="I29" s="362">
        <v>295699.21999999997</v>
      </c>
      <c r="J29" s="343">
        <v>723</v>
      </c>
      <c r="K29" s="343">
        <v>1906</v>
      </c>
      <c r="L29" s="363">
        <f t="shared" si="0"/>
        <v>46043</v>
      </c>
      <c r="M29" s="350" t="str">
        <f t="shared" si="1"/>
        <v>Wednesday</v>
      </c>
      <c r="N29" s="350" t="str" cm="1">
        <f t="array" ref="N29">_xlfn._xlws.FILTER(Table3[Week '#],(Table3[Start Date]&lt;=Table6[[#This Row],[Date]])*(Table3[End Date]&gt;=Table6[[#This Row],[Date]]),"")</f>
        <v>Week 4</v>
      </c>
      <c r="P29" s="343" t="s">
        <v>152</v>
      </c>
      <c r="Q29" s="343" t="s">
        <v>155</v>
      </c>
      <c r="R29" s="353">
        <v>46181</v>
      </c>
      <c r="S29" s="354">
        <v>46187</v>
      </c>
      <c r="T29" s="362">
        <v>9063.81</v>
      </c>
    </row>
    <row r="30" spans="2:20" ht="12">
      <c r="B30" s="346" t="s">
        <v>152</v>
      </c>
      <c r="C30" s="347" t="s">
        <v>156</v>
      </c>
      <c r="D30" s="348">
        <f t="shared" si="2"/>
        <v>46188</v>
      </c>
      <c r="E30" s="349">
        <f>Table3[[#This Row],[Start Date]]+6</f>
        <v>46194</v>
      </c>
      <c r="F30" s="350" t="s">
        <v>151</v>
      </c>
      <c r="H30" s="343">
        <v>20260122</v>
      </c>
      <c r="I30" s="362">
        <v>399572.68</v>
      </c>
      <c r="J30" s="343">
        <v>1167</v>
      </c>
      <c r="K30" s="343">
        <v>2778</v>
      </c>
      <c r="L30" s="363">
        <f t="shared" si="0"/>
        <v>46044</v>
      </c>
      <c r="M30" s="350" t="str">
        <f t="shared" si="1"/>
        <v>Thursday</v>
      </c>
      <c r="N30" s="350" t="str" cm="1">
        <f t="array" ref="N30">_xlfn._xlws.FILTER(Table3[Week '#],(Table3[Start Date]&lt;=Table6[[#This Row],[Date]])*(Table3[End Date]&gt;=Table6[[#This Row],[Date]]),"")</f>
        <v>Week 4</v>
      </c>
      <c r="P30" s="343" t="s">
        <v>152</v>
      </c>
      <c r="Q30" s="343" t="s">
        <v>156</v>
      </c>
      <c r="R30" s="348">
        <v>46188</v>
      </c>
      <c r="S30" s="349">
        <v>46194</v>
      </c>
      <c r="T30" s="362">
        <v>10456.300000000279</v>
      </c>
    </row>
    <row r="31" spans="2:20" ht="12">
      <c r="B31" s="351" t="s">
        <v>152</v>
      </c>
      <c r="C31" s="352" t="s">
        <v>157</v>
      </c>
      <c r="D31" s="353">
        <f t="shared" si="2"/>
        <v>46195</v>
      </c>
      <c r="E31" s="354">
        <f>Table3[[#This Row],[Start Date]]+6</f>
        <v>46201</v>
      </c>
      <c r="F31" s="350" t="s">
        <v>158</v>
      </c>
      <c r="H31" s="343">
        <v>20260123</v>
      </c>
      <c r="I31" s="362">
        <v>584651.52000000002</v>
      </c>
      <c r="J31" s="343">
        <v>1914</v>
      </c>
      <c r="K31" s="343">
        <v>4305</v>
      </c>
      <c r="L31" s="363">
        <f t="shared" si="0"/>
        <v>46045</v>
      </c>
      <c r="M31" s="350" t="str">
        <f t="shared" si="1"/>
        <v>Friday</v>
      </c>
      <c r="N31" s="350" t="str" cm="1">
        <f t="array" ref="N31">_xlfn._xlws.FILTER(Table3[Week '#],(Table3[Start Date]&lt;=Table6[[#This Row],[Date]])*(Table3[End Date]&gt;=Table6[[#This Row],[Date]]),"")</f>
        <v>Week 4</v>
      </c>
      <c r="P31" s="343" t="s">
        <v>152</v>
      </c>
      <c r="Q31" s="343" t="s">
        <v>157</v>
      </c>
      <c r="R31" s="353">
        <v>46195</v>
      </c>
      <c r="S31" s="354">
        <v>46201</v>
      </c>
      <c r="T31" s="362">
        <v>10345.26</v>
      </c>
    </row>
    <row r="32" spans="2:20" ht="12">
      <c r="B32" s="346" t="s">
        <v>159</v>
      </c>
      <c r="C32" s="347" t="s">
        <v>160</v>
      </c>
      <c r="D32" s="348">
        <f t="shared" si="2"/>
        <v>46202</v>
      </c>
      <c r="E32" s="349">
        <f>Table3[[#This Row],[Start Date]]+6</f>
        <v>46208</v>
      </c>
      <c r="F32" s="350" t="s">
        <v>158</v>
      </c>
      <c r="H32" s="343">
        <v>20260124</v>
      </c>
      <c r="I32" s="362">
        <v>627084.96</v>
      </c>
      <c r="J32" s="343">
        <v>2312</v>
      </c>
      <c r="K32" s="343">
        <v>5228</v>
      </c>
      <c r="L32" s="363">
        <f t="shared" si="0"/>
        <v>46046</v>
      </c>
      <c r="M32" s="350" t="str">
        <f t="shared" si="1"/>
        <v>Saturday</v>
      </c>
      <c r="N32" s="350" t="str" cm="1">
        <f t="array" ref="N32">_xlfn._xlws.FILTER(Table3[Week '#],(Table3[Start Date]&lt;=Table6[[#This Row],[Date]])*(Table3[End Date]&gt;=Table6[[#This Row],[Date]]),"")</f>
        <v>Week 4</v>
      </c>
      <c r="P32" s="343" t="s">
        <v>159</v>
      </c>
      <c r="Q32" s="343" t="s">
        <v>160</v>
      </c>
      <c r="R32" s="348">
        <v>46202</v>
      </c>
      <c r="S32" s="349">
        <v>46208</v>
      </c>
      <c r="T32" s="362">
        <v>5493.47</v>
      </c>
    </row>
    <row r="33" spans="2:20" ht="12">
      <c r="B33" s="351" t="s">
        <v>159</v>
      </c>
      <c r="C33" s="352" t="s">
        <v>161</v>
      </c>
      <c r="D33" s="353">
        <f t="shared" si="2"/>
        <v>46209</v>
      </c>
      <c r="E33" s="354">
        <f>Table3[[#This Row],[Start Date]]+6</f>
        <v>46215</v>
      </c>
      <c r="F33" s="350" t="s">
        <v>158</v>
      </c>
      <c r="H33" s="343">
        <v>20260125</v>
      </c>
      <c r="I33" s="362">
        <v>497770.43</v>
      </c>
      <c r="J33" s="343">
        <v>1644</v>
      </c>
      <c r="K33" s="343">
        <v>3886</v>
      </c>
      <c r="L33" s="363">
        <f t="shared" si="0"/>
        <v>46047</v>
      </c>
      <c r="M33" s="350" t="str">
        <f t="shared" si="1"/>
        <v>Sunday</v>
      </c>
      <c r="N33" s="350" t="str" cm="1">
        <f t="array" ref="N33">_xlfn._xlws.FILTER(Table3[Week '#],(Table3[Start Date]&lt;=Table6[[#This Row],[Date]])*(Table3[End Date]&gt;=Table6[[#This Row],[Date]]),"")</f>
        <v>Week 4</v>
      </c>
      <c r="P33" s="343" t="s">
        <v>159</v>
      </c>
      <c r="Q33" s="343" t="s">
        <v>161</v>
      </c>
      <c r="R33" s="353">
        <v>46209</v>
      </c>
      <c r="S33" s="354">
        <v>46215</v>
      </c>
      <c r="T33" s="362">
        <v>9108.19</v>
      </c>
    </row>
    <row r="34" spans="2:20" ht="12">
      <c r="B34" s="346" t="s">
        <v>159</v>
      </c>
      <c r="C34" s="347" t="s">
        <v>162</v>
      </c>
      <c r="D34" s="348">
        <f t="shared" si="2"/>
        <v>46216</v>
      </c>
      <c r="E34" s="349">
        <f>Table3[[#This Row],[Start Date]]+6</f>
        <v>46222</v>
      </c>
      <c r="F34" s="350" t="s">
        <v>158</v>
      </c>
      <c r="H34" s="343">
        <v>20260126</v>
      </c>
      <c r="I34" s="362">
        <v>240310.64</v>
      </c>
      <c r="J34" s="343">
        <v>487</v>
      </c>
      <c r="K34" s="343">
        <v>1358</v>
      </c>
      <c r="L34" s="363">
        <f t="shared" si="0"/>
        <v>46048</v>
      </c>
      <c r="M34" s="350" t="str">
        <f t="shared" si="1"/>
        <v>Monday</v>
      </c>
      <c r="N34" s="350" t="str" cm="1">
        <f t="array" ref="N34">_xlfn._xlws.FILTER(Table3[Week '#],(Table3[Start Date]&lt;=Table6[[#This Row],[Date]])*(Table3[End Date]&gt;=Table6[[#This Row],[Date]]),"")</f>
        <v>Week 5</v>
      </c>
      <c r="P34" s="343" t="s">
        <v>159</v>
      </c>
      <c r="Q34" s="343" t="s">
        <v>162</v>
      </c>
      <c r="R34" s="348">
        <v>46216</v>
      </c>
      <c r="S34" s="349">
        <v>46222</v>
      </c>
      <c r="T34" s="362">
        <v>7849.51</v>
      </c>
    </row>
    <row r="35" spans="2:20" ht="12">
      <c r="B35" s="351" t="s">
        <v>159</v>
      </c>
      <c r="C35" s="352" t="s">
        <v>163</v>
      </c>
      <c r="D35" s="353">
        <f t="shared" si="2"/>
        <v>46223</v>
      </c>
      <c r="E35" s="354">
        <f>Table3[[#This Row],[Start Date]]+6</f>
        <v>46229</v>
      </c>
      <c r="F35" s="350" t="s">
        <v>164</v>
      </c>
      <c r="H35" s="343">
        <v>20260127</v>
      </c>
      <c r="I35" s="362">
        <v>317753.14</v>
      </c>
      <c r="J35" s="343">
        <v>624</v>
      </c>
      <c r="K35" s="343">
        <v>1878</v>
      </c>
      <c r="L35" s="363">
        <f t="shared" si="0"/>
        <v>46049</v>
      </c>
      <c r="M35" s="350" t="str">
        <f t="shared" si="1"/>
        <v>Tuesday</v>
      </c>
      <c r="N35" s="350" t="str" cm="1">
        <f t="array" ref="N35">_xlfn._xlws.FILTER(Table3[Week '#],(Table3[Start Date]&lt;=Table6[[#This Row],[Date]])*(Table3[End Date]&gt;=Table6[[#This Row],[Date]]),"")</f>
        <v>Week 5</v>
      </c>
      <c r="P35" s="343" t="s">
        <v>159</v>
      </c>
      <c r="Q35" s="343" t="s">
        <v>163</v>
      </c>
      <c r="R35" s="353">
        <v>46223</v>
      </c>
      <c r="S35" s="354">
        <v>46229</v>
      </c>
      <c r="T35" s="362">
        <v>4967.28</v>
      </c>
    </row>
    <row r="36" spans="2:20" ht="12">
      <c r="B36" s="346" t="s">
        <v>165</v>
      </c>
      <c r="C36" s="347" t="s">
        <v>166</v>
      </c>
      <c r="D36" s="348">
        <f t="shared" si="2"/>
        <v>46230</v>
      </c>
      <c r="E36" s="349">
        <f>Table3[[#This Row],[Start Date]]+6</f>
        <v>46236</v>
      </c>
      <c r="F36" s="350" t="s">
        <v>164</v>
      </c>
      <c r="H36" s="343">
        <v>20260128</v>
      </c>
      <c r="I36" s="362">
        <v>341531.47</v>
      </c>
      <c r="J36" s="343">
        <v>943</v>
      </c>
      <c r="K36" s="343">
        <v>2458</v>
      </c>
      <c r="L36" s="363">
        <f t="shared" si="0"/>
        <v>46050</v>
      </c>
      <c r="M36" s="350" t="str">
        <f t="shared" si="1"/>
        <v>Wednesday</v>
      </c>
      <c r="N36" s="350" t="str" cm="1">
        <f t="array" ref="N36">_xlfn._xlws.FILTER(Table3[Week '#],(Table3[Start Date]&lt;=Table6[[#This Row],[Date]])*(Table3[End Date]&gt;=Table6[[#This Row],[Date]]),"")</f>
        <v>Week 5</v>
      </c>
      <c r="P36" s="343" t="s">
        <v>165</v>
      </c>
      <c r="Q36" s="343" t="s">
        <v>166</v>
      </c>
      <c r="R36" s="348">
        <v>46230</v>
      </c>
      <c r="S36" s="349">
        <v>46236</v>
      </c>
      <c r="T36" s="362">
        <v>4385.74</v>
      </c>
    </row>
    <row r="37" spans="2:20" ht="12">
      <c r="B37" s="351" t="s">
        <v>165</v>
      </c>
      <c r="C37" s="352" t="s">
        <v>167</v>
      </c>
      <c r="D37" s="353">
        <f t="shared" si="2"/>
        <v>46237</v>
      </c>
      <c r="E37" s="354">
        <f>Table3[[#This Row],[Start Date]]+6</f>
        <v>46243</v>
      </c>
      <c r="F37" s="350" t="s">
        <v>164</v>
      </c>
      <c r="H37" s="343">
        <v>20260129</v>
      </c>
      <c r="I37" s="362">
        <v>400017.62</v>
      </c>
      <c r="J37" s="343">
        <v>1208</v>
      </c>
      <c r="K37" s="343">
        <v>3034</v>
      </c>
      <c r="L37" s="363">
        <f t="shared" si="0"/>
        <v>46051</v>
      </c>
      <c r="M37" s="350" t="str">
        <f t="shared" si="1"/>
        <v>Thursday</v>
      </c>
      <c r="N37" s="350" t="str" cm="1">
        <f t="array" ref="N37">_xlfn._xlws.FILTER(Table3[Week '#],(Table3[Start Date]&lt;=Table6[[#This Row],[Date]])*(Table3[End Date]&gt;=Table6[[#This Row],[Date]]),"")</f>
        <v>Week 5</v>
      </c>
      <c r="P37" s="343" t="s">
        <v>165</v>
      </c>
      <c r="Q37" s="343" t="s">
        <v>167</v>
      </c>
      <c r="R37" s="353">
        <v>46237</v>
      </c>
      <c r="S37" s="354">
        <v>46243</v>
      </c>
      <c r="T37" s="362">
        <v>5201.1400000000003</v>
      </c>
    </row>
    <row r="38" spans="2:20" ht="12">
      <c r="B38" s="346" t="s">
        <v>165</v>
      </c>
      <c r="C38" s="347" t="s">
        <v>168</v>
      </c>
      <c r="D38" s="348">
        <f t="shared" si="2"/>
        <v>46244</v>
      </c>
      <c r="E38" s="349">
        <f>Table3[[#This Row],[Start Date]]+6</f>
        <v>46250</v>
      </c>
      <c r="F38" s="350" t="s">
        <v>164</v>
      </c>
      <c r="H38" s="343">
        <v>20260130</v>
      </c>
      <c r="I38" s="362">
        <v>541706.11</v>
      </c>
      <c r="J38" s="343">
        <v>1650</v>
      </c>
      <c r="K38" s="343">
        <v>4012</v>
      </c>
      <c r="L38" s="363">
        <f t="shared" ref="L38:L69" si="3">DATE(LEFT(H38,4),MID(H38,5,2),RIGHT(H38,2))</f>
        <v>46052</v>
      </c>
      <c r="M38" s="350" t="str">
        <f t="shared" ref="M38:M69" si="4">TEXT(L38,"DDDD")</f>
        <v>Friday</v>
      </c>
      <c r="N38" s="350" t="str" cm="1">
        <f t="array" ref="N38">_xlfn._xlws.FILTER(Table3[Week '#],(Table3[Start Date]&lt;=Table6[[#This Row],[Date]])*(Table3[End Date]&gt;=Table6[[#This Row],[Date]]),"")</f>
        <v>Week 5</v>
      </c>
      <c r="P38" s="343" t="s">
        <v>165</v>
      </c>
      <c r="Q38" s="343" t="s">
        <v>168</v>
      </c>
      <c r="R38" s="348">
        <v>46244</v>
      </c>
      <c r="S38" s="349">
        <v>46250</v>
      </c>
      <c r="T38" s="362">
        <v>3368.96</v>
      </c>
    </row>
    <row r="39" spans="2:20" ht="12">
      <c r="B39" s="351" t="s">
        <v>165</v>
      </c>
      <c r="C39" s="352" t="s">
        <v>101</v>
      </c>
      <c r="D39" s="353">
        <f t="shared" si="2"/>
        <v>46251</v>
      </c>
      <c r="E39" s="354">
        <f>Table3[[#This Row],[Start Date]]+6</f>
        <v>46257</v>
      </c>
      <c r="F39" s="350" t="s">
        <v>169</v>
      </c>
      <c r="H39" s="343">
        <v>20260131</v>
      </c>
      <c r="I39" s="362">
        <v>646873.68000000005</v>
      </c>
      <c r="J39" s="343">
        <v>2238</v>
      </c>
      <c r="K39" s="343">
        <v>5396</v>
      </c>
      <c r="L39" s="363">
        <f t="shared" si="3"/>
        <v>46053</v>
      </c>
      <c r="M39" s="350" t="str">
        <f t="shared" si="4"/>
        <v>Saturday</v>
      </c>
      <c r="N39" s="350" t="str" cm="1">
        <f t="array" ref="N39">_xlfn._xlws.FILTER(Table3[Week '#],(Table3[Start Date]&lt;=Table6[[#This Row],[Date]])*(Table3[End Date]&gt;=Table6[[#This Row],[Date]]),"")</f>
        <v>Week 5</v>
      </c>
      <c r="P39" s="343" t="s">
        <v>165</v>
      </c>
      <c r="Q39" s="343" t="s">
        <v>101</v>
      </c>
      <c r="R39" s="353">
        <v>46251</v>
      </c>
      <c r="S39" s="354">
        <v>46257</v>
      </c>
      <c r="T39" s="362">
        <v>5552.87</v>
      </c>
    </row>
    <row r="40" spans="2:20" ht="12">
      <c r="B40" s="346" t="s">
        <v>170</v>
      </c>
      <c r="C40" s="347" t="s">
        <v>171</v>
      </c>
      <c r="D40" s="348">
        <f t="shared" si="2"/>
        <v>46258</v>
      </c>
      <c r="E40" s="349">
        <f>Table3[[#This Row],[Start Date]]+6</f>
        <v>46264</v>
      </c>
      <c r="F40" s="350" t="s">
        <v>169</v>
      </c>
      <c r="H40" s="343">
        <v>20260201</v>
      </c>
      <c r="I40" s="362">
        <v>408520.4</v>
      </c>
      <c r="J40" s="343">
        <v>1293</v>
      </c>
      <c r="K40" s="343">
        <v>3259</v>
      </c>
      <c r="L40" s="363">
        <f t="shared" si="3"/>
        <v>46054</v>
      </c>
      <c r="M40" s="350" t="str">
        <f t="shared" si="4"/>
        <v>Sunday</v>
      </c>
      <c r="N40" s="350" t="str" cm="1">
        <f t="array" ref="N40">_xlfn._xlws.FILTER(Table3[Week '#],(Table3[Start Date]&lt;=Table6[[#This Row],[Date]])*(Table3[End Date]&gt;=Table6[[#This Row],[Date]]),"")</f>
        <v>Week 5</v>
      </c>
      <c r="P40" s="343" t="s">
        <v>170</v>
      </c>
      <c r="Q40" s="343" t="s">
        <v>171</v>
      </c>
      <c r="R40" s="348">
        <v>46258</v>
      </c>
      <c r="S40" s="349">
        <v>46264</v>
      </c>
      <c r="T40" s="362"/>
    </row>
    <row r="41" spans="2:20" ht="12">
      <c r="B41" s="351" t="s">
        <v>170</v>
      </c>
      <c r="C41" s="352" t="s">
        <v>172</v>
      </c>
      <c r="D41" s="353">
        <f t="shared" si="2"/>
        <v>46265</v>
      </c>
      <c r="E41" s="354">
        <f>Table3[[#This Row],[Start Date]]+6</f>
        <v>46271</v>
      </c>
      <c r="F41" s="350" t="s">
        <v>169</v>
      </c>
      <c r="H41" s="343">
        <v>20260202</v>
      </c>
      <c r="I41" s="362">
        <v>138461.04999999999</v>
      </c>
      <c r="J41" s="343">
        <v>365</v>
      </c>
      <c r="K41" s="343">
        <v>894</v>
      </c>
      <c r="L41" s="363">
        <f t="shared" si="3"/>
        <v>46055</v>
      </c>
      <c r="M41" s="350" t="str">
        <f t="shared" si="4"/>
        <v>Monday</v>
      </c>
      <c r="N41" s="350" t="str" cm="1">
        <f t="array" ref="N41">_xlfn._xlws.FILTER(Table3[Week '#],(Table3[Start Date]&lt;=Table6[[#This Row],[Date]])*(Table3[End Date]&gt;=Table6[[#This Row],[Date]]),"")</f>
        <v>Week 6</v>
      </c>
      <c r="P41" s="343" t="s">
        <v>170</v>
      </c>
      <c r="Q41" s="343" t="s">
        <v>172</v>
      </c>
      <c r="R41" s="353">
        <v>46265</v>
      </c>
      <c r="S41" s="354">
        <v>46271</v>
      </c>
      <c r="T41" s="362"/>
    </row>
    <row r="42" spans="2:20" ht="12">
      <c r="B42" s="346" t="s">
        <v>170</v>
      </c>
      <c r="C42" s="347" t="s">
        <v>173</v>
      </c>
      <c r="D42" s="348">
        <f t="shared" si="2"/>
        <v>46272</v>
      </c>
      <c r="E42" s="349">
        <f>Table3[[#This Row],[Start Date]]+6</f>
        <v>46278</v>
      </c>
      <c r="F42" s="350" t="s">
        <v>169</v>
      </c>
      <c r="H42" s="343">
        <v>20260203</v>
      </c>
      <c r="I42" s="362">
        <v>265419.65000000002</v>
      </c>
      <c r="J42" s="343">
        <v>462</v>
      </c>
      <c r="K42" s="343">
        <v>1539</v>
      </c>
      <c r="L42" s="363">
        <f t="shared" si="3"/>
        <v>46056</v>
      </c>
      <c r="M42" s="350" t="str">
        <f t="shared" si="4"/>
        <v>Tuesday</v>
      </c>
      <c r="N42" s="350" t="str" cm="1">
        <f t="array" ref="N42">_xlfn._xlws.FILTER(Table3[Week '#],(Table3[Start Date]&lt;=Table6[[#This Row],[Date]])*(Table3[End Date]&gt;=Table6[[#This Row],[Date]]),"")</f>
        <v>Week 6</v>
      </c>
      <c r="P42" s="343" t="s">
        <v>170</v>
      </c>
      <c r="Q42" s="343" t="s">
        <v>173</v>
      </c>
      <c r="R42" s="348">
        <v>46272</v>
      </c>
      <c r="S42" s="349">
        <v>46278</v>
      </c>
      <c r="T42" s="362"/>
    </row>
    <row r="43" spans="2:20" ht="12">
      <c r="B43" s="351" t="s">
        <v>170</v>
      </c>
      <c r="C43" s="352" t="s">
        <v>174</v>
      </c>
      <c r="D43" s="353">
        <f t="shared" si="2"/>
        <v>46279</v>
      </c>
      <c r="E43" s="354">
        <f>Table3[[#This Row],[Start Date]]+6</f>
        <v>46285</v>
      </c>
      <c r="F43" s="350" t="s">
        <v>169</v>
      </c>
      <c r="H43" s="343">
        <v>20260204</v>
      </c>
      <c r="I43" s="362">
        <v>343983.63</v>
      </c>
      <c r="J43" s="343">
        <v>966</v>
      </c>
      <c r="K43" s="343">
        <v>2316</v>
      </c>
      <c r="L43" s="363">
        <f t="shared" si="3"/>
        <v>46057</v>
      </c>
      <c r="M43" s="350" t="str">
        <f t="shared" si="4"/>
        <v>Wednesday</v>
      </c>
      <c r="N43" s="350" t="str" cm="1">
        <f t="array" ref="N43">_xlfn._xlws.FILTER(Table3[Week '#],(Table3[Start Date]&lt;=Table6[[#This Row],[Date]])*(Table3[End Date]&gt;=Table6[[#This Row],[Date]]),"")</f>
        <v>Week 6</v>
      </c>
      <c r="P43" s="343" t="s">
        <v>170</v>
      </c>
      <c r="Q43" s="343" t="s">
        <v>174</v>
      </c>
      <c r="R43" s="353">
        <v>46279</v>
      </c>
      <c r="S43" s="354">
        <v>46285</v>
      </c>
      <c r="T43" s="362"/>
    </row>
    <row r="44" spans="2:20" ht="12">
      <c r="B44" s="346" t="s">
        <v>170</v>
      </c>
      <c r="C44" s="347" t="s">
        <v>175</v>
      </c>
      <c r="D44" s="348">
        <f t="shared" si="2"/>
        <v>46286</v>
      </c>
      <c r="E44" s="349">
        <f>Table3[[#This Row],[Start Date]]+6</f>
        <v>46292</v>
      </c>
      <c r="F44" s="350" t="s">
        <v>176</v>
      </c>
      <c r="H44" s="343">
        <v>20260205</v>
      </c>
      <c r="I44" s="362">
        <v>368173.01</v>
      </c>
      <c r="J44" s="343">
        <v>1248</v>
      </c>
      <c r="K44" s="343">
        <v>2747</v>
      </c>
      <c r="L44" s="363">
        <f t="shared" si="3"/>
        <v>46058</v>
      </c>
      <c r="M44" s="350" t="str">
        <f t="shared" si="4"/>
        <v>Thursday</v>
      </c>
      <c r="N44" s="350" t="str" cm="1">
        <f t="array" ref="N44">_xlfn._xlws.FILTER(Table3[Week '#],(Table3[Start Date]&lt;=Table6[[#This Row],[Date]])*(Table3[End Date]&gt;=Table6[[#This Row],[Date]]),"")</f>
        <v>Week 6</v>
      </c>
      <c r="P44" s="343" t="s">
        <v>170</v>
      </c>
      <c r="Q44" s="343" t="s">
        <v>175</v>
      </c>
      <c r="R44" s="348">
        <v>46286</v>
      </c>
      <c r="S44" s="349">
        <v>46292</v>
      </c>
      <c r="T44" s="362"/>
    </row>
    <row r="45" spans="2:20" ht="12">
      <c r="B45" s="351" t="s">
        <v>76</v>
      </c>
      <c r="C45" s="352" t="s">
        <v>177</v>
      </c>
      <c r="D45" s="353">
        <f t="shared" si="2"/>
        <v>46293</v>
      </c>
      <c r="E45" s="354">
        <f>Table3[[#This Row],[Start Date]]+6</f>
        <v>46299</v>
      </c>
      <c r="F45" s="350" t="s">
        <v>176</v>
      </c>
      <c r="H45" s="343">
        <v>20260206</v>
      </c>
      <c r="I45" s="362">
        <v>525992.30000000005</v>
      </c>
      <c r="J45" s="343">
        <v>2066</v>
      </c>
      <c r="K45" s="343">
        <v>4463</v>
      </c>
      <c r="L45" s="363">
        <f t="shared" si="3"/>
        <v>46059</v>
      </c>
      <c r="M45" s="350" t="str">
        <f t="shared" si="4"/>
        <v>Friday</v>
      </c>
      <c r="N45" s="350" t="str" cm="1">
        <f t="array" ref="N45">_xlfn._xlws.FILTER(Table3[Week '#],(Table3[Start Date]&lt;=Table6[[#This Row],[Date]])*(Table3[End Date]&gt;=Table6[[#This Row],[Date]]),"")</f>
        <v>Week 6</v>
      </c>
      <c r="P45" s="343" t="s">
        <v>76</v>
      </c>
      <c r="Q45" s="343" t="s">
        <v>177</v>
      </c>
      <c r="R45" s="353">
        <v>46293</v>
      </c>
      <c r="S45" s="354">
        <v>46299</v>
      </c>
      <c r="T45" s="362"/>
    </row>
    <row r="46" spans="2:20" ht="12">
      <c r="B46" s="346" t="s">
        <v>76</v>
      </c>
      <c r="C46" s="347" t="s">
        <v>178</v>
      </c>
      <c r="D46" s="348">
        <f t="shared" si="2"/>
        <v>46300</v>
      </c>
      <c r="E46" s="349">
        <f>Table3[[#This Row],[Start Date]]+6</f>
        <v>46306</v>
      </c>
      <c r="F46" s="350" t="s">
        <v>176</v>
      </c>
      <c r="H46" s="343">
        <v>20260207</v>
      </c>
      <c r="I46" s="362">
        <v>677501.43999999994</v>
      </c>
      <c r="J46" s="343">
        <v>2435</v>
      </c>
      <c r="K46" s="343">
        <v>5769</v>
      </c>
      <c r="L46" s="363">
        <f t="shared" si="3"/>
        <v>46060</v>
      </c>
      <c r="M46" s="350" t="str">
        <f t="shared" si="4"/>
        <v>Saturday</v>
      </c>
      <c r="N46" s="350" t="str" cm="1">
        <f t="array" ref="N46">_xlfn._xlws.FILTER(Table3[Week '#],(Table3[Start Date]&lt;=Table6[[#This Row],[Date]])*(Table3[End Date]&gt;=Table6[[#This Row],[Date]]),"")</f>
        <v>Week 6</v>
      </c>
      <c r="P46" s="343" t="s">
        <v>76</v>
      </c>
      <c r="Q46" s="343" t="s">
        <v>178</v>
      </c>
      <c r="R46" s="348">
        <v>46300</v>
      </c>
      <c r="S46" s="349">
        <v>46306</v>
      </c>
      <c r="T46" s="362"/>
    </row>
    <row r="47" spans="2:20" ht="12">
      <c r="B47" s="351" t="s">
        <v>76</v>
      </c>
      <c r="C47" s="352" t="s">
        <v>179</v>
      </c>
      <c r="D47" s="353">
        <f t="shared" si="2"/>
        <v>46307</v>
      </c>
      <c r="E47" s="354">
        <f>Table3[[#This Row],[Start Date]]+6</f>
        <v>46313</v>
      </c>
      <c r="F47" s="350" t="s">
        <v>176</v>
      </c>
      <c r="H47" s="343">
        <v>20260208</v>
      </c>
      <c r="I47" s="362">
        <v>348128.73</v>
      </c>
      <c r="J47" s="343">
        <v>1160</v>
      </c>
      <c r="K47" s="343">
        <v>2781</v>
      </c>
      <c r="L47" s="363">
        <f t="shared" si="3"/>
        <v>46061</v>
      </c>
      <c r="M47" s="350" t="str">
        <f t="shared" si="4"/>
        <v>Sunday</v>
      </c>
      <c r="N47" s="350" t="str" cm="1">
        <f t="array" ref="N47">_xlfn._xlws.FILTER(Table3[Week '#],(Table3[Start Date]&lt;=Table6[[#This Row],[Date]])*(Table3[End Date]&gt;=Table6[[#This Row],[Date]]),"")</f>
        <v>Week 6</v>
      </c>
      <c r="P47" s="343" t="s">
        <v>76</v>
      </c>
      <c r="Q47" s="343" t="s">
        <v>179</v>
      </c>
      <c r="R47" s="353">
        <v>46307</v>
      </c>
      <c r="S47" s="354">
        <v>46313</v>
      </c>
      <c r="T47" s="362"/>
    </row>
    <row r="48" spans="2:20" ht="12">
      <c r="B48" s="346" t="s">
        <v>76</v>
      </c>
      <c r="C48" s="347" t="s">
        <v>180</v>
      </c>
      <c r="D48" s="348">
        <f t="shared" si="2"/>
        <v>46314</v>
      </c>
      <c r="E48" s="349">
        <f>Table3[[#This Row],[Start Date]]+6</f>
        <v>46320</v>
      </c>
      <c r="F48" s="350" t="s">
        <v>181</v>
      </c>
      <c r="H48" s="343">
        <v>20260209</v>
      </c>
      <c r="I48" s="362">
        <v>176290.38</v>
      </c>
      <c r="J48" s="343">
        <v>463</v>
      </c>
      <c r="K48" s="343">
        <v>1284</v>
      </c>
      <c r="L48" s="363">
        <f t="shared" si="3"/>
        <v>46062</v>
      </c>
      <c r="M48" s="350" t="str">
        <f t="shared" si="4"/>
        <v>Monday</v>
      </c>
      <c r="N48" s="350" t="str" cm="1">
        <f t="array" ref="N48">_xlfn._xlws.FILTER(Table3[Week '#],(Table3[Start Date]&lt;=Table6[[#This Row],[Date]])*(Table3[End Date]&gt;=Table6[[#This Row],[Date]]),"")</f>
        <v>Week 7</v>
      </c>
      <c r="P48" s="343" t="s">
        <v>76</v>
      </c>
      <c r="Q48" s="343" t="s">
        <v>180</v>
      </c>
      <c r="R48" s="348">
        <v>46314</v>
      </c>
      <c r="S48" s="349">
        <v>46320</v>
      </c>
      <c r="T48" s="362"/>
    </row>
    <row r="49" spans="2:20" ht="12">
      <c r="B49" s="351" t="s">
        <v>182</v>
      </c>
      <c r="C49" s="352" t="s">
        <v>183</v>
      </c>
      <c r="D49" s="353">
        <f t="shared" si="2"/>
        <v>46321</v>
      </c>
      <c r="E49" s="354">
        <f>Table3[[#This Row],[Start Date]]+6</f>
        <v>46327</v>
      </c>
      <c r="F49" s="350" t="s">
        <v>181</v>
      </c>
      <c r="H49" s="343">
        <v>20260210</v>
      </c>
      <c r="I49" s="362">
        <v>231050.9</v>
      </c>
      <c r="J49" s="343">
        <v>520</v>
      </c>
      <c r="K49" s="343">
        <v>1444</v>
      </c>
      <c r="L49" s="363">
        <f t="shared" si="3"/>
        <v>46063</v>
      </c>
      <c r="M49" s="350" t="str">
        <f t="shared" si="4"/>
        <v>Tuesday</v>
      </c>
      <c r="N49" s="350" t="str" cm="1">
        <f t="array" ref="N49">_xlfn._xlws.FILTER(Table3[Week '#],(Table3[Start Date]&lt;=Table6[[#This Row],[Date]])*(Table3[End Date]&gt;=Table6[[#This Row],[Date]]),"")</f>
        <v>Week 7</v>
      </c>
      <c r="P49" s="343" t="s">
        <v>182</v>
      </c>
      <c r="Q49" s="343" t="s">
        <v>183</v>
      </c>
      <c r="R49" s="353">
        <v>46321</v>
      </c>
      <c r="S49" s="354">
        <v>46327</v>
      </c>
      <c r="T49" s="362"/>
    </row>
    <row r="50" spans="2:20" ht="12">
      <c r="B50" s="346" t="s">
        <v>182</v>
      </c>
      <c r="C50" s="347" t="s">
        <v>184</v>
      </c>
      <c r="D50" s="348">
        <f t="shared" si="2"/>
        <v>46328</v>
      </c>
      <c r="E50" s="349">
        <f>Table3[[#This Row],[Start Date]]+6</f>
        <v>46334</v>
      </c>
      <c r="F50" s="350" t="s">
        <v>181</v>
      </c>
      <c r="H50" s="343">
        <v>20260211</v>
      </c>
      <c r="I50" s="362">
        <v>274089.49</v>
      </c>
      <c r="J50" s="343">
        <v>869</v>
      </c>
      <c r="K50" s="343">
        <v>2197</v>
      </c>
      <c r="L50" s="363">
        <f t="shared" si="3"/>
        <v>46064</v>
      </c>
      <c r="M50" s="350" t="str">
        <f t="shared" si="4"/>
        <v>Wednesday</v>
      </c>
      <c r="N50" s="350" t="str" cm="1">
        <f t="array" ref="N50">_xlfn._xlws.FILTER(Table3[Week '#],(Table3[Start Date]&lt;=Table6[[#This Row],[Date]])*(Table3[End Date]&gt;=Table6[[#This Row],[Date]]),"")</f>
        <v>Week 7</v>
      </c>
      <c r="P50" s="343" t="s">
        <v>182</v>
      </c>
      <c r="Q50" s="343" t="s">
        <v>184</v>
      </c>
      <c r="R50" s="348">
        <v>46328</v>
      </c>
      <c r="S50" s="349">
        <v>46334</v>
      </c>
      <c r="T50" s="362"/>
    </row>
    <row r="51" spans="2:20" ht="12">
      <c r="B51" s="351" t="s">
        <v>182</v>
      </c>
      <c r="C51" s="352" t="s">
        <v>185</v>
      </c>
      <c r="D51" s="353">
        <f t="shared" si="2"/>
        <v>46335</v>
      </c>
      <c r="E51" s="354">
        <f>Table3[[#This Row],[Start Date]]+6</f>
        <v>46341</v>
      </c>
      <c r="F51" s="350" t="s">
        <v>181</v>
      </c>
      <c r="H51" s="343">
        <v>20260212</v>
      </c>
      <c r="I51" s="362">
        <v>386111.41</v>
      </c>
      <c r="J51" s="343">
        <v>1426</v>
      </c>
      <c r="K51" s="343">
        <v>3087</v>
      </c>
      <c r="L51" s="363">
        <f t="shared" si="3"/>
        <v>46065</v>
      </c>
      <c r="M51" s="350" t="str">
        <f t="shared" si="4"/>
        <v>Thursday</v>
      </c>
      <c r="N51" s="350" t="str" cm="1">
        <f t="array" ref="N51">_xlfn._xlws.FILTER(Table3[Week '#],(Table3[Start Date]&lt;=Table6[[#This Row],[Date]])*(Table3[End Date]&gt;=Table6[[#This Row],[Date]]),"")</f>
        <v>Week 7</v>
      </c>
      <c r="P51" s="343" t="s">
        <v>182</v>
      </c>
      <c r="Q51" s="343" t="s">
        <v>185</v>
      </c>
      <c r="R51" s="353">
        <v>46335</v>
      </c>
      <c r="S51" s="354">
        <v>46341</v>
      </c>
      <c r="T51" s="362"/>
    </row>
    <row r="52" spans="2:20" ht="12">
      <c r="B52" s="346" t="s">
        <v>182</v>
      </c>
      <c r="C52" s="347" t="s">
        <v>186</v>
      </c>
      <c r="D52" s="348">
        <f t="shared" si="2"/>
        <v>46342</v>
      </c>
      <c r="E52" s="349">
        <f>Table3[[#This Row],[Start Date]]+6</f>
        <v>46348</v>
      </c>
      <c r="F52" s="350" t="s">
        <v>187</v>
      </c>
      <c r="H52" s="343">
        <v>20260213</v>
      </c>
      <c r="I52" s="362">
        <v>573282.82999999996</v>
      </c>
      <c r="J52" s="343">
        <v>1993</v>
      </c>
      <c r="K52" s="343">
        <v>4487</v>
      </c>
      <c r="L52" s="363">
        <f t="shared" si="3"/>
        <v>46066</v>
      </c>
      <c r="M52" s="350" t="str">
        <f t="shared" si="4"/>
        <v>Friday</v>
      </c>
      <c r="N52" s="350" t="str" cm="1">
        <f t="array" ref="N52">_xlfn._xlws.FILTER(Table3[Week '#],(Table3[Start Date]&lt;=Table6[[#This Row],[Date]])*(Table3[End Date]&gt;=Table6[[#This Row],[Date]]),"")</f>
        <v>Week 7</v>
      </c>
      <c r="P52" s="343" t="s">
        <v>182</v>
      </c>
      <c r="Q52" s="343" t="s">
        <v>186</v>
      </c>
      <c r="R52" s="348">
        <v>46342</v>
      </c>
      <c r="S52" s="349">
        <v>46348</v>
      </c>
      <c r="T52" s="362"/>
    </row>
    <row r="53" spans="2:20" ht="12">
      <c r="B53" s="351" t="s">
        <v>188</v>
      </c>
      <c r="C53" s="352" t="s">
        <v>189</v>
      </c>
      <c r="D53" s="353">
        <f t="shared" si="2"/>
        <v>46349</v>
      </c>
      <c r="E53" s="354">
        <f>Table3[[#This Row],[Start Date]]+6</f>
        <v>46355</v>
      </c>
      <c r="F53" s="350" t="s">
        <v>187</v>
      </c>
      <c r="H53" s="343">
        <v>20260214</v>
      </c>
      <c r="I53" s="362">
        <v>813152.59</v>
      </c>
      <c r="J53" s="343">
        <v>2562</v>
      </c>
      <c r="K53" s="343">
        <v>5900</v>
      </c>
      <c r="L53" s="363">
        <f t="shared" si="3"/>
        <v>46067</v>
      </c>
      <c r="M53" s="350" t="str">
        <f t="shared" si="4"/>
        <v>Saturday</v>
      </c>
      <c r="N53" s="350" t="str" cm="1">
        <f t="array" ref="N53">_xlfn._xlws.FILTER(Table3[Week '#],(Table3[Start Date]&lt;=Table6[[#This Row],[Date]])*(Table3[End Date]&gt;=Table6[[#This Row],[Date]]),"")</f>
        <v>Week 7</v>
      </c>
      <c r="P53" s="343" t="s">
        <v>188</v>
      </c>
      <c r="Q53" s="343" t="s">
        <v>189</v>
      </c>
      <c r="R53" s="353">
        <v>46349</v>
      </c>
      <c r="S53" s="354">
        <v>46355</v>
      </c>
      <c r="T53" s="362"/>
    </row>
    <row r="54" spans="2:20" ht="12">
      <c r="B54" s="346" t="s">
        <v>188</v>
      </c>
      <c r="C54" s="347" t="s">
        <v>190</v>
      </c>
      <c r="D54" s="348">
        <f t="shared" si="2"/>
        <v>46356</v>
      </c>
      <c r="E54" s="349">
        <f>Table3[[#This Row],[Start Date]]+6</f>
        <v>46362</v>
      </c>
      <c r="F54" s="350" t="s">
        <v>187</v>
      </c>
      <c r="H54" s="343">
        <v>20260215</v>
      </c>
      <c r="I54" s="362">
        <v>686689.36</v>
      </c>
      <c r="J54" s="343">
        <v>2240</v>
      </c>
      <c r="K54" s="343">
        <v>5293</v>
      </c>
      <c r="L54" s="363">
        <f t="shared" si="3"/>
        <v>46068</v>
      </c>
      <c r="M54" s="350" t="str">
        <f t="shared" si="4"/>
        <v>Sunday</v>
      </c>
      <c r="N54" s="350" t="str" cm="1">
        <f t="array" ref="N54">_xlfn._xlws.FILTER(Table3[Week '#],(Table3[Start Date]&lt;=Table6[[#This Row],[Date]])*(Table3[End Date]&gt;=Table6[[#This Row],[Date]]),"")</f>
        <v>Week 7</v>
      </c>
      <c r="P54" s="343" t="s">
        <v>188</v>
      </c>
      <c r="Q54" s="343" t="s">
        <v>190</v>
      </c>
      <c r="R54" s="348">
        <v>46356</v>
      </c>
      <c r="S54" s="349">
        <v>46362</v>
      </c>
      <c r="T54" s="362"/>
    </row>
    <row r="55" spans="2:20" ht="12">
      <c r="B55" s="351" t="s">
        <v>188</v>
      </c>
      <c r="C55" s="352" t="s">
        <v>191</v>
      </c>
      <c r="D55" s="353">
        <f t="shared" si="2"/>
        <v>46363</v>
      </c>
      <c r="E55" s="354">
        <f>Table3[[#This Row],[Start Date]]+6</f>
        <v>46369</v>
      </c>
      <c r="F55" s="350" t="s">
        <v>187</v>
      </c>
      <c r="H55" s="343">
        <v>20260216</v>
      </c>
      <c r="I55" s="362">
        <v>166815</v>
      </c>
      <c r="J55" s="343">
        <v>576</v>
      </c>
      <c r="K55" s="343">
        <v>1391</v>
      </c>
      <c r="L55" s="363">
        <f t="shared" si="3"/>
        <v>46069</v>
      </c>
      <c r="M55" s="350" t="str">
        <f t="shared" si="4"/>
        <v>Monday</v>
      </c>
      <c r="N55" s="350" t="str" cm="1">
        <f t="array" ref="N55">_xlfn._xlws.FILTER(Table3[Week '#],(Table3[Start Date]&lt;=Table6[[#This Row],[Date]])*(Table3[End Date]&gt;=Table6[[#This Row],[Date]]),"")</f>
        <v>Week 8</v>
      </c>
      <c r="P55" s="343" t="s">
        <v>188</v>
      </c>
      <c r="Q55" s="343" t="s">
        <v>191</v>
      </c>
      <c r="R55" s="353">
        <v>46363</v>
      </c>
      <c r="S55" s="354">
        <v>46369</v>
      </c>
      <c r="T55" s="362"/>
    </row>
    <row r="56" spans="2:20" ht="12">
      <c r="B56" s="346" t="s">
        <v>188</v>
      </c>
      <c r="C56" s="347" t="s">
        <v>192</v>
      </c>
      <c r="D56" s="348">
        <f t="shared" si="2"/>
        <v>46370</v>
      </c>
      <c r="E56" s="349">
        <f>Table3[[#This Row],[Start Date]]+6</f>
        <v>46376</v>
      </c>
      <c r="F56" s="350" t="s">
        <v>187</v>
      </c>
      <c r="H56" s="343">
        <v>20260217</v>
      </c>
      <c r="I56" s="362">
        <v>234089.92</v>
      </c>
      <c r="J56" s="343">
        <v>690</v>
      </c>
      <c r="K56" s="343">
        <v>1786</v>
      </c>
      <c r="L56" s="363">
        <f t="shared" si="3"/>
        <v>46070</v>
      </c>
      <c r="M56" s="350" t="str">
        <f t="shared" si="4"/>
        <v>Tuesday</v>
      </c>
      <c r="N56" s="350" t="str" cm="1">
        <f t="array" ref="N56">_xlfn._xlws.FILTER(Table3[Week '#],(Table3[Start Date]&lt;=Table6[[#This Row],[Date]])*(Table3[End Date]&gt;=Table6[[#This Row],[Date]]),"")</f>
        <v>Week 8</v>
      </c>
      <c r="P56" s="343" t="s">
        <v>188</v>
      </c>
      <c r="Q56" s="343" t="s">
        <v>192</v>
      </c>
      <c r="R56" s="348">
        <v>46370</v>
      </c>
      <c r="S56" s="349">
        <v>46376</v>
      </c>
      <c r="T56" s="362"/>
    </row>
    <row r="57" spans="2:20" ht="12">
      <c r="B57" s="355" t="s">
        <v>188</v>
      </c>
      <c r="C57" s="356" t="s">
        <v>193</v>
      </c>
      <c r="D57" s="357">
        <f t="shared" si="2"/>
        <v>46377</v>
      </c>
      <c r="E57" s="358">
        <f>Table3[[#This Row],[Start Date]]+6</f>
        <v>46383</v>
      </c>
      <c r="F57" s="350" t="s">
        <v>187</v>
      </c>
      <c r="H57" s="343">
        <v>20260218</v>
      </c>
      <c r="I57" s="362">
        <v>285714.75</v>
      </c>
      <c r="J57" s="343">
        <v>947</v>
      </c>
      <c r="K57" s="343">
        <v>2256</v>
      </c>
      <c r="L57" s="363">
        <f t="shared" si="3"/>
        <v>46071</v>
      </c>
      <c r="M57" s="350" t="str">
        <f t="shared" si="4"/>
        <v>Wednesday</v>
      </c>
      <c r="N57" s="350" t="str" cm="1">
        <f t="array" ref="N57">_xlfn._xlws.FILTER(Table3[Week '#],(Table3[Start Date]&lt;=Table6[[#This Row],[Date]])*(Table3[End Date]&gt;=Table6[[#This Row],[Date]]),"")</f>
        <v>Week 8</v>
      </c>
      <c r="P57" s="343" t="s">
        <v>188</v>
      </c>
      <c r="Q57" s="343" t="s">
        <v>193</v>
      </c>
      <c r="R57" s="357">
        <v>46377</v>
      </c>
      <c r="S57" s="358">
        <v>46383</v>
      </c>
      <c r="T57" s="362"/>
    </row>
    <row r="58" spans="2:20">
      <c r="H58" s="343">
        <v>20260219</v>
      </c>
      <c r="I58" s="362">
        <v>401170.22</v>
      </c>
      <c r="J58" s="343">
        <v>1428</v>
      </c>
      <c r="K58" s="343">
        <v>3067</v>
      </c>
      <c r="L58" s="363">
        <f t="shared" si="3"/>
        <v>46072</v>
      </c>
      <c r="M58" s="350" t="str">
        <f t="shared" si="4"/>
        <v>Thursday</v>
      </c>
      <c r="N58" s="350" t="str" cm="1">
        <f t="array" ref="N58">_xlfn._xlws.FILTER(Table3[Week '#],(Table3[Start Date]&lt;=Table6[[#This Row],[Date]])*(Table3[End Date]&gt;=Table6[[#This Row],[Date]]),"")</f>
        <v>Week 8</v>
      </c>
    </row>
    <row r="59" spans="2:20">
      <c r="H59" s="343">
        <v>20260220</v>
      </c>
      <c r="I59" s="362">
        <v>498937.45</v>
      </c>
      <c r="J59" s="343">
        <v>1826</v>
      </c>
      <c r="K59" s="343">
        <v>4178</v>
      </c>
      <c r="L59" s="363">
        <f t="shared" si="3"/>
        <v>46073</v>
      </c>
      <c r="M59" s="350" t="str">
        <f t="shared" si="4"/>
        <v>Friday</v>
      </c>
      <c r="N59" s="350" t="str" cm="1">
        <f t="array" ref="N59">_xlfn._xlws.FILTER(Table3[Week '#],(Table3[Start Date]&lt;=Table6[[#This Row],[Date]])*(Table3[End Date]&gt;=Table6[[#This Row],[Date]]),"")</f>
        <v>Week 8</v>
      </c>
    </row>
    <row r="60" spans="2:20">
      <c r="H60" s="343">
        <v>20260221</v>
      </c>
      <c r="I60" s="362">
        <v>743869.34</v>
      </c>
      <c r="J60" s="343">
        <v>2360</v>
      </c>
      <c r="K60" s="343">
        <v>5659</v>
      </c>
      <c r="L60" s="363">
        <f t="shared" si="3"/>
        <v>46074</v>
      </c>
      <c r="M60" s="350" t="str">
        <f t="shared" si="4"/>
        <v>Saturday</v>
      </c>
      <c r="N60" s="350" t="str" cm="1">
        <f t="array" ref="N60">_xlfn._xlws.FILTER(Table3[Week '#],(Table3[Start Date]&lt;=Table6[[#This Row],[Date]])*(Table3[End Date]&gt;=Table6[[#This Row],[Date]]),"")</f>
        <v>Week 8</v>
      </c>
    </row>
    <row r="61" spans="2:20">
      <c r="H61" s="343">
        <v>20260222</v>
      </c>
      <c r="I61" s="362">
        <v>582041.69999999995</v>
      </c>
      <c r="J61" s="343">
        <v>1794</v>
      </c>
      <c r="K61" s="343">
        <v>4034</v>
      </c>
      <c r="L61" s="363">
        <f t="shared" si="3"/>
        <v>46075</v>
      </c>
      <c r="M61" s="350" t="str">
        <f t="shared" si="4"/>
        <v>Sunday</v>
      </c>
      <c r="N61" s="350" t="str" cm="1">
        <f t="array" ref="N61">_xlfn._xlws.FILTER(Table3[Week '#],(Table3[Start Date]&lt;=Table6[[#This Row],[Date]])*(Table3[End Date]&gt;=Table6[[#This Row],[Date]]),"")</f>
        <v>Week 8</v>
      </c>
    </row>
    <row r="62" spans="2:20">
      <c r="H62" s="343">
        <v>20260223</v>
      </c>
      <c r="I62" s="362">
        <v>214497.37</v>
      </c>
      <c r="J62" s="343">
        <v>293</v>
      </c>
      <c r="K62" s="343">
        <v>873</v>
      </c>
      <c r="L62" s="363">
        <f t="shared" si="3"/>
        <v>46076</v>
      </c>
      <c r="M62" s="350" t="str">
        <f t="shared" si="4"/>
        <v>Monday</v>
      </c>
      <c r="N62" s="350" t="str" cm="1">
        <f t="array" ref="N62">_xlfn._xlws.FILTER(Table3[Week '#],(Table3[Start Date]&lt;=Table6[[#This Row],[Date]])*(Table3[End Date]&gt;=Table6[[#This Row],[Date]]),"")</f>
        <v>Week 9</v>
      </c>
    </row>
    <row r="63" spans="2:20">
      <c r="H63" s="343">
        <v>20260224</v>
      </c>
      <c r="I63" s="362">
        <v>305144.39</v>
      </c>
      <c r="J63" s="343">
        <v>648</v>
      </c>
      <c r="K63" s="343">
        <v>1910</v>
      </c>
      <c r="L63" s="363">
        <f t="shared" si="3"/>
        <v>46077</v>
      </c>
      <c r="M63" s="350" t="str">
        <f t="shared" si="4"/>
        <v>Tuesday</v>
      </c>
      <c r="N63" s="350" t="str" cm="1">
        <f t="array" ref="N63">_xlfn._xlws.FILTER(Table3[Week '#],(Table3[Start Date]&lt;=Table6[[#This Row],[Date]])*(Table3[End Date]&gt;=Table6[[#This Row],[Date]]),"")</f>
        <v>Week 9</v>
      </c>
    </row>
    <row r="64" spans="2:20">
      <c r="H64" s="343">
        <v>20260225</v>
      </c>
      <c r="I64" s="362">
        <v>378669.84</v>
      </c>
      <c r="J64" s="343">
        <v>956</v>
      </c>
      <c r="K64" s="343">
        <v>2761</v>
      </c>
      <c r="L64" s="363">
        <f t="shared" si="3"/>
        <v>46078</v>
      </c>
      <c r="M64" s="350" t="str">
        <f t="shared" si="4"/>
        <v>Wednesday</v>
      </c>
      <c r="N64" s="350" t="str" cm="1">
        <f t="array" ref="N64">_xlfn._xlws.FILTER(Table3[Week '#],(Table3[Start Date]&lt;=Table6[[#This Row],[Date]])*(Table3[End Date]&gt;=Table6[[#This Row],[Date]]),"")</f>
        <v>Week 9</v>
      </c>
    </row>
    <row r="65" spans="8:14">
      <c r="H65" s="343">
        <v>20260226</v>
      </c>
      <c r="I65" s="362">
        <v>442314.83</v>
      </c>
      <c r="J65" s="343">
        <v>1283</v>
      </c>
      <c r="K65" s="343">
        <v>3479</v>
      </c>
      <c r="L65" s="363">
        <f t="shared" si="3"/>
        <v>46079</v>
      </c>
      <c r="M65" s="350" t="str">
        <f t="shared" si="4"/>
        <v>Thursday</v>
      </c>
      <c r="N65" s="350" t="str" cm="1">
        <f t="array" ref="N65">_xlfn._xlws.FILTER(Table3[Week '#],(Table3[Start Date]&lt;=Table6[[#This Row],[Date]])*(Table3[End Date]&gt;=Table6[[#This Row],[Date]]),"")</f>
        <v>Week 9</v>
      </c>
    </row>
    <row r="66" spans="8:14">
      <c r="H66" s="343">
        <v>20260227</v>
      </c>
      <c r="I66" s="362">
        <v>571916.98</v>
      </c>
      <c r="J66" s="343">
        <v>1865</v>
      </c>
      <c r="K66" s="343">
        <v>4372</v>
      </c>
      <c r="L66" s="363">
        <f t="shared" si="3"/>
        <v>46080</v>
      </c>
      <c r="M66" s="350" t="str">
        <f t="shared" si="4"/>
        <v>Friday</v>
      </c>
      <c r="N66" s="350" t="str" cm="1">
        <f t="array" ref="N66">_xlfn._xlws.FILTER(Table3[Week '#],(Table3[Start Date]&lt;=Table6[[#This Row],[Date]])*(Table3[End Date]&gt;=Table6[[#This Row],[Date]]),"")</f>
        <v>Week 9</v>
      </c>
    </row>
    <row r="67" spans="8:14">
      <c r="H67" s="343">
        <v>20260228</v>
      </c>
      <c r="I67" s="362">
        <v>783311.22</v>
      </c>
      <c r="J67" s="343">
        <v>2398</v>
      </c>
      <c r="K67" s="343">
        <v>5711</v>
      </c>
      <c r="L67" s="363">
        <f t="shared" si="3"/>
        <v>46081</v>
      </c>
      <c r="M67" s="350" t="str">
        <f t="shared" si="4"/>
        <v>Saturday</v>
      </c>
      <c r="N67" s="350" t="str" cm="1">
        <f t="array" ref="N67">_xlfn._xlws.FILTER(Table3[Week '#],(Table3[Start Date]&lt;=Table6[[#This Row],[Date]])*(Table3[End Date]&gt;=Table6[[#This Row],[Date]]),"")</f>
        <v>Week 9</v>
      </c>
    </row>
    <row r="68" spans="8:14">
      <c r="H68" s="343">
        <v>20260301</v>
      </c>
      <c r="I68" s="362">
        <v>571775.35</v>
      </c>
      <c r="J68" s="343">
        <v>1717</v>
      </c>
      <c r="K68" s="343">
        <v>4672</v>
      </c>
      <c r="L68" s="363">
        <f t="shared" si="3"/>
        <v>46082</v>
      </c>
      <c r="M68" s="350" t="str">
        <f t="shared" si="4"/>
        <v>Sunday</v>
      </c>
      <c r="N68" s="350" t="str" cm="1">
        <f t="array" ref="N68">_xlfn._xlws.FILTER(Table3[Week '#],(Table3[Start Date]&lt;=Table6[[#This Row],[Date]])*(Table3[End Date]&gt;=Table6[[#This Row],[Date]]),"")</f>
        <v>Week 9</v>
      </c>
    </row>
    <row r="69" spans="8:14">
      <c r="H69" s="343">
        <v>20260302</v>
      </c>
      <c r="I69" s="362">
        <v>173978.48</v>
      </c>
      <c r="J69" s="343">
        <v>470</v>
      </c>
      <c r="K69" s="343">
        <v>1142</v>
      </c>
      <c r="L69" s="363">
        <f t="shared" si="3"/>
        <v>46083</v>
      </c>
      <c r="M69" s="350" t="str">
        <f t="shared" si="4"/>
        <v>Monday</v>
      </c>
      <c r="N69" s="350" t="str" cm="1">
        <f t="array" ref="N69">_xlfn._xlws.FILTER(Table3[Week '#],(Table3[Start Date]&lt;=Table6[[#This Row],[Date]])*(Table3[End Date]&gt;=Table6[[#This Row],[Date]]),"")</f>
        <v>Week 10</v>
      </c>
    </row>
    <row r="70" spans="8:14">
      <c r="H70" s="343">
        <v>20260303</v>
      </c>
      <c r="I70" s="362">
        <v>283857.09999999998</v>
      </c>
      <c r="J70" s="343">
        <v>718</v>
      </c>
      <c r="K70" s="343">
        <v>2420</v>
      </c>
      <c r="L70" s="363">
        <f t="shared" ref="L70:L101" si="5">DATE(LEFT(H70,4),MID(H70,5,2),RIGHT(H70,2))</f>
        <v>46084</v>
      </c>
      <c r="M70" s="350" t="str">
        <f t="shared" ref="M70:M101" si="6">TEXT(L70,"DDDD")</f>
        <v>Tuesday</v>
      </c>
      <c r="N70" s="350" t="str" cm="1">
        <f t="array" ref="N70">_xlfn._xlws.FILTER(Table3[Week '#],(Table3[Start Date]&lt;=Table6[[#This Row],[Date]])*(Table3[End Date]&gt;=Table6[[#This Row],[Date]]),"")</f>
        <v>Week 10</v>
      </c>
    </row>
    <row r="71" spans="8:14">
      <c r="H71" s="343">
        <v>20260304</v>
      </c>
      <c r="I71" s="362">
        <v>348708.43</v>
      </c>
      <c r="J71" s="343">
        <v>923</v>
      </c>
      <c r="K71" s="343">
        <v>2518</v>
      </c>
      <c r="L71" s="363">
        <f t="shared" si="5"/>
        <v>46085</v>
      </c>
      <c r="M71" s="350" t="str">
        <f t="shared" si="6"/>
        <v>Wednesday</v>
      </c>
      <c r="N71" s="350" t="str" cm="1">
        <f t="array" ref="N71">_xlfn._xlws.FILTER(Table3[Week '#],(Table3[Start Date]&lt;=Table6[[#This Row],[Date]])*(Table3[End Date]&gt;=Table6[[#This Row],[Date]]),"")</f>
        <v>Week 10</v>
      </c>
    </row>
    <row r="72" spans="8:14">
      <c r="H72" s="343">
        <v>20260305</v>
      </c>
      <c r="I72" s="362">
        <v>535145.25</v>
      </c>
      <c r="J72" s="343">
        <v>1662</v>
      </c>
      <c r="K72" s="343">
        <v>3799</v>
      </c>
      <c r="L72" s="363">
        <f t="shared" si="5"/>
        <v>46086</v>
      </c>
      <c r="M72" s="350" t="str">
        <f t="shared" si="6"/>
        <v>Thursday</v>
      </c>
      <c r="N72" s="350" t="str" cm="1">
        <f t="array" ref="N72">_xlfn._xlws.FILTER(Table3[Week '#],(Table3[Start Date]&lt;=Table6[[#This Row],[Date]])*(Table3[End Date]&gt;=Table6[[#This Row],[Date]]),"")</f>
        <v>Week 10</v>
      </c>
    </row>
    <row r="73" spans="8:14">
      <c r="H73" s="343">
        <v>20260306</v>
      </c>
      <c r="I73" s="362">
        <v>659905.46</v>
      </c>
      <c r="J73" s="343">
        <v>2439</v>
      </c>
      <c r="K73" s="343">
        <v>5435</v>
      </c>
      <c r="L73" s="363">
        <f t="shared" si="5"/>
        <v>46087</v>
      </c>
      <c r="M73" s="350" t="str">
        <f t="shared" si="6"/>
        <v>Friday</v>
      </c>
      <c r="N73" s="350" t="str" cm="1">
        <f t="array" ref="N73">_xlfn._xlws.FILTER(Table3[Week '#],(Table3[Start Date]&lt;=Table6[[#This Row],[Date]])*(Table3[End Date]&gt;=Table6[[#This Row],[Date]]),"")</f>
        <v>Week 10</v>
      </c>
    </row>
    <row r="74" spans="8:14">
      <c r="H74" s="343">
        <v>20260307</v>
      </c>
      <c r="I74" s="362">
        <v>468417.19</v>
      </c>
      <c r="J74" s="343">
        <v>1566</v>
      </c>
      <c r="K74" s="343">
        <v>3860</v>
      </c>
      <c r="L74" s="363">
        <f t="shared" si="5"/>
        <v>46088</v>
      </c>
      <c r="M74" s="350" t="str">
        <f t="shared" si="6"/>
        <v>Saturday</v>
      </c>
      <c r="N74" s="350" t="str" cm="1">
        <f t="array" ref="N74">_xlfn._xlws.FILTER(Table3[Week '#],(Table3[Start Date]&lt;=Table6[[#This Row],[Date]])*(Table3[End Date]&gt;=Table6[[#This Row],[Date]]),"")</f>
        <v>Week 10</v>
      </c>
    </row>
    <row r="75" spans="8:14">
      <c r="H75" s="343">
        <v>20260308</v>
      </c>
      <c r="I75" s="362">
        <v>613693.57999999996</v>
      </c>
      <c r="J75" s="343">
        <v>1941</v>
      </c>
      <c r="K75" s="343">
        <v>4389</v>
      </c>
      <c r="L75" s="363">
        <f t="shared" si="5"/>
        <v>46089</v>
      </c>
      <c r="M75" s="350" t="str">
        <f t="shared" si="6"/>
        <v>Sunday</v>
      </c>
      <c r="N75" s="350" t="str" cm="1">
        <f t="array" ref="N75">_xlfn._xlws.FILTER(Table3[Week '#],(Table3[Start Date]&lt;=Table6[[#This Row],[Date]])*(Table3[End Date]&gt;=Table6[[#This Row],[Date]]),"")</f>
        <v>Week 10</v>
      </c>
    </row>
    <row r="76" spans="8:14">
      <c r="H76" s="343">
        <v>20260309</v>
      </c>
      <c r="I76" s="362">
        <v>213421.75</v>
      </c>
      <c r="J76" s="343">
        <v>396</v>
      </c>
      <c r="K76" s="343">
        <v>1225</v>
      </c>
      <c r="L76" s="363">
        <f t="shared" si="5"/>
        <v>46090</v>
      </c>
      <c r="M76" s="350" t="str">
        <f t="shared" si="6"/>
        <v>Monday</v>
      </c>
      <c r="N76" s="350" t="str" cm="1">
        <f t="array" ref="N76">_xlfn._xlws.FILTER(Table3[Week '#],(Table3[Start Date]&lt;=Table6[[#This Row],[Date]])*(Table3[End Date]&gt;=Table6[[#This Row],[Date]]),"")</f>
        <v>Week 11</v>
      </c>
    </row>
    <row r="77" spans="8:14">
      <c r="H77" s="343">
        <v>20260310</v>
      </c>
      <c r="I77" s="362">
        <v>702809.15</v>
      </c>
      <c r="J77" s="343">
        <v>505</v>
      </c>
      <c r="K77" s="343">
        <v>1499</v>
      </c>
      <c r="L77" s="363">
        <f t="shared" si="5"/>
        <v>46091</v>
      </c>
      <c r="M77" s="350" t="str">
        <f t="shared" si="6"/>
        <v>Tuesday</v>
      </c>
      <c r="N77" s="350" t="str" cm="1">
        <f t="array" ref="N77">_xlfn._xlws.FILTER(Table3[Week '#],(Table3[Start Date]&lt;=Table6[[#This Row],[Date]])*(Table3[End Date]&gt;=Table6[[#This Row],[Date]]),"")</f>
        <v>Week 11</v>
      </c>
    </row>
    <row r="78" spans="8:14">
      <c r="H78" s="343">
        <v>20260311</v>
      </c>
      <c r="I78" s="362">
        <v>290161.27</v>
      </c>
      <c r="J78" s="343">
        <v>958</v>
      </c>
      <c r="K78" s="343">
        <v>2327</v>
      </c>
      <c r="L78" s="363">
        <f t="shared" si="5"/>
        <v>46092</v>
      </c>
      <c r="M78" s="350" t="str">
        <f t="shared" si="6"/>
        <v>Wednesday</v>
      </c>
      <c r="N78" s="350" t="str" cm="1">
        <f t="array" ref="N78">_xlfn._xlws.FILTER(Table3[Week '#],(Table3[Start Date]&lt;=Table6[[#This Row],[Date]])*(Table3[End Date]&gt;=Table6[[#This Row],[Date]]),"")</f>
        <v>Week 11</v>
      </c>
    </row>
    <row r="79" spans="8:14">
      <c r="H79" s="343">
        <v>20260312</v>
      </c>
      <c r="I79" s="362">
        <v>409940.7</v>
      </c>
      <c r="J79" s="343">
        <v>1341</v>
      </c>
      <c r="K79" s="343">
        <v>3158</v>
      </c>
      <c r="L79" s="363">
        <f t="shared" si="5"/>
        <v>46093</v>
      </c>
      <c r="M79" s="350" t="str">
        <f t="shared" si="6"/>
        <v>Thursday</v>
      </c>
      <c r="N79" s="350" t="str" cm="1">
        <f t="array" ref="N79">_xlfn._xlws.FILTER(Table3[Week '#],(Table3[Start Date]&lt;=Table6[[#This Row],[Date]])*(Table3[End Date]&gt;=Table6[[#This Row],[Date]]),"")</f>
        <v>Week 11</v>
      </c>
    </row>
    <row r="80" spans="8:14">
      <c r="H80" s="343">
        <v>20260313</v>
      </c>
      <c r="I80" s="362">
        <v>552332.76</v>
      </c>
      <c r="J80" s="343">
        <v>2187</v>
      </c>
      <c r="K80" s="343">
        <v>4592</v>
      </c>
      <c r="L80" s="363">
        <f t="shared" si="5"/>
        <v>46094</v>
      </c>
      <c r="M80" s="350" t="str">
        <f t="shared" si="6"/>
        <v>Friday</v>
      </c>
      <c r="N80" s="350" t="str" cm="1">
        <f t="array" ref="N80">_xlfn._xlws.FILTER(Table3[Week '#],(Table3[Start Date]&lt;=Table6[[#This Row],[Date]])*(Table3[End Date]&gt;=Table6[[#This Row],[Date]]),"")</f>
        <v>Week 11</v>
      </c>
    </row>
    <row r="81" spans="8:14">
      <c r="H81" s="343">
        <v>20260314</v>
      </c>
      <c r="I81" s="362">
        <v>749505.65</v>
      </c>
      <c r="J81" s="343">
        <v>2649</v>
      </c>
      <c r="K81" s="343">
        <v>5878</v>
      </c>
      <c r="L81" s="363">
        <f t="shared" si="5"/>
        <v>46095</v>
      </c>
      <c r="M81" s="350" t="str">
        <f t="shared" si="6"/>
        <v>Saturday</v>
      </c>
      <c r="N81" s="350" t="str" cm="1">
        <f t="array" ref="N81">_xlfn._xlws.FILTER(Table3[Week '#],(Table3[Start Date]&lt;=Table6[[#This Row],[Date]])*(Table3[End Date]&gt;=Table6[[#This Row],[Date]]),"")</f>
        <v>Week 11</v>
      </c>
    </row>
    <row r="82" spans="8:14">
      <c r="H82" s="343">
        <v>20260315</v>
      </c>
      <c r="I82" s="362">
        <v>477475.03</v>
      </c>
      <c r="J82" s="343">
        <v>1663</v>
      </c>
      <c r="K82" s="343">
        <v>3794</v>
      </c>
      <c r="L82" s="363">
        <f t="shared" si="5"/>
        <v>46096</v>
      </c>
      <c r="M82" s="350" t="str">
        <f t="shared" si="6"/>
        <v>Sunday</v>
      </c>
      <c r="N82" s="350" t="str" cm="1">
        <f t="array" ref="N82">_xlfn._xlws.FILTER(Table3[Week '#],(Table3[Start Date]&lt;=Table6[[#This Row],[Date]])*(Table3[End Date]&gt;=Table6[[#This Row],[Date]]),"")</f>
        <v>Week 11</v>
      </c>
    </row>
    <row r="83" spans="8:14">
      <c r="H83" s="343">
        <v>20260316</v>
      </c>
      <c r="I83" s="362">
        <v>209796.45</v>
      </c>
      <c r="J83" s="343">
        <v>555</v>
      </c>
      <c r="K83" s="343">
        <v>1296</v>
      </c>
      <c r="L83" s="363">
        <f t="shared" si="5"/>
        <v>46097</v>
      </c>
      <c r="M83" s="350" t="str">
        <f t="shared" si="6"/>
        <v>Monday</v>
      </c>
      <c r="N83" s="350" t="str" cm="1">
        <f t="array" ref="N83">_xlfn._xlws.FILTER(Table3[Week '#],(Table3[Start Date]&lt;=Table6[[#This Row],[Date]])*(Table3[End Date]&gt;=Table6[[#This Row],[Date]]),"")</f>
        <v>Week 12</v>
      </c>
    </row>
    <row r="84" spans="8:14">
      <c r="H84" s="343">
        <v>20260317</v>
      </c>
      <c r="I84" s="362">
        <v>317510.96000000002</v>
      </c>
      <c r="J84" s="343">
        <v>563</v>
      </c>
      <c r="K84" s="343">
        <v>1789</v>
      </c>
      <c r="L84" s="363">
        <f t="shared" si="5"/>
        <v>46098</v>
      </c>
      <c r="M84" s="350" t="str">
        <f t="shared" si="6"/>
        <v>Tuesday</v>
      </c>
      <c r="N84" s="350" t="str" cm="1">
        <f t="array" ref="N84">_xlfn._xlws.FILTER(Table3[Week '#],(Table3[Start Date]&lt;=Table6[[#This Row],[Date]])*(Table3[End Date]&gt;=Table6[[#This Row],[Date]]),"")</f>
        <v>Week 12</v>
      </c>
    </row>
    <row r="85" spans="8:14">
      <c r="H85" s="343">
        <v>20260318</v>
      </c>
      <c r="I85" s="362">
        <v>369299.6</v>
      </c>
      <c r="J85" s="343">
        <v>888</v>
      </c>
      <c r="K85" s="343">
        <v>2389</v>
      </c>
      <c r="L85" s="363">
        <f t="shared" si="5"/>
        <v>46099</v>
      </c>
      <c r="M85" s="350" t="str">
        <f t="shared" si="6"/>
        <v>Wednesday</v>
      </c>
      <c r="N85" s="350" t="str" cm="1">
        <f t="array" ref="N85">_xlfn._xlws.FILTER(Table3[Week '#],(Table3[Start Date]&lt;=Table6[[#This Row],[Date]])*(Table3[End Date]&gt;=Table6[[#This Row],[Date]]),"")</f>
        <v>Week 12</v>
      </c>
    </row>
    <row r="86" spans="8:14">
      <c r="H86" s="343">
        <v>20260319</v>
      </c>
      <c r="I86" s="362">
        <v>396411.43</v>
      </c>
      <c r="J86" s="343">
        <v>1452</v>
      </c>
      <c r="K86" s="343">
        <v>3367</v>
      </c>
      <c r="L86" s="363">
        <f t="shared" si="5"/>
        <v>46100</v>
      </c>
      <c r="M86" s="350" t="str">
        <f t="shared" si="6"/>
        <v>Thursday</v>
      </c>
      <c r="N86" s="350" t="str" cm="1">
        <f t="array" ref="N86">_xlfn._xlws.FILTER(Table3[Week '#],(Table3[Start Date]&lt;=Table6[[#This Row],[Date]])*(Table3[End Date]&gt;=Table6[[#This Row],[Date]]),"")</f>
        <v>Week 12</v>
      </c>
    </row>
    <row r="87" spans="8:14">
      <c r="H87" s="343">
        <v>20260320</v>
      </c>
      <c r="I87" s="362">
        <v>620047.03</v>
      </c>
      <c r="J87" s="343">
        <v>1949</v>
      </c>
      <c r="K87" s="343">
        <v>4637</v>
      </c>
      <c r="L87" s="363">
        <f t="shared" si="5"/>
        <v>46101</v>
      </c>
      <c r="M87" s="350" t="str">
        <f t="shared" si="6"/>
        <v>Friday</v>
      </c>
      <c r="N87" s="350" t="str" cm="1">
        <f t="array" ref="N87">_xlfn._xlws.FILTER(Table3[Week '#],(Table3[Start Date]&lt;=Table6[[#This Row],[Date]])*(Table3[End Date]&gt;=Table6[[#This Row],[Date]]),"")</f>
        <v>Week 12</v>
      </c>
    </row>
    <row r="88" spans="8:14">
      <c r="H88" s="343">
        <v>20260321</v>
      </c>
      <c r="I88" s="362">
        <v>834812.98</v>
      </c>
      <c r="J88" s="343">
        <v>2575</v>
      </c>
      <c r="K88" s="343">
        <v>6082</v>
      </c>
      <c r="L88" s="363">
        <f t="shared" si="5"/>
        <v>46102</v>
      </c>
      <c r="M88" s="350" t="str">
        <f t="shared" si="6"/>
        <v>Saturday</v>
      </c>
      <c r="N88" s="350" t="str" cm="1">
        <f t="array" ref="N88">_xlfn._xlws.FILTER(Table3[Week '#],(Table3[Start Date]&lt;=Table6[[#This Row],[Date]])*(Table3[End Date]&gt;=Table6[[#This Row],[Date]]),"")</f>
        <v>Week 12</v>
      </c>
    </row>
    <row r="89" spans="8:14">
      <c r="H89" s="343">
        <v>20260322</v>
      </c>
      <c r="I89" s="362">
        <v>603800.74</v>
      </c>
      <c r="J89" s="343">
        <v>1927</v>
      </c>
      <c r="K89" s="343">
        <v>4527</v>
      </c>
      <c r="L89" s="363">
        <f t="shared" si="5"/>
        <v>46103</v>
      </c>
      <c r="M89" s="350" t="str">
        <f t="shared" si="6"/>
        <v>Sunday</v>
      </c>
      <c r="N89" s="350" t="str" cm="1">
        <f t="array" ref="N89">_xlfn._xlws.FILTER(Table3[Week '#],(Table3[Start Date]&lt;=Table6[[#This Row],[Date]])*(Table3[End Date]&gt;=Table6[[#This Row],[Date]]),"")</f>
        <v>Week 12</v>
      </c>
    </row>
    <row r="90" spans="8:14">
      <c r="H90" s="343">
        <v>20260323</v>
      </c>
      <c r="I90" s="362">
        <v>148993.20000000001</v>
      </c>
      <c r="J90" s="343">
        <v>523</v>
      </c>
      <c r="K90" s="343">
        <v>1213</v>
      </c>
      <c r="L90" s="363">
        <f t="shared" si="5"/>
        <v>46104</v>
      </c>
      <c r="M90" s="350" t="str">
        <f t="shared" si="6"/>
        <v>Monday</v>
      </c>
      <c r="N90" s="350" t="str" cm="1">
        <f t="array" ref="N90">_xlfn._xlws.FILTER(Table3[Week '#],(Table3[Start Date]&lt;=Table6[[#This Row],[Date]])*(Table3[End Date]&gt;=Table6[[#This Row],[Date]]),"")</f>
        <v>Week 13</v>
      </c>
    </row>
    <row r="91" spans="8:14">
      <c r="H91" s="343">
        <v>20260324</v>
      </c>
      <c r="I91" s="362">
        <v>237493.4</v>
      </c>
      <c r="J91" s="343">
        <v>746</v>
      </c>
      <c r="K91" s="343">
        <v>1839</v>
      </c>
      <c r="L91" s="363">
        <f t="shared" si="5"/>
        <v>46105</v>
      </c>
      <c r="M91" s="350" t="str">
        <f t="shared" si="6"/>
        <v>Tuesday</v>
      </c>
      <c r="N91" s="350" t="str" cm="1">
        <f t="array" ref="N91">_xlfn._xlws.FILTER(Table3[Week '#],(Table3[Start Date]&lt;=Table6[[#This Row],[Date]])*(Table3[End Date]&gt;=Table6[[#This Row],[Date]]),"")</f>
        <v>Week 13</v>
      </c>
    </row>
    <row r="92" spans="8:14">
      <c r="H92" s="343">
        <v>20260325</v>
      </c>
      <c r="I92" s="362">
        <v>357274.46</v>
      </c>
      <c r="J92" s="343">
        <v>1174</v>
      </c>
      <c r="K92" s="343">
        <v>2981</v>
      </c>
      <c r="L92" s="363">
        <f t="shared" si="5"/>
        <v>46106</v>
      </c>
      <c r="M92" s="350" t="str">
        <f t="shared" si="6"/>
        <v>Wednesday</v>
      </c>
      <c r="N92" s="350" t="str" cm="1">
        <f t="array" ref="N92">_xlfn._xlws.FILTER(Table3[Week '#],(Table3[Start Date]&lt;=Table6[[#This Row],[Date]])*(Table3[End Date]&gt;=Table6[[#This Row],[Date]]),"")</f>
        <v>Week 13</v>
      </c>
    </row>
    <row r="93" spans="8:14">
      <c r="H93" s="343">
        <v>20260326</v>
      </c>
      <c r="I93" s="362">
        <v>635753.18000000005</v>
      </c>
      <c r="J93" s="343">
        <v>1843</v>
      </c>
      <c r="K93" s="343">
        <v>4229</v>
      </c>
      <c r="L93" s="363">
        <f t="shared" si="5"/>
        <v>46107</v>
      </c>
      <c r="M93" s="350" t="str">
        <f t="shared" si="6"/>
        <v>Thursday</v>
      </c>
      <c r="N93" s="350" t="str" cm="1">
        <f t="array" ref="N93">_xlfn._xlws.FILTER(Table3[Week '#],(Table3[Start Date]&lt;=Table6[[#This Row],[Date]])*(Table3[End Date]&gt;=Table6[[#This Row],[Date]]),"")</f>
        <v>Week 13</v>
      </c>
    </row>
    <row r="94" spans="8:14">
      <c r="H94" s="343">
        <v>20260327</v>
      </c>
      <c r="I94" s="362">
        <v>720253.92</v>
      </c>
      <c r="J94" s="343">
        <v>2122</v>
      </c>
      <c r="K94" s="343">
        <v>4971</v>
      </c>
      <c r="L94" s="363">
        <f t="shared" si="5"/>
        <v>46108</v>
      </c>
      <c r="M94" s="350" t="str">
        <f t="shared" si="6"/>
        <v>Friday</v>
      </c>
      <c r="N94" s="350" t="str" cm="1">
        <f t="array" ref="N94">_xlfn._xlws.FILTER(Table3[Week '#],(Table3[Start Date]&lt;=Table6[[#This Row],[Date]])*(Table3[End Date]&gt;=Table6[[#This Row],[Date]]),"")</f>
        <v>Week 13</v>
      </c>
    </row>
    <row r="95" spans="8:14">
      <c r="H95" s="343">
        <v>20260328</v>
      </c>
      <c r="I95" s="362">
        <v>1119913.1599999999</v>
      </c>
      <c r="J95" s="343">
        <v>2701</v>
      </c>
      <c r="K95" s="343">
        <v>7315</v>
      </c>
      <c r="L95" s="363">
        <f t="shared" si="5"/>
        <v>46109</v>
      </c>
      <c r="M95" s="350" t="str">
        <f t="shared" si="6"/>
        <v>Saturday</v>
      </c>
      <c r="N95" s="350" t="str" cm="1">
        <f t="array" ref="N95">_xlfn._xlws.FILTER(Table3[Week '#],(Table3[Start Date]&lt;=Table6[[#This Row],[Date]])*(Table3[End Date]&gt;=Table6[[#This Row],[Date]]),"")</f>
        <v>Week 13</v>
      </c>
    </row>
    <row r="96" spans="8:14">
      <c r="H96" s="343">
        <v>20260329</v>
      </c>
      <c r="I96" s="362">
        <v>710265.01</v>
      </c>
      <c r="J96" s="343">
        <v>2260</v>
      </c>
      <c r="K96" s="343">
        <v>5300</v>
      </c>
      <c r="L96" s="363">
        <f t="shared" si="5"/>
        <v>46110</v>
      </c>
      <c r="M96" s="350" t="str">
        <f t="shared" si="6"/>
        <v>Sunday</v>
      </c>
      <c r="N96" s="350" t="str" cm="1">
        <f t="array" ref="N96">_xlfn._xlws.FILTER(Table3[Week '#],(Table3[Start Date]&lt;=Table6[[#This Row],[Date]])*(Table3[End Date]&gt;=Table6[[#This Row],[Date]]),"")</f>
        <v>Week 13</v>
      </c>
    </row>
    <row r="97" spans="8:14">
      <c r="H97" s="343">
        <v>20260330</v>
      </c>
      <c r="I97" s="362">
        <v>154974.79</v>
      </c>
      <c r="J97" s="343">
        <v>515</v>
      </c>
      <c r="K97" s="343">
        <v>1255</v>
      </c>
      <c r="L97" s="363">
        <f t="shared" si="5"/>
        <v>46111</v>
      </c>
      <c r="M97" s="350" t="str">
        <f t="shared" si="6"/>
        <v>Monday</v>
      </c>
      <c r="N97" s="350" t="str" cm="1">
        <f t="array" ref="N97">_xlfn._xlws.FILTER(Table3[Week '#],(Table3[Start Date]&lt;=Table6[[#This Row],[Date]])*(Table3[End Date]&gt;=Table6[[#This Row],[Date]]),"")</f>
        <v>Week 14</v>
      </c>
    </row>
    <row r="98" spans="8:14">
      <c r="H98" s="343">
        <v>20260331</v>
      </c>
      <c r="I98" s="362">
        <v>224813.52</v>
      </c>
      <c r="J98" s="343">
        <v>860</v>
      </c>
      <c r="K98" s="343">
        <v>1972</v>
      </c>
      <c r="L98" s="363">
        <f t="shared" si="5"/>
        <v>46112</v>
      </c>
      <c r="M98" s="350" t="str">
        <f t="shared" si="6"/>
        <v>Tuesday</v>
      </c>
      <c r="N98" s="350" t="str" cm="1">
        <f t="array" ref="N98">_xlfn._xlws.FILTER(Table3[Week '#],(Table3[Start Date]&lt;=Table6[[#This Row],[Date]])*(Table3[End Date]&gt;=Table6[[#This Row],[Date]]),"")</f>
        <v>Week 14</v>
      </c>
    </row>
    <row r="99" spans="8:14">
      <c r="H99" s="343">
        <v>20260401</v>
      </c>
      <c r="I99" s="362">
        <v>198269.94</v>
      </c>
      <c r="J99" s="343">
        <v>836</v>
      </c>
      <c r="K99" s="343">
        <v>1924</v>
      </c>
      <c r="L99" s="363">
        <f t="shared" si="5"/>
        <v>46113</v>
      </c>
      <c r="M99" s="350" t="str">
        <f t="shared" si="6"/>
        <v>Wednesday</v>
      </c>
      <c r="N99" s="350" t="str" cm="1">
        <f t="array" ref="N99">_xlfn._xlws.FILTER(Table3[Week '#],(Table3[Start Date]&lt;=Table6[[#This Row],[Date]])*(Table3[End Date]&gt;=Table6[[#This Row],[Date]]),"")</f>
        <v>Week 14</v>
      </c>
    </row>
    <row r="100" spans="8:14">
      <c r="H100" s="343">
        <v>20260402</v>
      </c>
      <c r="I100" s="362">
        <v>368942.44</v>
      </c>
      <c r="J100" s="343">
        <v>1376</v>
      </c>
      <c r="K100" s="343">
        <v>3114</v>
      </c>
      <c r="L100" s="363">
        <f t="shared" si="5"/>
        <v>46114</v>
      </c>
      <c r="M100" s="350" t="str">
        <f t="shared" si="6"/>
        <v>Thursday</v>
      </c>
      <c r="N100" s="350" t="str" cm="1">
        <f t="array" ref="N100">_xlfn._xlws.FILTER(Table3[Week '#],(Table3[Start Date]&lt;=Table6[[#This Row],[Date]])*(Table3[End Date]&gt;=Table6[[#This Row],[Date]]),"")</f>
        <v>Week 14</v>
      </c>
    </row>
    <row r="101" spans="8:14">
      <c r="H101" s="343">
        <v>20260403</v>
      </c>
      <c r="I101" s="362">
        <v>614464.09</v>
      </c>
      <c r="J101" s="343">
        <v>2084</v>
      </c>
      <c r="K101" s="343">
        <v>4864</v>
      </c>
      <c r="L101" s="363">
        <f t="shared" si="5"/>
        <v>46115</v>
      </c>
      <c r="M101" s="350" t="str">
        <f t="shared" si="6"/>
        <v>Friday</v>
      </c>
      <c r="N101" s="350" t="str" cm="1">
        <f t="array" ref="N101">_xlfn._xlws.FILTER(Table3[Week '#],(Table3[Start Date]&lt;=Table6[[#This Row],[Date]])*(Table3[End Date]&gt;=Table6[[#This Row],[Date]]),"")</f>
        <v>Week 14</v>
      </c>
    </row>
    <row r="102" spans="8:14">
      <c r="H102" s="343">
        <v>20260404</v>
      </c>
      <c r="I102" s="362">
        <v>741217.36</v>
      </c>
      <c r="J102" s="343">
        <v>2544</v>
      </c>
      <c r="K102" s="343">
        <v>6049</v>
      </c>
      <c r="L102" s="363">
        <f t="shared" ref="L102:L138" si="7">DATE(LEFT(H102,4),MID(H102,5,2),RIGHT(H102,2))</f>
        <v>46116</v>
      </c>
      <c r="M102" s="350" t="str">
        <f t="shared" ref="M102:M133" si="8">TEXT(L102,"DDDD")</f>
        <v>Saturday</v>
      </c>
      <c r="N102" s="350" t="str" cm="1">
        <f t="array" ref="N102">_xlfn._xlws.FILTER(Table3[Week '#],(Table3[Start Date]&lt;=Table6[[#This Row],[Date]])*(Table3[End Date]&gt;=Table6[[#This Row],[Date]]),"")</f>
        <v>Week 14</v>
      </c>
    </row>
    <row r="103" spans="8:14">
      <c r="H103" s="343">
        <v>20260405</v>
      </c>
      <c r="I103" s="362">
        <v>641372.93999999994</v>
      </c>
      <c r="J103" s="343">
        <v>1973</v>
      </c>
      <c r="K103" s="343">
        <v>4894</v>
      </c>
      <c r="L103" s="363">
        <f t="shared" si="7"/>
        <v>46117</v>
      </c>
      <c r="M103" s="350" t="str">
        <f t="shared" si="8"/>
        <v>Sunday</v>
      </c>
      <c r="N103" s="350" t="str" cm="1">
        <f t="array" ref="N103">_xlfn._xlws.FILTER(Table3[Week '#],(Table3[Start Date]&lt;=Table6[[#This Row],[Date]])*(Table3[End Date]&gt;=Table6[[#This Row],[Date]]),"")</f>
        <v>Week 14</v>
      </c>
    </row>
    <row r="104" spans="8:14">
      <c r="H104" s="343">
        <v>20260406</v>
      </c>
      <c r="I104" s="362">
        <v>123740.99</v>
      </c>
      <c r="J104" s="343">
        <v>424</v>
      </c>
      <c r="K104" s="343">
        <v>988</v>
      </c>
      <c r="L104" s="363">
        <f t="shared" si="7"/>
        <v>46118</v>
      </c>
      <c r="M104" s="350" t="str">
        <f t="shared" si="8"/>
        <v>Monday</v>
      </c>
      <c r="N104" s="350" t="str" cm="1">
        <f t="array" ref="N104">_xlfn._xlws.FILTER(Table3[Week '#],(Table3[Start Date]&lt;=Table6[[#This Row],[Date]])*(Table3[End Date]&gt;=Table6[[#This Row],[Date]]),"")</f>
        <v>Week 15</v>
      </c>
    </row>
    <row r="105" spans="8:14">
      <c r="H105" s="343">
        <v>20260407</v>
      </c>
      <c r="I105" s="362">
        <v>167571.99</v>
      </c>
      <c r="J105" s="343">
        <v>548</v>
      </c>
      <c r="K105" s="343">
        <v>1418</v>
      </c>
      <c r="L105" s="363">
        <f t="shared" si="7"/>
        <v>46119</v>
      </c>
      <c r="M105" s="350" t="str">
        <f t="shared" si="8"/>
        <v>Tuesday</v>
      </c>
      <c r="N105" s="350" t="str" cm="1">
        <f t="array" ref="N105">_xlfn._xlws.FILTER(Table3[Week '#],(Table3[Start Date]&lt;=Table6[[#This Row],[Date]])*(Table3[End Date]&gt;=Table6[[#This Row],[Date]]),"")</f>
        <v>Week 15</v>
      </c>
    </row>
    <row r="106" spans="8:14">
      <c r="H106" s="343">
        <v>20260408</v>
      </c>
      <c r="I106" s="362">
        <v>220888.65</v>
      </c>
      <c r="J106" s="343">
        <v>841</v>
      </c>
      <c r="K106" s="343">
        <v>1964</v>
      </c>
      <c r="L106" s="363">
        <f t="shared" si="7"/>
        <v>46120</v>
      </c>
      <c r="M106" s="350" t="str">
        <f t="shared" si="8"/>
        <v>Wednesday</v>
      </c>
      <c r="N106" s="350" t="str" cm="1">
        <f t="array" ref="N106">_xlfn._xlws.FILTER(Table3[Week '#],(Table3[Start Date]&lt;=Table6[[#This Row],[Date]])*(Table3[End Date]&gt;=Table6[[#This Row],[Date]]),"")</f>
        <v>Week 15</v>
      </c>
    </row>
    <row r="107" spans="8:14">
      <c r="H107" s="343">
        <v>20260409</v>
      </c>
      <c r="I107" s="362">
        <v>489127.02</v>
      </c>
      <c r="J107" s="343">
        <v>1517</v>
      </c>
      <c r="K107" s="343">
        <v>3517</v>
      </c>
      <c r="L107" s="363">
        <f t="shared" si="7"/>
        <v>46121</v>
      </c>
      <c r="M107" s="350" t="str">
        <f t="shared" si="8"/>
        <v>Thursday</v>
      </c>
      <c r="N107" s="350" t="str" cm="1">
        <f t="array" ref="N107">_xlfn._xlws.FILTER(Table3[Week '#],(Table3[Start Date]&lt;=Table6[[#This Row],[Date]])*(Table3[End Date]&gt;=Table6[[#This Row],[Date]]),"")</f>
        <v>Week 15</v>
      </c>
    </row>
    <row r="108" spans="8:14">
      <c r="H108" s="343">
        <v>20260410</v>
      </c>
      <c r="I108" s="362">
        <v>613211.14</v>
      </c>
      <c r="J108" s="343">
        <v>2002</v>
      </c>
      <c r="K108" s="343">
        <v>4611</v>
      </c>
      <c r="L108" s="363">
        <f t="shared" si="7"/>
        <v>46122</v>
      </c>
      <c r="M108" s="350" t="str">
        <f t="shared" si="8"/>
        <v>Friday</v>
      </c>
      <c r="N108" s="350" t="str" cm="1">
        <f t="array" ref="N108">_xlfn._xlws.FILTER(Table3[Week '#],(Table3[Start Date]&lt;=Table6[[#This Row],[Date]])*(Table3[End Date]&gt;=Table6[[#This Row],[Date]]),"")</f>
        <v>Week 15</v>
      </c>
    </row>
    <row r="109" spans="8:14">
      <c r="H109" s="343">
        <v>20260411</v>
      </c>
      <c r="I109" s="362">
        <v>780090.88</v>
      </c>
      <c r="J109" s="343">
        <v>2581</v>
      </c>
      <c r="K109" s="343">
        <v>6062</v>
      </c>
      <c r="L109" s="363">
        <f t="shared" si="7"/>
        <v>46123</v>
      </c>
      <c r="M109" s="350" t="str">
        <f t="shared" si="8"/>
        <v>Saturday</v>
      </c>
      <c r="N109" s="350" t="str" cm="1">
        <f t="array" ref="N109">_xlfn._xlws.FILTER(Table3[Week '#],(Table3[Start Date]&lt;=Table6[[#This Row],[Date]])*(Table3[End Date]&gt;=Table6[[#This Row],[Date]]),"")</f>
        <v>Week 15</v>
      </c>
    </row>
    <row r="110" spans="8:14">
      <c r="H110" s="343">
        <v>20260412</v>
      </c>
      <c r="I110" s="362">
        <v>546042.68999999994</v>
      </c>
      <c r="J110" s="343">
        <v>1766</v>
      </c>
      <c r="K110" s="343">
        <v>4932</v>
      </c>
      <c r="L110" s="363">
        <f t="shared" si="7"/>
        <v>46124</v>
      </c>
      <c r="M110" s="350" t="str">
        <f t="shared" si="8"/>
        <v>Sunday</v>
      </c>
      <c r="N110" s="350" t="str" cm="1">
        <f t="array" ref="N110">_xlfn._xlws.FILTER(Table3[Week '#],(Table3[Start Date]&lt;=Table6[[#This Row],[Date]])*(Table3[End Date]&gt;=Table6[[#This Row],[Date]]),"")</f>
        <v>Week 15</v>
      </c>
    </row>
    <row r="111" spans="8:14">
      <c r="H111" s="343">
        <v>20260413</v>
      </c>
      <c r="I111" s="362">
        <v>151404.35</v>
      </c>
      <c r="J111" s="343">
        <v>507</v>
      </c>
      <c r="K111" s="343">
        <v>1221</v>
      </c>
      <c r="L111" s="363">
        <f t="shared" si="7"/>
        <v>46125</v>
      </c>
      <c r="M111" s="350" t="str">
        <f t="shared" si="8"/>
        <v>Monday</v>
      </c>
      <c r="N111" s="350" t="str" cm="1">
        <f t="array" ref="N111">_xlfn._xlws.FILTER(Table3[Week '#],(Table3[Start Date]&lt;=Table6[[#This Row],[Date]])*(Table3[End Date]&gt;=Table6[[#This Row],[Date]]),"")</f>
        <v>Week 16</v>
      </c>
    </row>
    <row r="112" spans="8:14">
      <c r="H112" s="343">
        <v>20260414</v>
      </c>
      <c r="I112" s="362">
        <v>255388.46</v>
      </c>
      <c r="J112" s="343">
        <v>633</v>
      </c>
      <c r="K112" s="343">
        <v>1683</v>
      </c>
      <c r="L112" s="363">
        <f t="shared" si="7"/>
        <v>46126</v>
      </c>
      <c r="M112" s="350" t="str">
        <f t="shared" si="8"/>
        <v>Tuesday</v>
      </c>
      <c r="N112" s="350" t="str" cm="1">
        <f t="array" ref="N112">_xlfn._xlws.FILTER(Table3[Week '#],(Table3[Start Date]&lt;=Table6[[#This Row],[Date]])*(Table3[End Date]&gt;=Table6[[#This Row],[Date]]),"")</f>
        <v>Week 16</v>
      </c>
    </row>
    <row r="113" spans="8:14">
      <c r="H113" s="343">
        <v>20260415</v>
      </c>
      <c r="I113" s="362">
        <v>258713.09</v>
      </c>
      <c r="J113" s="343">
        <v>756</v>
      </c>
      <c r="K113" s="343">
        <v>1793</v>
      </c>
      <c r="L113" s="363">
        <f t="shared" si="7"/>
        <v>46127</v>
      </c>
      <c r="M113" s="350" t="str">
        <f t="shared" si="8"/>
        <v>Wednesday</v>
      </c>
      <c r="N113" s="350" t="str" cm="1">
        <f t="array" ref="N113">_xlfn._xlws.FILTER(Table3[Week '#],(Table3[Start Date]&lt;=Table6[[#This Row],[Date]])*(Table3[End Date]&gt;=Table6[[#This Row],[Date]]),"")</f>
        <v>Week 16</v>
      </c>
    </row>
    <row r="114" spans="8:14">
      <c r="H114" s="343">
        <v>20260416</v>
      </c>
      <c r="I114" s="362">
        <v>508292.77</v>
      </c>
      <c r="J114" s="343">
        <v>1564</v>
      </c>
      <c r="K114" s="343">
        <v>3557</v>
      </c>
      <c r="L114" s="363">
        <f t="shared" si="7"/>
        <v>46128</v>
      </c>
      <c r="M114" s="350" t="str">
        <f t="shared" si="8"/>
        <v>Thursday</v>
      </c>
      <c r="N114" s="350" t="str" cm="1">
        <f t="array" ref="N114">_xlfn._xlws.FILTER(Table3[Week '#],(Table3[Start Date]&lt;=Table6[[#This Row],[Date]])*(Table3[End Date]&gt;=Table6[[#This Row],[Date]]),"")</f>
        <v>Week 16</v>
      </c>
    </row>
    <row r="115" spans="8:14">
      <c r="H115" s="343">
        <v>20260417</v>
      </c>
      <c r="I115" s="362">
        <v>545437.02</v>
      </c>
      <c r="J115" s="343">
        <v>1974</v>
      </c>
      <c r="K115" s="343">
        <v>4423</v>
      </c>
      <c r="L115" s="363">
        <f t="shared" si="7"/>
        <v>46129</v>
      </c>
      <c r="M115" s="350" t="str">
        <f t="shared" si="8"/>
        <v>Friday</v>
      </c>
      <c r="N115" s="350" t="str" cm="1">
        <f t="array" ref="N115">_xlfn._xlws.FILTER(Table3[Week '#],(Table3[Start Date]&lt;=Table6[[#This Row],[Date]])*(Table3[End Date]&gt;=Table6[[#This Row],[Date]]),"")</f>
        <v>Week 16</v>
      </c>
    </row>
    <row r="116" spans="8:14">
      <c r="H116" s="343">
        <v>20260418</v>
      </c>
      <c r="I116" s="362">
        <v>738735.02</v>
      </c>
      <c r="J116" s="343">
        <v>2432</v>
      </c>
      <c r="K116" s="343">
        <v>5774</v>
      </c>
      <c r="L116" s="363">
        <f t="shared" si="7"/>
        <v>46130</v>
      </c>
      <c r="M116" s="350" t="str">
        <f t="shared" si="8"/>
        <v>Saturday</v>
      </c>
      <c r="N116" s="350" t="str" cm="1">
        <f t="array" ref="N116">_xlfn._xlws.FILTER(Table3[Week '#],(Table3[Start Date]&lt;=Table6[[#This Row],[Date]])*(Table3[End Date]&gt;=Table6[[#This Row],[Date]]),"")</f>
        <v>Week 16</v>
      </c>
    </row>
    <row r="117" spans="8:14">
      <c r="H117" s="343">
        <v>20260419</v>
      </c>
      <c r="I117" s="362">
        <v>548926.43000000005</v>
      </c>
      <c r="J117" s="343">
        <v>1785</v>
      </c>
      <c r="K117" s="343">
        <v>4271</v>
      </c>
      <c r="L117" s="363">
        <f t="shared" si="7"/>
        <v>46131</v>
      </c>
      <c r="M117" s="350" t="str">
        <f t="shared" si="8"/>
        <v>Sunday</v>
      </c>
      <c r="N117" s="350" t="str" cm="1">
        <f t="array" ref="N117">_xlfn._xlws.FILTER(Table3[Week '#],(Table3[Start Date]&lt;=Table6[[#This Row],[Date]])*(Table3[End Date]&gt;=Table6[[#This Row],[Date]]),"")</f>
        <v>Week 16</v>
      </c>
    </row>
    <row r="118" spans="8:14">
      <c r="H118" s="343">
        <v>20260420</v>
      </c>
      <c r="I118" s="362">
        <v>126664.39</v>
      </c>
      <c r="J118" s="343">
        <v>436</v>
      </c>
      <c r="K118" s="343">
        <v>1007</v>
      </c>
      <c r="L118" s="363">
        <f t="shared" si="7"/>
        <v>46132</v>
      </c>
      <c r="M118" s="350" t="str">
        <f t="shared" si="8"/>
        <v>Monday</v>
      </c>
      <c r="N118" s="350" t="str" cm="1">
        <f t="array" ref="N118">_xlfn._xlws.FILTER(Table3[Week '#],(Table3[Start Date]&lt;=Table6[[#This Row],[Date]])*(Table3[End Date]&gt;=Table6[[#This Row],[Date]]),"")</f>
        <v>Week 17</v>
      </c>
    </row>
    <row r="119" spans="8:14">
      <c r="H119" s="343">
        <v>20260421</v>
      </c>
      <c r="I119" s="362">
        <v>228173.78</v>
      </c>
      <c r="J119" s="343">
        <v>724</v>
      </c>
      <c r="K119" s="343">
        <v>1696</v>
      </c>
      <c r="L119" s="363">
        <f t="shared" si="7"/>
        <v>46133</v>
      </c>
      <c r="M119" s="350" t="str">
        <f t="shared" si="8"/>
        <v>Tuesday</v>
      </c>
      <c r="N119" s="350" t="str" cm="1">
        <f t="array" ref="N119">_xlfn._xlws.FILTER(Table3[Week '#],(Table3[Start Date]&lt;=Table6[[#This Row],[Date]])*(Table3[End Date]&gt;=Table6[[#This Row],[Date]]),"")</f>
        <v>Week 17</v>
      </c>
    </row>
    <row r="120" spans="8:14">
      <c r="H120" s="343">
        <v>20260422</v>
      </c>
      <c r="I120" s="362">
        <v>285958.69</v>
      </c>
      <c r="J120" s="343">
        <v>662</v>
      </c>
      <c r="K120" s="343">
        <v>2497</v>
      </c>
      <c r="L120" s="363">
        <f t="shared" si="7"/>
        <v>46134</v>
      </c>
      <c r="M120" s="350" t="str">
        <f t="shared" si="8"/>
        <v>Wednesday</v>
      </c>
      <c r="N120" s="350" t="str" cm="1">
        <f t="array" ref="N120">_xlfn._xlws.FILTER(Table3[Week '#],(Table3[Start Date]&lt;=Table6[[#This Row],[Date]])*(Table3[End Date]&gt;=Table6[[#This Row],[Date]]),"")</f>
        <v>Week 17</v>
      </c>
    </row>
    <row r="121" spans="8:14">
      <c r="H121" s="343">
        <v>20260423</v>
      </c>
      <c r="I121" s="362">
        <v>393838.43</v>
      </c>
      <c r="J121" s="343">
        <v>1401</v>
      </c>
      <c r="K121" s="343">
        <v>3209</v>
      </c>
      <c r="L121" s="363">
        <f t="shared" si="7"/>
        <v>46135</v>
      </c>
      <c r="M121" s="350" t="str">
        <f t="shared" si="8"/>
        <v>Thursday</v>
      </c>
      <c r="N121" s="350" t="str" cm="1">
        <f t="array" ref="N121">_xlfn._xlws.FILTER(Table3[Week '#],(Table3[Start Date]&lt;=Table6[[#This Row],[Date]])*(Table3[End Date]&gt;=Table6[[#This Row],[Date]]),"")</f>
        <v>Week 17</v>
      </c>
    </row>
    <row r="122" spans="8:14">
      <c r="H122" s="343">
        <v>20260424</v>
      </c>
      <c r="I122" s="362">
        <v>621796.38</v>
      </c>
      <c r="J122" s="343">
        <v>1715</v>
      </c>
      <c r="K122" s="343">
        <v>4296</v>
      </c>
      <c r="L122" s="363">
        <f t="shared" si="7"/>
        <v>46136</v>
      </c>
      <c r="M122" s="350" t="str">
        <f t="shared" si="8"/>
        <v>Friday</v>
      </c>
      <c r="N122" s="350" t="str" cm="1">
        <f t="array" ref="N122">_xlfn._xlws.FILTER(Table3[Week '#],(Table3[Start Date]&lt;=Table6[[#This Row],[Date]])*(Table3[End Date]&gt;=Table6[[#This Row],[Date]]),"")</f>
        <v>Week 17</v>
      </c>
    </row>
    <row r="123" spans="8:14">
      <c r="H123" s="343">
        <v>20260425</v>
      </c>
      <c r="I123" s="362">
        <v>840165.08</v>
      </c>
      <c r="J123" s="343">
        <v>2492</v>
      </c>
      <c r="K123" s="343">
        <v>5932</v>
      </c>
      <c r="L123" s="363">
        <f t="shared" si="7"/>
        <v>46137</v>
      </c>
      <c r="M123" s="350" t="str">
        <f t="shared" si="8"/>
        <v>Saturday</v>
      </c>
      <c r="N123" s="350" t="str" cm="1">
        <f t="array" ref="N123">_xlfn._xlws.FILTER(Table3[Week '#],(Table3[Start Date]&lt;=Table6[[#This Row],[Date]])*(Table3[End Date]&gt;=Table6[[#This Row],[Date]]),"")</f>
        <v>Week 17</v>
      </c>
    </row>
    <row r="124" spans="8:14">
      <c r="H124" s="343">
        <v>20260426</v>
      </c>
      <c r="I124" s="362">
        <v>541529.76</v>
      </c>
      <c r="J124" s="343">
        <v>1816</v>
      </c>
      <c r="K124" s="343">
        <v>4062</v>
      </c>
      <c r="L124" s="363">
        <f t="shared" si="7"/>
        <v>46138</v>
      </c>
      <c r="M124" s="350" t="str">
        <f t="shared" si="8"/>
        <v>Sunday</v>
      </c>
      <c r="N124" s="350" t="str" cm="1">
        <f t="array" ref="N124">_xlfn._xlws.FILTER(Table3[Week '#],(Table3[Start Date]&lt;=Table6[[#This Row],[Date]])*(Table3[End Date]&gt;=Table6[[#This Row],[Date]]),"")</f>
        <v>Week 17</v>
      </c>
    </row>
    <row r="125" spans="8:14">
      <c r="H125" s="343">
        <v>20260427</v>
      </c>
      <c r="I125" s="362">
        <v>216173.32</v>
      </c>
      <c r="J125" s="343">
        <v>562</v>
      </c>
      <c r="K125" s="343">
        <v>1529</v>
      </c>
      <c r="L125" s="363">
        <f t="shared" si="7"/>
        <v>46139</v>
      </c>
      <c r="M125" s="350" t="str">
        <f t="shared" si="8"/>
        <v>Monday</v>
      </c>
      <c r="N125" s="350" t="str" cm="1">
        <f t="array" ref="N125">_xlfn._xlws.FILTER(Table3[Week '#],(Table3[Start Date]&lt;=Table6[[#This Row],[Date]])*(Table3[End Date]&gt;=Table6[[#This Row],[Date]]),"")</f>
        <v>Week 18</v>
      </c>
    </row>
    <row r="126" spans="8:14">
      <c r="H126" s="343">
        <v>20260428</v>
      </c>
      <c r="I126" s="362">
        <v>272297.52</v>
      </c>
      <c r="J126" s="343">
        <v>856</v>
      </c>
      <c r="K126" s="343">
        <v>2160</v>
      </c>
      <c r="L126" s="363">
        <f t="shared" si="7"/>
        <v>46140</v>
      </c>
      <c r="M126" s="350" t="str">
        <f t="shared" si="8"/>
        <v>Tuesday</v>
      </c>
      <c r="N126" s="350" t="str" cm="1">
        <f t="array" ref="N126">_xlfn._xlws.FILTER(Table3[Week '#],(Table3[Start Date]&lt;=Table6[[#This Row],[Date]])*(Table3[End Date]&gt;=Table6[[#This Row],[Date]]),"")</f>
        <v>Week 18</v>
      </c>
    </row>
    <row r="127" spans="8:14">
      <c r="H127" s="343">
        <v>20260429</v>
      </c>
      <c r="I127" s="362">
        <v>350275.33</v>
      </c>
      <c r="J127" s="343">
        <v>1015</v>
      </c>
      <c r="K127" s="343">
        <v>2603</v>
      </c>
      <c r="L127" s="363">
        <f t="shared" si="7"/>
        <v>46141</v>
      </c>
      <c r="M127" s="350" t="str">
        <f t="shared" si="8"/>
        <v>Wednesday</v>
      </c>
      <c r="N127" s="350" t="str" cm="1">
        <f t="array" ref="N127">_xlfn._xlws.FILTER(Table3[Week '#],(Table3[Start Date]&lt;=Table6[[#This Row],[Date]])*(Table3[End Date]&gt;=Table6[[#This Row],[Date]]),"")</f>
        <v>Week 18</v>
      </c>
    </row>
    <row r="128" spans="8:14">
      <c r="H128" s="343">
        <v>20260430</v>
      </c>
      <c r="I128" s="362">
        <v>719142.9</v>
      </c>
      <c r="J128" s="343">
        <v>1772</v>
      </c>
      <c r="K128" s="343">
        <v>4165</v>
      </c>
      <c r="L128" s="363">
        <f t="shared" si="7"/>
        <v>46142</v>
      </c>
      <c r="M128" s="350" t="str">
        <f t="shared" si="8"/>
        <v>Thursday</v>
      </c>
      <c r="N128" s="350" t="str" cm="1">
        <f t="array" ref="N128">_xlfn._xlws.FILTER(Table3[Week '#],(Table3[Start Date]&lt;=Table6[[#This Row],[Date]])*(Table3[End Date]&gt;=Table6[[#This Row],[Date]]),"")</f>
        <v>Week 18</v>
      </c>
    </row>
    <row r="129" spans="8:14">
      <c r="H129" s="343">
        <v>20260501</v>
      </c>
      <c r="I129" s="362">
        <v>1505084.21</v>
      </c>
      <c r="J129" s="343">
        <v>2708</v>
      </c>
      <c r="K129" s="343">
        <v>6301</v>
      </c>
      <c r="L129" s="363">
        <f t="shared" si="7"/>
        <v>46143</v>
      </c>
      <c r="M129" s="350" t="str">
        <f t="shared" si="8"/>
        <v>Friday</v>
      </c>
      <c r="N129" s="350" t="str" cm="1">
        <f t="array" ref="N129">_xlfn._xlws.FILTER(Table3[Week '#],(Table3[Start Date]&lt;=Table6[[#This Row],[Date]])*(Table3[End Date]&gt;=Table6[[#This Row],[Date]]),"")</f>
        <v>Week 18</v>
      </c>
    </row>
    <row r="130" spans="8:14">
      <c r="H130" s="343">
        <v>20260502</v>
      </c>
      <c r="I130" s="362">
        <v>1352958.49</v>
      </c>
      <c r="J130" s="343">
        <v>2690</v>
      </c>
      <c r="K130" s="343">
        <v>7029</v>
      </c>
      <c r="L130" s="363">
        <f t="shared" si="7"/>
        <v>46144</v>
      </c>
      <c r="M130" s="350" t="str">
        <f t="shared" si="8"/>
        <v>Saturday</v>
      </c>
      <c r="N130" s="350" t="str" cm="1">
        <f t="array" ref="N130">_xlfn._xlws.FILTER(Table3[Week '#],(Table3[Start Date]&lt;=Table6[[#This Row],[Date]])*(Table3[End Date]&gt;=Table6[[#This Row],[Date]]),"")</f>
        <v>Week 18</v>
      </c>
    </row>
    <row r="131" spans="8:14">
      <c r="H131" s="343">
        <v>20260503</v>
      </c>
      <c r="I131" s="362">
        <v>958679.53</v>
      </c>
      <c r="J131" s="343">
        <v>2398</v>
      </c>
      <c r="K131" s="343">
        <v>5111</v>
      </c>
      <c r="L131" s="363">
        <f t="shared" si="7"/>
        <v>46145</v>
      </c>
      <c r="M131" s="350" t="str">
        <f t="shared" si="8"/>
        <v>Sunday</v>
      </c>
      <c r="N131" s="350" t="str" cm="1">
        <f t="array" ref="N131">_xlfn._xlws.FILTER(Table3[Week '#],(Table3[Start Date]&lt;=Table6[[#This Row],[Date]])*(Table3[End Date]&gt;=Table6[[#This Row],[Date]]),"")</f>
        <v>Week 18</v>
      </c>
    </row>
    <row r="132" spans="8:14">
      <c r="H132" s="343">
        <v>20260504</v>
      </c>
      <c r="I132" s="362">
        <v>238940.37</v>
      </c>
      <c r="J132" s="343">
        <v>526</v>
      </c>
      <c r="K132" s="343">
        <v>1366</v>
      </c>
      <c r="L132" s="363">
        <f t="shared" si="7"/>
        <v>46146</v>
      </c>
      <c r="M132" s="350" t="str">
        <f t="shared" si="8"/>
        <v>Monday</v>
      </c>
      <c r="N132" s="350" t="str" cm="1">
        <f t="array" ref="N132">_xlfn._xlws.FILTER(Table3[Week '#],(Table3[Start Date]&lt;=Table6[[#This Row],[Date]])*(Table3[End Date]&gt;=Table6[[#This Row],[Date]]),"")</f>
        <v>Week 19</v>
      </c>
    </row>
    <row r="133" spans="8:14">
      <c r="H133" s="343">
        <v>20260505</v>
      </c>
      <c r="I133" s="362">
        <v>326761.7</v>
      </c>
      <c r="J133" s="343">
        <v>591</v>
      </c>
      <c r="K133" s="343">
        <v>1942</v>
      </c>
      <c r="L133" s="363">
        <f t="shared" si="7"/>
        <v>46147</v>
      </c>
      <c r="M133" s="350" t="str">
        <f t="shared" si="8"/>
        <v>Tuesday</v>
      </c>
      <c r="N133" s="350" t="str" cm="1">
        <f t="array" ref="N133">_xlfn._xlws.FILTER(Table3[Week '#],(Table3[Start Date]&lt;=Table6[[#This Row],[Date]])*(Table3[End Date]&gt;=Table6[[#This Row],[Date]]),"")</f>
        <v>Week 19</v>
      </c>
    </row>
    <row r="134" spans="8:14">
      <c r="H134" s="343">
        <v>20260506</v>
      </c>
      <c r="I134" s="362">
        <v>384844.38</v>
      </c>
      <c r="J134" s="343">
        <v>880</v>
      </c>
      <c r="K134" s="343">
        <v>2375</v>
      </c>
      <c r="L134" s="363">
        <f t="shared" si="7"/>
        <v>46148</v>
      </c>
      <c r="M134" s="350" t="str">
        <f t="shared" ref="M134:M138" si="9">TEXT(L134,"DDDD")</f>
        <v>Wednesday</v>
      </c>
      <c r="N134" s="350" t="str" cm="1">
        <f t="array" ref="N134">_xlfn._xlws.FILTER(Table3[Week '#],(Table3[Start Date]&lt;=Table6[[#This Row],[Date]])*(Table3[End Date]&gt;=Table6[[#This Row],[Date]]),"")</f>
        <v>Week 19</v>
      </c>
    </row>
    <row r="135" spans="8:14">
      <c r="H135" s="343">
        <v>20260507</v>
      </c>
      <c r="I135" s="362">
        <v>537839.67000000004</v>
      </c>
      <c r="J135" s="343">
        <v>1353</v>
      </c>
      <c r="K135" s="343">
        <v>4006</v>
      </c>
      <c r="L135" s="363">
        <f t="shared" si="7"/>
        <v>46149</v>
      </c>
      <c r="M135" s="350" t="str">
        <f t="shared" si="9"/>
        <v>Thursday</v>
      </c>
      <c r="N135" s="350" t="str" cm="1">
        <f t="array" ref="N135">_xlfn._xlws.FILTER(Table3[Week '#],(Table3[Start Date]&lt;=Table6[[#This Row],[Date]])*(Table3[End Date]&gt;=Table6[[#This Row],[Date]]),"")</f>
        <v>Week 19</v>
      </c>
    </row>
    <row r="136" spans="8:14">
      <c r="H136" s="343">
        <v>20260508</v>
      </c>
      <c r="I136" s="362">
        <v>518322.79</v>
      </c>
      <c r="J136" s="343">
        <v>2009</v>
      </c>
      <c r="K136" s="343">
        <v>4509</v>
      </c>
      <c r="L136" s="363">
        <f t="shared" si="7"/>
        <v>46150</v>
      </c>
      <c r="M136" s="350" t="str">
        <f t="shared" si="9"/>
        <v>Friday</v>
      </c>
      <c r="N136" s="350" t="str" cm="1">
        <f t="array" ref="N136">_xlfn._xlws.FILTER(Table3[Week '#],(Table3[Start Date]&lt;=Table6[[#This Row],[Date]])*(Table3[End Date]&gt;=Table6[[#This Row],[Date]]),"")</f>
        <v>Week 19</v>
      </c>
    </row>
    <row r="137" spans="8:14">
      <c r="H137" s="343">
        <v>20260509</v>
      </c>
      <c r="I137" s="362">
        <v>646871.81999999995</v>
      </c>
      <c r="J137" s="343">
        <v>2422</v>
      </c>
      <c r="K137" s="343">
        <v>6526</v>
      </c>
      <c r="L137" s="363">
        <f t="shared" si="7"/>
        <v>46151</v>
      </c>
      <c r="M137" s="350" t="str">
        <f t="shared" si="9"/>
        <v>Saturday</v>
      </c>
      <c r="N137" s="350" t="str" cm="1">
        <f t="array" ref="N137">_xlfn._xlws.FILTER(Table3[Week '#],(Table3[Start Date]&lt;=Table6[[#This Row],[Date]])*(Table3[End Date]&gt;=Table6[[#This Row],[Date]]),"")</f>
        <v>Week 19</v>
      </c>
    </row>
    <row r="138" spans="8:14">
      <c r="H138" s="343">
        <v>20260510</v>
      </c>
      <c r="I138" s="362">
        <v>576633.79</v>
      </c>
      <c r="J138" s="343">
        <v>2119</v>
      </c>
      <c r="K138" s="343">
        <v>5491</v>
      </c>
      <c r="L138" s="363">
        <f t="shared" si="7"/>
        <v>46152</v>
      </c>
      <c r="M138" s="350" t="str">
        <f t="shared" si="9"/>
        <v>Sunday</v>
      </c>
      <c r="N138" s="350" t="str" cm="1">
        <f t="array" ref="N138">_xlfn._xlws.FILTER(Table3[Week '#],(Table3[Start Date]&lt;=Table6[[#This Row],[Date]])*(Table3[End Date]&gt;=Table6[[#This Row],[Date]]),"")</f>
        <v>Week 19</v>
      </c>
    </row>
    <row r="139" spans="8:14">
      <c r="H139" s="343">
        <v>20260511</v>
      </c>
      <c r="I139" s="362">
        <v>171874.13</v>
      </c>
      <c r="J139" s="343">
        <v>495</v>
      </c>
      <c r="K139" s="343">
        <v>1374</v>
      </c>
      <c r="L139" s="363">
        <f t="shared" ref="L139:L145" si="10">DATE(LEFT(H139,4),MID(H139,5,2),RIGHT(H139,2))</f>
        <v>46153</v>
      </c>
      <c r="M139" s="350" t="str">
        <f t="shared" ref="M139:M145" si="11">TEXT(L139,"DDDD")</f>
        <v>Monday</v>
      </c>
      <c r="N139" s="350" t="str" cm="1">
        <f t="array" ref="N139">_xlfn._xlws.FILTER(Table3[Week '#],(Table3[Start Date]&lt;=Table6[[#This Row],[Date]])*(Table3[End Date]&gt;=Table6[[#This Row],[Date]]),"")</f>
        <v>Week 20</v>
      </c>
    </row>
    <row r="140" spans="8:14">
      <c r="H140" s="343">
        <v>20260512</v>
      </c>
      <c r="I140" s="362">
        <v>185332.12</v>
      </c>
      <c r="J140" s="343">
        <v>579</v>
      </c>
      <c r="K140" s="343">
        <v>1596</v>
      </c>
      <c r="L140" s="363">
        <f t="shared" si="10"/>
        <v>46154</v>
      </c>
      <c r="M140" s="350" t="str">
        <f t="shared" si="11"/>
        <v>Tuesday</v>
      </c>
      <c r="N140" s="350" t="str" cm="1">
        <f t="array" ref="N140">_xlfn._xlws.FILTER(Table3[Week '#],(Table3[Start Date]&lt;=Table6[[#This Row],[Date]])*(Table3[End Date]&gt;=Table6[[#This Row],[Date]]),"")</f>
        <v>Week 20</v>
      </c>
    </row>
    <row r="141" spans="8:14">
      <c r="H141" s="343">
        <v>20260513</v>
      </c>
      <c r="I141" s="362">
        <v>361086.73</v>
      </c>
      <c r="J141" s="343">
        <v>895</v>
      </c>
      <c r="K141" s="343">
        <v>2245</v>
      </c>
      <c r="L141" s="363">
        <f t="shared" si="10"/>
        <v>46155</v>
      </c>
      <c r="M141" s="350" t="str">
        <f t="shared" si="11"/>
        <v>Wednesday</v>
      </c>
      <c r="N141" s="350" t="str" cm="1">
        <f t="array" ref="N141">_xlfn._xlws.FILTER(Table3[Week '#],(Table3[Start Date]&lt;=Table6[[#This Row],[Date]])*(Table3[End Date]&gt;=Table6[[#This Row],[Date]]),"")</f>
        <v>Week 20</v>
      </c>
    </row>
    <row r="142" spans="8:14">
      <c r="H142" s="343">
        <v>20260514</v>
      </c>
      <c r="I142" s="362">
        <v>346273.2</v>
      </c>
      <c r="J142" s="343">
        <v>1298</v>
      </c>
      <c r="K142" s="343">
        <v>3782</v>
      </c>
      <c r="L142" s="363">
        <f t="shared" si="10"/>
        <v>46156</v>
      </c>
      <c r="M142" s="350" t="str">
        <f t="shared" si="11"/>
        <v>Thursday</v>
      </c>
      <c r="N142" s="350" t="str" cm="1">
        <f t="array" ref="N142">_xlfn._xlws.FILTER(Table3[Week '#],(Table3[Start Date]&lt;=Table6[[#This Row],[Date]])*(Table3[End Date]&gt;=Table6[[#This Row],[Date]]),"")</f>
        <v>Week 20</v>
      </c>
    </row>
    <row r="143" spans="8:14">
      <c r="H143" s="343">
        <v>20260515</v>
      </c>
      <c r="I143" s="362">
        <v>519320.83</v>
      </c>
      <c r="J143" s="343">
        <v>1766</v>
      </c>
      <c r="K143" s="343">
        <v>4099</v>
      </c>
      <c r="L143" s="363">
        <f t="shared" si="10"/>
        <v>46157</v>
      </c>
      <c r="M143" s="350" t="str">
        <f t="shared" si="11"/>
        <v>Friday</v>
      </c>
      <c r="N143" s="350" t="str" cm="1">
        <f t="array" ref="N143">_xlfn._xlws.FILTER(Table3[Week '#],(Table3[Start Date]&lt;=Table6[[#This Row],[Date]])*(Table3[End Date]&gt;=Table6[[#This Row],[Date]]),"")</f>
        <v>Week 20</v>
      </c>
    </row>
    <row r="144" spans="8:14">
      <c r="H144" s="343">
        <v>20260516</v>
      </c>
      <c r="I144" s="362">
        <v>673164.68</v>
      </c>
      <c r="J144" s="343">
        <v>2160</v>
      </c>
      <c r="K144" s="343">
        <v>5310</v>
      </c>
      <c r="L144" s="363">
        <f t="shared" si="10"/>
        <v>46158</v>
      </c>
      <c r="M144" s="350" t="str">
        <f t="shared" si="11"/>
        <v>Saturday</v>
      </c>
      <c r="N144" s="350" t="str" cm="1">
        <f t="array" ref="N144">_xlfn._xlws.FILTER(Table3[Week '#],(Table3[Start Date]&lt;=Table6[[#This Row],[Date]])*(Table3[End Date]&gt;=Table6[[#This Row],[Date]]),"")</f>
        <v>Week 20</v>
      </c>
    </row>
    <row r="145" spans="8:14">
      <c r="H145" s="343">
        <v>20260517</v>
      </c>
      <c r="I145" s="362">
        <v>524871.98</v>
      </c>
      <c r="J145" s="343">
        <v>1779</v>
      </c>
      <c r="K145" s="343">
        <v>3997</v>
      </c>
      <c r="L145" s="363">
        <f t="shared" si="10"/>
        <v>46159</v>
      </c>
      <c r="M145" s="350" t="str">
        <f t="shared" si="11"/>
        <v>Sunday</v>
      </c>
      <c r="N145" s="350" t="str" cm="1">
        <f t="array" ref="N145">_xlfn._xlws.FILTER(Table3[Week '#],(Table3[Start Date]&lt;=Table6[[#This Row],[Date]])*(Table3[End Date]&gt;=Table6[[#This Row],[Date]]),"")</f>
        <v>Week 20</v>
      </c>
    </row>
    <row r="146" spans="8:14">
      <c r="H146" s="343">
        <v>20260518</v>
      </c>
      <c r="I146" s="362">
        <v>141200.9</v>
      </c>
      <c r="J146" s="343">
        <v>455</v>
      </c>
      <c r="K146" s="343">
        <v>1135</v>
      </c>
      <c r="L146" s="363">
        <f t="shared" ref="L146:L152" si="12">DATE(LEFT(H146,4),MID(H146,5,2),RIGHT(H146,2))</f>
        <v>46160</v>
      </c>
      <c r="M146" s="350" t="str">
        <f t="shared" ref="M146:M152" si="13">TEXT(L146,"DDDD")</f>
        <v>Monday</v>
      </c>
      <c r="N146" s="350" t="str" cm="1">
        <f t="array" ref="N146">_xlfn._xlws.FILTER(Table3[Week '#],(Table3[Start Date]&lt;=Table6[[#This Row],[Date]])*(Table3[End Date]&gt;=Table6[[#This Row],[Date]]),"")</f>
        <v>Week 21</v>
      </c>
    </row>
    <row r="147" spans="8:14">
      <c r="H147" s="343">
        <v>20260519</v>
      </c>
      <c r="I147" s="362">
        <v>221709.73</v>
      </c>
      <c r="J147" s="343">
        <v>563</v>
      </c>
      <c r="K147" s="343">
        <v>1500</v>
      </c>
      <c r="L147" s="363">
        <f t="shared" si="12"/>
        <v>46161</v>
      </c>
      <c r="M147" s="350" t="str">
        <f t="shared" si="13"/>
        <v>Tuesday</v>
      </c>
      <c r="N147" s="350" t="str" cm="1">
        <f t="array" ref="N147">_xlfn._xlws.FILTER(Table3[Week '#],(Table3[Start Date]&lt;=Table6[[#This Row],[Date]])*(Table3[End Date]&gt;=Table6[[#This Row],[Date]]),"")</f>
        <v>Week 21</v>
      </c>
    </row>
    <row r="148" spans="8:14">
      <c r="H148" s="343">
        <v>20260520</v>
      </c>
      <c r="I148" s="362">
        <v>195420.29</v>
      </c>
      <c r="J148" s="343">
        <v>694</v>
      </c>
      <c r="K148" s="343">
        <v>1686</v>
      </c>
      <c r="L148" s="363">
        <f t="shared" si="12"/>
        <v>46162</v>
      </c>
      <c r="M148" s="350" t="str">
        <f t="shared" si="13"/>
        <v>Wednesday</v>
      </c>
      <c r="N148" s="350" t="str" cm="1">
        <f t="array" ref="N148">_xlfn._xlws.FILTER(Table3[Week '#],(Table3[Start Date]&lt;=Table6[[#This Row],[Date]])*(Table3[End Date]&gt;=Table6[[#This Row],[Date]]),"")</f>
        <v>Week 21</v>
      </c>
    </row>
    <row r="149" spans="8:14">
      <c r="H149" s="343">
        <v>20260521</v>
      </c>
      <c r="I149" s="362">
        <v>345010.2</v>
      </c>
      <c r="J149" s="343">
        <v>1169</v>
      </c>
      <c r="K149" s="343">
        <v>2969</v>
      </c>
      <c r="L149" s="363">
        <f t="shared" si="12"/>
        <v>46163</v>
      </c>
      <c r="M149" s="350" t="str">
        <f t="shared" si="13"/>
        <v>Thursday</v>
      </c>
      <c r="N149" s="350" t="str" cm="1">
        <f t="array" ref="N149">_xlfn._xlws.FILTER(Table3[Week '#],(Table3[Start Date]&lt;=Table6[[#This Row],[Date]])*(Table3[End Date]&gt;=Table6[[#This Row],[Date]]),"")</f>
        <v>Week 21</v>
      </c>
    </row>
    <row r="150" spans="8:14">
      <c r="H150" s="343">
        <v>20260522</v>
      </c>
      <c r="I150" s="362">
        <v>543485.61</v>
      </c>
      <c r="J150" s="343">
        <v>1786</v>
      </c>
      <c r="K150" s="343">
        <v>5009</v>
      </c>
      <c r="L150" s="363">
        <f t="shared" si="12"/>
        <v>46164</v>
      </c>
      <c r="M150" s="350" t="str">
        <f t="shared" si="13"/>
        <v>Friday</v>
      </c>
      <c r="N150" s="350" t="str" cm="1">
        <f t="array" ref="N150">_xlfn._xlws.FILTER(Table3[Week '#],(Table3[Start Date]&lt;=Table6[[#This Row],[Date]])*(Table3[End Date]&gt;=Table6[[#This Row],[Date]]),"")</f>
        <v>Week 21</v>
      </c>
    </row>
    <row r="151" spans="8:14">
      <c r="H151" s="343">
        <v>20260523</v>
      </c>
      <c r="I151" s="362">
        <v>775697.27</v>
      </c>
      <c r="J151" s="343">
        <v>2556</v>
      </c>
      <c r="K151" s="343">
        <v>5705</v>
      </c>
      <c r="L151" s="363">
        <f t="shared" si="12"/>
        <v>46165</v>
      </c>
      <c r="M151" s="350" t="str">
        <f t="shared" si="13"/>
        <v>Saturday</v>
      </c>
      <c r="N151" s="350" t="str" cm="1">
        <f t="array" ref="N151">_xlfn._xlws.FILTER(Table3[Week '#],(Table3[Start Date]&lt;=Table6[[#This Row],[Date]])*(Table3[End Date]&gt;=Table6[[#This Row],[Date]]),"")</f>
        <v>Week 21</v>
      </c>
    </row>
    <row r="152" spans="8:14">
      <c r="H152" s="343">
        <v>20260524</v>
      </c>
      <c r="I152" s="362">
        <v>738663.98</v>
      </c>
      <c r="J152" s="343">
        <v>2532</v>
      </c>
      <c r="K152" s="343">
        <v>5464</v>
      </c>
      <c r="L152" s="363">
        <f t="shared" si="12"/>
        <v>46166</v>
      </c>
      <c r="M152" s="350" t="str">
        <f t="shared" si="13"/>
        <v>Sunday</v>
      </c>
      <c r="N152" s="350" t="str" cm="1">
        <f t="array" ref="N152">_xlfn._xlws.FILTER(Table3[Week '#],(Table3[Start Date]&lt;=Table6[[#This Row],[Date]])*(Table3[End Date]&gt;=Table6[[#This Row],[Date]]),"")</f>
        <v>Week 21</v>
      </c>
    </row>
    <row r="153" spans="8:14">
      <c r="H153" s="343">
        <v>20260525</v>
      </c>
      <c r="I153" s="362">
        <v>235041.86</v>
      </c>
      <c r="J153" s="343">
        <v>993</v>
      </c>
      <c r="K153" s="343">
        <v>2565</v>
      </c>
      <c r="L153" s="363">
        <f t="shared" ref="L153:L159" si="14">DATE(LEFT(H153,4),MID(H153,5,2),RIGHT(H153,2))</f>
        <v>46167</v>
      </c>
      <c r="M153" s="350" t="str">
        <f t="shared" ref="M153:M159" si="15">TEXT(L153,"DDDD")</f>
        <v>Monday</v>
      </c>
      <c r="N153" s="350" t="str" cm="1">
        <f t="array" ref="N153">_xlfn._xlws.FILTER(Table3[Week '#],(Table3[Start Date]&lt;=Table6[[#This Row],[Date]])*(Table3[End Date]&gt;=Table6[[#This Row],[Date]]),"")</f>
        <v>Week 22</v>
      </c>
    </row>
    <row r="154" spans="8:14">
      <c r="H154" s="343">
        <v>20260526</v>
      </c>
      <c r="I154" s="362">
        <v>149112.95999999999</v>
      </c>
      <c r="J154" s="343">
        <v>616</v>
      </c>
      <c r="K154" s="343">
        <v>1484</v>
      </c>
      <c r="L154" s="363">
        <f t="shared" si="14"/>
        <v>46168</v>
      </c>
      <c r="M154" s="350" t="str">
        <f t="shared" si="15"/>
        <v>Tuesday</v>
      </c>
      <c r="N154" s="350" t="str" cm="1">
        <f t="array" ref="N154">_xlfn._xlws.FILTER(Table3[Week '#],(Table3[Start Date]&lt;=Table6[[#This Row],[Date]])*(Table3[End Date]&gt;=Table6[[#This Row],[Date]]),"")</f>
        <v>Week 22</v>
      </c>
    </row>
    <row r="155" spans="8:14">
      <c r="H155" s="343">
        <v>20260527</v>
      </c>
      <c r="I155" s="362">
        <v>210890.07</v>
      </c>
      <c r="J155" s="343">
        <v>817</v>
      </c>
      <c r="K155" s="343">
        <v>1864</v>
      </c>
      <c r="L155" s="363">
        <f t="shared" si="14"/>
        <v>46169</v>
      </c>
      <c r="M155" s="350" t="str">
        <f t="shared" si="15"/>
        <v>Wednesday</v>
      </c>
      <c r="N155" s="350" t="str" cm="1">
        <f t="array" ref="N155">_xlfn._xlws.FILTER(Table3[Week '#],(Table3[Start Date]&lt;=Table6[[#This Row],[Date]])*(Table3[End Date]&gt;=Table6[[#This Row],[Date]]),"")</f>
        <v>Week 22</v>
      </c>
    </row>
    <row r="156" spans="8:14">
      <c r="H156" s="343">
        <v>20260528</v>
      </c>
      <c r="I156" s="362">
        <v>382510</v>
      </c>
      <c r="J156" s="343">
        <v>1032</v>
      </c>
      <c r="K156" s="343">
        <v>2568</v>
      </c>
      <c r="L156" s="363">
        <f t="shared" si="14"/>
        <v>46170</v>
      </c>
      <c r="M156" s="350" t="str">
        <f t="shared" si="15"/>
        <v>Thursday</v>
      </c>
      <c r="N156" s="350" t="str" cm="1">
        <f t="array" ref="N156">_xlfn._xlws.FILTER(Table3[Week '#],(Table3[Start Date]&lt;=Table6[[#This Row],[Date]])*(Table3[End Date]&gt;=Table6[[#This Row],[Date]]),"")</f>
        <v>Week 22</v>
      </c>
    </row>
    <row r="157" spans="8:14">
      <c r="H157" s="343">
        <v>20260529</v>
      </c>
      <c r="I157" s="362">
        <v>610874.66</v>
      </c>
      <c r="J157" s="343">
        <v>1775</v>
      </c>
      <c r="K157" s="343">
        <v>4316</v>
      </c>
      <c r="L157" s="363">
        <f t="shared" si="14"/>
        <v>46171</v>
      </c>
      <c r="M157" s="350" t="str">
        <f t="shared" si="15"/>
        <v>Friday</v>
      </c>
      <c r="N157" s="350" t="str" cm="1">
        <f t="array" ref="N157">_xlfn._xlws.FILTER(Table3[Week '#],(Table3[Start Date]&lt;=Table6[[#This Row],[Date]])*(Table3[End Date]&gt;=Table6[[#This Row],[Date]]),"")</f>
        <v>Week 22</v>
      </c>
    </row>
    <row r="158" spans="8:14">
      <c r="H158" s="343">
        <v>20260530</v>
      </c>
      <c r="I158" s="362">
        <v>719448.53</v>
      </c>
      <c r="J158" s="343">
        <v>2203</v>
      </c>
      <c r="K158" s="343">
        <v>5253</v>
      </c>
      <c r="L158" s="363">
        <f t="shared" si="14"/>
        <v>46172</v>
      </c>
      <c r="M158" s="350" t="str">
        <f t="shared" si="15"/>
        <v>Saturday</v>
      </c>
      <c r="N158" s="350" t="str" cm="1">
        <f t="array" ref="N158">_xlfn._xlws.FILTER(Table3[Week '#],(Table3[Start Date]&lt;=Table6[[#This Row],[Date]])*(Table3[End Date]&gt;=Table6[[#This Row],[Date]]),"")</f>
        <v>Week 22</v>
      </c>
    </row>
    <row r="159" spans="8:14">
      <c r="H159" s="343">
        <v>20260531</v>
      </c>
      <c r="I159" s="362">
        <v>472799.04</v>
      </c>
      <c r="J159" s="343">
        <v>1671</v>
      </c>
      <c r="K159" s="343">
        <v>4296</v>
      </c>
      <c r="L159" s="363">
        <f t="shared" si="14"/>
        <v>46173</v>
      </c>
      <c r="M159" s="350" t="str">
        <f t="shared" si="15"/>
        <v>Sunday</v>
      </c>
      <c r="N159" s="350" t="str" cm="1">
        <f t="array" ref="N159">_xlfn._xlws.FILTER(Table3[Week '#],(Table3[Start Date]&lt;=Table6[[#This Row],[Date]])*(Table3[End Date]&gt;=Table6[[#This Row],[Date]]),"")</f>
        <v>Week 22</v>
      </c>
    </row>
    <row r="160" spans="8:14">
      <c r="H160" s="343">
        <v>20260601</v>
      </c>
      <c r="I160" s="362">
        <v>126091.64</v>
      </c>
      <c r="J160" s="343">
        <v>401</v>
      </c>
      <c r="K160" s="343">
        <v>1033</v>
      </c>
      <c r="L160" s="363">
        <f t="shared" ref="L160:L166" si="16">DATE(LEFT(H160,4),MID(H160,5,2),RIGHT(H160,2))</f>
        <v>46174</v>
      </c>
      <c r="M160" s="350" t="str">
        <f t="shared" ref="M160:M166" si="17">TEXT(L160,"DDDD")</f>
        <v>Monday</v>
      </c>
      <c r="N160" s="350" t="str" cm="1">
        <f t="array" ref="N160">_xlfn._xlws.FILTER(Table3[Week '#],(Table3[Start Date]&lt;=Table6[[#This Row],[Date]])*(Table3[End Date]&gt;=Table6[[#This Row],[Date]]),"")</f>
        <v>Week 23</v>
      </c>
    </row>
    <row r="161" spans="8:14">
      <c r="H161" s="343">
        <v>20260602</v>
      </c>
      <c r="I161" s="362">
        <v>151361.60999999999</v>
      </c>
      <c r="J161" s="343">
        <v>512</v>
      </c>
      <c r="K161" s="343">
        <v>1315</v>
      </c>
      <c r="L161" s="363">
        <f t="shared" si="16"/>
        <v>46175</v>
      </c>
      <c r="M161" s="350" t="str">
        <f t="shared" si="17"/>
        <v>Tuesday</v>
      </c>
      <c r="N161" s="350" t="str" cm="1">
        <f t="array" ref="N161">_xlfn._xlws.FILTER(Table3[Week '#],(Table3[Start Date]&lt;=Table6[[#This Row],[Date]])*(Table3[End Date]&gt;=Table6[[#This Row],[Date]]),"")</f>
        <v>Week 23</v>
      </c>
    </row>
    <row r="162" spans="8:14">
      <c r="H162" s="343">
        <v>20260603</v>
      </c>
      <c r="I162" s="362">
        <v>234721.64</v>
      </c>
      <c r="J162" s="343">
        <v>670</v>
      </c>
      <c r="K162" s="343">
        <v>1856</v>
      </c>
      <c r="L162" s="363">
        <f t="shared" si="16"/>
        <v>46176</v>
      </c>
      <c r="M162" s="350" t="str">
        <f t="shared" si="17"/>
        <v>Wednesday</v>
      </c>
      <c r="N162" s="350" t="str" cm="1">
        <f t="array" ref="N162">_xlfn._xlws.FILTER(Table3[Week '#],(Table3[Start Date]&lt;=Table6[[#This Row],[Date]])*(Table3[End Date]&gt;=Table6[[#This Row],[Date]]),"")</f>
        <v>Week 23</v>
      </c>
    </row>
    <row r="163" spans="8:14">
      <c r="H163" s="343">
        <v>20260604</v>
      </c>
      <c r="I163" s="362">
        <v>332970.99</v>
      </c>
      <c r="J163" s="343">
        <v>906</v>
      </c>
      <c r="K163" s="343">
        <v>2992</v>
      </c>
      <c r="L163" s="363">
        <f t="shared" si="16"/>
        <v>46177</v>
      </c>
      <c r="M163" s="350" t="str">
        <f t="shared" si="17"/>
        <v>Thursday</v>
      </c>
      <c r="N163" s="350" t="str" cm="1">
        <f t="array" ref="N163">_xlfn._xlws.FILTER(Table3[Week '#],(Table3[Start Date]&lt;=Table6[[#This Row],[Date]])*(Table3[End Date]&gt;=Table6[[#This Row],[Date]]),"")</f>
        <v>Week 23</v>
      </c>
    </row>
    <row r="164" spans="8:14">
      <c r="H164" s="343">
        <v>20260605</v>
      </c>
      <c r="I164" s="362">
        <v>435614.74</v>
      </c>
      <c r="J164" s="343">
        <v>1744</v>
      </c>
      <c r="K164" s="343">
        <v>4060</v>
      </c>
      <c r="L164" s="363">
        <f t="shared" si="16"/>
        <v>46178</v>
      </c>
      <c r="M164" s="350" t="str">
        <f t="shared" si="17"/>
        <v>Friday</v>
      </c>
      <c r="N164" s="350" t="str" cm="1">
        <f t="array" ref="N164">_xlfn._xlws.FILTER(Table3[Week '#],(Table3[Start Date]&lt;=Table6[[#This Row],[Date]])*(Table3[End Date]&gt;=Table6[[#This Row],[Date]]),"")</f>
        <v>Week 23</v>
      </c>
    </row>
    <row r="165" spans="8:14">
      <c r="H165" s="343">
        <v>20260606</v>
      </c>
      <c r="I165" s="362">
        <v>560445.16</v>
      </c>
      <c r="J165" s="343">
        <v>2109</v>
      </c>
      <c r="K165" s="343">
        <v>4994</v>
      </c>
      <c r="L165" s="363">
        <f t="shared" si="16"/>
        <v>46179</v>
      </c>
      <c r="M165" s="350" t="str">
        <f t="shared" si="17"/>
        <v>Saturday</v>
      </c>
      <c r="N165" s="350" t="str" cm="1">
        <f t="array" ref="N165">_xlfn._xlws.FILTER(Table3[Week '#],(Table3[Start Date]&lt;=Table6[[#This Row],[Date]])*(Table3[End Date]&gt;=Table6[[#This Row],[Date]]),"")</f>
        <v>Week 23</v>
      </c>
    </row>
    <row r="166" spans="8:14">
      <c r="H166" s="343">
        <v>20260607</v>
      </c>
      <c r="I166" s="362">
        <v>426660.45</v>
      </c>
      <c r="J166" s="343">
        <v>1474</v>
      </c>
      <c r="K166" s="343">
        <v>3196</v>
      </c>
      <c r="L166" s="363">
        <f t="shared" si="16"/>
        <v>46180</v>
      </c>
      <c r="M166" s="350" t="str">
        <f t="shared" si="17"/>
        <v>Sunday</v>
      </c>
      <c r="N166" s="350" t="str" cm="1">
        <f t="array" ref="N166">_xlfn._xlws.FILTER(Table3[Week '#],(Table3[Start Date]&lt;=Table6[[#This Row],[Date]])*(Table3[End Date]&gt;=Table6[[#This Row],[Date]]),"")</f>
        <v>Week 23</v>
      </c>
    </row>
    <row r="167" spans="8:14">
      <c r="H167" s="343">
        <v>20260608</v>
      </c>
      <c r="I167" s="362">
        <v>137109.29</v>
      </c>
      <c r="J167" s="343">
        <v>365</v>
      </c>
      <c r="K167" s="343">
        <v>976</v>
      </c>
      <c r="L167" s="363">
        <f t="shared" ref="L167:L173" si="18">DATE(LEFT(H167,4),MID(H167,5,2),RIGHT(H167,2))</f>
        <v>46181</v>
      </c>
      <c r="M167" s="350" t="str">
        <f t="shared" ref="M167:M173" si="19">TEXT(L167,"DDDD")</f>
        <v>Monday</v>
      </c>
      <c r="N167" s="350" t="str" cm="1">
        <f t="array" ref="N167">_xlfn._xlws.FILTER(Table3[Week '#],(Table3[Start Date]&lt;=Table6[[#This Row],[Date]])*(Table3[End Date]&gt;=Table6[[#This Row],[Date]]),"")</f>
        <v>Week 24</v>
      </c>
    </row>
    <row r="168" spans="8:14">
      <c r="H168" s="343">
        <v>20260609</v>
      </c>
      <c r="I168" s="362">
        <v>131181.87</v>
      </c>
      <c r="J168" s="343">
        <v>497</v>
      </c>
      <c r="K168" s="343">
        <v>1141</v>
      </c>
      <c r="L168" s="363">
        <f t="shared" si="18"/>
        <v>46182</v>
      </c>
      <c r="M168" s="350" t="str">
        <f t="shared" si="19"/>
        <v>Tuesday</v>
      </c>
      <c r="N168" s="350" t="str" cm="1">
        <f t="array" ref="N168">_xlfn._xlws.FILTER(Table3[Week '#],(Table3[Start Date]&lt;=Table6[[#This Row],[Date]])*(Table3[End Date]&gt;=Table6[[#This Row],[Date]]),"")</f>
        <v>Week 24</v>
      </c>
    </row>
    <row r="169" spans="8:14">
      <c r="H169" s="343">
        <v>20260610</v>
      </c>
      <c r="I169" s="362">
        <v>155202.92000000001</v>
      </c>
      <c r="J169" s="343">
        <v>555</v>
      </c>
      <c r="K169" s="343">
        <v>1226</v>
      </c>
      <c r="L169" s="363">
        <f t="shared" si="18"/>
        <v>46183</v>
      </c>
      <c r="M169" s="350" t="str">
        <f t="shared" si="19"/>
        <v>Wednesday</v>
      </c>
      <c r="N169" s="350" t="str" cm="1">
        <f t="array" ref="N169">_xlfn._xlws.FILTER(Table3[Week '#],(Table3[Start Date]&lt;=Table6[[#This Row],[Date]])*(Table3[End Date]&gt;=Table6[[#This Row],[Date]]),"")</f>
        <v>Week 24</v>
      </c>
    </row>
    <row r="170" spans="8:14">
      <c r="H170" s="343">
        <v>20260611</v>
      </c>
      <c r="I170" s="362">
        <v>262362.77</v>
      </c>
      <c r="J170" s="343">
        <v>978</v>
      </c>
      <c r="K170" s="343">
        <v>2376</v>
      </c>
      <c r="L170" s="363">
        <f t="shared" si="18"/>
        <v>46184</v>
      </c>
      <c r="M170" s="350" t="str">
        <f t="shared" si="19"/>
        <v>Thursday</v>
      </c>
      <c r="N170" s="350" t="str" cm="1">
        <f t="array" ref="N170">_xlfn._xlws.FILTER(Table3[Week '#],(Table3[Start Date]&lt;=Table6[[#This Row],[Date]])*(Table3[End Date]&gt;=Table6[[#This Row],[Date]]),"")</f>
        <v>Week 24</v>
      </c>
    </row>
    <row r="171" spans="8:14">
      <c r="H171" s="343">
        <v>20260612</v>
      </c>
      <c r="I171" s="362">
        <v>369139.1</v>
      </c>
      <c r="J171" s="343">
        <v>1384</v>
      </c>
      <c r="K171" s="343">
        <v>3102</v>
      </c>
      <c r="L171" s="363">
        <f t="shared" si="18"/>
        <v>46185</v>
      </c>
      <c r="M171" s="350" t="str">
        <f t="shared" si="19"/>
        <v>Friday</v>
      </c>
      <c r="N171" s="350" t="str" cm="1">
        <f t="array" ref="N171">_xlfn._xlws.FILTER(Table3[Week '#],(Table3[Start Date]&lt;=Table6[[#This Row],[Date]])*(Table3[End Date]&gt;=Table6[[#This Row],[Date]]),"")</f>
        <v>Week 24</v>
      </c>
    </row>
    <row r="172" spans="8:14">
      <c r="H172" s="343">
        <v>20260613</v>
      </c>
      <c r="I172" s="362">
        <v>483663.65</v>
      </c>
      <c r="J172" s="343">
        <v>1666</v>
      </c>
      <c r="K172" s="343">
        <v>4083</v>
      </c>
      <c r="L172" s="363">
        <f t="shared" si="18"/>
        <v>46186</v>
      </c>
      <c r="M172" s="350" t="str">
        <f t="shared" si="19"/>
        <v>Saturday</v>
      </c>
      <c r="N172" s="350" t="str" cm="1">
        <f t="array" ref="N172">_xlfn._xlws.FILTER(Table3[Week '#],(Table3[Start Date]&lt;=Table6[[#This Row],[Date]])*(Table3[End Date]&gt;=Table6[[#This Row],[Date]]),"")</f>
        <v>Week 24</v>
      </c>
    </row>
    <row r="173" spans="8:14">
      <c r="H173" s="343">
        <v>20260614</v>
      </c>
      <c r="I173" s="362">
        <v>481380.02</v>
      </c>
      <c r="J173" s="343">
        <v>1755</v>
      </c>
      <c r="K173" s="343">
        <v>4574</v>
      </c>
      <c r="L173" s="363">
        <f t="shared" si="18"/>
        <v>46187</v>
      </c>
      <c r="M173" s="350" t="str">
        <f t="shared" si="19"/>
        <v>Sunday</v>
      </c>
      <c r="N173" s="350" t="str" cm="1">
        <f t="array" ref="N173">_xlfn._xlws.FILTER(Table3[Week '#],(Table3[Start Date]&lt;=Table6[[#This Row],[Date]])*(Table3[End Date]&gt;=Table6[[#This Row],[Date]]),"")</f>
        <v>Week 24</v>
      </c>
    </row>
    <row r="174" spans="8:14">
      <c r="H174" s="343">
        <v>20260615</v>
      </c>
      <c r="I174" s="362">
        <v>113281.38</v>
      </c>
      <c r="J174" s="343">
        <v>352</v>
      </c>
      <c r="K174" s="343">
        <v>839</v>
      </c>
      <c r="L174" s="363">
        <f t="shared" ref="L174:L180" si="20">DATE(LEFT(H174,4),MID(H174,5,2),RIGHT(H174,2))</f>
        <v>46188</v>
      </c>
      <c r="M174" s="350" t="str">
        <f t="shared" ref="M174:M180" si="21">TEXT(L174,"DDDD")</f>
        <v>Monday</v>
      </c>
      <c r="N174" s="350" t="str" cm="1">
        <f t="array" ref="N174">_xlfn._xlws.FILTER(Table3[Week '#],(Table3[Start Date]&lt;=Table6[[#This Row],[Date]])*(Table3[End Date]&gt;=Table6[[#This Row],[Date]]),"")</f>
        <v>Week 25</v>
      </c>
    </row>
    <row r="175" spans="8:14">
      <c r="H175" s="343">
        <v>20260616</v>
      </c>
      <c r="I175" s="362">
        <v>190409.87</v>
      </c>
      <c r="J175" s="343">
        <v>463</v>
      </c>
      <c r="K175" s="343">
        <v>1244</v>
      </c>
      <c r="L175" s="363">
        <f t="shared" si="20"/>
        <v>46189</v>
      </c>
      <c r="M175" s="350" t="str">
        <f t="shared" si="21"/>
        <v>Tuesday</v>
      </c>
      <c r="N175" s="350" t="str" cm="1">
        <f t="array" ref="N175">_xlfn._xlws.FILTER(Table3[Week '#],(Table3[Start Date]&lt;=Table6[[#This Row],[Date]])*(Table3[End Date]&gt;=Table6[[#This Row],[Date]]),"")</f>
        <v>Week 25</v>
      </c>
    </row>
    <row r="176" spans="8:14">
      <c r="H176" s="343">
        <v>20260617</v>
      </c>
      <c r="I176" s="362">
        <v>151870.26999999999</v>
      </c>
      <c r="J176" s="343">
        <v>692</v>
      </c>
      <c r="K176" s="343">
        <v>2364</v>
      </c>
      <c r="L176" s="363">
        <f t="shared" si="20"/>
        <v>46190</v>
      </c>
      <c r="M176" s="350" t="str">
        <f t="shared" si="21"/>
        <v>Wednesday</v>
      </c>
      <c r="N176" s="350" t="str" cm="1">
        <f t="array" ref="N176">_xlfn._xlws.FILTER(Table3[Week '#],(Table3[Start Date]&lt;=Table6[[#This Row],[Date]])*(Table3[End Date]&gt;=Table6[[#This Row],[Date]]),"")</f>
        <v>Week 25</v>
      </c>
    </row>
    <row r="177" spans="8:14">
      <c r="H177" s="343">
        <v>20260618</v>
      </c>
      <c r="I177" s="362">
        <v>263035.2</v>
      </c>
      <c r="J177" s="343">
        <v>1058</v>
      </c>
      <c r="K177" s="343">
        <v>2125</v>
      </c>
      <c r="L177" s="363">
        <f t="shared" si="20"/>
        <v>46191</v>
      </c>
      <c r="M177" s="350" t="str">
        <f t="shared" si="21"/>
        <v>Thursday</v>
      </c>
      <c r="N177" s="350" t="str" cm="1">
        <f t="array" ref="N177">_xlfn._xlws.FILTER(Table3[Week '#],(Table3[Start Date]&lt;=Table6[[#This Row],[Date]])*(Table3[End Date]&gt;=Table6[[#This Row],[Date]]),"")</f>
        <v>Week 25</v>
      </c>
    </row>
    <row r="178" spans="8:14">
      <c r="H178" s="343">
        <v>20260619</v>
      </c>
      <c r="I178" s="362">
        <v>418563.4</v>
      </c>
      <c r="J178" s="343">
        <v>1342</v>
      </c>
      <c r="K178" s="343">
        <v>3009</v>
      </c>
      <c r="L178" s="363">
        <f t="shared" si="20"/>
        <v>46192</v>
      </c>
      <c r="M178" s="350" t="str">
        <f t="shared" si="21"/>
        <v>Friday</v>
      </c>
      <c r="N178" s="350" t="str" cm="1">
        <f t="array" ref="N178">_xlfn._xlws.FILTER(Table3[Week '#],(Table3[Start Date]&lt;=Table6[[#This Row],[Date]])*(Table3[End Date]&gt;=Table6[[#This Row],[Date]]),"")</f>
        <v>Week 25</v>
      </c>
    </row>
    <row r="179" spans="8:14">
      <c r="H179" s="343">
        <v>20260620</v>
      </c>
      <c r="I179" s="362">
        <v>633947.56999999995</v>
      </c>
      <c r="J179" s="343">
        <v>2105</v>
      </c>
      <c r="K179" s="343">
        <v>4797</v>
      </c>
      <c r="L179" s="363">
        <f t="shared" si="20"/>
        <v>46193</v>
      </c>
      <c r="M179" s="350" t="str">
        <f t="shared" si="21"/>
        <v>Saturday</v>
      </c>
      <c r="N179" s="350" t="str" cm="1">
        <f t="array" ref="N179">_xlfn._xlws.FILTER(Table3[Week '#],(Table3[Start Date]&lt;=Table6[[#This Row],[Date]])*(Table3[End Date]&gt;=Table6[[#This Row],[Date]]),"")</f>
        <v>Week 25</v>
      </c>
    </row>
    <row r="180" spans="8:14">
      <c r="H180" s="343">
        <v>20260621</v>
      </c>
      <c r="I180" s="362">
        <v>543384.32999999996</v>
      </c>
      <c r="J180" s="343">
        <v>1665</v>
      </c>
      <c r="K180" s="343">
        <v>4007</v>
      </c>
      <c r="L180" s="363">
        <f t="shared" si="20"/>
        <v>46194</v>
      </c>
      <c r="M180" s="350" t="str">
        <f t="shared" si="21"/>
        <v>Sunday</v>
      </c>
      <c r="N180" s="350" t="str" cm="1">
        <f t="array" ref="N180">_xlfn._xlws.FILTER(Table3[Week '#],(Table3[Start Date]&lt;=Table6[[#This Row],[Date]])*(Table3[End Date]&gt;=Table6[[#This Row],[Date]]),"")</f>
        <v>Week 25</v>
      </c>
    </row>
    <row r="181" spans="8:14">
      <c r="H181" s="343">
        <v>20260622</v>
      </c>
      <c r="I181" s="362">
        <v>128099.83</v>
      </c>
      <c r="J181" s="343">
        <v>386</v>
      </c>
      <c r="K181" s="343">
        <v>1640</v>
      </c>
      <c r="L181" s="363">
        <f t="shared" ref="L181:L187" si="22">DATE(LEFT(H181,4),MID(H181,5,2),RIGHT(H181,2))</f>
        <v>46195</v>
      </c>
      <c r="M181" s="350" t="str">
        <f t="shared" ref="M181:M187" si="23">TEXT(L181,"DDDD")</f>
        <v>Monday</v>
      </c>
      <c r="N181" s="350" t="str" cm="1">
        <f t="array" ref="N181">_xlfn._xlws.FILTER(Table3[Week '#],(Table3[Start Date]&lt;=Table6[[#This Row],[Date]])*(Table3[End Date]&gt;=Table6[[#This Row],[Date]]),"")</f>
        <v>Week 26</v>
      </c>
    </row>
    <row r="182" spans="8:14">
      <c r="H182" s="343">
        <v>20260623</v>
      </c>
      <c r="I182" s="362">
        <v>213028.43</v>
      </c>
      <c r="J182" s="343">
        <v>602</v>
      </c>
      <c r="K182" s="343">
        <v>1555</v>
      </c>
      <c r="L182" s="363">
        <f t="shared" si="22"/>
        <v>46196</v>
      </c>
      <c r="M182" s="350" t="str">
        <f t="shared" si="23"/>
        <v>Tuesday</v>
      </c>
      <c r="N182" s="350" t="str" cm="1">
        <f t="array" ref="N182">_xlfn._xlws.FILTER(Table3[Week '#],(Table3[Start Date]&lt;=Table6[[#This Row],[Date]])*(Table3[End Date]&gt;=Table6[[#This Row],[Date]]),"")</f>
        <v>Week 26</v>
      </c>
    </row>
    <row r="183" spans="8:14">
      <c r="H183" s="343">
        <v>20260624</v>
      </c>
      <c r="I183" s="362">
        <v>174959.17</v>
      </c>
      <c r="J183" s="343">
        <v>621</v>
      </c>
      <c r="K183" s="343">
        <v>1406</v>
      </c>
      <c r="L183" s="363">
        <f t="shared" si="22"/>
        <v>46197</v>
      </c>
      <c r="M183" s="350" t="str">
        <f t="shared" si="23"/>
        <v>Wednesday</v>
      </c>
      <c r="N183" s="350" t="str" cm="1">
        <f t="array" ref="N183">_xlfn._xlws.FILTER(Table3[Week '#],(Table3[Start Date]&lt;=Table6[[#This Row],[Date]])*(Table3[End Date]&gt;=Table6[[#This Row],[Date]]),"")</f>
        <v>Week 26</v>
      </c>
    </row>
    <row r="184" spans="8:14">
      <c r="H184" s="343">
        <v>20260625</v>
      </c>
      <c r="I184" s="362">
        <v>424626.72</v>
      </c>
      <c r="J184" s="343">
        <v>1217</v>
      </c>
      <c r="K184" s="343">
        <v>2864</v>
      </c>
      <c r="L184" s="363">
        <f t="shared" si="22"/>
        <v>46198</v>
      </c>
      <c r="M184" s="350" t="str">
        <f t="shared" si="23"/>
        <v>Thursday</v>
      </c>
      <c r="N184" s="350" t="str" cm="1">
        <f t="array" ref="N184">_xlfn._xlws.FILTER(Table3[Week '#],(Table3[Start Date]&lt;=Table6[[#This Row],[Date]])*(Table3[End Date]&gt;=Table6[[#This Row],[Date]]),"")</f>
        <v>Week 26</v>
      </c>
    </row>
    <row r="185" spans="8:14">
      <c r="H185" s="343">
        <v>20260626</v>
      </c>
      <c r="I185" s="362">
        <v>654712.48</v>
      </c>
      <c r="J185" s="343">
        <v>1652</v>
      </c>
      <c r="K185" s="343">
        <v>3841</v>
      </c>
      <c r="L185" s="363">
        <f t="shared" si="22"/>
        <v>46199</v>
      </c>
      <c r="M185" s="350" t="str">
        <f t="shared" si="23"/>
        <v>Friday</v>
      </c>
      <c r="N185" s="350" t="str" cm="1">
        <f t="array" ref="N185">_xlfn._xlws.FILTER(Table3[Week '#],(Table3[Start Date]&lt;=Table6[[#This Row],[Date]])*(Table3[End Date]&gt;=Table6[[#This Row],[Date]]),"")</f>
        <v>Week 26</v>
      </c>
    </row>
    <row r="186" spans="8:14">
      <c r="H186" s="343">
        <v>20260627</v>
      </c>
      <c r="I186" s="362">
        <v>532931.59</v>
      </c>
      <c r="J186" s="343">
        <v>1856</v>
      </c>
      <c r="K186" s="343">
        <v>4159</v>
      </c>
      <c r="L186" s="363">
        <f t="shared" si="22"/>
        <v>46200</v>
      </c>
      <c r="M186" s="350" t="str">
        <f t="shared" si="23"/>
        <v>Saturday</v>
      </c>
      <c r="N186" s="350" t="str" cm="1">
        <f t="array" ref="N186">_xlfn._xlws.FILTER(Table3[Week '#],(Table3[Start Date]&lt;=Table6[[#This Row],[Date]])*(Table3[End Date]&gt;=Table6[[#This Row],[Date]]),"")</f>
        <v>Week 26</v>
      </c>
    </row>
    <row r="187" spans="8:14">
      <c r="H187" s="343">
        <v>20260628</v>
      </c>
      <c r="I187" s="362">
        <v>592197.96</v>
      </c>
      <c r="J187" s="343">
        <v>1667</v>
      </c>
      <c r="K187" s="343">
        <v>3628</v>
      </c>
      <c r="L187" s="363">
        <f t="shared" si="22"/>
        <v>46201</v>
      </c>
      <c r="M187" s="350" t="str">
        <f t="shared" si="23"/>
        <v>Sunday</v>
      </c>
      <c r="N187" s="350" t="str" cm="1">
        <f t="array" ref="N187">_xlfn._xlws.FILTER(Table3[Week '#],(Table3[Start Date]&lt;=Table6[[#This Row],[Date]])*(Table3[End Date]&gt;=Table6[[#This Row],[Date]]),"")</f>
        <v>Week 26</v>
      </c>
    </row>
    <row r="188" spans="8:14">
      <c r="H188" s="343">
        <v>20260629</v>
      </c>
      <c r="I188" s="362">
        <v>111110.25</v>
      </c>
      <c r="J188" s="343">
        <v>379</v>
      </c>
      <c r="K188" s="343">
        <v>920</v>
      </c>
      <c r="L188" s="363">
        <f t="shared" ref="L188:L194" si="24">DATE(LEFT(H188,4),MID(H188,5,2),RIGHT(H188,2))</f>
        <v>46202</v>
      </c>
      <c r="M188" s="350" t="str">
        <f t="shared" ref="M188:M194" si="25">TEXT(L188,"DDDD")</f>
        <v>Monday</v>
      </c>
      <c r="N188" s="350" t="str" cm="1">
        <f t="array" ref="N188">_xlfn._xlws.FILTER(Table3[Week '#],(Table3[Start Date]&lt;=Table6[[#This Row],[Date]])*(Table3[End Date]&gt;=Table6[[#This Row],[Date]]),"")</f>
        <v>Week 27</v>
      </c>
    </row>
    <row r="189" spans="8:14">
      <c r="H189" s="343">
        <v>20260630</v>
      </c>
      <c r="I189" s="362">
        <v>163054.88</v>
      </c>
      <c r="J189" s="343">
        <v>538</v>
      </c>
      <c r="K189" s="343">
        <v>1272</v>
      </c>
      <c r="L189" s="363">
        <f t="shared" si="24"/>
        <v>46203</v>
      </c>
      <c r="M189" s="350" t="str">
        <f t="shared" si="25"/>
        <v>Tuesday</v>
      </c>
      <c r="N189" s="350" t="str" cm="1">
        <f t="array" ref="N189">_xlfn._xlws.FILTER(Table3[Week '#],(Table3[Start Date]&lt;=Table6[[#This Row],[Date]])*(Table3[End Date]&gt;=Table6[[#This Row],[Date]]),"")</f>
        <v>Week 27</v>
      </c>
    </row>
    <row r="190" spans="8:14">
      <c r="H190" s="343">
        <v>20260701</v>
      </c>
      <c r="I190" s="362">
        <v>196682.63</v>
      </c>
      <c r="J190" s="343">
        <v>800</v>
      </c>
      <c r="K190" s="343">
        <v>1581</v>
      </c>
      <c r="L190" s="363">
        <f t="shared" si="24"/>
        <v>46204</v>
      </c>
      <c r="M190" s="350" t="str">
        <f t="shared" si="25"/>
        <v>Wednesday</v>
      </c>
      <c r="N190" s="350" t="str" cm="1">
        <f t="array" ref="N190">_xlfn._xlws.FILTER(Table3[Week '#],(Table3[Start Date]&lt;=Table6[[#This Row],[Date]])*(Table3[End Date]&gt;=Table6[[#This Row],[Date]]),"")</f>
        <v>Week 27</v>
      </c>
    </row>
    <row r="191" spans="8:14">
      <c r="H191" s="343">
        <v>20260702</v>
      </c>
      <c r="I191" s="362">
        <v>324165.15000000002</v>
      </c>
      <c r="J191" s="343">
        <v>1560</v>
      </c>
      <c r="K191" s="343">
        <v>2908</v>
      </c>
      <c r="L191" s="363">
        <f t="shared" si="24"/>
        <v>46205</v>
      </c>
      <c r="M191" s="350" t="str">
        <f t="shared" si="25"/>
        <v>Thursday</v>
      </c>
      <c r="N191" s="350" t="str" cm="1">
        <f t="array" ref="N191">_xlfn._xlws.FILTER(Table3[Week '#],(Table3[Start Date]&lt;=Table6[[#This Row],[Date]])*(Table3[End Date]&gt;=Table6[[#This Row],[Date]]),"")</f>
        <v>Week 27</v>
      </c>
    </row>
    <row r="192" spans="8:14">
      <c r="H192" s="343">
        <v>20260703</v>
      </c>
      <c r="I192" s="362">
        <v>340124.53</v>
      </c>
      <c r="J192" s="343">
        <v>1244</v>
      </c>
      <c r="K192" s="343">
        <v>2759</v>
      </c>
      <c r="L192" s="363">
        <f t="shared" si="24"/>
        <v>46206</v>
      </c>
      <c r="M192" s="350" t="str">
        <f t="shared" si="25"/>
        <v>Friday</v>
      </c>
      <c r="N192" s="350" t="str" cm="1">
        <f t="array" ref="N192">_xlfn._xlws.FILTER(Table3[Week '#],(Table3[Start Date]&lt;=Table6[[#This Row],[Date]])*(Table3[End Date]&gt;=Table6[[#This Row],[Date]]),"")</f>
        <v>Week 27</v>
      </c>
    </row>
    <row r="193" spans="8:14">
      <c r="H193" s="343">
        <v>20260704</v>
      </c>
      <c r="I193" s="362">
        <v>453731.6</v>
      </c>
      <c r="J193" s="343">
        <v>1508</v>
      </c>
      <c r="K193" s="343">
        <v>3265</v>
      </c>
      <c r="L193" s="363">
        <f t="shared" si="24"/>
        <v>46207</v>
      </c>
      <c r="M193" s="350" t="str">
        <f t="shared" si="25"/>
        <v>Saturday</v>
      </c>
      <c r="N193" s="350" t="str" cm="1">
        <f t="array" ref="N193">_xlfn._xlws.FILTER(Table3[Week '#],(Table3[Start Date]&lt;=Table6[[#This Row],[Date]])*(Table3[End Date]&gt;=Table6[[#This Row],[Date]]),"")</f>
        <v>Week 27</v>
      </c>
    </row>
    <row r="194" spans="8:14">
      <c r="H194" s="343">
        <v>20260705</v>
      </c>
      <c r="I194" s="362">
        <v>365003.91</v>
      </c>
      <c r="J194" s="343">
        <v>1194</v>
      </c>
      <c r="K194" s="343">
        <v>2685</v>
      </c>
      <c r="L194" s="363">
        <f t="shared" si="24"/>
        <v>46208</v>
      </c>
      <c r="M194" s="350" t="str">
        <f t="shared" si="25"/>
        <v>Sunday</v>
      </c>
      <c r="N194" s="350" t="str" cm="1">
        <f t="array" ref="N194">_xlfn._xlws.FILTER(Table3[Week '#],(Table3[Start Date]&lt;=Table6[[#This Row],[Date]])*(Table3[End Date]&gt;=Table6[[#This Row],[Date]]),"")</f>
        <v>Week 27</v>
      </c>
    </row>
    <row r="195" spans="8:14">
      <c r="H195" s="343">
        <v>20260706</v>
      </c>
      <c r="I195" s="362">
        <v>82983.67</v>
      </c>
      <c r="J195" s="343">
        <v>415</v>
      </c>
      <c r="K195" s="343">
        <v>1054</v>
      </c>
      <c r="L195" s="363">
        <f t="shared" ref="L195:L201" si="26">DATE(LEFT(H195,4),MID(H195,5,2),RIGHT(H195,2))</f>
        <v>46209</v>
      </c>
      <c r="M195" s="350" t="str">
        <f t="shared" ref="M195:M201" si="27">TEXT(L195,"DDDD")</f>
        <v>Monday</v>
      </c>
      <c r="N195" s="350" t="str" cm="1">
        <f t="array" ref="N195">_xlfn._xlws.FILTER(Table3[Week '#],(Table3[Start Date]&lt;=Table6[[#This Row],[Date]])*(Table3[End Date]&gt;=Table6[[#This Row],[Date]]),"")</f>
        <v>Week 28</v>
      </c>
    </row>
    <row r="196" spans="8:14">
      <c r="H196" s="343">
        <v>20260707</v>
      </c>
      <c r="I196" s="362">
        <v>137329.99</v>
      </c>
      <c r="J196" s="343">
        <v>505</v>
      </c>
      <c r="K196" s="343">
        <v>1153</v>
      </c>
      <c r="L196" s="363">
        <f t="shared" si="26"/>
        <v>46210</v>
      </c>
      <c r="M196" s="350" t="str">
        <f t="shared" si="27"/>
        <v>Tuesday</v>
      </c>
      <c r="N196" s="350" t="str" cm="1">
        <f t="array" ref="N196">_xlfn._xlws.FILTER(Table3[Week '#],(Table3[Start Date]&lt;=Table6[[#This Row],[Date]])*(Table3[End Date]&gt;=Table6[[#This Row],[Date]]),"")</f>
        <v>Week 28</v>
      </c>
    </row>
    <row r="197" spans="8:14">
      <c r="H197" s="343">
        <v>20260708</v>
      </c>
      <c r="I197" s="362">
        <v>175526.58</v>
      </c>
      <c r="J197" s="343">
        <v>654</v>
      </c>
      <c r="K197" s="343">
        <v>1390</v>
      </c>
      <c r="L197" s="363">
        <f t="shared" si="26"/>
        <v>46211</v>
      </c>
      <c r="M197" s="350" t="str">
        <f t="shared" si="27"/>
        <v>Wednesday</v>
      </c>
      <c r="N197" s="350" t="str" cm="1">
        <f t="array" ref="N197">_xlfn._xlws.FILTER(Table3[Week '#],(Table3[Start Date]&lt;=Table6[[#This Row],[Date]])*(Table3[End Date]&gt;=Table6[[#This Row],[Date]]),"")</f>
        <v>Week 28</v>
      </c>
    </row>
    <row r="198" spans="8:14">
      <c r="H198" s="343">
        <v>20260709</v>
      </c>
      <c r="I198" s="362">
        <v>316127.90999999997</v>
      </c>
      <c r="J198" s="343">
        <v>1199</v>
      </c>
      <c r="K198" s="343">
        <v>2490</v>
      </c>
      <c r="L198" s="363">
        <f t="shared" si="26"/>
        <v>46212</v>
      </c>
      <c r="M198" s="350" t="str">
        <f t="shared" si="27"/>
        <v>Thursday</v>
      </c>
      <c r="N198" s="350" t="str" cm="1">
        <f t="array" ref="N198">_xlfn._xlws.FILTER(Table3[Week '#],(Table3[Start Date]&lt;=Table6[[#This Row],[Date]])*(Table3[End Date]&gt;=Table6[[#This Row],[Date]]),"")</f>
        <v>Week 28</v>
      </c>
    </row>
    <row r="199" spans="8:14">
      <c r="H199" s="343">
        <v>20260710</v>
      </c>
      <c r="I199" s="362">
        <v>637588.87</v>
      </c>
      <c r="J199" s="343">
        <v>1906</v>
      </c>
      <c r="K199" s="343">
        <v>4627</v>
      </c>
      <c r="L199" s="363">
        <f t="shared" si="26"/>
        <v>46213</v>
      </c>
      <c r="M199" s="350" t="str">
        <f t="shared" si="27"/>
        <v>Friday</v>
      </c>
      <c r="N199" s="350" t="str" cm="1">
        <f t="array" ref="N199">_xlfn._xlws.FILTER(Table3[Week '#],(Table3[Start Date]&lt;=Table6[[#This Row],[Date]])*(Table3[End Date]&gt;=Table6[[#This Row],[Date]]),"")</f>
        <v>Week 28</v>
      </c>
    </row>
    <row r="200" spans="8:14">
      <c r="H200" s="343">
        <v>20260711</v>
      </c>
      <c r="I200" s="362">
        <v>536875.30000000005</v>
      </c>
      <c r="J200" s="343">
        <v>1562</v>
      </c>
      <c r="K200" s="343">
        <v>3628</v>
      </c>
      <c r="L200" s="363">
        <f t="shared" si="26"/>
        <v>46214</v>
      </c>
      <c r="M200" s="350" t="str">
        <f t="shared" si="27"/>
        <v>Saturday</v>
      </c>
      <c r="N200" s="350" t="str" cm="1">
        <f t="array" ref="N200">_xlfn._xlws.FILTER(Table3[Week '#],(Table3[Start Date]&lt;=Table6[[#This Row],[Date]])*(Table3[End Date]&gt;=Table6[[#This Row],[Date]]),"")</f>
        <v>Week 28</v>
      </c>
    </row>
    <row r="201" spans="8:14">
      <c r="H201" s="343">
        <v>20260712</v>
      </c>
      <c r="I201" s="362">
        <v>656102</v>
      </c>
      <c r="J201" s="343">
        <v>1757</v>
      </c>
      <c r="K201" s="343">
        <v>4627</v>
      </c>
      <c r="L201" s="363">
        <f t="shared" si="26"/>
        <v>46215</v>
      </c>
      <c r="M201" s="350" t="str">
        <f t="shared" si="27"/>
        <v>Sunday</v>
      </c>
      <c r="N201" s="350" t="str" cm="1">
        <f t="array" ref="N201">_xlfn._xlws.FILTER(Table3[Week '#],(Table3[Start Date]&lt;=Table6[[#This Row],[Date]])*(Table3[End Date]&gt;=Table6[[#This Row],[Date]]),"")</f>
        <v>Week 28</v>
      </c>
    </row>
    <row r="202" spans="8:14">
      <c r="H202" s="343">
        <v>20260713</v>
      </c>
      <c r="I202" s="362">
        <v>105136.09</v>
      </c>
      <c r="J202" s="343">
        <v>356</v>
      </c>
      <c r="K202" s="343">
        <v>881</v>
      </c>
      <c r="L202" s="363">
        <f t="shared" ref="L202:L208" si="28">DATE(LEFT(H202,4),MID(H202,5,2),RIGHT(H202,2))</f>
        <v>46216</v>
      </c>
      <c r="M202" s="350" t="str">
        <f t="shared" ref="M202:M208" si="29">TEXT(L202,"DDDD")</f>
        <v>Monday</v>
      </c>
      <c r="N202" s="350" t="str" cm="1">
        <f t="array" ref="N202">_xlfn._xlws.FILTER(Table3[Week '#],(Table3[Start Date]&lt;=Table6[[#This Row],[Date]])*(Table3[End Date]&gt;=Table6[[#This Row],[Date]]),"")</f>
        <v>Week 29</v>
      </c>
    </row>
    <row r="203" spans="8:14">
      <c r="H203" s="343">
        <v>20260714</v>
      </c>
      <c r="I203" s="362">
        <v>154072.53</v>
      </c>
      <c r="J203" s="343">
        <v>537</v>
      </c>
      <c r="K203" s="343">
        <v>1322</v>
      </c>
      <c r="L203" s="363">
        <f t="shared" si="28"/>
        <v>46217</v>
      </c>
      <c r="M203" s="350" t="str">
        <f t="shared" si="29"/>
        <v>Tuesday</v>
      </c>
      <c r="N203" s="350" t="str" cm="1">
        <f t="array" ref="N203">_xlfn._xlws.FILTER(Table3[Week '#],(Table3[Start Date]&lt;=Table6[[#This Row],[Date]])*(Table3[End Date]&gt;=Table6[[#This Row],[Date]]),"")</f>
        <v>Week 29</v>
      </c>
    </row>
    <row r="204" spans="8:14">
      <c r="H204" s="343">
        <v>20260715</v>
      </c>
      <c r="I204" s="362">
        <v>173955.41</v>
      </c>
      <c r="J204" s="343">
        <v>676</v>
      </c>
      <c r="K204" s="343">
        <v>1427</v>
      </c>
      <c r="L204" s="363">
        <f t="shared" si="28"/>
        <v>46218</v>
      </c>
      <c r="M204" s="350" t="str">
        <f t="shared" si="29"/>
        <v>Wednesday</v>
      </c>
      <c r="N204" s="350" t="str" cm="1">
        <f t="array" ref="N204">_xlfn._xlws.FILTER(Table3[Week '#],(Table3[Start Date]&lt;=Table6[[#This Row],[Date]])*(Table3[End Date]&gt;=Table6[[#This Row],[Date]]),"")</f>
        <v>Week 29</v>
      </c>
    </row>
    <row r="205" spans="8:14">
      <c r="H205" s="343">
        <v>20260716</v>
      </c>
      <c r="I205" s="362">
        <v>315500.59000000003</v>
      </c>
      <c r="J205" s="343">
        <v>1250</v>
      </c>
      <c r="K205" s="343">
        <v>2527</v>
      </c>
      <c r="L205" s="363">
        <f t="shared" si="28"/>
        <v>46219</v>
      </c>
      <c r="M205" s="350" t="str">
        <f t="shared" si="29"/>
        <v>Thursday</v>
      </c>
      <c r="N205" s="350" t="str" cm="1">
        <f t="array" ref="N205">_xlfn._xlws.FILTER(Table3[Week '#],(Table3[Start Date]&lt;=Table6[[#This Row],[Date]])*(Table3[End Date]&gt;=Table6[[#This Row],[Date]]),"")</f>
        <v>Week 29</v>
      </c>
    </row>
    <row r="206" spans="8:14">
      <c r="H206" s="343">
        <v>20260717</v>
      </c>
      <c r="I206" s="362">
        <v>491529.85</v>
      </c>
      <c r="J206" s="343">
        <v>1620</v>
      </c>
      <c r="K206" s="343">
        <v>3656</v>
      </c>
      <c r="L206" s="363">
        <f t="shared" si="28"/>
        <v>46220</v>
      </c>
      <c r="M206" s="350" t="str">
        <f t="shared" si="29"/>
        <v>Friday</v>
      </c>
      <c r="N206" s="350" t="str" cm="1">
        <f t="array" ref="N206">_xlfn._xlws.FILTER(Table3[Week '#],(Table3[Start Date]&lt;=Table6[[#This Row],[Date]])*(Table3[End Date]&gt;=Table6[[#This Row],[Date]]),"")</f>
        <v>Week 29</v>
      </c>
    </row>
    <row r="207" spans="8:14">
      <c r="H207" s="343">
        <v>20260718</v>
      </c>
      <c r="I207" s="362">
        <v>455551.3</v>
      </c>
      <c r="J207" s="343">
        <v>1804</v>
      </c>
      <c r="K207" s="343">
        <v>4015</v>
      </c>
      <c r="L207" s="363">
        <f t="shared" si="28"/>
        <v>46221</v>
      </c>
      <c r="M207" s="350" t="str">
        <f t="shared" si="29"/>
        <v>Saturday</v>
      </c>
      <c r="N207" s="350" t="str" cm="1">
        <f t="array" ref="N207">_xlfn._xlws.FILTER(Table3[Week '#],(Table3[Start Date]&lt;=Table6[[#This Row],[Date]])*(Table3[End Date]&gt;=Table6[[#This Row],[Date]]),"")</f>
        <v>Week 29</v>
      </c>
    </row>
    <row r="208" spans="8:14">
      <c r="H208" s="343">
        <v>20260719</v>
      </c>
      <c r="I208" s="362">
        <v>368085.43</v>
      </c>
      <c r="J208" s="343">
        <v>1136</v>
      </c>
      <c r="K208" s="343">
        <v>2449</v>
      </c>
      <c r="L208" s="363">
        <f t="shared" si="28"/>
        <v>46222</v>
      </c>
      <c r="M208" s="350" t="str">
        <f t="shared" si="29"/>
        <v>Sunday</v>
      </c>
      <c r="N208" s="350" t="str" cm="1">
        <f t="array" ref="N208">_xlfn._xlws.FILTER(Table3[Week '#],(Table3[Start Date]&lt;=Table6[[#This Row],[Date]])*(Table3[End Date]&gt;=Table6[[#This Row],[Date]]),"")</f>
        <v>Week 29</v>
      </c>
    </row>
    <row r="209" spans="8:14">
      <c r="H209" s="343">
        <v>20260720</v>
      </c>
      <c r="I209" s="362">
        <v>104816.04</v>
      </c>
      <c r="J209" s="343">
        <v>365</v>
      </c>
      <c r="K209" s="343">
        <v>881</v>
      </c>
      <c r="L209" s="363">
        <f t="shared" ref="L209:L215" si="30">DATE(LEFT(H209,4),MID(H209,5,2),RIGHT(H209,2))</f>
        <v>46223</v>
      </c>
      <c r="M209" s="350" t="str">
        <f t="shared" ref="M209:M215" si="31">TEXT(L209,"DDDD")</f>
        <v>Monday</v>
      </c>
      <c r="N209" s="350" t="str" cm="1">
        <f t="array" ref="N209">_xlfn._xlws.FILTER(Table3[Week '#],(Table3[Start Date]&lt;=Table6[[#This Row],[Date]])*(Table3[End Date]&gt;=Table6[[#This Row],[Date]]),"")</f>
        <v>Week 30</v>
      </c>
    </row>
    <row r="210" spans="8:14">
      <c r="H210" s="343">
        <v>20260721</v>
      </c>
      <c r="I210" s="362">
        <v>154265.35</v>
      </c>
      <c r="J210" s="343">
        <v>531</v>
      </c>
      <c r="K210" s="343">
        <v>1242</v>
      </c>
      <c r="L210" s="363">
        <f t="shared" si="30"/>
        <v>46224</v>
      </c>
      <c r="M210" s="350" t="str">
        <f t="shared" si="31"/>
        <v>Tuesday</v>
      </c>
      <c r="N210" s="350" t="str" cm="1">
        <f t="array" ref="N210">_xlfn._xlws.FILTER(Table3[Week '#],(Table3[Start Date]&lt;=Table6[[#This Row],[Date]])*(Table3[End Date]&gt;=Table6[[#This Row],[Date]]),"")</f>
        <v>Week 30</v>
      </c>
    </row>
    <row r="211" spans="8:14">
      <c r="H211" s="343">
        <v>20260722</v>
      </c>
      <c r="I211" s="362">
        <v>164321.60000000001</v>
      </c>
      <c r="J211" s="343">
        <v>603</v>
      </c>
      <c r="K211" s="343">
        <v>2041</v>
      </c>
      <c r="L211" s="363">
        <f t="shared" si="30"/>
        <v>46225</v>
      </c>
      <c r="M211" s="350" t="str">
        <f t="shared" si="31"/>
        <v>Wednesday</v>
      </c>
      <c r="N211" s="350" t="str" cm="1">
        <f t="array" ref="N211">_xlfn._xlws.FILTER(Table3[Week '#],(Table3[Start Date]&lt;=Table6[[#This Row],[Date]])*(Table3[End Date]&gt;=Table6[[#This Row],[Date]]),"")</f>
        <v>Week 30</v>
      </c>
    </row>
    <row r="212" spans="8:14">
      <c r="H212" s="343">
        <v>20260723</v>
      </c>
      <c r="I212" s="362">
        <v>259238.62</v>
      </c>
      <c r="J212" s="343">
        <v>1077</v>
      </c>
      <c r="K212" s="343">
        <v>2360</v>
      </c>
      <c r="L212" s="363">
        <f t="shared" si="30"/>
        <v>46226</v>
      </c>
      <c r="M212" s="350" t="str">
        <f t="shared" si="31"/>
        <v>Thursday</v>
      </c>
      <c r="N212" s="350" t="str" cm="1">
        <f t="array" ref="N212">_xlfn._xlws.FILTER(Table3[Week '#],(Table3[Start Date]&lt;=Table6[[#This Row],[Date]])*(Table3[End Date]&gt;=Table6[[#This Row],[Date]]),"")</f>
        <v>Week 30</v>
      </c>
    </row>
    <row r="213" spans="8:14">
      <c r="H213" s="343">
        <v>20260724</v>
      </c>
      <c r="I213" s="362">
        <v>429364.64</v>
      </c>
      <c r="J213" s="343">
        <v>1650</v>
      </c>
      <c r="K213" s="343">
        <v>4484</v>
      </c>
      <c r="L213" s="363">
        <f t="shared" si="30"/>
        <v>46227</v>
      </c>
      <c r="M213" s="350" t="str">
        <f t="shared" si="31"/>
        <v>Friday</v>
      </c>
      <c r="N213" s="350" t="str" cm="1">
        <f t="array" ref="N213">_xlfn._xlws.FILTER(Table3[Week '#],(Table3[Start Date]&lt;=Table6[[#This Row],[Date]])*(Table3[End Date]&gt;=Table6[[#This Row],[Date]]),"")</f>
        <v>Week 30</v>
      </c>
    </row>
    <row r="214" spans="8:14">
      <c r="H214" s="343">
        <v>20260725</v>
      </c>
      <c r="I214" s="362">
        <v>516694.43</v>
      </c>
      <c r="J214" s="343">
        <v>2150</v>
      </c>
      <c r="K214" s="343">
        <v>4572</v>
      </c>
      <c r="L214" s="363">
        <f t="shared" si="30"/>
        <v>46228</v>
      </c>
      <c r="M214" s="350" t="str">
        <f t="shared" si="31"/>
        <v>Saturday</v>
      </c>
      <c r="N214" s="350" t="str" cm="1">
        <f t="array" ref="N214">_xlfn._xlws.FILTER(Table3[Week '#],(Table3[Start Date]&lt;=Table6[[#This Row],[Date]])*(Table3[End Date]&gt;=Table6[[#This Row],[Date]]),"")</f>
        <v>Week 30</v>
      </c>
    </row>
    <row r="215" spans="8:14">
      <c r="H215" s="343">
        <v>20260726</v>
      </c>
      <c r="I215" s="362">
        <v>354464.81</v>
      </c>
      <c r="J215" s="343">
        <v>1208</v>
      </c>
      <c r="K215" s="343">
        <v>2794</v>
      </c>
      <c r="L215" s="363">
        <f t="shared" si="30"/>
        <v>46229</v>
      </c>
      <c r="M215" s="350" t="str">
        <f t="shared" si="31"/>
        <v>Sunday</v>
      </c>
      <c r="N215" s="350" t="str" cm="1">
        <f t="array" ref="N215">_xlfn._xlws.FILTER(Table3[Week '#],(Table3[Start Date]&lt;=Table6[[#This Row],[Date]])*(Table3[End Date]&gt;=Table6[[#This Row],[Date]]),"")</f>
        <v>Week 30</v>
      </c>
    </row>
    <row r="216" spans="8:14">
      <c r="H216" s="343">
        <v>20260727</v>
      </c>
      <c r="I216" s="362">
        <v>89770.240000000005</v>
      </c>
      <c r="J216" s="343">
        <v>333</v>
      </c>
      <c r="K216" s="343">
        <v>794</v>
      </c>
      <c r="L216" s="363">
        <f t="shared" ref="L216:L222" si="32">DATE(LEFT(H216,4),MID(H216,5,2),RIGHT(H216,2))</f>
        <v>46230</v>
      </c>
      <c r="M216" s="350" t="str">
        <f t="shared" ref="M216:M222" si="33">TEXT(L216,"DDDD")</f>
        <v>Monday</v>
      </c>
      <c r="N216" s="350" t="str" cm="1">
        <f t="array" ref="N216">_xlfn._xlws.FILTER(Table3[Week '#],(Table3[Start Date]&lt;=Table6[[#This Row],[Date]])*(Table3[End Date]&gt;=Table6[[#This Row],[Date]]),"")</f>
        <v>Week 31</v>
      </c>
    </row>
    <row r="217" spans="8:14">
      <c r="H217" s="343">
        <v>20260728</v>
      </c>
      <c r="I217" s="362">
        <v>125570.51</v>
      </c>
      <c r="J217" s="343">
        <v>440</v>
      </c>
      <c r="K217" s="343">
        <v>1523</v>
      </c>
      <c r="L217" s="363">
        <f t="shared" si="32"/>
        <v>46231</v>
      </c>
      <c r="M217" s="350" t="str">
        <f t="shared" si="33"/>
        <v>Tuesday</v>
      </c>
      <c r="N217" s="350" t="str" cm="1">
        <f t="array" ref="N217">_xlfn._xlws.FILTER(Table3[Week '#],(Table3[Start Date]&lt;=Table6[[#This Row],[Date]])*(Table3[End Date]&gt;=Table6[[#This Row],[Date]]),"")</f>
        <v>Week 31</v>
      </c>
    </row>
    <row r="218" spans="8:14">
      <c r="H218" s="343">
        <v>20260729</v>
      </c>
      <c r="I218" s="362">
        <v>161473.14000000001</v>
      </c>
      <c r="J218" s="343">
        <v>688</v>
      </c>
      <c r="K218" s="343">
        <v>1450</v>
      </c>
      <c r="L218" s="363">
        <f t="shared" si="32"/>
        <v>46232</v>
      </c>
      <c r="M218" s="350" t="str">
        <f t="shared" si="33"/>
        <v>Wednesday</v>
      </c>
      <c r="N218" s="350" t="str" cm="1">
        <f t="array" ref="N218">_xlfn._xlws.FILTER(Table3[Week '#],(Table3[Start Date]&lt;=Table6[[#This Row],[Date]])*(Table3[End Date]&gt;=Table6[[#This Row],[Date]]),"")</f>
        <v>Week 31</v>
      </c>
    </row>
    <row r="219" spans="8:14">
      <c r="H219" s="343">
        <v>20260730</v>
      </c>
      <c r="I219" s="362">
        <v>218238.4</v>
      </c>
      <c r="J219" s="343">
        <v>935</v>
      </c>
      <c r="K219" s="343">
        <v>2197</v>
      </c>
      <c r="L219" s="363">
        <f t="shared" si="32"/>
        <v>46233</v>
      </c>
      <c r="M219" s="350" t="str">
        <f t="shared" si="33"/>
        <v>Thursday</v>
      </c>
      <c r="N219" s="350" t="str" cm="1">
        <f t="array" ref="N219">_xlfn._xlws.FILTER(Table3[Week '#],(Table3[Start Date]&lt;=Table6[[#This Row],[Date]])*(Table3[End Date]&gt;=Table6[[#This Row],[Date]]),"")</f>
        <v>Week 31</v>
      </c>
    </row>
    <row r="220" spans="8:14">
      <c r="H220" s="343">
        <v>20260731</v>
      </c>
      <c r="I220" s="362">
        <v>364095.17</v>
      </c>
      <c r="J220" s="343">
        <v>1445</v>
      </c>
      <c r="K220" s="343">
        <v>3737</v>
      </c>
      <c r="L220" s="363">
        <f t="shared" si="32"/>
        <v>46234</v>
      </c>
      <c r="M220" s="350" t="str">
        <f t="shared" si="33"/>
        <v>Friday</v>
      </c>
      <c r="N220" s="350" t="str" cm="1">
        <f t="array" ref="N220">_xlfn._xlws.FILTER(Table3[Week '#],(Table3[Start Date]&lt;=Table6[[#This Row],[Date]])*(Table3[End Date]&gt;=Table6[[#This Row],[Date]]),"")</f>
        <v>Week 31</v>
      </c>
    </row>
    <row r="221" spans="8:14">
      <c r="H221" s="343">
        <v>20260801</v>
      </c>
      <c r="I221" s="362">
        <v>475587.08</v>
      </c>
      <c r="J221" s="343">
        <v>1893</v>
      </c>
      <c r="K221" s="343">
        <v>4318</v>
      </c>
      <c r="L221" s="363">
        <f t="shared" si="32"/>
        <v>46235</v>
      </c>
      <c r="M221" s="350" t="str">
        <f t="shared" si="33"/>
        <v>Saturday</v>
      </c>
      <c r="N221" s="350" t="str" cm="1">
        <f t="array" ref="N221">_xlfn._xlws.FILTER(Table3[Week '#],(Table3[Start Date]&lt;=Table6[[#This Row],[Date]])*(Table3[End Date]&gt;=Table6[[#This Row],[Date]]),"")</f>
        <v>Week 31</v>
      </c>
    </row>
    <row r="222" spans="8:14">
      <c r="H222" s="343">
        <v>20260802</v>
      </c>
      <c r="I222" s="362">
        <v>377033.19</v>
      </c>
      <c r="J222" s="343">
        <v>1320</v>
      </c>
      <c r="K222" s="343">
        <v>2957</v>
      </c>
      <c r="L222" s="363">
        <f t="shared" si="32"/>
        <v>46236</v>
      </c>
      <c r="M222" s="350" t="str">
        <f t="shared" si="33"/>
        <v>Sunday</v>
      </c>
      <c r="N222" s="350" t="str" cm="1">
        <f t="array" ref="N222">_xlfn._xlws.FILTER(Table3[Week '#],(Table3[Start Date]&lt;=Table6[[#This Row],[Date]])*(Table3[End Date]&gt;=Table6[[#This Row],[Date]]),"")</f>
        <v>Week 31</v>
      </c>
    </row>
    <row r="223" spans="8:14">
      <c r="H223" s="343">
        <v>20260803</v>
      </c>
      <c r="I223" s="362">
        <v>93654.56</v>
      </c>
      <c r="J223" s="343">
        <v>358</v>
      </c>
      <c r="K223" s="343">
        <v>838</v>
      </c>
      <c r="L223" s="363">
        <f t="shared" ref="L223:L229" si="34">DATE(LEFT(H223,4),MID(H223,5,2),RIGHT(H223,2))</f>
        <v>46237</v>
      </c>
      <c r="M223" s="350" t="str">
        <f t="shared" ref="M223:M229" si="35">TEXT(L223,"DDDD")</f>
        <v>Monday</v>
      </c>
      <c r="N223" s="350" t="str" cm="1">
        <f t="array" ref="N223">_xlfn._xlws.FILTER(Table3[Week '#],(Table3[Start Date]&lt;=Table6[[#This Row],[Date]])*(Table3[End Date]&gt;=Table6[[#This Row],[Date]]),"")</f>
        <v>Week 32</v>
      </c>
    </row>
    <row r="224" spans="8:14">
      <c r="H224" s="343">
        <v>20260804</v>
      </c>
      <c r="I224" s="362">
        <v>143914.13</v>
      </c>
      <c r="J224" s="343">
        <v>520</v>
      </c>
      <c r="K224" s="343">
        <v>1268</v>
      </c>
      <c r="L224" s="363">
        <f t="shared" si="34"/>
        <v>46238</v>
      </c>
      <c r="M224" s="350" t="str">
        <f t="shared" si="35"/>
        <v>Tuesday</v>
      </c>
      <c r="N224" s="350" t="str" cm="1">
        <f t="array" ref="N224">_xlfn._xlws.FILTER(Table3[Week '#],(Table3[Start Date]&lt;=Table6[[#This Row],[Date]])*(Table3[End Date]&gt;=Table6[[#This Row],[Date]]),"")</f>
        <v>Week 32</v>
      </c>
    </row>
    <row r="225" spans="8:14">
      <c r="H225" s="343">
        <v>20260805</v>
      </c>
      <c r="I225" s="362">
        <v>165645</v>
      </c>
      <c r="J225" s="343">
        <v>710</v>
      </c>
      <c r="K225" s="343">
        <v>1566</v>
      </c>
      <c r="L225" s="363">
        <f t="shared" si="34"/>
        <v>46239</v>
      </c>
      <c r="M225" s="350" t="str">
        <f t="shared" si="35"/>
        <v>Wednesday</v>
      </c>
      <c r="N225" s="350" t="str" cm="1">
        <f t="array" ref="N225">_xlfn._xlws.FILTER(Table3[Week '#],(Table3[Start Date]&lt;=Table6[[#This Row],[Date]])*(Table3[End Date]&gt;=Table6[[#This Row],[Date]]),"")</f>
        <v>Week 32</v>
      </c>
    </row>
    <row r="226" spans="8:14">
      <c r="H226" s="343">
        <v>20260806</v>
      </c>
      <c r="I226" s="362">
        <v>231102.84</v>
      </c>
      <c r="J226" s="343">
        <v>1012</v>
      </c>
      <c r="K226" s="343">
        <v>2247</v>
      </c>
      <c r="L226" s="363">
        <f t="shared" si="34"/>
        <v>46240</v>
      </c>
      <c r="M226" s="350" t="str">
        <f t="shared" si="35"/>
        <v>Thursday</v>
      </c>
      <c r="N226" s="350" t="str" cm="1">
        <f t="array" ref="N226">_xlfn._xlws.FILTER(Table3[Week '#],(Table3[Start Date]&lt;=Table6[[#This Row],[Date]])*(Table3[End Date]&gt;=Table6[[#This Row],[Date]]),"")</f>
        <v>Week 32</v>
      </c>
    </row>
    <row r="227" spans="8:14">
      <c r="H227" s="343">
        <v>20260807</v>
      </c>
      <c r="I227" s="362">
        <v>426372.97</v>
      </c>
      <c r="J227" s="343">
        <v>1654</v>
      </c>
      <c r="K227" s="343">
        <v>3610</v>
      </c>
      <c r="L227" s="363">
        <f t="shared" si="34"/>
        <v>46241</v>
      </c>
      <c r="M227" s="350" t="str">
        <f t="shared" si="35"/>
        <v>Friday</v>
      </c>
      <c r="N227" s="350" t="str" cm="1">
        <f t="array" ref="N227">_xlfn._xlws.FILTER(Table3[Week '#],(Table3[Start Date]&lt;=Table6[[#This Row],[Date]])*(Table3[End Date]&gt;=Table6[[#This Row],[Date]]),"")</f>
        <v>Week 32</v>
      </c>
    </row>
    <row r="228" spans="8:14">
      <c r="H228" s="343">
        <v>20260808</v>
      </c>
      <c r="I228" s="362">
        <v>523900.76</v>
      </c>
      <c r="J228" s="343">
        <v>2219</v>
      </c>
      <c r="K228" s="343">
        <v>4668</v>
      </c>
      <c r="L228" s="363">
        <f t="shared" si="34"/>
        <v>46242</v>
      </c>
      <c r="M228" s="350" t="str">
        <f t="shared" si="35"/>
        <v>Saturday</v>
      </c>
      <c r="N228" s="350" t="str" cm="1">
        <f t="array" ref="N228">_xlfn._xlws.FILTER(Table3[Week '#],(Table3[Start Date]&lt;=Table6[[#This Row],[Date]])*(Table3[End Date]&gt;=Table6[[#This Row],[Date]]),"")</f>
        <v>Week 32</v>
      </c>
    </row>
    <row r="229" spans="8:14">
      <c r="H229" s="343">
        <v>20260809</v>
      </c>
      <c r="I229" s="362">
        <v>331313.87</v>
      </c>
      <c r="J229" s="343">
        <v>1306</v>
      </c>
      <c r="K229" s="343">
        <v>3013</v>
      </c>
      <c r="L229" s="363">
        <f t="shared" si="34"/>
        <v>46243</v>
      </c>
      <c r="M229" s="350" t="str">
        <f t="shared" si="35"/>
        <v>Sunday</v>
      </c>
      <c r="N229" s="350" t="str" cm="1">
        <f t="array" ref="N229">_xlfn._xlws.FILTER(Table3[Week '#],(Table3[Start Date]&lt;=Table6[[#This Row],[Date]])*(Table3[End Date]&gt;=Table6[[#This Row],[Date]]),"")</f>
        <v>Week 32</v>
      </c>
    </row>
    <row r="230" spans="8:14">
      <c r="H230" s="343">
        <v>20260810</v>
      </c>
      <c r="I230" s="362">
        <v>121532.09</v>
      </c>
      <c r="J230" s="343">
        <v>474</v>
      </c>
      <c r="K230" s="343">
        <v>1119</v>
      </c>
      <c r="L230" s="363">
        <f t="shared" ref="L230:L236" si="36">DATE(LEFT(H230,4),MID(H230,5,2),RIGHT(H230,2))</f>
        <v>46244</v>
      </c>
      <c r="M230" s="350" t="str">
        <f t="shared" ref="M230:M236" si="37">TEXT(L230,"DDDD")</f>
        <v>Monday</v>
      </c>
      <c r="N230" s="350" t="str" cm="1">
        <f t="array" ref="N230">_xlfn._xlws.FILTER(Table3[Week '#],(Table3[Start Date]&lt;=Table6[[#This Row],[Date]])*(Table3[End Date]&gt;=Table6[[#This Row],[Date]]),"")</f>
        <v>Week 33</v>
      </c>
    </row>
    <row r="231" spans="8:14">
      <c r="H231" s="343">
        <v>20260811</v>
      </c>
      <c r="I231" s="362">
        <v>134359.9</v>
      </c>
      <c r="J231" s="343">
        <v>531</v>
      </c>
      <c r="K231" s="343">
        <v>1269</v>
      </c>
      <c r="L231" s="363">
        <f t="shared" si="36"/>
        <v>46245</v>
      </c>
      <c r="M231" s="350" t="str">
        <f t="shared" si="37"/>
        <v>Tuesday</v>
      </c>
      <c r="N231" s="350" t="str" cm="1">
        <f t="array" ref="N231">_xlfn._xlws.FILTER(Table3[Week '#],(Table3[Start Date]&lt;=Table6[[#This Row],[Date]])*(Table3[End Date]&gt;=Table6[[#This Row],[Date]]),"")</f>
        <v>Week 33</v>
      </c>
    </row>
    <row r="232" spans="8:14">
      <c r="H232" s="343">
        <v>20260812</v>
      </c>
      <c r="I232" s="362">
        <v>159868.91</v>
      </c>
      <c r="J232" s="343">
        <v>687</v>
      </c>
      <c r="K232" s="343">
        <v>1513</v>
      </c>
      <c r="L232" s="363">
        <f t="shared" si="36"/>
        <v>46246</v>
      </c>
      <c r="M232" s="350" t="str">
        <f t="shared" si="37"/>
        <v>Wednesday</v>
      </c>
      <c r="N232" s="350" t="str" cm="1">
        <f t="array" ref="N232">_xlfn._xlws.FILTER(Table3[Week '#],(Table3[Start Date]&lt;=Table6[[#This Row],[Date]])*(Table3[End Date]&gt;=Table6[[#This Row],[Date]]),"")</f>
        <v>Week 33</v>
      </c>
    </row>
    <row r="233" spans="8:14">
      <c r="H233" s="343">
        <v>20260813</v>
      </c>
      <c r="I233" s="362">
        <v>246060.46</v>
      </c>
      <c r="J233" s="343">
        <v>985</v>
      </c>
      <c r="K233" s="343">
        <v>2246</v>
      </c>
      <c r="L233" s="363">
        <f t="shared" si="36"/>
        <v>46247</v>
      </c>
      <c r="M233" s="350" t="str">
        <f t="shared" si="37"/>
        <v>Thursday</v>
      </c>
      <c r="N233" s="350" t="str" cm="1">
        <f t="array" ref="N233">_xlfn._xlws.FILTER(Table3[Week '#],(Table3[Start Date]&lt;=Table6[[#This Row],[Date]])*(Table3[End Date]&gt;=Table6[[#This Row],[Date]]),"")</f>
        <v>Week 33</v>
      </c>
    </row>
    <row r="234" spans="8:14">
      <c r="H234" s="343">
        <v>20260814</v>
      </c>
      <c r="I234" s="362">
        <v>392820.08</v>
      </c>
      <c r="J234" s="343">
        <v>1739</v>
      </c>
      <c r="K234" s="343">
        <v>3696</v>
      </c>
      <c r="L234" s="363">
        <f t="shared" si="36"/>
        <v>46248</v>
      </c>
      <c r="M234" s="350" t="str">
        <f t="shared" si="37"/>
        <v>Friday</v>
      </c>
      <c r="N234" s="350" t="str" cm="1">
        <f t="array" ref="N234">_xlfn._xlws.FILTER(Table3[Week '#],(Table3[Start Date]&lt;=Table6[[#This Row],[Date]])*(Table3[End Date]&gt;=Table6[[#This Row],[Date]]),"")</f>
        <v>Week 33</v>
      </c>
    </row>
    <row r="235" spans="8:14">
      <c r="H235" s="343">
        <v>20260815</v>
      </c>
      <c r="I235" s="362">
        <v>545183.92000000004</v>
      </c>
      <c r="J235" s="343">
        <v>2220</v>
      </c>
      <c r="K235" s="343">
        <v>5754</v>
      </c>
      <c r="L235" s="363">
        <f t="shared" si="36"/>
        <v>46249</v>
      </c>
      <c r="M235" s="350" t="str">
        <f t="shared" si="37"/>
        <v>Saturday</v>
      </c>
      <c r="N235" s="350" t="str" cm="1">
        <f t="array" ref="N235">_xlfn._xlws.FILTER(Table3[Week '#],(Table3[Start Date]&lt;=Table6[[#This Row],[Date]])*(Table3[End Date]&gt;=Table6[[#This Row],[Date]]),"")</f>
        <v>Week 33</v>
      </c>
    </row>
    <row r="236" spans="8:14">
      <c r="H236" s="343">
        <v>20260816</v>
      </c>
      <c r="I236" s="362">
        <v>340003.86</v>
      </c>
      <c r="J236" s="343">
        <v>1411</v>
      </c>
      <c r="K236" s="343">
        <v>3132</v>
      </c>
      <c r="L236" s="363">
        <f t="shared" si="36"/>
        <v>46250</v>
      </c>
      <c r="M236" s="350" t="str">
        <f t="shared" si="37"/>
        <v>Sunday</v>
      </c>
      <c r="N236" s="350" t="str" cm="1">
        <f t="array" ref="N236">_xlfn._xlws.FILTER(Table3[Week '#],(Table3[Start Date]&lt;=Table6[[#This Row],[Date]])*(Table3[End Date]&gt;=Table6[[#This Row],[Date]]),"")</f>
        <v>Week 33</v>
      </c>
    </row>
    <row r="237" spans="8:14">
      <c r="H237" s="343">
        <v>20260817</v>
      </c>
      <c r="I237" s="362">
        <v>99798.77</v>
      </c>
      <c r="J237" s="343">
        <v>427</v>
      </c>
      <c r="K237" s="343">
        <v>1959</v>
      </c>
      <c r="L237" s="363">
        <f t="shared" ref="L237:L243" si="38">DATE(LEFT(H237,4),MID(H237,5,2),RIGHT(H237,2))</f>
        <v>46251</v>
      </c>
      <c r="M237" s="350" t="str">
        <f t="shared" ref="M237:M243" si="39">TEXT(L237,"DDDD")</f>
        <v>Monday</v>
      </c>
      <c r="N237" s="350" t="str" cm="1">
        <f t="array" ref="N237">_xlfn._xlws.FILTER(Table3[Week '#],(Table3[Start Date]&lt;=Table6[[#This Row],[Date]])*(Table3[End Date]&gt;=Table6[[#This Row],[Date]]),"")</f>
        <v>Week 34</v>
      </c>
    </row>
    <row r="238" spans="8:14">
      <c r="H238" s="343">
        <v>20260818</v>
      </c>
      <c r="I238" s="362">
        <v>170377.19</v>
      </c>
      <c r="J238" s="343">
        <v>549</v>
      </c>
      <c r="K238" s="343">
        <v>1461</v>
      </c>
      <c r="L238" s="363">
        <f t="shared" si="38"/>
        <v>46252</v>
      </c>
      <c r="M238" s="350" t="str">
        <f t="shared" si="39"/>
        <v>Tuesday</v>
      </c>
      <c r="N238" s="350" t="str" cm="1">
        <f t="array" ref="N238">_xlfn._xlws.FILTER(Table3[Week '#],(Table3[Start Date]&lt;=Table6[[#This Row],[Date]])*(Table3[End Date]&gt;=Table6[[#This Row],[Date]]),"")</f>
        <v>Week 34</v>
      </c>
    </row>
    <row r="239" spans="8:14">
      <c r="H239" s="343">
        <v>20260819</v>
      </c>
      <c r="I239" s="362">
        <v>179832.09</v>
      </c>
      <c r="J239" s="343">
        <v>813</v>
      </c>
      <c r="K239" s="343">
        <v>2889</v>
      </c>
      <c r="L239" s="363">
        <f t="shared" si="38"/>
        <v>46253</v>
      </c>
      <c r="M239" s="350" t="str">
        <f t="shared" si="39"/>
        <v>Wednesday</v>
      </c>
      <c r="N239" s="350" t="str" cm="1">
        <f t="array" ref="N239">_xlfn._xlws.FILTER(Table3[Week '#],(Table3[Start Date]&lt;=Table6[[#This Row],[Date]])*(Table3[End Date]&gt;=Table6[[#This Row],[Date]]),"")</f>
        <v>Week 34</v>
      </c>
    </row>
    <row r="240" spans="8:14">
      <c r="H240" s="343">
        <v>20260820</v>
      </c>
      <c r="I240" s="362">
        <v>295283.89</v>
      </c>
      <c r="J240" s="343">
        <v>1321</v>
      </c>
      <c r="K240" s="343">
        <v>2821</v>
      </c>
      <c r="L240" s="363">
        <f t="shared" si="38"/>
        <v>46254</v>
      </c>
      <c r="M240" s="350" t="str">
        <f t="shared" si="39"/>
        <v>Thursday</v>
      </c>
      <c r="N240" s="350" t="str" cm="1">
        <f t="array" ref="N240">_xlfn._xlws.FILTER(Table3[Week '#],(Table3[Start Date]&lt;=Table6[[#This Row],[Date]])*(Table3[End Date]&gt;=Table6[[#This Row],[Date]]),"")</f>
        <v>Week 34</v>
      </c>
    </row>
    <row r="241" spans="8:14">
      <c r="H241" s="343">
        <v>20260821</v>
      </c>
      <c r="I241" s="362">
        <v>440631.69</v>
      </c>
      <c r="J241" s="343">
        <v>1720</v>
      </c>
      <c r="K241" s="343">
        <v>3905</v>
      </c>
      <c r="L241" s="363">
        <f t="shared" si="38"/>
        <v>46255</v>
      </c>
      <c r="M241" s="350" t="str">
        <f t="shared" si="39"/>
        <v>Friday</v>
      </c>
      <c r="N241" s="350" t="str" cm="1">
        <f t="array" ref="N241">_xlfn._xlws.FILTER(Table3[Week '#],(Table3[Start Date]&lt;=Table6[[#This Row],[Date]])*(Table3[End Date]&gt;=Table6[[#This Row],[Date]]),"")</f>
        <v>Week 34</v>
      </c>
    </row>
    <row r="242" spans="8:14">
      <c r="H242" s="343">
        <v>20260822</v>
      </c>
      <c r="I242" s="362">
        <v>511041.9</v>
      </c>
      <c r="J242" s="343">
        <v>2159</v>
      </c>
      <c r="K242" s="343">
        <v>4721</v>
      </c>
      <c r="L242" s="363">
        <f t="shared" si="38"/>
        <v>46256</v>
      </c>
      <c r="M242" s="350" t="str">
        <f t="shared" si="39"/>
        <v>Saturday</v>
      </c>
      <c r="N242" s="350" t="str" cm="1">
        <f t="array" ref="N242">_xlfn._xlws.FILTER(Table3[Week '#],(Table3[Start Date]&lt;=Table6[[#This Row],[Date]])*(Table3[End Date]&gt;=Table6[[#This Row],[Date]]),"")</f>
        <v>Week 34</v>
      </c>
    </row>
    <row r="243" spans="8:14">
      <c r="H243" s="343">
        <v>20260823</v>
      </c>
      <c r="I243" s="362">
        <v>303791.78000000003</v>
      </c>
      <c r="J243" s="343">
        <v>1217</v>
      </c>
      <c r="K243" s="343">
        <v>2751</v>
      </c>
      <c r="L243" s="363">
        <f t="shared" si="38"/>
        <v>46257</v>
      </c>
      <c r="M243" s="350" t="str">
        <f t="shared" si="39"/>
        <v>Sunday</v>
      </c>
      <c r="N243" s="350" t="str" cm="1">
        <f t="array" ref="N243">_xlfn._xlws.FILTER(Table3[Week '#],(Table3[Start Date]&lt;=Table6[[#This Row],[Date]])*(Table3[End Date]&gt;=Table6[[#This Row],[Date]]),"")</f>
        <v>Week 34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D303-EC50-4A00-AA05-57140238997E}">
  <sheetPr>
    <tabColor rgb="FF00B0F0"/>
  </sheetPr>
  <dimension ref="A1:CJ56"/>
  <sheetViews>
    <sheetView showGridLines="0" zoomScale="85" zoomScaleNormal="85" workbookViewId="0">
      <pane xSplit="4" ySplit="4" topLeftCell="E5" activePane="bottomRight" state="frozen"/>
      <selection pane="bottomRight" activeCell="AC19" sqref="AC19"/>
      <selection pane="bottomLeft" activeCell="A5" sqref="A5"/>
      <selection pane="topRight" activeCell="E1" sqref="E1"/>
    </sheetView>
  </sheetViews>
  <sheetFormatPr defaultRowHeight="15"/>
  <cols>
    <col min="1" max="1" width="9.5703125" bestFit="1" customWidth="1"/>
    <col min="2" max="2" width="5.28515625" bestFit="1" customWidth="1"/>
    <col min="3" max="3" width="3.85546875" style="2" bestFit="1" customWidth="1"/>
    <col min="4" max="4" width="9.28515625" style="168" bestFit="1" customWidth="1"/>
    <col min="5" max="5" width="15.42578125" customWidth="1"/>
    <col min="6" max="6" width="8.140625" customWidth="1"/>
    <col min="7" max="7" width="9.28515625" style="170" customWidth="1"/>
    <col min="8" max="8" width="12.42578125" customWidth="1"/>
    <col min="9" max="9" width="7.7109375" customWidth="1"/>
    <col min="10" max="10" width="9.28515625" style="169" customWidth="1"/>
    <col min="11" max="11" width="15.42578125" customWidth="1"/>
    <col min="12" max="12" width="8.140625" customWidth="1"/>
    <col min="13" max="13" width="9.28515625" style="171" customWidth="1"/>
    <col min="14" max="14" width="12.42578125" customWidth="1"/>
    <col min="15" max="15" width="7.7109375" customWidth="1"/>
    <col min="16" max="16" width="9.28515625" style="169" customWidth="1"/>
    <col min="17" max="17" width="13.5703125" customWidth="1"/>
    <col min="18" max="18" width="7.7109375" customWidth="1"/>
    <col min="19" max="19" width="9.28515625" style="169" customWidth="1"/>
    <col min="20" max="20" width="13.5703125" customWidth="1"/>
    <col min="21" max="21" width="8.140625" customWidth="1"/>
    <col min="22" max="22" width="9.28515625" style="169" customWidth="1"/>
    <col min="23" max="23" width="13.5703125" customWidth="1"/>
    <col min="24" max="24" width="8.140625" customWidth="1"/>
    <col min="25" max="25" width="11.85546875" style="171" customWidth="1"/>
    <col min="26" max="26" width="13.5703125" customWidth="1"/>
    <col min="27" max="27" width="8.140625" customWidth="1"/>
    <col min="28" max="28" width="9.28515625" style="169" customWidth="1"/>
    <col min="29" max="29" width="12.42578125" customWidth="1"/>
    <col min="30" max="30" width="7.7109375" customWidth="1"/>
    <col min="31" max="31" width="9.28515625" style="169" customWidth="1"/>
    <col min="32" max="32" width="12.42578125" customWidth="1"/>
    <col min="33" max="33" width="7.7109375" customWidth="1"/>
    <col min="34" max="34" width="9.28515625" style="169" customWidth="1"/>
    <col min="35" max="35" width="13.5703125" customWidth="1"/>
    <col min="36" max="36" width="8.140625" customWidth="1"/>
    <col min="37" max="37" width="9.28515625" style="171" customWidth="1"/>
    <col min="38" max="38" width="13.5703125" customWidth="1"/>
    <col min="39" max="39" width="8.140625" customWidth="1"/>
    <col min="40" max="40" width="9.28515625" style="169" customWidth="1"/>
    <col min="41" max="41" width="15.42578125" customWidth="1"/>
    <col min="42" max="42" width="8.140625" customWidth="1"/>
    <col min="43" max="43" width="9.28515625" style="169" customWidth="1"/>
    <col min="44" max="44" width="15.42578125" customWidth="1"/>
    <col min="45" max="45" width="8.140625" customWidth="1"/>
    <col min="46" max="46" width="9.28515625" style="171" customWidth="1"/>
    <col min="47" max="47" width="13.5703125" customWidth="1"/>
    <col min="48" max="48" width="6.5703125" bestFit="1" customWidth="1"/>
    <col min="49" max="49" width="9.28515625" style="169" customWidth="1"/>
    <col min="50" max="50" width="13.5703125" customWidth="1"/>
    <col min="51" max="51" width="8.140625" customWidth="1"/>
    <col min="52" max="52" width="9.28515625" style="169" customWidth="1"/>
    <col min="53" max="53" width="13.5703125" customWidth="1"/>
    <col min="54" max="54" width="9.85546875" customWidth="1"/>
    <col min="55" max="55" width="9.28515625" style="171" customWidth="1"/>
    <col min="56" max="56" width="13.5703125" customWidth="1"/>
    <col min="57" max="57" width="8.140625" bestFit="1" customWidth="1"/>
    <col min="58" max="58" width="9.28515625" style="169" bestFit="1" customWidth="1"/>
    <col min="59" max="59" width="12.42578125" bestFit="1" customWidth="1"/>
    <col min="60" max="60" width="7.7109375" bestFit="1" customWidth="1"/>
    <col min="61" max="61" width="9.5703125" style="169" bestFit="1" customWidth="1"/>
    <col min="62" max="62" width="6.7109375" bestFit="1" customWidth="1"/>
    <col min="63" max="63" width="7.7109375" bestFit="1" customWidth="1"/>
    <col min="64" max="64" width="7.28515625" style="169" bestFit="1" customWidth="1"/>
    <col min="65" max="65" width="13.5703125" bestFit="1" customWidth="1"/>
    <col min="66" max="66" width="8.140625" bestFit="1" customWidth="1"/>
    <col min="67" max="67" width="9.28515625" style="171" bestFit="1" customWidth="1"/>
    <col min="68" max="68" width="13.5703125" bestFit="1" customWidth="1"/>
    <col min="69" max="69" width="7.7109375" bestFit="1" customWidth="1"/>
    <col min="70" max="70" width="9.28515625" style="169" bestFit="1" customWidth="1"/>
    <col min="71" max="71" width="12.42578125" bestFit="1" customWidth="1"/>
    <col min="72" max="72" width="7.7109375" bestFit="1" customWidth="1"/>
    <col min="73" max="73" width="9.28515625" style="169" bestFit="1" customWidth="1"/>
    <col min="74" max="74" width="13.5703125" customWidth="1"/>
    <col min="75" max="75" width="8.140625" bestFit="1" customWidth="1"/>
    <col min="76" max="76" width="9.28515625" style="171" bestFit="1" customWidth="1"/>
    <col min="77" max="77" width="13.5703125" bestFit="1" customWidth="1"/>
    <col min="78" max="78" width="8.140625" bestFit="1" customWidth="1"/>
    <col min="79" max="79" width="9.28515625" style="169" bestFit="1" customWidth="1"/>
    <col min="80" max="80" width="12.42578125" bestFit="1" customWidth="1"/>
    <col min="81" max="81" width="7.7109375" bestFit="1" customWidth="1"/>
    <col min="82" max="82" width="9.28515625" style="169" bestFit="1" customWidth="1"/>
    <col min="83" max="83" width="6.7109375" bestFit="1" customWidth="1"/>
    <col min="84" max="84" width="7.7109375" bestFit="1" customWidth="1"/>
    <col min="85" max="85" width="7.28515625" style="169" bestFit="1" customWidth="1"/>
    <col min="86" max="86" width="13.5703125" bestFit="1" customWidth="1"/>
    <col min="87" max="87" width="8.140625" bestFit="1" customWidth="1"/>
    <col min="88" max="88" width="9.28515625" style="171" bestFit="1" customWidth="1"/>
  </cols>
  <sheetData>
    <row r="1" spans="1:88">
      <c r="G1" s="169"/>
    </row>
    <row r="2" spans="1:88" s="174" customFormat="1">
      <c r="A2" s="418" t="s">
        <v>194</v>
      </c>
      <c r="B2" s="418"/>
      <c r="C2" s="418"/>
      <c r="D2" s="418"/>
      <c r="E2" s="410" t="s">
        <v>195</v>
      </c>
      <c r="F2" s="410"/>
      <c r="G2" s="411"/>
      <c r="H2" s="410" t="s">
        <v>195</v>
      </c>
      <c r="I2" s="410"/>
      <c r="J2" s="411"/>
      <c r="K2" s="412" t="s">
        <v>195</v>
      </c>
      <c r="L2" s="410"/>
      <c r="M2" s="413"/>
      <c r="N2" s="410" t="s">
        <v>196</v>
      </c>
      <c r="O2" s="410"/>
      <c r="P2" s="411"/>
      <c r="Q2" s="410" t="s">
        <v>196</v>
      </c>
      <c r="R2" s="410"/>
      <c r="S2" s="411"/>
      <c r="T2" s="410" t="s">
        <v>196</v>
      </c>
      <c r="U2" s="410"/>
      <c r="V2" s="411"/>
      <c r="W2" s="412" t="s">
        <v>196</v>
      </c>
      <c r="X2" s="410"/>
      <c r="Y2" s="413"/>
      <c r="Z2" s="410" t="s">
        <v>197</v>
      </c>
      <c r="AA2" s="410"/>
      <c r="AB2" s="411"/>
      <c r="AC2" s="410" t="s">
        <v>197</v>
      </c>
      <c r="AD2" s="410"/>
      <c r="AE2" s="411"/>
      <c r="AF2" s="410" t="s">
        <v>197</v>
      </c>
      <c r="AG2" s="410"/>
      <c r="AH2" s="411"/>
      <c r="AI2" s="412" t="s">
        <v>198</v>
      </c>
      <c r="AJ2" s="410"/>
      <c r="AK2" s="413"/>
      <c r="AL2" s="410" t="s">
        <v>199</v>
      </c>
      <c r="AM2" s="410"/>
      <c r="AN2" s="411"/>
      <c r="AO2" s="410" t="s">
        <v>199</v>
      </c>
      <c r="AP2" s="410"/>
      <c r="AQ2" s="411"/>
      <c r="AR2" s="412" t="s">
        <v>199</v>
      </c>
      <c r="AS2" s="410"/>
      <c r="AT2" s="413"/>
      <c r="AU2" s="410" t="s">
        <v>200</v>
      </c>
      <c r="AV2" s="410"/>
      <c r="AW2" s="411"/>
      <c r="AX2" s="410" t="s">
        <v>200</v>
      </c>
      <c r="AY2" s="410"/>
      <c r="AZ2" s="411"/>
      <c r="BA2" s="412" t="s">
        <v>200</v>
      </c>
      <c r="BB2" s="410"/>
      <c r="BC2" s="413"/>
      <c r="BD2" s="410" t="s">
        <v>201</v>
      </c>
      <c r="BE2" s="410"/>
      <c r="BF2" s="411"/>
      <c r="BG2" s="410" t="s">
        <v>201</v>
      </c>
      <c r="BH2" s="410"/>
      <c r="BI2" s="411"/>
      <c r="BJ2" s="410" t="s">
        <v>201</v>
      </c>
      <c r="BK2" s="410"/>
      <c r="BL2" s="411"/>
      <c r="BM2" s="410" t="s">
        <v>201</v>
      </c>
      <c r="BN2" s="410"/>
      <c r="BO2" s="411"/>
      <c r="BP2" s="410" t="s">
        <v>202</v>
      </c>
      <c r="BQ2" s="410"/>
      <c r="BR2" s="411"/>
      <c r="BS2" s="410" t="s">
        <v>202</v>
      </c>
      <c r="BT2" s="410"/>
      <c r="BU2" s="411"/>
      <c r="BV2" s="410" t="s">
        <v>202</v>
      </c>
      <c r="BW2" s="410"/>
      <c r="BX2" s="411"/>
      <c r="BY2" s="410" t="s">
        <v>203</v>
      </c>
      <c r="BZ2" s="410"/>
      <c r="CA2" s="411"/>
      <c r="CB2" s="410" t="s">
        <v>203</v>
      </c>
      <c r="CC2" s="410"/>
      <c r="CD2" s="411"/>
      <c r="CE2" s="410" t="s">
        <v>203</v>
      </c>
      <c r="CF2" s="410"/>
      <c r="CG2" s="411"/>
      <c r="CH2" s="412" t="s">
        <v>203</v>
      </c>
      <c r="CI2" s="410"/>
      <c r="CJ2" s="413"/>
    </row>
    <row r="3" spans="1:88" s="4" customFormat="1">
      <c r="A3" s="418"/>
      <c r="B3" s="418"/>
      <c r="C3" s="418"/>
      <c r="D3" s="418"/>
      <c r="E3" s="414" t="s">
        <v>204</v>
      </c>
      <c r="F3" s="414"/>
      <c r="G3" s="415"/>
      <c r="H3" s="414" t="s">
        <v>205</v>
      </c>
      <c r="I3" s="414"/>
      <c r="J3" s="415"/>
      <c r="K3" s="416" t="s">
        <v>107</v>
      </c>
      <c r="L3" s="414"/>
      <c r="M3" s="417"/>
      <c r="N3" s="414" t="s">
        <v>206</v>
      </c>
      <c r="O3" s="414"/>
      <c r="P3" s="415"/>
      <c r="Q3" s="414" t="s">
        <v>207</v>
      </c>
      <c r="R3" s="414"/>
      <c r="S3" s="415"/>
      <c r="T3" s="414" t="s">
        <v>208</v>
      </c>
      <c r="U3" s="414"/>
      <c r="V3" s="415"/>
      <c r="W3" s="416" t="s">
        <v>107</v>
      </c>
      <c r="X3" s="414"/>
      <c r="Y3" s="417"/>
      <c r="Z3" s="414" t="s">
        <v>204</v>
      </c>
      <c r="AA3" s="414"/>
      <c r="AB3" s="415"/>
      <c r="AC3" s="414" t="s">
        <v>205</v>
      </c>
      <c r="AD3" s="414"/>
      <c r="AE3" s="415"/>
      <c r="AF3" s="414" t="s">
        <v>207</v>
      </c>
      <c r="AG3" s="414"/>
      <c r="AH3" s="415"/>
      <c r="AI3" s="416" t="s">
        <v>107</v>
      </c>
      <c r="AJ3" s="414"/>
      <c r="AK3" s="417"/>
      <c r="AL3" s="414" t="s">
        <v>205</v>
      </c>
      <c r="AM3" s="414"/>
      <c r="AN3" s="415"/>
      <c r="AO3" s="414" t="s">
        <v>204</v>
      </c>
      <c r="AP3" s="414"/>
      <c r="AQ3" s="415"/>
      <c r="AR3" s="416" t="s">
        <v>107</v>
      </c>
      <c r="AS3" s="414"/>
      <c r="AT3" s="417"/>
      <c r="AU3" s="414" t="s">
        <v>205</v>
      </c>
      <c r="AV3" s="414"/>
      <c r="AW3" s="415"/>
      <c r="AX3" s="414" t="s">
        <v>204</v>
      </c>
      <c r="AY3" s="414"/>
      <c r="AZ3" s="415"/>
      <c r="BA3" s="416" t="s">
        <v>107</v>
      </c>
      <c r="BB3" s="414"/>
      <c r="BC3" s="417"/>
      <c r="BD3" s="414" t="s">
        <v>204</v>
      </c>
      <c r="BE3" s="414"/>
      <c r="BF3" s="415"/>
      <c r="BG3" s="414" t="s">
        <v>205</v>
      </c>
      <c r="BH3" s="414"/>
      <c r="BI3" s="415"/>
      <c r="BJ3" s="414" t="s">
        <v>207</v>
      </c>
      <c r="BK3" s="414"/>
      <c r="BL3" s="415"/>
      <c r="BM3" s="416" t="s">
        <v>107</v>
      </c>
      <c r="BN3" s="414"/>
      <c r="BO3" s="417"/>
      <c r="BP3" s="414" t="s">
        <v>208</v>
      </c>
      <c r="BQ3" s="414"/>
      <c r="BR3" s="415"/>
      <c r="BS3" s="414" t="s">
        <v>207</v>
      </c>
      <c r="BT3" s="414"/>
      <c r="BU3" s="415"/>
      <c r="BV3" s="416" t="s">
        <v>107</v>
      </c>
      <c r="BW3" s="414"/>
      <c r="BX3" s="417"/>
      <c r="BY3" s="414" t="s">
        <v>204</v>
      </c>
      <c r="BZ3" s="414"/>
      <c r="CA3" s="415"/>
      <c r="CB3" s="414" t="s">
        <v>205</v>
      </c>
      <c r="CC3" s="414"/>
      <c r="CD3" s="415"/>
      <c r="CE3" s="414" t="s">
        <v>207</v>
      </c>
      <c r="CF3" s="414"/>
      <c r="CG3" s="415"/>
      <c r="CH3" s="416" t="s">
        <v>107</v>
      </c>
      <c r="CI3" s="414"/>
      <c r="CJ3" s="417"/>
    </row>
    <row r="4" spans="1:88" s="2" customFormat="1">
      <c r="D4" s="311"/>
      <c r="E4" s="2" t="s">
        <v>71</v>
      </c>
      <c r="F4" s="2" t="s">
        <v>63</v>
      </c>
      <c r="G4" s="312" t="s">
        <v>209</v>
      </c>
      <c r="H4" s="2" t="s">
        <v>71</v>
      </c>
      <c r="I4" s="2" t="s">
        <v>63</v>
      </c>
      <c r="J4" s="313" t="s">
        <v>209</v>
      </c>
      <c r="K4" s="2" t="s">
        <v>16</v>
      </c>
      <c r="L4" s="2" t="s">
        <v>63</v>
      </c>
      <c r="M4" s="314" t="s">
        <v>209</v>
      </c>
      <c r="N4" s="2" t="s">
        <v>71</v>
      </c>
      <c r="O4" s="2" t="s">
        <v>63</v>
      </c>
      <c r="P4" s="313" t="s">
        <v>209</v>
      </c>
      <c r="Q4" s="2" t="s">
        <v>71</v>
      </c>
      <c r="R4" s="2" t="s">
        <v>63</v>
      </c>
      <c r="S4" s="313" t="s">
        <v>209</v>
      </c>
      <c r="T4" s="2" t="s">
        <v>71</v>
      </c>
      <c r="U4" s="2" t="s">
        <v>63</v>
      </c>
      <c r="V4" s="313" t="s">
        <v>209</v>
      </c>
      <c r="W4" s="2" t="s">
        <v>16</v>
      </c>
      <c r="X4" s="2" t="s">
        <v>63</v>
      </c>
      <c r="Y4" s="314" t="s">
        <v>209</v>
      </c>
      <c r="Z4" s="2" t="s">
        <v>71</v>
      </c>
      <c r="AA4" s="2" t="s">
        <v>63</v>
      </c>
      <c r="AB4" s="313" t="s">
        <v>209</v>
      </c>
      <c r="AC4" s="2" t="s">
        <v>71</v>
      </c>
      <c r="AD4" s="2" t="s">
        <v>63</v>
      </c>
      <c r="AE4" s="313" t="s">
        <v>209</v>
      </c>
      <c r="AF4" s="2" t="s">
        <v>71</v>
      </c>
      <c r="AG4" s="2" t="s">
        <v>63</v>
      </c>
      <c r="AH4" s="313" t="s">
        <v>209</v>
      </c>
      <c r="AI4" s="2" t="s">
        <v>16</v>
      </c>
      <c r="AJ4" s="2" t="s">
        <v>63</v>
      </c>
      <c r="AK4" s="314" t="s">
        <v>209</v>
      </c>
      <c r="AL4" s="2" t="s">
        <v>71</v>
      </c>
      <c r="AM4" s="2" t="s">
        <v>63</v>
      </c>
      <c r="AN4" s="313" t="s">
        <v>209</v>
      </c>
      <c r="AO4" s="2" t="s">
        <v>71</v>
      </c>
      <c r="AP4" s="2" t="s">
        <v>63</v>
      </c>
      <c r="AQ4" s="313" t="s">
        <v>209</v>
      </c>
      <c r="AR4" s="2" t="s">
        <v>16</v>
      </c>
      <c r="AS4" s="2" t="s">
        <v>63</v>
      </c>
      <c r="AT4" s="314" t="s">
        <v>209</v>
      </c>
      <c r="AU4" s="2" t="s">
        <v>71</v>
      </c>
      <c r="AV4" s="2" t="s">
        <v>63</v>
      </c>
      <c r="AW4" s="313" t="s">
        <v>209</v>
      </c>
      <c r="AX4" s="2" t="s">
        <v>71</v>
      </c>
      <c r="AY4" s="2" t="s">
        <v>63</v>
      </c>
      <c r="AZ4" s="313" t="s">
        <v>209</v>
      </c>
      <c r="BA4" s="2" t="s">
        <v>16</v>
      </c>
      <c r="BB4" s="2" t="s">
        <v>63</v>
      </c>
      <c r="BC4" s="314" t="s">
        <v>209</v>
      </c>
      <c r="BD4" s="2" t="s">
        <v>71</v>
      </c>
      <c r="BE4" s="2" t="s">
        <v>63</v>
      </c>
      <c r="BF4" s="313" t="s">
        <v>209</v>
      </c>
      <c r="BG4" s="2" t="s">
        <v>71</v>
      </c>
      <c r="BH4" s="2" t="s">
        <v>63</v>
      </c>
      <c r="BI4" s="313" t="s">
        <v>209</v>
      </c>
      <c r="BJ4" s="2" t="s">
        <v>71</v>
      </c>
      <c r="BK4" s="2" t="s">
        <v>63</v>
      </c>
      <c r="BL4" s="313" t="s">
        <v>209</v>
      </c>
      <c r="BM4" s="2" t="s">
        <v>16</v>
      </c>
      <c r="BN4" s="2" t="s">
        <v>63</v>
      </c>
      <c r="BO4" s="314" t="s">
        <v>209</v>
      </c>
      <c r="BP4" s="2" t="s">
        <v>71</v>
      </c>
      <c r="BQ4" s="2" t="s">
        <v>63</v>
      </c>
      <c r="BR4" s="313" t="s">
        <v>209</v>
      </c>
      <c r="BS4" s="2" t="s">
        <v>71</v>
      </c>
      <c r="BT4" s="2" t="s">
        <v>63</v>
      </c>
      <c r="BU4" s="313" t="s">
        <v>209</v>
      </c>
      <c r="BV4" s="2" t="s">
        <v>16</v>
      </c>
      <c r="BW4" s="2" t="s">
        <v>63</v>
      </c>
      <c r="BX4" s="314" t="s">
        <v>209</v>
      </c>
      <c r="BY4" s="2" t="s">
        <v>71</v>
      </c>
      <c r="BZ4" s="2" t="s">
        <v>63</v>
      </c>
      <c r="CA4" s="313" t="s">
        <v>209</v>
      </c>
      <c r="CB4" s="2" t="s">
        <v>71</v>
      </c>
      <c r="CC4" s="2" t="s">
        <v>63</v>
      </c>
      <c r="CD4" s="313" t="s">
        <v>209</v>
      </c>
      <c r="CE4" s="2" t="s">
        <v>71</v>
      </c>
      <c r="CF4" s="2" t="s">
        <v>63</v>
      </c>
      <c r="CG4" s="313" t="s">
        <v>209</v>
      </c>
      <c r="CH4" s="2" t="s">
        <v>71</v>
      </c>
      <c r="CI4" s="2" t="s">
        <v>63</v>
      </c>
      <c r="CJ4" s="314" t="s">
        <v>209</v>
      </c>
    </row>
    <row r="5" spans="1:88">
      <c r="A5" t="s">
        <v>122</v>
      </c>
      <c r="B5" t="s">
        <v>121</v>
      </c>
      <c r="C5" s="2">
        <f>VLOOKUP(A5,Dates!$B$2:$E$53,4,FALSE)</f>
        <v>1</v>
      </c>
      <c r="D5" s="168" t="b">
        <f>IF(C5&lt;='RDG Weekly Sales'!$F$1,TRUE,FALSE)</f>
        <v>1</v>
      </c>
      <c r="E5" s="167">
        <f>1102583.42-H5-694.45</f>
        <v>1054246.27</v>
      </c>
      <c r="F5" s="168">
        <f>6073-I5</f>
        <v>5640</v>
      </c>
      <c r="G5" s="170">
        <f>IFERROR(E5/F5,"")</f>
        <v>186.9230975177305</v>
      </c>
      <c r="H5" s="167">
        <v>47642.7</v>
      </c>
      <c r="I5" s="168">
        <v>433</v>
      </c>
      <c r="J5" s="170">
        <f t="shared" ref="J5:J56" si="0">IFERROR(H5/I5,"")</f>
        <v>110.02933025404157</v>
      </c>
      <c r="K5" s="3">
        <f t="shared" ref="K5:K36" si="1">E5+H5</f>
        <v>1101888.97</v>
      </c>
      <c r="L5" s="97">
        <f t="shared" ref="L5:L36" si="2">F5+I5</f>
        <v>6073</v>
      </c>
      <c r="M5" s="172">
        <f t="shared" ref="M5:M56" si="3">IFERROR(K5/L5,"")</f>
        <v>181.44063395356497</v>
      </c>
      <c r="N5" s="167">
        <v>37270</v>
      </c>
      <c r="O5" s="168">
        <v>94</v>
      </c>
      <c r="P5" s="170">
        <f t="shared" ref="P5:P56" si="4">IFERROR(N5/O5,"")</f>
        <v>396.48936170212767</v>
      </c>
      <c r="Q5" s="167">
        <f>140722.92+33178</f>
        <v>173900.92</v>
      </c>
      <c r="R5" s="168">
        <f>127+138+2+79+88+130+118+2</f>
        <v>684</v>
      </c>
      <c r="S5" s="170">
        <f t="shared" ref="S5:S56" si="5">IFERROR(Q5/R5,"")</f>
        <v>254.24111111111114</v>
      </c>
      <c r="T5" s="167">
        <f>519097.55+73494-362.61</f>
        <v>592228.94000000006</v>
      </c>
      <c r="U5" s="168">
        <f>258+13+279+17+207+10+223+22+242+18+221+15</f>
        <v>1525</v>
      </c>
      <c r="V5" s="170">
        <f t="shared" ref="V5:V56" si="6">IFERROR(T5/U5,"")</f>
        <v>388.34684590163937</v>
      </c>
      <c r="W5" s="167">
        <f>SUM(N5,Q5,T5)</f>
        <v>803399.8600000001</v>
      </c>
      <c r="X5" s="168">
        <f>SUM(O5,R5,U5)</f>
        <v>2303</v>
      </c>
      <c r="Y5" s="172">
        <f t="shared" ref="Y5:Y56" si="7">IFERROR(W5/X5,"")</f>
        <v>348.849266174555</v>
      </c>
      <c r="Z5" s="167">
        <f>256579.58-AC5-361.6</f>
        <v>228189.61999999997</v>
      </c>
      <c r="AA5" s="168">
        <f>2290-AD5</f>
        <v>1916</v>
      </c>
      <c r="AB5" s="170">
        <f t="shared" ref="AB5:AB56" si="8">IFERROR(Z5/AA5,"")</f>
        <v>119.096878914405</v>
      </c>
      <c r="AC5" s="167">
        <v>28028.36</v>
      </c>
      <c r="AD5" s="168">
        <f>180+194</f>
        <v>374</v>
      </c>
      <c r="AE5" s="170">
        <f t="shared" ref="AE5:AE56" si="9">IFERROR(AC5/AD5,"")</f>
        <v>74.942139037433151</v>
      </c>
      <c r="AF5" s="167">
        <f>44840.44-521.92</f>
        <v>44318.520000000004</v>
      </c>
      <c r="AG5" s="168">
        <f>57+26+52+69</f>
        <v>204</v>
      </c>
      <c r="AH5" s="170">
        <f t="shared" ref="AH5:AH56" si="10">IFERROR(AF5/AG5,"")</f>
        <v>217.24764705882356</v>
      </c>
      <c r="AI5" s="3">
        <f>Z5+AF5+AC5</f>
        <v>300536.49999999994</v>
      </c>
      <c r="AJ5" s="97">
        <f>AA5+AG5+AD5</f>
        <v>2494</v>
      </c>
      <c r="AK5" s="172">
        <f t="shared" ref="AK5:AK56" si="11">IFERROR(AI5/AJ5,"")</f>
        <v>120.50380914194064</v>
      </c>
      <c r="AL5" s="167">
        <v>148498.5</v>
      </c>
      <c r="AM5" s="168">
        <f>529+573</f>
        <v>1102</v>
      </c>
      <c r="AN5" s="170">
        <f t="shared" ref="AN5:AN56" si="12">IFERROR(AL5/AM5,"")</f>
        <v>134.75362976406532</v>
      </c>
      <c r="AO5" s="302">
        <f>1639708.27-2309.94-AL5</f>
        <v>1488899.83</v>
      </c>
      <c r="AP5" s="168">
        <f>6146-AM5</f>
        <v>5044</v>
      </c>
      <c r="AQ5" s="170">
        <f t="shared" ref="AQ5:AQ56" si="13">IFERROR(AO5/AP5,"")</f>
        <v>295.18236122125296</v>
      </c>
      <c r="AR5" s="3">
        <f>AO5+AL5</f>
        <v>1637398.33</v>
      </c>
      <c r="AS5" s="97">
        <f>AP5+AM5</f>
        <v>6146</v>
      </c>
      <c r="AT5" s="172">
        <f t="shared" ref="AT5:AT56" si="14">IFERROR(AR5/AS5,"")</f>
        <v>266.41691018548653</v>
      </c>
      <c r="AU5" s="167"/>
      <c r="AV5" s="168"/>
      <c r="AW5" s="170">
        <f>IFERROR(AU5/AV5,0)</f>
        <v>0</v>
      </c>
      <c r="AX5" s="167">
        <f>574241.19-354.85-AU5</f>
        <v>573886.34</v>
      </c>
      <c r="AY5" s="168">
        <v>2831</v>
      </c>
      <c r="AZ5" s="170">
        <f t="shared" ref="AZ5:AZ56" si="15">IFERROR(AX5/AY5,"")</f>
        <v>202.71506181561284</v>
      </c>
      <c r="BA5" s="3">
        <f>AX5+AU5</f>
        <v>573886.34</v>
      </c>
      <c r="BB5" s="97">
        <f>AY5+AV5</f>
        <v>2831</v>
      </c>
      <c r="BC5" s="172">
        <f t="shared" ref="BC5:BC56" si="16">IFERROR(BA5/BB5,"")</f>
        <v>202.71506181561284</v>
      </c>
      <c r="BD5" s="167">
        <f>258336.81-104.4-BG5-BJ5</f>
        <v>245767.89</v>
      </c>
      <c r="BE5" s="168">
        <f>1726-BH5-BK5</f>
        <v>1553</v>
      </c>
      <c r="BF5" s="170">
        <f t="shared" ref="BF5:BF56" si="17">IFERROR(BD5/BE5,"")</f>
        <v>158.25363168061816</v>
      </c>
      <c r="BG5" s="167">
        <v>12464.52</v>
      </c>
      <c r="BH5" s="168">
        <f>87+86</f>
        <v>173</v>
      </c>
      <c r="BI5" s="170">
        <f t="shared" ref="BI5:BI56" si="18">IFERROR(BG5/BH5,"")</f>
        <v>72.049248554913291</v>
      </c>
      <c r="BJ5" s="168"/>
      <c r="BK5" s="168"/>
      <c r="BL5" s="170" t="str">
        <f t="shared" ref="BL5:BL56" si="19">IFERROR(BJ5/BK5,"")</f>
        <v/>
      </c>
      <c r="BM5" s="3">
        <f>BD5+BJ5+BG5</f>
        <v>258232.41</v>
      </c>
      <c r="BN5" s="97">
        <f>BE5+BK5+BH5</f>
        <v>1726</v>
      </c>
      <c r="BO5" s="172">
        <f t="shared" ref="BO5:BO56" si="20">IFERROR(BM5/BN5,"")</f>
        <v>149.61321552723058</v>
      </c>
      <c r="BP5" s="167">
        <v>0</v>
      </c>
      <c r="BQ5" s="168">
        <v>0</v>
      </c>
      <c r="BR5" s="170" t="str">
        <f t="shared" ref="BR5:BR11" si="21">IFERROR(BP5/BQ5,"")</f>
        <v/>
      </c>
      <c r="BS5" s="302">
        <v>0</v>
      </c>
      <c r="BT5" s="168">
        <v>0</v>
      </c>
      <c r="BU5" s="170" t="str">
        <f t="shared" ref="BU5:BU11" si="22">IFERROR(BS5/BT5,"")</f>
        <v/>
      </c>
      <c r="BV5" s="3">
        <f>+BP5+BS5</f>
        <v>0</v>
      </c>
      <c r="BW5" s="97">
        <f>BT5+BQ5</f>
        <v>0</v>
      </c>
      <c r="BX5" s="172" t="str">
        <f t="shared" ref="BX5:BX11" si="23">IFERROR(BV5/BW5,"")</f>
        <v/>
      </c>
      <c r="BY5" s="167">
        <v>0</v>
      </c>
      <c r="BZ5" s="167">
        <v>0</v>
      </c>
      <c r="CA5" s="170" t="str">
        <f t="shared" ref="CA5:CA11" si="24">IFERROR(BY5/BZ5,"")</f>
        <v/>
      </c>
      <c r="CB5" s="167">
        <v>0</v>
      </c>
      <c r="CC5" s="167">
        <v>0</v>
      </c>
      <c r="CD5" s="170" t="str">
        <f t="shared" ref="CD5:CD11" si="25">IFERROR(CB5/CC5,"")</f>
        <v/>
      </c>
      <c r="CE5" s="168"/>
      <c r="CF5" s="168"/>
      <c r="CG5" s="170" t="str">
        <f t="shared" ref="CG5:CG11" si="26">IFERROR(CE5/CF5,"")</f>
        <v/>
      </c>
      <c r="CH5" s="3">
        <f>BY5+CE5+CB5</f>
        <v>0</v>
      </c>
      <c r="CI5" s="97">
        <f>BZ5+CF5+CC5</f>
        <v>0</v>
      </c>
      <c r="CJ5" s="172" t="str">
        <f t="shared" ref="CJ5:CJ11" si="27">IFERROR(CH5/CI5,"")</f>
        <v/>
      </c>
    </row>
    <row r="6" spans="1:88">
      <c r="A6" t="s">
        <v>123</v>
      </c>
      <c r="B6" t="s">
        <v>121</v>
      </c>
      <c r="C6" s="2">
        <f>VLOOKUP(A6,Dates!$B$2:$E$53,4,FALSE)</f>
        <v>2</v>
      </c>
      <c r="D6" s="168" t="b">
        <f>IF(C6&lt;='RDG Weekly Sales'!$F$1,TRUE,FALSE)</f>
        <v>1</v>
      </c>
      <c r="E6" s="167">
        <f>880177.35-13716.72-H6-62000</f>
        <v>751094.63</v>
      </c>
      <c r="F6" s="168">
        <f>4397-I6</f>
        <v>4056</v>
      </c>
      <c r="G6" s="170">
        <f t="shared" ref="G6:G56" si="28">IFERROR(E6/F6,"")</f>
        <v>185.18112179487179</v>
      </c>
      <c r="H6" s="167">
        <v>53366</v>
      </c>
      <c r="I6" s="168">
        <v>341</v>
      </c>
      <c r="J6" s="170">
        <f t="shared" si="0"/>
        <v>156.49853372434018</v>
      </c>
      <c r="K6" s="3">
        <f t="shared" si="1"/>
        <v>804460.63</v>
      </c>
      <c r="L6" s="97">
        <f t="shared" si="2"/>
        <v>4397</v>
      </c>
      <c r="M6" s="172">
        <f t="shared" si="3"/>
        <v>182.95670457129862</v>
      </c>
      <c r="N6" s="167">
        <v>18797</v>
      </c>
      <c r="O6" s="168">
        <v>66</v>
      </c>
      <c r="P6" s="170">
        <f t="shared" si="4"/>
        <v>284.80303030303031</v>
      </c>
      <c r="Q6" s="167">
        <f>64479.17+45111</f>
        <v>109590.17</v>
      </c>
      <c r="R6" s="168">
        <f>2+45+104+114</f>
        <v>265</v>
      </c>
      <c r="S6" s="170">
        <f t="shared" si="5"/>
        <v>413.5478113207547</v>
      </c>
      <c r="T6" s="167">
        <f>201409.35+62707.18-9011.83+62000</f>
        <v>317104.70000000007</v>
      </c>
      <c r="U6" s="168">
        <f>170+193+322+125</f>
        <v>810</v>
      </c>
      <c r="V6" s="170">
        <f t="shared" si="6"/>
        <v>391.48728395061738</v>
      </c>
      <c r="W6" s="167">
        <f t="shared" ref="W6:W56" si="29">SUM(N6,Q6,T6)</f>
        <v>445491.87000000005</v>
      </c>
      <c r="X6" s="168">
        <f t="shared" ref="X6:X56" si="30">SUM(O6,R6,U6)</f>
        <v>1141</v>
      </c>
      <c r="Y6" s="172">
        <f t="shared" si="7"/>
        <v>390.43985100788785</v>
      </c>
      <c r="Z6" s="167">
        <f>192471.13-377.75-AC6</f>
        <v>166160.58000000002</v>
      </c>
      <c r="AA6" s="168">
        <f>1965-AD6</f>
        <v>1577</v>
      </c>
      <c r="AB6" s="170">
        <f t="shared" si="8"/>
        <v>105.36498414711478</v>
      </c>
      <c r="AC6" s="167">
        <v>25932.799999999999</v>
      </c>
      <c r="AD6" s="168">
        <f>191+197</f>
        <v>388</v>
      </c>
      <c r="AE6" s="170">
        <f t="shared" si="9"/>
        <v>66.83711340206186</v>
      </c>
      <c r="AF6" s="167">
        <f>25942.65-60.45</f>
        <v>25882.2</v>
      </c>
      <c r="AG6" s="168">
        <f>20+26+32+67+78</f>
        <v>223</v>
      </c>
      <c r="AH6" s="170">
        <f t="shared" si="10"/>
        <v>116.06367713004485</v>
      </c>
      <c r="AI6" s="3">
        <f t="shared" ref="AI6:AI56" si="31">Z6+AF6+AC6</f>
        <v>217975.58000000002</v>
      </c>
      <c r="AJ6" s="97">
        <f t="shared" ref="AJ6:AJ56" si="32">AA6+AG6+AD6</f>
        <v>2188</v>
      </c>
      <c r="AK6" s="172">
        <f t="shared" si="11"/>
        <v>99.623208409506404</v>
      </c>
      <c r="AL6" s="167">
        <v>158147.85999999999</v>
      </c>
      <c r="AM6" s="168">
        <f>542+367</f>
        <v>909</v>
      </c>
      <c r="AN6" s="170">
        <f t="shared" si="12"/>
        <v>173.98004400440041</v>
      </c>
      <c r="AO6" s="167">
        <f>679288.57-AL6-1727.5</f>
        <v>519413.20999999996</v>
      </c>
      <c r="AP6" s="168">
        <f>3479-AM6</f>
        <v>2570</v>
      </c>
      <c r="AQ6" s="170">
        <f t="shared" si="13"/>
        <v>202.10630739299609</v>
      </c>
      <c r="AR6" s="3">
        <f t="shared" ref="AR6:AR56" si="33">AO6+AL6</f>
        <v>677561.07</v>
      </c>
      <c r="AS6" s="97">
        <f t="shared" ref="AS6:AS56" si="34">AP6+AM6</f>
        <v>3479</v>
      </c>
      <c r="AT6" s="172">
        <f t="shared" si="14"/>
        <v>194.75742167289451</v>
      </c>
      <c r="AU6" s="167"/>
      <c r="AV6" s="168"/>
      <c r="AW6" s="170">
        <f t="shared" ref="AW6:AW19" si="35">IFERROR(AU6/AV6,0)</f>
        <v>0</v>
      </c>
      <c r="AX6" s="167">
        <f>302340.95-AU6</f>
        <v>302340.95</v>
      </c>
      <c r="AY6" s="168">
        <v>1766</v>
      </c>
      <c r="AZ6" s="170">
        <f t="shared" si="15"/>
        <v>171.20099093997734</v>
      </c>
      <c r="BA6" s="3">
        <f t="shared" ref="BA6:BA56" si="36">AX6+AU6</f>
        <v>302340.95</v>
      </c>
      <c r="BB6" s="97">
        <f t="shared" ref="BB6:BB56" si="37">AY6+AV6</f>
        <v>1766</v>
      </c>
      <c r="BC6" s="172">
        <f t="shared" si="16"/>
        <v>171.20099093997734</v>
      </c>
      <c r="BD6" s="167">
        <f>198817.36-748.7-BG6</f>
        <v>184849.06999999998</v>
      </c>
      <c r="BE6" s="168">
        <f>1562-BH6</f>
        <v>1396</v>
      </c>
      <c r="BF6" s="170">
        <f t="shared" si="17"/>
        <v>132.41337392550142</v>
      </c>
      <c r="BG6" s="167">
        <v>13219.59</v>
      </c>
      <c r="BH6" s="168">
        <f>103+63</f>
        <v>166</v>
      </c>
      <c r="BI6" s="170">
        <f t="shared" si="18"/>
        <v>79.636084337349402</v>
      </c>
      <c r="BJ6" s="168"/>
      <c r="BK6" s="168"/>
      <c r="BL6" s="170" t="str">
        <f t="shared" si="19"/>
        <v/>
      </c>
      <c r="BM6" s="3">
        <f t="shared" ref="BM6:BM56" si="38">BD6+BJ6+BG6</f>
        <v>198068.65999999997</v>
      </c>
      <c r="BN6" s="97">
        <f t="shared" ref="BN6:BN56" si="39">BE6+BK6+BH6</f>
        <v>1562</v>
      </c>
      <c r="BO6" s="172">
        <f t="shared" si="20"/>
        <v>126.80451984635081</v>
      </c>
      <c r="BP6" s="167">
        <v>0</v>
      </c>
      <c r="BQ6" s="168">
        <v>0</v>
      </c>
      <c r="BR6" s="170" t="str">
        <f t="shared" si="21"/>
        <v/>
      </c>
      <c r="BS6" s="167">
        <v>0</v>
      </c>
      <c r="BT6" s="168">
        <v>0</v>
      </c>
      <c r="BU6" s="170" t="str">
        <f t="shared" si="22"/>
        <v/>
      </c>
      <c r="BV6" s="3">
        <f t="shared" ref="BV6:BV56" si="40">+BP6+BS6</f>
        <v>0</v>
      </c>
      <c r="BW6" s="97">
        <f t="shared" ref="BW6:BW11" si="41">BT6+BQ6</f>
        <v>0</v>
      </c>
      <c r="BX6" s="172" t="str">
        <f t="shared" si="23"/>
        <v/>
      </c>
      <c r="BY6" s="167">
        <v>0</v>
      </c>
      <c r="BZ6" s="167">
        <v>0</v>
      </c>
      <c r="CA6" s="170" t="str">
        <f t="shared" si="24"/>
        <v/>
      </c>
      <c r="CB6" s="167">
        <v>0</v>
      </c>
      <c r="CC6" s="167">
        <v>0</v>
      </c>
      <c r="CD6" s="170" t="str">
        <f t="shared" si="25"/>
        <v/>
      </c>
      <c r="CE6" s="168"/>
      <c r="CF6" s="168"/>
      <c r="CG6" s="170" t="str">
        <f t="shared" si="26"/>
        <v/>
      </c>
      <c r="CH6" s="3">
        <f t="shared" ref="CH6:CH11" si="42">BY6+CE6+CB6</f>
        <v>0</v>
      </c>
      <c r="CI6" s="97">
        <f t="shared" ref="CI6:CI11" si="43">BZ6+CF6+CC6</f>
        <v>0</v>
      </c>
      <c r="CJ6" s="172" t="str">
        <f t="shared" si="27"/>
        <v/>
      </c>
    </row>
    <row r="7" spans="1:88">
      <c r="A7" t="s">
        <v>124</v>
      </c>
      <c r="B7" t="s">
        <v>121</v>
      </c>
      <c r="C7" s="2">
        <f>VLOOKUP(A7,Dates!$B$2:$E$53,4,FALSE)</f>
        <v>3</v>
      </c>
      <c r="D7" s="168" t="b">
        <f>IF(C7&lt;='RDG Weekly Sales'!$F$1,TRUE,FALSE)</f>
        <v>1</v>
      </c>
      <c r="E7" s="167">
        <f>928282.58-10682.07-H7</f>
        <v>850056.06</v>
      </c>
      <c r="F7" s="168">
        <f>4961-I7</f>
        <v>4497</v>
      </c>
      <c r="G7" s="170">
        <f t="shared" si="28"/>
        <v>189.02736490993996</v>
      </c>
      <c r="H7" s="167">
        <v>67544.45</v>
      </c>
      <c r="I7" s="168">
        <v>464</v>
      </c>
      <c r="J7" s="170">
        <f t="shared" si="0"/>
        <v>145.56993534482757</v>
      </c>
      <c r="K7" s="3">
        <f t="shared" si="1"/>
        <v>917600.51</v>
      </c>
      <c r="L7" s="97">
        <f t="shared" si="2"/>
        <v>4961</v>
      </c>
      <c r="M7" s="172">
        <f t="shared" si="3"/>
        <v>184.962811933078</v>
      </c>
      <c r="N7" s="167">
        <v>19544.75</v>
      </c>
      <c r="O7" s="168">
        <v>67</v>
      </c>
      <c r="P7" s="170">
        <f t="shared" si="4"/>
        <v>291.71268656716416</v>
      </c>
      <c r="Q7" s="167">
        <f>87547.9+19112</f>
        <v>106659.9</v>
      </c>
      <c r="R7" s="168">
        <f>43+51+54+122+3+106+61</f>
        <v>440</v>
      </c>
      <c r="S7" s="170">
        <f t="shared" si="5"/>
        <v>242.40886363636363</v>
      </c>
      <c r="T7" s="167">
        <f>400126.75+36101.5</f>
        <v>436228.25</v>
      </c>
      <c r="U7" s="168">
        <f>60+98+217+256+15+247+15+122</f>
        <v>1030</v>
      </c>
      <c r="V7" s="170">
        <f t="shared" si="6"/>
        <v>423.52257281553398</v>
      </c>
      <c r="W7" s="167">
        <f t="shared" si="29"/>
        <v>562432.9</v>
      </c>
      <c r="X7" s="168">
        <f t="shared" si="30"/>
        <v>1537</v>
      </c>
      <c r="Y7" s="172">
        <f t="shared" si="7"/>
        <v>365.92901756668834</v>
      </c>
      <c r="Z7" s="167">
        <f>205849.76-149.75-AC7</f>
        <v>179877.31</v>
      </c>
      <c r="AA7" s="168">
        <f>1930-AD7</f>
        <v>1557</v>
      </c>
      <c r="AB7" s="170">
        <f t="shared" si="8"/>
        <v>115.52813744380218</v>
      </c>
      <c r="AC7" s="167">
        <v>25822.7</v>
      </c>
      <c r="AD7" s="168">
        <f>198+175</f>
        <v>373</v>
      </c>
      <c r="AE7" s="170">
        <f t="shared" si="9"/>
        <v>69.229758713136732</v>
      </c>
      <c r="AF7" s="167">
        <f>36390.05-755.05</f>
        <v>35635</v>
      </c>
      <c r="AG7" s="168">
        <v>244</v>
      </c>
      <c r="AH7" s="170">
        <f t="shared" si="10"/>
        <v>146.04508196721312</v>
      </c>
      <c r="AI7" s="3">
        <f t="shared" si="31"/>
        <v>241335.01</v>
      </c>
      <c r="AJ7" s="97">
        <f t="shared" si="32"/>
        <v>2174</v>
      </c>
      <c r="AK7" s="172">
        <f t="shared" si="11"/>
        <v>111.00966421343146</v>
      </c>
      <c r="AL7" s="167">
        <v>192827.35</v>
      </c>
      <c r="AM7" s="168">
        <f>726+381</f>
        <v>1107</v>
      </c>
      <c r="AN7" s="170">
        <f t="shared" si="12"/>
        <v>174.18911472448059</v>
      </c>
      <c r="AO7" s="167">
        <f>748743.87-AL7-3171.55</f>
        <v>552744.97</v>
      </c>
      <c r="AP7" s="168">
        <f>4095-AM7</f>
        <v>2988</v>
      </c>
      <c r="AQ7" s="170">
        <f t="shared" si="13"/>
        <v>184.98827643908967</v>
      </c>
      <c r="AR7" s="3">
        <f t="shared" si="33"/>
        <v>745572.32</v>
      </c>
      <c r="AS7" s="97">
        <f t="shared" si="34"/>
        <v>4095</v>
      </c>
      <c r="AT7" s="172">
        <f t="shared" si="14"/>
        <v>182.06894261294261</v>
      </c>
      <c r="AU7" s="167"/>
      <c r="AV7" s="168"/>
      <c r="AW7" s="170">
        <f t="shared" si="35"/>
        <v>0</v>
      </c>
      <c r="AX7" s="167">
        <f>355272.03-1529.53-AU7</f>
        <v>353742.5</v>
      </c>
      <c r="AY7" s="168">
        <v>2057</v>
      </c>
      <c r="AZ7" s="170">
        <f t="shared" si="15"/>
        <v>171.97010209042296</v>
      </c>
      <c r="BA7" s="3">
        <f t="shared" si="36"/>
        <v>353742.5</v>
      </c>
      <c r="BB7" s="97">
        <f t="shared" si="37"/>
        <v>2057</v>
      </c>
      <c r="BC7" s="172">
        <f t="shared" si="16"/>
        <v>171.97010209042296</v>
      </c>
      <c r="BD7" s="167">
        <f>236324.62-533.55-BG7</f>
        <v>211945.97</v>
      </c>
      <c r="BE7" s="168">
        <f>2001-BH7</f>
        <v>1675</v>
      </c>
      <c r="BF7" s="170">
        <f t="shared" si="17"/>
        <v>126.53490746268656</v>
      </c>
      <c r="BG7" s="167">
        <v>23845.1</v>
      </c>
      <c r="BH7" s="168">
        <f>208+118</f>
        <v>326</v>
      </c>
      <c r="BI7" s="170">
        <f t="shared" si="18"/>
        <v>73.144478527607362</v>
      </c>
      <c r="BJ7" s="168"/>
      <c r="BK7" s="168"/>
      <c r="BL7" s="170" t="str">
        <f t="shared" si="19"/>
        <v/>
      </c>
      <c r="BM7" s="3">
        <f t="shared" si="38"/>
        <v>235791.07</v>
      </c>
      <c r="BN7" s="97">
        <f t="shared" si="39"/>
        <v>2001</v>
      </c>
      <c r="BO7" s="172">
        <f t="shared" si="20"/>
        <v>117.83661669165417</v>
      </c>
      <c r="BP7" s="167">
        <v>0</v>
      </c>
      <c r="BQ7" s="168">
        <v>0</v>
      </c>
      <c r="BR7" s="170" t="str">
        <f t="shared" si="21"/>
        <v/>
      </c>
      <c r="BS7" s="167">
        <v>0</v>
      </c>
      <c r="BT7" s="168">
        <v>0</v>
      </c>
      <c r="BU7" s="170" t="str">
        <f t="shared" si="22"/>
        <v/>
      </c>
      <c r="BV7" s="3">
        <f t="shared" si="40"/>
        <v>0</v>
      </c>
      <c r="BW7" s="97">
        <f t="shared" si="41"/>
        <v>0</v>
      </c>
      <c r="BX7" s="172" t="str">
        <f t="shared" si="23"/>
        <v/>
      </c>
      <c r="BY7" s="167">
        <v>0</v>
      </c>
      <c r="BZ7" s="167">
        <v>0</v>
      </c>
      <c r="CA7" s="170" t="str">
        <f t="shared" si="24"/>
        <v/>
      </c>
      <c r="CB7" s="167">
        <v>0</v>
      </c>
      <c r="CC7" s="167">
        <v>0</v>
      </c>
      <c r="CD7" s="170" t="str">
        <f t="shared" si="25"/>
        <v/>
      </c>
      <c r="CE7" s="168"/>
      <c r="CF7" s="168"/>
      <c r="CG7" s="170" t="str">
        <f t="shared" si="26"/>
        <v/>
      </c>
      <c r="CH7" s="3">
        <f t="shared" si="42"/>
        <v>0</v>
      </c>
      <c r="CI7" s="97">
        <f t="shared" si="43"/>
        <v>0</v>
      </c>
      <c r="CJ7" s="172" t="str">
        <f t="shared" si="27"/>
        <v/>
      </c>
    </row>
    <row r="8" spans="1:88">
      <c r="A8" t="s">
        <v>125</v>
      </c>
      <c r="B8" t="s">
        <v>121</v>
      </c>
      <c r="C8" s="2">
        <f>VLOOKUP(A8,Dates!$B$2:$E$53,4,FALSE)</f>
        <v>4</v>
      </c>
      <c r="D8" s="168" t="b">
        <f>IF(C8&lt;='RDG Weekly Sales'!$F$1,TRUE,FALSE)</f>
        <v>1</v>
      </c>
      <c r="E8" s="167">
        <f>749054.32-H8-5728.22</f>
        <v>697530.35</v>
      </c>
      <c r="F8" s="168">
        <f>4463-I8</f>
        <v>4070</v>
      </c>
      <c r="G8" s="170">
        <f t="shared" si="28"/>
        <v>171.38337837837838</v>
      </c>
      <c r="H8" s="167">
        <v>45795.75</v>
      </c>
      <c r="I8" s="168">
        <f>393</f>
        <v>393</v>
      </c>
      <c r="J8" s="170">
        <f t="shared" si="0"/>
        <v>116.52862595419847</v>
      </c>
      <c r="K8" s="3">
        <f t="shared" si="1"/>
        <v>743326.1</v>
      </c>
      <c r="L8" s="97">
        <f t="shared" si="2"/>
        <v>4463</v>
      </c>
      <c r="M8" s="172">
        <f t="shared" si="3"/>
        <v>166.55301366793637</v>
      </c>
      <c r="N8" s="167">
        <v>19994</v>
      </c>
      <c r="O8" s="168">
        <v>66</v>
      </c>
      <c r="P8" s="170">
        <f t="shared" si="4"/>
        <v>302.93939393939394</v>
      </c>
      <c r="Q8" s="167">
        <f>81424.07+18061.5</f>
        <v>99485.57</v>
      </c>
      <c r="R8" s="168">
        <f>36+72+65+124+3+94</f>
        <v>394</v>
      </c>
      <c r="S8" s="170">
        <f t="shared" si="5"/>
        <v>252.50144670050764</v>
      </c>
      <c r="T8" s="167">
        <f>230113.95+37917.5-3194.02</f>
        <v>264837.43</v>
      </c>
      <c r="U8" s="168">
        <f>45+132+4+191+12+256+33+227+9</f>
        <v>909</v>
      </c>
      <c r="V8" s="170">
        <f t="shared" si="6"/>
        <v>291.35030803080309</v>
      </c>
      <c r="W8" s="167">
        <f t="shared" si="29"/>
        <v>384317</v>
      </c>
      <c r="X8" s="168">
        <f t="shared" si="30"/>
        <v>1369</v>
      </c>
      <c r="Y8" s="172">
        <f t="shared" si="7"/>
        <v>280.72826880934991</v>
      </c>
      <c r="Z8" s="167">
        <f>197563.23-AC8-359.53</f>
        <v>185496.2</v>
      </c>
      <c r="AA8" s="168">
        <f>1817-AD8</f>
        <v>1629</v>
      </c>
      <c r="AB8" s="170">
        <f t="shared" si="8"/>
        <v>113.87120933087785</v>
      </c>
      <c r="AC8" s="167">
        <v>11707.5</v>
      </c>
      <c r="AD8" s="168">
        <f>188</f>
        <v>188</v>
      </c>
      <c r="AE8" s="170">
        <f t="shared" si="9"/>
        <v>62.273936170212764</v>
      </c>
      <c r="AF8" s="167">
        <f>43710.66-996.95</f>
        <v>42713.710000000006</v>
      </c>
      <c r="AG8" s="168">
        <f>43+53+45+71</f>
        <v>212</v>
      </c>
      <c r="AH8" s="170">
        <f t="shared" si="10"/>
        <v>201.47976415094342</v>
      </c>
      <c r="AI8" s="3">
        <f t="shared" si="31"/>
        <v>239917.41000000003</v>
      </c>
      <c r="AJ8" s="97">
        <f t="shared" si="32"/>
        <v>2029</v>
      </c>
      <c r="AK8" s="172">
        <f t="shared" si="11"/>
        <v>118.24416461310992</v>
      </c>
      <c r="AL8" s="167">
        <v>142048.4</v>
      </c>
      <c r="AM8" s="168">
        <f>580+393</f>
        <v>973</v>
      </c>
      <c r="AN8" s="170">
        <f t="shared" si="12"/>
        <v>145.9901336073998</v>
      </c>
      <c r="AO8" s="167">
        <f>727867.39-AL8-6332.27</f>
        <v>579486.71999999997</v>
      </c>
      <c r="AP8" s="168">
        <f>3689-AM8</f>
        <v>2716</v>
      </c>
      <c r="AQ8" s="170">
        <f t="shared" si="13"/>
        <v>213.36035346097202</v>
      </c>
      <c r="AR8" s="3">
        <f t="shared" si="33"/>
        <v>721535.12</v>
      </c>
      <c r="AS8" s="97">
        <f t="shared" si="34"/>
        <v>3689</v>
      </c>
      <c r="AT8" s="172">
        <f t="shared" si="14"/>
        <v>195.59097858498237</v>
      </c>
      <c r="AU8" s="167"/>
      <c r="AV8" s="168"/>
      <c r="AW8" s="170">
        <f t="shared" si="35"/>
        <v>0</v>
      </c>
      <c r="AX8" s="167">
        <f>359346.45-2346.95-AU8</f>
        <v>356999.5</v>
      </c>
      <c r="AY8" s="168">
        <v>2001</v>
      </c>
      <c r="AZ8" s="170">
        <f t="shared" si="15"/>
        <v>178.41054472763619</v>
      </c>
      <c r="BA8" s="3">
        <f t="shared" si="36"/>
        <v>356999.5</v>
      </c>
      <c r="BB8" s="97">
        <f t="shared" si="37"/>
        <v>2001</v>
      </c>
      <c r="BC8" s="172">
        <f t="shared" si="16"/>
        <v>178.41054472763619</v>
      </c>
      <c r="BD8" s="167">
        <f>228875.32-BG8-527.53</f>
        <v>208987.07</v>
      </c>
      <c r="BE8" s="168">
        <f>1824-BH8</f>
        <v>1582</v>
      </c>
      <c r="BF8" s="170">
        <f t="shared" si="17"/>
        <v>132.1030783817952</v>
      </c>
      <c r="BG8" s="167">
        <v>19360.72</v>
      </c>
      <c r="BH8" s="168">
        <f>152+90</f>
        <v>242</v>
      </c>
      <c r="BI8" s="170">
        <f t="shared" si="18"/>
        <v>80.00297520661158</v>
      </c>
      <c r="BJ8" s="168"/>
      <c r="BK8" s="168"/>
      <c r="BL8" s="170" t="str">
        <f t="shared" si="19"/>
        <v/>
      </c>
      <c r="BM8" s="3">
        <f t="shared" si="38"/>
        <v>228347.79</v>
      </c>
      <c r="BN8" s="97">
        <f t="shared" si="39"/>
        <v>1824</v>
      </c>
      <c r="BO8" s="172">
        <f t="shared" si="20"/>
        <v>125.19067434210527</v>
      </c>
      <c r="BP8" s="167">
        <v>0</v>
      </c>
      <c r="BQ8" s="168">
        <v>0</v>
      </c>
      <c r="BR8" s="170" t="str">
        <f t="shared" si="21"/>
        <v/>
      </c>
      <c r="BS8" s="167">
        <v>0</v>
      </c>
      <c r="BT8" s="168">
        <v>0</v>
      </c>
      <c r="BU8" s="170" t="str">
        <f t="shared" si="22"/>
        <v/>
      </c>
      <c r="BV8" s="3">
        <f t="shared" si="40"/>
        <v>0</v>
      </c>
      <c r="BW8" s="97">
        <f t="shared" si="41"/>
        <v>0</v>
      </c>
      <c r="BX8" s="172" t="str">
        <f t="shared" si="23"/>
        <v/>
      </c>
      <c r="BY8" s="167">
        <v>0</v>
      </c>
      <c r="BZ8" s="167">
        <v>0</v>
      </c>
      <c r="CA8" s="170" t="str">
        <f t="shared" si="24"/>
        <v/>
      </c>
      <c r="CB8" s="167">
        <v>0</v>
      </c>
      <c r="CC8" s="167">
        <v>0</v>
      </c>
      <c r="CD8" s="170" t="str">
        <f t="shared" si="25"/>
        <v/>
      </c>
      <c r="CE8" s="168"/>
      <c r="CF8" s="168"/>
      <c r="CG8" s="170" t="str">
        <f t="shared" si="26"/>
        <v/>
      </c>
      <c r="CH8" s="3">
        <f t="shared" si="42"/>
        <v>0</v>
      </c>
      <c r="CI8" s="97">
        <f t="shared" si="43"/>
        <v>0</v>
      </c>
      <c r="CJ8" s="172" t="str">
        <f t="shared" si="27"/>
        <v/>
      </c>
    </row>
    <row r="9" spans="1:88">
      <c r="A9" t="s">
        <v>128</v>
      </c>
      <c r="B9" t="s">
        <v>127</v>
      </c>
      <c r="C9" s="2">
        <f>VLOOKUP(A9,Dates!$B$2:$E$53,4,FALSE)</f>
        <v>5</v>
      </c>
      <c r="D9" s="168" t="b">
        <f>IF(C9&lt;='RDG Weekly Sales'!$F$1,TRUE,FALSE)</f>
        <v>1</v>
      </c>
      <c r="E9" s="167">
        <f>836326.2-H9-4662.7</f>
        <v>774111.65</v>
      </c>
      <c r="F9" s="168">
        <f>5072-I9</f>
        <v>4579</v>
      </c>
      <c r="G9" s="170">
        <f t="shared" si="28"/>
        <v>169.05692290893208</v>
      </c>
      <c r="H9" s="167">
        <v>57551.85</v>
      </c>
      <c r="I9" s="168">
        <v>493</v>
      </c>
      <c r="J9" s="170">
        <f t="shared" si="0"/>
        <v>116.73803245436105</v>
      </c>
      <c r="K9" s="3">
        <f t="shared" si="1"/>
        <v>831663.5</v>
      </c>
      <c r="L9" s="97">
        <f t="shared" si="2"/>
        <v>5072</v>
      </c>
      <c r="M9" s="172">
        <f t="shared" si="3"/>
        <v>163.97151025236593</v>
      </c>
      <c r="N9" s="167">
        <v>28623</v>
      </c>
      <c r="O9" s="168">
        <v>85</v>
      </c>
      <c r="P9" s="170">
        <f t="shared" si="4"/>
        <v>336.74117647058824</v>
      </c>
      <c r="Q9" s="167">
        <f>59528.9+33969.4</f>
        <v>93498.3</v>
      </c>
      <c r="R9" s="168">
        <f>50+72+92+88+143</f>
        <v>445</v>
      </c>
      <c r="S9" s="170">
        <f t="shared" si="5"/>
        <v>210.10853932584271</v>
      </c>
      <c r="T9" s="167">
        <f>200619.9+117516.48-6316.18</f>
        <v>311820.2</v>
      </c>
      <c r="U9" s="168">
        <f>95+167+210+15+196+234+16</f>
        <v>933</v>
      </c>
      <c r="V9" s="170">
        <f t="shared" si="6"/>
        <v>334.21243301178993</v>
      </c>
      <c r="W9" s="167">
        <f t="shared" si="29"/>
        <v>433941.5</v>
      </c>
      <c r="X9" s="168">
        <f t="shared" si="30"/>
        <v>1463</v>
      </c>
      <c r="Y9" s="172">
        <f t="shared" si="7"/>
        <v>296.61073137388928</v>
      </c>
      <c r="Z9" s="167">
        <f>195857.3-1327.73-AC9</f>
        <v>173447.72999999998</v>
      </c>
      <c r="AA9" s="168">
        <f>1745-AD9</f>
        <v>1467</v>
      </c>
      <c r="AB9" s="170">
        <f t="shared" si="8"/>
        <v>118.23294478527606</v>
      </c>
      <c r="AC9" s="167">
        <v>21081.84</v>
      </c>
      <c r="AD9" s="168">
        <f>129+149</f>
        <v>278</v>
      </c>
      <c r="AE9" s="170">
        <f t="shared" si="9"/>
        <v>75.833956834532373</v>
      </c>
      <c r="AF9" s="167">
        <f>36621-205.8</f>
        <v>36415.199999999997</v>
      </c>
      <c r="AG9" s="168">
        <f>34+34+75+74</f>
        <v>217</v>
      </c>
      <c r="AH9" s="170">
        <f t="shared" si="10"/>
        <v>167.81198156682026</v>
      </c>
      <c r="AI9" s="3">
        <f t="shared" si="31"/>
        <v>230944.77</v>
      </c>
      <c r="AJ9" s="97">
        <f t="shared" si="32"/>
        <v>1962</v>
      </c>
      <c r="AK9" s="172">
        <f t="shared" si="11"/>
        <v>117.70885321100917</v>
      </c>
      <c r="AL9" s="167">
        <v>139227.47</v>
      </c>
      <c r="AM9" s="168">
        <f>477+435</f>
        <v>912</v>
      </c>
      <c r="AN9" s="170">
        <f t="shared" si="12"/>
        <v>152.66169956140351</v>
      </c>
      <c r="AO9" s="167">
        <f>700712.36-AL9-8191.18</f>
        <v>553293.71</v>
      </c>
      <c r="AP9" s="168">
        <f>3608-AM9</f>
        <v>2696</v>
      </c>
      <c r="AQ9" s="170">
        <f t="shared" si="13"/>
        <v>205.22763724035607</v>
      </c>
      <c r="AR9" s="3">
        <f t="shared" si="33"/>
        <v>692521.17999999993</v>
      </c>
      <c r="AS9" s="97">
        <f t="shared" si="34"/>
        <v>3608</v>
      </c>
      <c r="AT9" s="172">
        <f t="shared" si="14"/>
        <v>191.94046008869176</v>
      </c>
      <c r="AU9" s="167"/>
      <c r="AV9" s="168"/>
      <c r="AW9" s="170">
        <f t="shared" si="35"/>
        <v>0</v>
      </c>
      <c r="AX9" s="167">
        <f>415269.59-3113.57-AU9</f>
        <v>412156.02</v>
      </c>
      <c r="AY9" s="168">
        <v>2192</v>
      </c>
      <c r="AZ9" s="170">
        <f t="shared" si="15"/>
        <v>188.02738138686132</v>
      </c>
      <c r="BA9" s="3">
        <f t="shared" si="36"/>
        <v>412156.02</v>
      </c>
      <c r="BB9" s="97">
        <f t="shared" si="37"/>
        <v>2192</v>
      </c>
      <c r="BC9" s="172">
        <f t="shared" si="16"/>
        <v>188.02738138686132</v>
      </c>
      <c r="BD9" s="167">
        <f>271809.13-1680.91-BG9</f>
        <v>199704.41000000003</v>
      </c>
      <c r="BE9" s="168">
        <f>2367-BH9</f>
        <v>1681</v>
      </c>
      <c r="BF9" s="170">
        <f t="shared" si="17"/>
        <v>118.80095776323618</v>
      </c>
      <c r="BG9" s="167">
        <v>70423.81</v>
      </c>
      <c r="BH9" s="168">
        <f>389+297</f>
        <v>686</v>
      </c>
      <c r="BI9" s="170">
        <f t="shared" si="18"/>
        <v>102.65861516034985</v>
      </c>
      <c r="BJ9" s="168"/>
      <c r="BK9" s="168"/>
      <c r="BL9" s="170" t="str">
        <f t="shared" si="19"/>
        <v/>
      </c>
      <c r="BM9" s="3">
        <f t="shared" si="38"/>
        <v>270128.22000000003</v>
      </c>
      <c r="BN9" s="97">
        <f t="shared" si="39"/>
        <v>2367</v>
      </c>
      <c r="BO9" s="172">
        <f t="shared" si="20"/>
        <v>114.12261089987327</v>
      </c>
      <c r="BP9" s="167">
        <v>0</v>
      </c>
      <c r="BQ9" s="168">
        <v>0</v>
      </c>
      <c r="BR9" s="170" t="str">
        <f t="shared" si="21"/>
        <v/>
      </c>
      <c r="BS9" s="167">
        <v>0</v>
      </c>
      <c r="BT9" s="168">
        <v>0</v>
      </c>
      <c r="BU9" s="170" t="str">
        <f t="shared" si="22"/>
        <v/>
      </c>
      <c r="BV9" s="3">
        <f t="shared" si="40"/>
        <v>0</v>
      </c>
      <c r="BW9" s="97">
        <f t="shared" si="41"/>
        <v>0</v>
      </c>
      <c r="BX9" s="172" t="str">
        <f t="shared" si="23"/>
        <v/>
      </c>
      <c r="BY9" s="167">
        <v>0</v>
      </c>
      <c r="BZ9" s="167">
        <v>0</v>
      </c>
      <c r="CA9" s="170" t="str">
        <f t="shared" si="24"/>
        <v/>
      </c>
      <c r="CB9" s="167">
        <v>0</v>
      </c>
      <c r="CC9" s="167">
        <v>0</v>
      </c>
      <c r="CD9" s="170" t="str">
        <f t="shared" si="25"/>
        <v/>
      </c>
      <c r="CE9" s="168"/>
      <c r="CF9" s="168"/>
      <c r="CG9" s="170" t="str">
        <f t="shared" si="26"/>
        <v/>
      </c>
      <c r="CH9" s="3">
        <f t="shared" si="42"/>
        <v>0</v>
      </c>
      <c r="CI9" s="97">
        <f t="shared" si="43"/>
        <v>0</v>
      </c>
      <c r="CJ9" s="172" t="str">
        <f t="shared" si="27"/>
        <v/>
      </c>
    </row>
    <row r="10" spans="1:88">
      <c r="A10" t="s">
        <v>129</v>
      </c>
      <c r="B10" t="s">
        <v>127</v>
      </c>
      <c r="C10" s="2">
        <f>VLOOKUP(A10,Dates!$B$2:$E$53,4,FALSE)</f>
        <v>6</v>
      </c>
      <c r="D10" s="310" t="b">
        <f>IF(C10&lt;='RDG Weekly Sales'!$F$1,TRUE,FALSE)</f>
        <v>1</v>
      </c>
      <c r="E10" s="308">
        <f>731006.61-3761.5-H10</f>
        <v>687569.11</v>
      </c>
      <c r="F10" s="310">
        <f>4509-I10</f>
        <v>4155</v>
      </c>
      <c r="G10" s="316">
        <f t="shared" si="28"/>
        <v>165.47993020457281</v>
      </c>
      <c r="H10" s="308">
        <v>39676</v>
      </c>
      <c r="I10" s="310">
        <v>354</v>
      </c>
      <c r="J10" s="316">
        <f t="shared" si="0"/>
        <v>112.07909604519774</v>
      </c>
      <c r="K10" s="3">
        <f t="shared" si="1"/>
        <v>727245.11</v>
      </c>
      <c r="L10" s="97">
        <f t="shared" si="2"/>
        <v>4509</v>
      </c>
      <c r="M10" s="317">
        <f t="shared" si="3"/>
        <v>161.28744954535372</v>
      </c>
      <c r="N10" s="308">
        <v>21827</v>
      </c>
      <c r="O10" s="310">
        <v>72</v>
      </c>
      <c r="P10" s="316">
        <f t="shared" si="4"/>
        <v>303.15277777777777</v>
      </c>
      <c r="Q10" s="308">
        <f>54107+18849</f>
        <v>72956</v>
      </c>
      <c r="R10" s="310">
        <f>55+60+122+118+48+2</f>
        <v>405</v>
      </c>
      <c r="S10" s="316">
        <f t="shared" si="5"/>
        <v>180.13827160493827</v>
      </c>
      <c r="T10" s="308">
        <f>286154+37933-3156</f>
        <v>320931</v>
      </c>
      <c r="U10" s="310">
        <f>199+13+199+14+289+226+11+52</f>
        <v>1003</v>
      </c>
      <c r="V10" s="316">
        <f t="shared" si="6"/>
        <v>319.97108673978067</v>
      </c>
      <c r="W10" s="308">
        <f t="shared" si="29"/>
        <v>415714</v>
      </c>
      <c r="X10" s="310">
        <f t="shared" si="30"/>
        <v>1480</v>
      </c>
      <c r="Y10" s="317">
        <f t="shared" si="7"/>
        <v>280.88783783783782</v>
      </c>
      <c r="Z10" s="308">
        <f>213194.1-716.27-AC10</f>
        <v>185434.58000000002</v>
      </c>
      <c r="AA10" s="310">
        <f>1959-AD10</f>
        <v>1603</v>
      </c>
      <c r="AB10" s="316">
        <f t="shared" si="8"/>
        <v>115.67971303805366</v>
      </c>
      <c r="AC10" s="308">
        <v>27043.25</v>
      </c>
      <c r="AD10" s="310">
        <f>182+174</f>
        <v>356</v>
      </c>
      <c r="AE10" s="316">
        <f t="shared" si="9"/>
        <v>75.964185393258433</v>
      </c>
      <c r="AF10" s="308">
        <f>59727.82-1718.82</f>
        <v>58009</v>
      </c>
      <c r="AG10" s="310">
        <f>40+50+60+71+9</f>
        <v>230</v>
      </c>
      <c r="AH10" s="316">
        <f t="shared" si="10"/>
        <v>252.21304347826086</v>
      </c>
      <c r="AI10" s="3">
        <f t="shared" si="31"/>
        <v>270486.83</v>
      </c>
      <c r="AJ10" s="97">
        <f t="shared" si="32"/>
        <v>2189</v>
      </c>
      <c r="AK10" s="317">
        <f t="shared" si="11"/>
        <v>123.5663910461398</v>
      </c>
      <c r="AL10" s="308">
        <v>123397.25</v>
      </c>
      <c r="AM10" s="310">
        <f>324+511</f>
        <v>835</v>
      </c>
      <c r="AN10" s="316">
        <f t="shared" si="12"/>
        <v>147.78113772455089</v>
      </c>
      <c r="AO10" s="308">
        <f>608552.57-AL10-3344.5</f>
        <v>481810.81999999995</v>
      </c>
      <c r="AP10" s="310">
        <f>3523-AM10</f>
        <v>2688</v>
      </c>
      <c r="AQ10" s="316">
        <f t="shared" si="13"/>
        <v>179.24509672619047</v>
      </c>
      <c r="AR10" s="3">
        <f t="shared" si="33"/>
        <v>605208.06999999995</v>
      </c>
      <c r="AS10" s="97">
        <f t="shared" si="34"/>
        <v>3523</v>
      </c>
      <c r="AT10" s="317">
        <f t="shared" si="14"/>
        <v>171.78770082316206</v>
      </c>
      <c r="AU10" s="308">
        <v>0</v>
      </c>
      <c r="AV10" s="310">
        <v>0</v>
      </c>
      <c r="AW10" s="316">
        <f t="shared" si="35"/>
        <v>0</v>
      </c>
      <c r="AX10" s="308">
        <f>363175.5-3117.5-AU10</f>
        <v>360058</v>
      </c>
      <c r="AY10" s="310">
        <v>1720</v>
      </c>
      <c r="AZ10" s="316">
        <f t="shared" si="15"/>
        <v>209.3360465116279</v>
      </c>
      <c r="BA10" s="3">
        <f t="shared" si="36"/>
        <v>360058</v>
      </c>
      <c r="BB10" s="97">
        <f t="shared" si="37"/>
        <v>1720</v>
      </c>
      <c r="BC10" s="317">
        <f t="shared" si="16"/>
        <v>209.3360465116279</v>
      </c>
      <c r="BD10" s="308">
        <f>270813.62-1970.9-BG10</f>
        <v>202174.05999999997</v>
      </c>
      <c r="BE10" s="310">
        <f>2180-BH10</f>
        <v>1552</v>
      </c>
      <c r="BF10" s="316">
        <f t="shared" si="17"/>
        <v>130.26679123711338</v>
      </c>
      <c r="BG10" s="308">
        <v>66668.66</v>
      </c>
      <c r="BH10" s="310">
        <f>337+291</f>
        <v>628</v>
      </c>
      <c r="BI10" s="316">
        <f t="shared" si="18"/>
        <v>106.16028662420382</v>
      </c>
      <c r="BJ10" s="310"/>
      <c r="BK10" s="310"/>
      <c r="BL10" s="316" t="str">
        <f t="shared" si="19"/>
        <v/>
      </c>
      <c r="BM10" s="3">
        <f t="shared" si="38"/>
        <v>268842.71999999997</v>
      </c>
      <c r="BN10" s="97">
        <f t="shared" si="39"/>
        <v>2180</v>
      </c>
      <c r="BO10" s="317">
        <f t="shared" si="20"/>
        <v>123.3223486238532</v>
      </c>
      <c r="BP10" s="308">
        <v>0</v>
      </c>
      <c r="BQ10" s="310">
        <v>0</v>
      </c>
      <c r="BR10" s="316" t="str">
        <f t="shared" si="21"/>
        <v/>
      </c>
      <c r="BS10" s="308">
        <v>0</v>
      </c>
      <c r="BT10" s="310">
        <v>0</v>
      </c>
      <c r="BU10" s="316" t="str">
        <f t="shared" si="22"/>
        <v/>
      </c>
      <c r="BV10" s="3">
        <f t="shared" si="40"/>
        <v>0</v>
      </c>
      <c r="BW10" s="97">
        <f t="shared" si="41"/>
        <v>0</v>
      </c>
      <c r="BX10" s="317" t="str">
        <f t="shared" si="23"/>
        <v/>
      </c>
      <c r="BY10" s="308">
        <v>0</v>
      </c>
      <c r="BZ10" s="308">
        <v>0</v>
      </c>
      <c r="CA10" s="316" t="str">
        <f t="shared" si="24"/>
        <v/>
      </c>
      <c r="CB10" s="308">
        <v>0</v>
      </c>
      <c r="CC10" s="308">
        <v>0</v>
      </c>
      <c r="CD10" s="316" t="str">
        <f t="shared" si="25"/>
        <v/>
      </c>
      <c r="CE10" s="310"/>
      <c r="CF10" s="310"/>
      <c r="CG10" s="316" t="str">
        <f t="shared" si="26"/>
        <v/>
      </c>
      <c r="CH10" s="3">
        <f t="shared" si="42"/>
        <v>0</v>
      </c>
      <c r="CI10" s="97">
        <f t="shared" si="43"/>
        <v>0</v>
      </c>
      <c r="CJ10" s="317" t="str">
        <f t="shared" si="27"/>
        <v/>
      </c>
    </row>
    <row r="11" spans="1:88">
      <c r="A11" t="s">
        <v>130</v>
      </c>
      <c r="B11" t="s">
        <v>127</v>
      </c>
      <c r="C11" s="2">
        <f>VLOOKUP(A11,Dates!$B$2:$E$53,4,FALSE)</f>
        <v>7</v>
      </c>
      <c r="D11" s="168" t="b">
        <f>IF(C11&lt;='RDG Weekly Sales'!$F$1,TRUE,FALSE)</f>
        <v>1</v>
      </c>
      <c r="E11" s="167">
        <f>879212.56-H11-11320.4</f>
        <v>792091.81</v>
      </c>
      <c r="F11" s="168">
        <f>4691-I11</f>
        <v>4250</v>
      </c>
      <c r="G11" s="170">
        <f t="shared" si="28"/>
        <v>186.37454352941177</v>
      </c>
      <c r="H11" s="167">
        <v>75800.350000000006</v>
      </c>
      <c r="I11" s="168">
        <v>441</v>
      </c>
      <c r="J11" s="170">
        <f t="shared" si="0"/>
        <v>171.88287981859412</v>
      </c>
      <c r="K11" s="3">
        <f t="shared" si="1"/>
        <v>867892.16</v>
      </c>
      <c r="L11" s="97">
        <f t="shared" si="2"/>
        <v>4691</v>
      </c>
      <c r="M11" s="172">
        <f t="shared" si="3"/>
        <v>185.01218503517376</v>
      </c>
      <c r="N11" s="167">
        <v>20641</v>
      </c>
      <c r="O11" s="168">
        <v>73</v>
      </c>
      <c r="P11" s="170">
        <f t="shared" si="4"/>
        <v>282.75342465753425</v>
      </c>
      <c r="Q11" s="167">
        <f>82046.27+45619.75</f>
        <v>127666.02</v>
      </c>
      <c r="R11" s="168">
        <f>52+95+81+136+87+88+6</f>
        <v>545</v>
      </c>
      <c r="S11" s="170">
        <f>IFERROR(Q11/R11,"")</f>
        <v>234.24957798165138</v>
      </c>
      <c r="T11" s="167">
        <f>239340.23+35817-1843.15</f>
        <v>273314.07999999996</v>
      </c>
      <c r="U11" s="168">
        <f>110+188+219+13+189+177</f>
        <v>896</v>
      </c>
      <c r="V11" s="170">
        <f t="shared" si="6"/>
        <v>305.03803571428568</v>
      </c>
      <c r="W11" s="167">
        <f t="shared" si="29"/>
        <v>421621.1</v>
      </c>
      <c r="X11" s="168">
        <f t="shared" si="30"/>
        <v>1514</v>
      </c>
      <c r="Y11" s="172">
        <f t="shared" si="7"/>
        <v>278.48157199471598</v>
      </c>
      <c r="Z11" s="167">
        <f>267451.83-AC11-508</f>
        <v>233124.73</v>
      </c>
      <c r="AA11" s="168">
        <f>2450-AD11</f>
        <v>1983</v>
      </c>
      <c r="AB11" s="170">
        <f t="shared" si="8"/>
        <v>117.56163893091276</v>
      </c>
      <c r="AC11" s="167">
        <v>33819.1</v>
      </c>
      <c r="AD11" s="168">
        <f>239+228</f>
        <v>467</v>
      </c>
      <c r="AE11" s="170">
        <f t="shared" si="9"/>
        <v>72.417773019271948</v>
      </c>
      <c r="AF11" s="167">
        <f>37233.96-250</f>
        <v>36983.96</v>
      </c>
      <c r="AG11" s="168">
        <f>10+45+58+89</f>
        <v>202</v>
      </c>
      <c r="AH11" s="170">
        <f t="shared" si="10"/>
        <v>183.08891089108911</v>
      </c>
      <c r="AI11" s="3">
        <f t="shared" si="31"/>
        <v>303927.78999999998</v>
      </c>
      <c r="AJ11" s="97">
        <f t="shared" si="32"/>
        <v>2652</v>
      </c>
      <c r="AK11" s="172">
        <f t="shared" si="11"/>
        <v>114.60323906485671</v>
      </c>
      <c r="AL11" s="167">
        <v>188110.05</v>
      </c>
      <c r="AM11" s="168">
        <f>719+477</f>
        <v>1196</v>
      </c>
      <c r="AN11" s="170">
        <f t="shared" si="12"/>
        <v>157.28265050167224</v>
      </c>
      <c r="AO11" s="167">
        <f>798739.68-AL11-3352.05</f>
        <v>607277.58000000007</v>
      </c>
      <c r="AP11" s="168">
        <f>4313-AM11</f>
        <v>3117</v>
      </c>
      <c r="AQ11" s="170">
        <f t="shared" si="13"/>
        <v>194.82758421559194</v>
      </c>
      <c r="AR11" s="3">
        <f t="shared" si="33"/>
        <v>795387.63000000012</v>
      </c>
      <c r="AS11" s="97">
        <f t="shared" si="34"/>
        <v>4313</v>
      </c>
      <c r="AT11" s="172">
        <f t="shared" si="14"/>
        <v>184.41632970090427</v>
      </c>
      <c r="AU11" s="167">
        <v>0</v>
      </c>
      <c r="AV11" s="168">
        <v>0</v>
      </c>
      <c r="AW11" s="170">
        <f t="shared" si="35"/>
        <v>0</v>
      </c>
      <c r="AX11" s="167">
        <f>436884.19-1395.99-AU11</f>
        <v>435488.2</v>
      </c>
      <c r="AY11" s="168">
        <v>2663</v>
      </c>
      <c r="AZ11" s="170">
        <f t="shared" si="15"/>
        <v>163.53293278257604</v>
      </c>
      <c r="BA11" s="3">
        <f t="shared" si="36"/>
        <v>435488.2</v>
      </c>
      <c r="BB11" s="97">
        <f t="shared" si="37"/>
        <v>2663</v>
      </c>
      <c r="BC11" s="172">
        <f t="shared" si="16"/>
        <v>163.53293278257604</v>
      </c>
      <c r="BD11" s="167">
        <f>297621.49-BG11-874.2</f>
        <v>238197.62</v>
      </c>
      <c r="BE11" s="168">
        <f>2450-BH11</f>
        <v>1744</v>
      </c>
      <c r="BF11" s="170">
        <f t="shared" si="17"/>
        <v>136.58120412844036</v>
      </c>
      <c r="BG11" s="167">
        <v>58549.67</v>
      </c>
      <c r="BH11" s="168">
        <f>350+356</f>
        <v>706</v>
      </c>
      <c r="BI11" s="170">
        <f t="shared" si="18"/>
        <v>82.931543909348434</v>
      </c>
      <c r="BJ11" s="168"/>
      <c r="BK11" s="168"/>
      <c r="BL11" s="170" t="str">
        <f t="shared" si="19"/>
        <v/>
      </c>
      <c r="BM11" s="3">
        <f t="shared" si="38"/>
        <v>296747.28999999998</v>
      </c>
      <c r="BN11" s="97">
        <f t="shared" si="39"/>
        <v>2450</v>
      </c>
      <c r="BO11" s="172">
        <f t="shared" si="20"/>
        <v>121.12134285714285</v>
      </c>
      <c r="BP11" s="167">
        <v>0</v>
      </c>
      <c r="BQ11" s="168">
        <v>0</v>
      </c>
      <c r="BR11" s="170" t="str">
        <f t="shared" si="21"/>
        <v/>
      </c>
      <c r="BS11" s="167">
        <v>0</v>
      </c>
      <c r="BT11" s="168">
        <v>0</v>
      </c>
      <c r="BU11" s="170" t="str">
        <f t="shared" si="22"/>
        <v/>
      </c>
      <c r="BV11" s="3">
        <f t="shared" si="40"/>
        <v>0</v>
      </c>
      <c r="BW11" s="97">
        <f t="shared" si="41"/>
        <v>0</v>
      </c>
      <c r="BX11" s="172" t="str">
        <f t="shared" si="23"/>
        <v/>
      </c>
      <c r="BY11" s="167">
        <v>0</v>
      </c>
      <c r="BZ11" s="167">
        <v>0</v>
      </c>
      <c r="CA11" s="170" t="str">
        <f t="shared" si="24"/>
        <v/>
      </c>
      <c r="CB11" s="167">
        <v>0</v>
      </c>
      <c r="CC11" s="167">
        <v>0</v>
      </c>
      <c r="CD11" s="170" t="str">
        <f t="shared" si="25"/>
        <v/>
      </c>
      <c r="CE11" s="168"/>
      <c r="CF11" s="168"/>
      <c r="CG11" s="170" t="str">
        <f t="shared" si="26"/>
        <v/>
      </c>
      <c r="CH11" s="3">
        <f t="shared" si="42"/>
        <v>0</v>
      </c>
      <c r="CI11" s="97">
        <f t="shared" si="43"/>
        <v>0</v>
      </c>
      <c r="CJ11" s="172" t="str">
        <f t="shared" si="27"/>
        <v/>
      </c>
    </row>
    <row r="12" spans="1:88">
      <c r="A12" t="s">
        <v>131</v>
      </c>
      <c r="B12" t="s">
        <v>127</v>
      </c>
      <c r="C12" s="2">
        <f>VLOOKUP(A12,Dates!$B$2:$E$53,4,FALSE)</f>
        <v>8</v>
      </c>
      <c r="D12" s="310" t="b">
        <f>IF(C12&lt;='RDG Weekly Sales'!$F$1,TRUE,FALSE)</f>
        <v>1</v>
      </c>
      <c r="E12" s="308">
        <f>810081.72-H12-5501.89</f>
        <v>747327.48</v>
      </c>
      <c r="F12" s="310">
        <f>4988-I12</f>
        <v>4576</v>
      </c>
      <c r="G12" s="316">
        <f>IFERROR(E12/F12,"")</f>
        <v>163.31457167832167</v>
      </c>
      <c r="H12" s="308">
        <v>57252.35</v>
      </c>
      <c r="I12" s="310">
        <v>412</v>
      </c>
      <c r="J12" s="316">
        <f>IFERROR(H12/I12,"")</f>
        <v>138.96201456310681</v>
      </c>
      <c r="K12" s="3">
        <f>E12+H12</f>
        <v>804579.83</v>
      </c>
      <c r="L12" s="97">
        <f>F12+I12</f>
        <v>4988</v>
      </c>
      <c r="M12" s="317">
        <f>IFERROR(K12/L12,"")</f>
        <v>161.3030934242181</v>
      </c>
      <c r="N12" s="308">
        <v>40327</v>
      </c>
      <c r="O12" s="310">
        <v>92</v>
      </c>
      <c r="P12" s="316">
        <f>IFERROR(N12/O12,"")</f>
        <v>438.33695652173913</v>
      </c>
      <c r="Q12" s="308">
        <f>32128+53555.36</f>
        <v>85683.36</v>
      </c>
      <c r="R12" s="310">
        <v>396</v>
      </c>
      <c r="S12" s="316">
        <f>IFERROR(Q12/R12,"")</f>
        <v>216.37212121212121</v>
      </c>
      <c r="T12" s="308">
        <f>230089.75+31935-2372.05</f>
        <v>259652.7</v>
      </c>
      <c r="U12" s="310">
        <f>893+14</f>
        <v>907</v>
      </c>
      <c r="V12" s="316">
        <f>IFERROR(T12/U12,"")</f>
        <v>286.27640573318632</v>
      </c>
      <c r="W12" s="308">
        <f>SUM(N12,Q12,T12)</f>
        <v>385663.06</v>
      </c>
      <c r="X12" s="310">
        <f>SUM(O12,R12,U12)</f>
        <v>1395</v>
      </c>
      <c r="Y12" s="317">
        <f>IFERROR(W12/X12,"")</f>
        <v>276.46097491039427</v>
      </c>
      <c r="Z12" s="308">
        <f>253108.52-AC12-516.22</f>
        <v>230509.81</v>
      </c>
      <c r="AA12" s="310">
        <f>2450-AD12</f>
        <v>2125</v>
      </c>
      <c r="AB12" s="316">
        <f>IFERROR(Z12/AA12,"")</f>
        <v>108.47520470588235</v>
      </c>
      <c r="AC12" s="308">
        <v>22082.49</v>
      </c>
      <c r="AD12" s="310">
        <f>169+156</f>
        <v>325</v>
      </c>
      <c r="AE12" s="316">
        <f>IFERROR(AC12/AD12,"")</f>
        <v>67.946123076923087</v>
      </c>
      <c r="AF12" s="308">
        <f>46891.5-860.8</f>
        <v>46030.7</v>
      </c>
      <c r="AG12" s="310">
        <v>160</v>
      </c>
      <c r="AH12" s="316">
        <f>IFERROR(AF12/AG12,"")</f>
        <v>287.69187499999998</v>
      </c>
      <c r="AI12" s="3">
        <f>Z12+AF12+AC12</f>
        <v>298623</v>
      </c>
      <c r="AJ12" s="97">
        <f>AA12+AG12+AD12</f>
        <v>2610</v>
      </c>
      <c r="AK12" s="317">
        <f>IFERROR(AI12/AJ12,"")</f>
        <v>114.41494252873564</v>
      </c>
      <c r="AL12" s="308">
        <v>184610.25</v>
      </c>
      <c r="AM12" s="310">
        <f>372+577</f>
        <v>949</v>
      </c>
      <c r="AN12" s="316">
        <f>IFERROR(AL12/AM12,"")</f>
        <v>194.5313487881981</v>
      </c>
      <c r="AO12" s="308">
        <f>785007.01-AL12-3688.91</f>
        <v>596707.85</v>
      </c>
      <c r="AP12" s="310">
        <f>4313-AM12</f>
        <v>3364</v>
      </c>
      <c r="AQ12" s="316">
        <f>IFERROR(AO12/AP12,"")</f>
        <v>177.3804548156956</v>
      </c>
      <c r="AR12" s="3">
        <f>AO12+AL12</f>
        <v>781318.1</v>
      </c>
      <c r="AS12" s="97">
        <f>AP12+AM12</f>
        <v>4313</v>
      </c>
      <c r="AT12" s="317">
        <f>IFERROR(AR12/AS12,"")</f>
        <v>181.15420820774403</v>
      </c>
      <c r="AU12" s="308">
        <v>0</v>
      </c>
      <c r="AV12" s="310">
        <v>0</v>
      </c>
      <c r="AW12" s="316">
        <f>IFERROR(AU12/AV12,0)</f>
        <v>0</v>
      </c>
      <c r="AX12" s="308">
        <f>389129.54-1066.39-AU12</f>
        <v>388063.14999999997</v>
      </c>
      <c r="AY12" s="310">
        <v>2134</v>
      </c>
      <c r="AZ12" s="316">
        <f>IFERROR(AX12/AY12,"")</f>
        <v>181.84777413308339</v>
      </c>
      <c r="BA12" s="3">
        <f>AX12+AU12</f>
        <v>388063.14999999997</v>
      </c>
      <c r="BB12" s="97">
        <f>AY12+AV12</f>
        <v>2134</v>
      </c>
      <c r="BC12" s="317">
        <f>IFERROR(BA12/BB12,"")</f>
        <v>181.84777413308339</v>
      </c>
      <c r="BD12" s="308">
        <f>240615.98-BG12-775.55</f>
        <v>183373.60000000003</v>
      </c>
      <c r="BE12" s="310">
        <f>2252-BH12</f>
        <v>1587</v>
      </c>
      <c r="BF12" s="316">
        <f>IFERROR(BD12/BE12,"")</f>
        <v>115.54732199117835</v>
      </c>
      <c r="BG12" s="308">
        <v>56466.83</v>
      </c>
      <c r="BH12" s="310">
        <f>290+375</f>
        <v>665</v>
      </c>
      <c r="BI12" s="316">
        <f>IFERROR(BG12/BH12,"")</f>
        <v>84.912526315789478</v>
      </c>
      <c r="BJ12" s="310"/>
      <c r="BK12" s="310"/>
      <c r="BL12" s="316" t="str">
        <f>IFERROR(BJ12/BK12,"")</f>
        <v/>
      </c>
      <c r="BM12" s="3">
        <f>BD12+BJ12+BG12</f>
        <v>239840.43000000005</v>
      </c>
      <c r="BN12" s="97">
        <f>BE12+BK12+BH12</f>
        <v>2252</v>
      </c>
      <c r="BO12" s="317">
        <f>IFERROR(BM12/BN12,"")</f>
        <v>106.5010790408526</v>
      </c>
      <c r="BP12" s="308">
        <v>0</v>
      </c>
      <c r="BQ12" s="310">
        <v>0</v>
      </c>
      <c r="BR12" s="316" t="str">
        <f>IFERROR(BP12/BQ12,"")</f>
        <v/>
      </c>
      <c r="BS12" s="308">
        <v>0</v>
      </c>
      <c r="BT12" s="310">
        <v>0</v>
      </c>
      <c r="BU12" s="316" t="str">
        <f>IFERROR(BS12/BT12,"")</f>
        <v/>
      </c>
      <c r="BV12" s="3">
        <f t="shared" si="40"/>
        <v>0</v>
      </c>
      <c r="BW12" s="97">
        <f>BT12+BQ12</f>
        <v>0</v>
      </c>
      <c r="BX12" s="317" t="str">
        <f>IFERROR(BV12/BW12,"")</f>
        <v/>
      </c>
      <c r="BY12" s="308">
        <v>0</v>
      </c>
      <c r="BZ12" s="308">
        <v>0</v>
      </c>
      <c r="CA12" s="316" t="str">
        <f>IFERROR(BY12/BZ12,"")</f>
        <v/>
      </c>
      <c r="CB12" s="308">
        <v>0</v>
      </c>
      <c r="CC12" s="308">
        <v>0</v>
      </c>
      <c r="CD12" s="316" t="str">
        <f>IFERROR(CB12/CC12,"")</f>
        <v/>
      </c>
      <c r="CE12" s="310"/>
      <c r="CF12" s="310"/>
      <c r="CG12" s="316" t="str">
        <f>IFERROR(CE12/CF12,"")</f>
        <v/>
      </c>
      <c r="CH12" s="3">
        <f>BY12+CE12+CB12</f>
        <v>0</v>
      </c>
      <c r="CI12" s="97">
        <f>BZ12+CF12+CC12</f>
        <v>0</v>
      </c>
      <c r="CJ12" s="317" t="str">
        <f>IFERROR(CH12/CI12,"")</f>
        <v/>
      </c>
    </row>
    <row r="13" spans="1:88">
      <c r="A13" t="s">
        <v>134</v>
      </c>
      <c r="B13" t="s">
        <v>133</v>
      </c>
      <c r="C13" s="2">
        <f>VLOOKUP(A13,Dates!$B$2:$E$53,4,FALSE)</f>
        <v>9</v>
      </c>
      <c r="D13" s="310" t="b">
        <f>IF(C13&lt;='RDG Weekly Sales'!$F$1,TRUE,FALSE)</f>
        <v>1</v>
      </c>
      <c r="E13" s="308">
        <f>897319.85-H13-12670.85</f>
        <v>824772.95</v>
      </c>
      <c r="F13" s="310">
        <f>4689-I13</f>
        <v>4248</v>
      </c>
      <c r="G13" s="316">
        <f>IFERROR(E13/F13,"")</f>
        <v>194.15559086629</v>
      </c>
      <c r="H13" s="308">
        <v>59876.05</v>
      </c>
      <c r="I13" s="310">
        <v>441</v>
      </c>
      <c r="J13" s="316">
        <f t="shared" ref="J13" si="44">IFERROR(H13/I13,"")</f>
        <v>135.77335600907031</v>
      </c>
      <c r="K13" s="3">
        <f t="shared" ref="K13:L13" si="45">E13+H13</f>
        <v>884649</v>
      </c>
      <c r="L13" s="97">
        <f t="shared" si="45"/>
        <v>4689</v>
      </c>
      <c r="M13" s="317">
        <f t="shared" ref="M13" si="46">IFERROR(K13/L13,"")</f>
        <v>188.66474728087013</v>
      </c>
      <c r="N13" s="308">
        <v>21300.01</v>
      </c>
      <c r="O13" s="310">
        <v>80</v>
      </c>
      <c r="P13" s="316">
        <f t="shared" ref="P13" si="47">IFERROR(N13/O13,"")</f>
        <v>266.25012499999997</v>
      </c>
      <c r="Q13" s="308">
        <f>20846+131851.52</f>
        <v>152697.51999999999</v>
      </c>
      <c r="R13" s="310">
        <v>374</v>
      </c>
      <c r="S13" s="316">
        <f t="shared" ref="S13" si="48">IFERROR(Q13/R13,"")</f>
        <v>408.28213903743313</v>
      </c>
      <c r="T13" s="308">
        <f>331755.8+61037-5693</f>
        <v>387099.8</v>
      </c>
      <c r="U13" s="310">
        <v>1307</v>
      </c>
      <c r="V13" s="316">
        <f t="shared" ref="V13" si="49">IFERROR(T13/U13,"")</f>
        <v>296.17429227237949</v>
      </c>
      <c r="W13" s="308">
        <f t="shared" ref="W13:X13" si="50">SUM(N13,Q13,T13)</f>
        <v>561097.32999999996</v>
      </c>
      <c r="X13" s="310">
        <f t="shared" si="50"/>
        <v>1761</v>
      </c>
      <c r="Y13" s="317">
        <f t="shared" ref="Y13" si="51">IFERROR(W13/X13,"")</f>
        <v>318.62426462237363</v>
      </c>
      <c r="Z13" s="308">
        <f>211236.66-AC13-407.55</f>
        <v>186147.71000000002</v>
      </c>
      <c r="AA13" s="310">
        <f>1942-AD13</f>
        <v>1576</v>
      </c>
      <c r="AB13" s="316">
        <f t="shared" ref="AB13" si="52">IFERROR(Z13/AA13,"")</f>
        <v>118.11402918781727</v>
      </c>
      <c r="AC13" s="308">
        <v>24681.4</v>
      </c>
      <c r="AD13" s="310">
        <f>173+193</f>
        <v>366</v>
      </c>
      <c r="AE13" s="316">
        <f t="shared" ref="AE13" si="53">IFERROR(AC13/AD13,"")</f>
        <v>67.435519125683058</v>
      </c>
      <c r="AF13" s="308">
        <f>33958.32-400.92</f>
        <v>33557.4</v>
      </c>
      <c r="AG13" s="310">
        <v>257</v>
      </c>
      <c r="AH13" s="316">
        <f t="shared" ref="AH13" si="54">IFERROR(AF13/AG13,"")</f>
        <v>130.57354085603114</v>
      </c>
      <c r="AI13" s="3">
        <f t="shared" ref="AI13:AJ13" si="55">Z13+AF13+AC13</f>
        <v>244386.51</v>
      </c>
      <c r="AJ13" s="97">
        <f t="shared" si="55"/>
        <v>2199</v>
      </c>
      <c r="AK13" s="317">
        <f t="shared" ref="AK13" si="56">IFERROR(AI13/AJ13,"")</f>
        <v>111.13529331514326</v>
      </c>
      <c r="AL13" s="308">
        <v>181622.75</v>
      </c>
      <c r="AM13" s="310">
        <f>508+545</f>
        <v>1053</v>
      </c>
      <c r="AN13" s="316">
        <f t="shared" ref="AN13" si="57">IFERROR(AL13/AM13,"")</f>
        <v>172.4812440645774</v>
      </c>
      <c r="AO13" s="308">
        <f>871546.43-AL13-7188.15</f>
        <v>682735.53</v>
      </c>
      <c r="AP13" s="310">
        <f>4038-AM13</f>
        <v>2985</v>
      </c>
      <c r="AQ13" s="316">
        <f t="shared" ref="AQ13" si="58">IFERROR(AO13/AP13,"")</f>
        <v>228.72212060301507</v>
      </c>
      <c r="AR13" s="3">
        <f t="shared" ref="AR13:AS13" si="59">AO13+AL13</f>
        <v>864358.28</v>
      </c>
      <c r="AS13" s="97">
        <f t="shared" si="59"/>
        <v>4038</v>
      </c>
      <c r="AT13" s="317">
        <f t="shared" ref="AT13" si="60">IFERROR(AR13/AS13,"")</f>
        <v>214.05603764239723</v>
      </c>
      <c r="AU13" s="308">
        <v>0</v>
      </c>
      <c r="AV13" s="310">
        <v>0</v>
      </c>
      <c r="AW13" s="316">
        <f t="shared" ref="AW13" si="61">IFERROR(AU13/AV13,0)</f>
        <v>0</v>
      </c>
      <c r="AX13" s="308">
        <f>409160.4-2063.79-AU13</f>
        <v>407096.61000000004</v>
      </c>
      <c r="AY13" s="310">
        <v>2231</v>
      </c>
      <c r="AZ13" s="316">
        <f t="shared" ref="AZ13" si="62">IFERROR(AX13/AY13,"")</f>
        <v>182.47270730614076</v>
      </c>
      <c r="BA13" s="3">
        <f t="shared" ref="BA13:BB13" si="63">AX13+AU13</f>
        <v>407096.61000000004</v>
      </c>
      <c r="BB13" s="97">
        <f t="shared" si="63"/>
        <v>2231</v>
      </c>
      <c r="BC13" s="317">
        <f t="shared" ref="BC13" si="64">IFERROR(BA13/BB13,"")</f>
        <v>182.47270730614076</v>
      </c>
      <c r="BD13" s="308">
        <f>272112.51-BG13-1575.3</f>
        <v>216688.46000000002</v>
      </c>
      <c r="BE13" s="310">
        <f>2415-BH13</f>
        <v>1666</v>
      </c>
      <c r="BF13" s="316">
        <f t="shared" ref="BF13" si="65">IFERROR(BD13/BE13,"")</f>
        <v>130.06510204081633</v>
      </c>
      <c r="BG13" s="308">
        <v>53848.75</v>
      </c>
      <c r="BH13" s="310">
        <f>372+377</f>
        <v>749</v>
      </c>
      <c r="BI13" s="316">
        <f t="shared" ref="BI13" si="66">IFERROR(BG13/BH13,"")</f>
        <v>71.894192256341796</v>
      </c>
      <c r="BJ13" s="310"/>
      <c r="BK13" s="310"/>
      <c r="BL13" s="316" t="str">
        <f t="shared" ref="BL13" si="67">IFERROR(BJ13/BK13,"")</f>
        <v/>
      </c>
      <c r="BM13" s="3">
        <f t="shared" ref="BM13:BN13" si="68">BD13+BJ13+BG13</f>
        <v>270537.21000000002</v>
      </c>
      <c r="BN13" s="97">
        <f t="shared" si="68"/>
        <v>2415</v>
      </c>
      <c r="BO13" s="317">
        <f t="shared" ref="BO13" si="69">IFERROR(BM13/BN13,"")</f>
        <v>112.02368944099379</v>
      </c>
      <c r="BP13" s="308">
        <v>0</v>
      </c>
      <c r="BQ13" s="310">
        <v>0</v>
      </c>
      <c r="BR13" s="316" t="str">
        <f t="shared" ref="BR13:BR56" si="70">IFERROR(BP13/BQ13,"")</f>
        <v/>
      </c>
      <c r="BS13" s="308">
        <v>0</v>
      </c>
      <c r="BT13" s="310">
        <v>0</v>
      </c>
      <c r="BU13" s="316" t="str">
        <f t="shared" ref="BU13:BU56" si="71">IFERROR(BS13/BT13,"")</f>
        <v/>
      </c>
      <c r="BV13" s="3">
        <f t="shared" si="40"/>
        <v>0</v>
      </c>
      <c r="BW13" s="97">
        <f t="shared" ref="BW13:BW56" si="72">BT13+BQ13</f>
        <v>0</v>
      </c>
      <c r="BX13" s="317" t="str">
        <f t="shared" ref="BX13:BX56" si="73">IFERROR(BV13/BW13,"")</f>
        <v/>
      </c>
      <c r="BY13" s="308">
        <v>0</v>
      </c>
      <c r="BZ13" s="308">
        <v>0</v>
      </c>
      <c r="CA13" s="316" t="str">
        <f t="shared" ref="CA13:CA56" si="74">IFERROR(BY13/BZ13,"")</f>
        <v/>
      </c>
      <c r="CB13" s="308">
        <v>0</v>
      </c>
      <c r="CC13" s="308">
        <v>0</v>
      </c>
      <c r="CD13" s="316" t="str">
        <f t="shared" ref="CD13:CD56" si="75">IFERROR(CB13/CC13,"")</f>
        <v/>
      </c>
      <c r="CE13" s="310"/>
      <c r="CF13" s="310"/>
      <c r="CG13" s="316" t="str">
        <f t="shared" ref="CG13:CG56" si="76">IFERROR(CE13/CF13,"")</f>
        <v/>
      </c>
      <c r="CH13" s="3">
        <f t="shared" ref="CH13:CH56" si="77">BY13+CE13+CB13</f>
        <v>0</v>
      </c>
      <c r="CI13" s="97">
        <f t="shared" ref="CI13:CI56" si="78">BZ13+CF13+CC13</f>
        <v>0</v>
      </c>
      <c r="CJ13" s="317" t="str">
        <f t="shared" ref="CJ13:CJ56" si="79">IFERROR(CH13/CI13,"")</f>
        <v/>
      </c>
    </row>
    <row r="14" spans="1:88">
      <c r="A14" t="s">
        <v>135</v>
      </c>
      <c r="B14" t="s">
        <v>133</v>
      </c>
      <c r="C14" s="2">
        <f>VLOOKUP(A14,Dates!$B$2:$E$53,4,FALSE)</f>
        <v>10</v>
      </c>
      <c r="D14" s="310" t="b">
        <f>IF(C14&lt;='RDG Weekly Sales'!$F$1,TRUE,FALSE)</f>
        <v>1</v>
      </c>
      <c r="E14" s="308">
        <f>856214.79-H14-4945.95</f>
        <v>803318.59000000008</v>
      </c>
      <c r="F14" s="310">
        <f>5010-I14</f>
        <v>4610</v>
      </c>
      <c r="G14" s="316">
        <f t="shared" si="28"/>
        <v>174.2556594360087</v>
      </c>
      <c r="H14" s="308">
        <v>47950.25</v>
      </c>
      <c r="I14" s="310">
        <v>400</v>
      </c>
      <c r="J14" s="316">
        <f t="shared" si="0"/>
        <v>119.875625</v>
      </c>
      <c r="K14" s="3">
        <f t="shared" si="1"/>
        <v>851268.84000000008</v>
      </c>
      <c r="L14" s="97">
        <f t="shared" si="2"/>
        <v>5010</v>
      </c>
      <c r="M14" s="317">
        <f t="shared" si="3"/>
        <v>169.9139401197605</v>
      </c>
      <c r="N14" s="308">
        <v>22609</v>
      </c>
      <c r="O14" s="310">
        <v>77</v>
      </c>
      <c r="P14" s="316">
        <f t="shared" si="4"/>
        <v>293.6233766233766</v>
      </c>
      <c r="Q14" s="308">
        <f>24845+91647.3</f>
        <v>116492.3</v>
      </c>
      <c r="R14" s="310">
        <v>508</v>
      </c>
      <c r="S14" s="316">
        <f t="shared" si="5"/>
        <v>229.31555118110236</v>
      </c>
      <c r="T14" s="308">
        <f>253048.06+35529.29-3652</f>
        <v>284925.34999999998</v>
      </c>
      <c r="U14" s="310">
        <v>983</v>
      </c>
      <c r="V14" s="316">
        <f t="shared" si="6"/>
        <v>289.8528484231943</v>
      </c>
      <c r="W14" s="308">
        <f t="shared" si="29"/>
        <v>424026.64999999997</v>
      </c>
      <c r="X14" s="310">
        <f t="shared" si="30"/>
        <v>1568</v>
      </c>
      <c r="Y14" s="317">
        <f t="shared" si="7"/>
        <v>270.42515943877549</v>
      </c>
      <c r="Z14" s="308">
        <f>204788.67-AC14-425.3</f>
        <v>180759.37000000002</v>
      </c>
      <c r="AA14" s="310">
        <f>1912-AD14</f>
        <v>1553</v>
      </c>
      <c r="AB14" s="316">
        <f t="shared" si="8"/>
        <v>116.39367031551836</v>
      </c>
      <c r="AC14" s="308">
        <v>23604</v>
      </c>
      <c r="AD14" s="310">
        <f>156+203</f>
        <v>359</v>
      </c>
      <c r="AE14" s="316">
        <f t="shared" si="9"/>
        <v>65.749303621169915</v>
      </c>
      <c r="AF14" s="308">
        <f>39719.25-513.55</f>
        <v>39205.699999999997</v>
      </c>
      <c r="AG14" s="310">
        <v>218</v>
      </c>
      <c r="AH14" s="316">
        <f t="shared" si="10"/>
        <v>179.8426605504587</v>
      </c>
      <c r="AI14" s="3">
        <f t="shared" si="31"/>
        <v>243569.07</v>
      </c>
      <c r="AJ14" s="97">
        <f t="shared" si="32"/>
        <v>2130</v>
      </c>
      <c r="AK14" s="317">
        <f t="shared" si="11"/>
        <v>114.35167605633804</v>
      </c>
      <c r="AL14" s="308">
        <v>104062.6</v>
      </c>
      <c r="AM14" s="310">
        <f>850+660</f>
        <v>1510</v>
      </c>
      <c r="AN14" s="316">
        <f t="shared" si="12"/>
        <v>68.915629139072848</v>
      </c>
      <c r="AO14" s="308">
        <f>653600.85-AL14-6803.25+340456</f>
        <v>883191</v>
      </c>
      <c r="AP14" s="310">
        <f>4355-AM14</f>
        <v>2845</v>
      </c>
      <c r="AQ14" s="316">
        <f t="shared" si="13"/>
        <v>310.43620386643232</v>
      </c>
      <c r="AR14" s="3">
        <f t="shared" si="33"/>
        <v>987253.6</v>
      </c>
      <c r="AS14" s="97">
        <f t="shared" si="34"/>
        <v>4355</v>
      </c>
      <c r="AT14" s="317">
        <f t="shared" si="14"/>
        <v>226.69428243398391</v>
      </c>
      <c r="AU14" s="308">
        <v>43462.3</v>
      </c>
      <c r="AV14" s="310">
        <f>61+72+105+40+90</f>
        <v>368</v>
      </c>
      <c r="AW14" s="316">
        <f t="shared" si="35"/>
        <v>118.10407608695652</v>
      </c>
      <c r="AX14" s="308">
        <f>381769.9-1672.1-AU14</f>
        <v>336635.50000000006</v>
      </c>
      <c r="AY14" s="310">
        <f>2513-AV14</f>
        <v>2145</v>
      </c>
      <c r="AZ14" s="316">
        <f t="shared" si="15"/>
        <v>156.93962703962706</v>
      </c>
      <c r="BA14" s="3">
        <f t="shared" si="36"/>
        <v>380097.80000000005</v>
      </c>
      <c r="BB14" s="97">
        <f t="shared" si="37"/>
        <v>2513</v>
      </c>
      <c r="BC14" s="317">
        <f t="shared" si="16"/>
        <v>151.25260644647832</v>
      </c>
      <c r="BD14" s="308">
        <f>252697.66-BG14-716</f>
        <v>208268.04</v>
      </c>
      <c r="BE14" s="310">
        <f>2212-BH14</f>
        <v>1640</v>
      </c>
      <c r="BF14" s="316">
        <f t="shared" si="17"/>
        <v>126.99270731707317</v>
      </c>
      <c r="BG14" s="308">
        <v>43713.62</v>
      </c>
      <c r="BH14" s="310">
        <f>329+243</f>
        <v>572</v>
      </c>
      <c r="BI14" s="316">
        <f t="shared" si="18"/>
        <v>76.422412587412595</v>
      </c>
      <c r="BJ14" s="310"/>
      <c r="BK14" s="310"/>
      <c r="BL14" s="316" t="str">
        <f t="shared" si="19"/>
        <v/>
      </c>
      <c r="BM14" s="3">
        <f t="shared" si="38"/>
        <v>251981.66</v>
      </c>
      <c r="BN14" s="97">
        <f t="shared" si="39"/>
        <v>2212</v>
      </c>
      <c r="BO14" s="317">
        <f t="shared" si="20"/>
        <v>113.91575949367089</v>
      </c>
      <c r="BP14" s="308">
        <f>12484.52+70643+60327+8320+6611.84+79243</f>
        <v>237629.36000000002</v>
      </c>
      <c r="BQ14" s="310">
        <f>192+153</f>
        <v>345</v>
      </c>
      <c r="BR14" s="316">
        <f t="shared" si="70"/>
        <v>688.7807536231885</v>
      </c>
      <c r="BS14" s="308">
        <f>9638+7366+2757+5607+1456+3115.36</f>
        <v>29939.360000000001</v>
      </c>
      <c r="BT14" s="310">
        <f>120+74</f>
        <v>194</v>
      </c>
      <c r="BU14" s="316">
        <f t="shared" si="71"/>
        <v>154.32659793814435</v>
      </c>
      <c r="BV14" s="3">
        <f t="shared" si="40"/>
        <v>267568.72000000003</v>
      </c>
      <c r="BW14" s="97">
        <f t="shared" si="72"/>
        <v>539</v>
      </c>
      <c r="BX14" s="317">
        <f t="shared" si="73"/>
        <v>496.41692022263459</v>
      </c>
      <c r="BY14" s="308">
        <v>0</v>
      </c>
      <c r="BZ14" s="308">
        <v>0</v>
      </c>
      <c r="CA14" s="316" t="str">
        <f t="shared" si="74"/>
        <v/>
      </c>
      <c r="CB14" s="308">
        <v>0</v>
      </c>
      <c r="CC14" s="308">
        <v>0</v>
      </c>
      <c r="CD14" s="316" t="str">
        <f t="shared" si="75"/>
        <v/>
      </c>
      <c r="CE14" s="310"/>
      <c r="CF14" s="310"/>
      <c r="CG14" s="316" t="str">
        <f t="shared" si="76"/>
        <v/>
      </c>
      <c r="CH14" s="3">
        <f t="shared" si="77"/>
        <v>0</v>
      </c>
      <c r="CI14" s="97">
        <f t="shared" si="78"/>
        <v>0</v>
      </c>
      <c r="CJ14" s="317" t="str">
        <f t="shared" si="79"/>
        <v/>
      </c>
    </row>
    <row r="15" spans="1:88">
      <c r="A15" t="s">
        <v>136</v>
      </c>
      <c r="B15" t="s">
        <v>133</v>
      </c>
      <c r="C15" s="2">
        <f>VLOOKUP(A15,Dates!$B$2:$E$53,4,FALSE)</f>
        <v>11</v>
      </c>
      <c r="D15" s="310" t="b">
        <f>IF(C15&lt;='RDG Weekly Sales'!$F$1,TRUE,FALSE)</f>
        <v>1</v>
      </c>
      <c r="E15" s="308">
        <f>863418.48-H15-13974.45</f>
        <v>792520.88</v>
      </c>
      <c r="F15" s="310">
        <f>4605-I15</f>
        <v>4159</v>
      </c>
      <c r="G15" s="316">
        <f t="shared" si="28"/>
        <v>190.55563356576101</v>
      </c>
      <c r="H15" s="308">
        <v>56923.15</v>
      </c>
      <c r="I15" s="310">
        <v>446</v>
      </c>
      <c r="J15" s="316">
        <f t="shared" si="0"/>
        <v>127.63038116591929</v>
      </c>
      <c r="K15" s="3">
        <f t="shared" si="1"/>
        <v>849444.03</v>
      </c>
      <c r="L15" s="97">
        <f t="shared" si="2"/>
        <v>4605</v>
      </c>
      <c r="M15" s="317">
        <f t="shared" si="3"/>
        <v>184.46124429967426</v>
      </c>
      <c r="N15" s="308">
        <v>24784.01</v>
      </c>
      <c r="O15" s="310">
        <v>80</v>
      </c>
      <c r="P15" s="316">
        <f t="shared" si="4"/>
        <v>309.80012499999998</v>
      </c>
      <c r="Q15" s="308">
        <f>14921+70010.2</f>
        <v>84931.199999999997</v>
      </c>
      <c r="R15" s="310">
        <v>392</v>
      </c>
      <c r="S15" s="316">
        <f t="shared" si="5"/>
        <v>216.6612244897959</v>
      </c>
      <c r="T15" s="308">
        <f>176276.65+23263-1013.35</f>
        <v>198526.3</v>
      </c>
      <c r="U15" s="310">
        <v>769</v>
      </c>
      <c r="V15" s="316">
        <f t="shared" si="6"/>
        <v>258.16163849154742</v>
      </c>
      <c r="W15" s="308">
        <f t="shared" si="29"/>
        <v>308241.51</v>
      </c>
      <c r="X15" s="310">
        <f t="shared" si="30"/>
        <v>1241</v>
      </c>
      <c r="Y15" s="317">
        <f t="shared" si="7"/>
        <v>248.38155519742145</v>
      </c>
      <c r="Z15" s="308">
        <f>199938.61-114.3-AC15</f>
        <v>184639.81</v>
      </c>
      <c r="AA15" s="310">
        <f>1874-AD15</f>
        <v>1608</v>
      </c>
      <c r="AB15" s="316">
        <f t="shared" si="8"/>
        <v>114.82575248756218</v>
      </c>
      <c r="AC15" s="308">
        <v>15184.5</v>
      </c>
      <c r="AD15" s="310">
        <f>160+106</f>
        <v>266</v>
      </c>
      <c r="AE15" s="316">
        <f t="shared" si="9"/>
        <v>57.084586466165412</v>
      </c>
      <c r="AF15" s="308">
        <f>27577.95-451.45</f>
        <v>27126.5</v>
      </c>
      <c r="AG15" s="310">
        <v>110</v>
      </c>
      <c r="AH15" s="316">
        <f t="shared" si="10"/>
        <v>246.60454545454544</v>
      </c>
      <c r="AI15" s="3">
        <f t="shared" si="31"/>
        <v>226950.81</v>
      </c>
      <c r="AJ15" s="97">
        <f t="shared" si="32"/>
        <v>1984</v>
      </c>
      <c r="AK15" s="317">
        <f t="shared" si="11"/>
        <v>114.39052923387096</v>
      </c>
      <c r="AL15" s="308">
        <f>518482.09-376225.3</f>
        <v>142256.79000000004</v>
      </c>
      <c r="AM15" s="310">
        <f>469+557</f>
        <v>1026</v>
      </c>
      <c r="AN15" s="316">
        <f t="shared" si="12"/>
        <v>138.6518421052632</v>
      </c>
      <c r="AO15" s="308">
        <f>570034.64+17796.15-36856.93</f>
        <v>550973.86</v>
      </c>
      <c r="AP15" s="310">
        <f>4143-AM15</f>
        <v>3117</v>
      </c>
      <c r="AQ15" s="316">
        <f t="shared" si="13"/>
        <v>176.76415142765478</v>
      </c>
      <c r="AR15" s="3">
        <f t="shared" si="33"/>
        <v>693230.65</v>
      </c>
      <c r="AS15" s="97">
        <f t="shared" si="34"/>
        <v>4143</v>
      </c>
      <c r="AT15" s="317">
        <f t="shared" si="14"/>
        <v>167.32576635288439</v>
      </c>
      <c r="AU15" s="308">
        <v>39527.29</v>
      </c>
      <c r="AV15" s="310">
        <f>51+60+66+46+56</f>
        <v>279</v>
      </c>
      <c r="AW15" s="316">
        <f t="shared" si="35"/>
        <v>141.67487455197133</v>
      </c>
      <c r="AX15" s="308">
        <f>348196.94-AU15-1092.94</f>
        <v>307576.71000000002</v>
      </c>
      <c r="AY15" s="310">
        <f>2236-AV15</f>
        <v>1957</v>
      </c>
      <c r="AZ15" s="316">
        <f t="shared" si="15"/>
        <v>157.1674552887072</v>
      </c>
      <c r="BA15" s="3">
        <f t="shared" si="36"/>
        <v>347104</v>
      </c>
      <c r="BB15" s="97">
        <f t="shared" si="37"/>
        <v>2236</v>
      </c>
      <c r="BC15" s="317">
        <f t="shared" si="16"/>
        <v>155.23434704830055</v>
      </c>
      <c r="BD15" s="308">
        <f>239836.03-BG15-732.78</f>
        <v>193093.92</v>
      </c>
      <c r="BE15" s="310">
        <f>2151-BH15</f>
        <v>1525</v>
      </c>
      <c r="BF15" s="316">
        <f t="shared" si="17"/>
        <v>126.61896393442623</v>
      </c>
      <c r="BG15" s="308">
        <v>46009.33</v>
      </c>
      <c r="BH15" s="310">
        <f>299+327</f>
        <v>626</v>
      </c>
      <c r="BI15" s="316">
        <f t="shared" si="18"/>
        <v>73.497332268370613</v>
      </c>
      <c r="BJ15" s="310"/>
      <c r="BK15" s="310"/>
      <c r="BL15" s="316" t="str">
        <f t="shared" si="19"/>
        <v/>
      </c>
      <c r="BM15" s="3">
        <f t="shared" si="38"/>
        <v>239103.25</v>
      </c>
      <c r="BN15" s="97">
        <f t="shared" si="39"/>
        <v>2151</v>
      </c>
      <c r="BO15" s="317">
        <f t="shared" si="20"/>
        <v>111.15911204091121</v>
      </c>
      <c r="BP15" s="308">
        <f>228562.04+35471.68</f>
        <v>264033.72000000003</v>
      </c>
      <c r="BQ15" s="310">
        <v>729</v>
      </c>
      <c r="BR15" s="316">
        <f t="shared" si="70"/>
        <v>362.18617283950624</v>
      </c>
      <c r="BS15" s="308">
        <f>12787.84+24339</f>
        <v>37126.839999999997</v>
      </c>
      <c r="BT15" s="310">
        <v>221</v>
      </c>
      <c r="BU15" s="316">
        <f t="shared" si="71"/>
        <v>167.9947511312217</v>
      </c>
      <c r="BV15" s="3">
        <f t="shared" si="40"/>
        <v>301160.56000000006</v>
      </c>
      <c r="BW15" s="97">
        <f t="shared" si="72"/>
        <v>950</v>
      </c>
      <c r="BX15" s="317">
        <f t="shared" si="73"/>
        <v>317.01111578947376</v>
      </c>
      <c r="BY15" s="308">
        <v>0</v>
      </c>
      <c r="BZ15" s="308">
        <v>0</v>
      </c>
      <c r="CA15" s="316" t="str">
        <f t="shared" si="74"/>
        <v/>
      </c>
      <c r="CB15" s="308">
        <v>0</v>
      </c>
      <c r="CC15" s="308">
        <v>0</v>
      </c>
      <c r="CD15" s="316" t="str">
        <f t="shared" si="75"/>
        <v/>
      </c>
      <c r="CE15" s="310"/>
      <c r="CF15" s="310"/>
      <c r="CG15" s="316" t="str">
        <f t="shared" si="76"/>
        <v/>
      </c>
      <c r="CH15" s="3">
        <f t="shared" si="77"/>
        <v>0</v>
      </c>
      <c r="CI15" s="97">
        <f t="shared" si="78"/>
        <v>0</v>
      </c>
      <c r="CJ15" s="317" t="str">
        <f t="shared" si="79"/>
        <v/>
      </c>
    </row>
    <row r="16" spans="1:88">
      <c r="A16" t="s">
        <v>137</v>
      </c>
      <c r="B16" t="s">
        <v>133</v>
      </c>
      <c r="C16" s="2">
        <f>VLOOKUP(A16,Dates!$B$2:$E$53,4,FALSE)</f>
        <v>12</v>
      </c>
      <c r="D16" s="310" t="b">
        <f>IF(C16&lt;='RDG Weekly Sales'!$F$1,TRUE,FALSE)</f>
        <v>1</v>
      </c>
      <c r="E16" s="308">
        <f>875753.37-H16-9224.61</f>
        <v>819512.76</v>
      </c>
      <c r="F16" s="310">
        <f>5026-I16</f>
        <v>4603</v>
      </c>
      <c r="G16" s="316">
        <f t="shared" si="28"/>
        <v>178.03883554203782</v>
      </c>
      <c r="H16" s="308">
        <v>47016</v>
      </c>
      <c r="I16" s="310">
        <v>423</v>
      </c>
      <c r="J16" s="316">
        <f t="shared" si="0"/>
        <v>111.14893617021276</v>
      </c>
      <c r="K16" s="3">
        <f t="shared" si="1"/>
        <v>866528.76</v>
      </c>
      <c r="L16" s="97">
        <f t="shared" si="2"/>
        <v>5026</v>
      </c>
      <c r="M16" s="317">
        <f t="shared" si="3"/>
        <v>172.4092240350179</v>
      </c>
      <c r="N16" s="308">
        <v>22133.43</v>
      </c>
      <c r="O16" s="310">
        <v>66</v>
      </c>
      <c r="P16" s="316">
        <f t="shared" si="4"/>
        <v>335.35500000000002</v>
      </c>
      <c r="Q16" s="308">
        <f>12893+111200.5</f>
        <v>124093.5</v>
      </c>
      <c r="R16" s="310">
        <v>512</v>
      </c>
      <c r="S16" s="316">
        <f t="shared" si="5"/>
        <v>242.3701171875</v>
      </c>
      <c r="T16" s="308">
        <f>278477.55+47950-3935</f>
        <v>322492.55</v>
      </c>
      <c r="U16" s="310">
        <v>1299</v>
      </c>
      <c r="V16" s="316">
        <f t="shared" si="6"/>
        <v>248.26216320246343</v>
      </c>
      <c r="W16" s="308">
        <f t="shared" si="29"/>
        <v>468719.48</v>
      </c>
      <c r="X16" s="310">
        <f t="shared" si="30"/>
        <v>1877</v>
      </c>
      <c r="Y16" s="317">
        <f t="shared" si="7"/>
        <v>249.71735748534894</v>
      </c>
      <c r="Z16" s="308">
        <f>217501.6-AC16-77.65</f>
        <v>184170.95</v>
      </c>
      <c r="AA16" s="310">
        <f>2065-AD16</f>
        <v>1608</v>
      </c>
      <c r="AB16" s="316">
        <f t="shared" si="8"/>
        <v>114.53417288557215</v>
      </c>
      <c r="AC16" s="308">
        <v>33253</v>
      </c>
      <c r="AD16" s="310">
        <f>208+249</f>
        <v>457</v>
      </c>
      <c r="AE16" s="316">
        <f t="shared" si="9"/>
        <v>72.763676148796492</v>
      </c>
      <c r="AF16" s="308">
        <f>27235-419.78</f>
        <v>26815.22</v>
      </c>
      <c r="AG16" s="310">
        <v>144</v>
      </c>
      <c r="AH16" s="316">
        <f t="shared" si="10"/>
        <v>186.21680555555557</v>
      </c>
      <c r="AI16" s="3">
        <f t="shared" si="31"/>
        <v>244239.17</v>
      </c>
      <c r="AJ16" s="97">
        <f t="shared" si="32"/>
        <v>2209</v>
      </c>
      <c r="AK16" s="317">
        <f t="shared" si="11"/>
        <v>110.56549117247624</v>
      </c>
      <c r="AL16" s="308">
        <v>236435.28</v>
      </c>
      <c r="AM16" s="310">
        <f>586+704</f>
        <v>1290</v>
      </c>
      <c r="AN16" s="316">
        <f t="shared" si="12"/>
        <v>183.28316279069767</v>
      </c>
      <c r="AO16" s="308">
        <f>824962.45-AL16-2437.95</f>
        <v>586089.22</v>
      </c>
      <c r="AP16" s="310">
        <f>4496-AM16</f>
        <v>3206</v>
      </c>
      <c r="AQ16" s="316">
        <f t="shared" si="13"/>
        <v>182.81011228945727</v>
      </c>
      <c r="AR16" s="3">
        <f t="shared" si="33"/>
        <v>822524.5</v>
      </c>
      <c r="AS16" s="97">
        <f t="shared" si="34"/>
        <v>4496</v>
      </c>
      <c r="AT16" s="317">
        <f t="shared" si="14"/>
        <v>182.94584074733095</v>
      </c>
      <c r="AU16" s="308">
        <v>116260.76</v>
      </c>
      <c r="AV16" s="310">
        <f>41+35+65+74</f>
        <v>215</v>
      </c>
      <c r="AW16" s="316">
        <f t="shared" si="35"/>
        <v>540.7477209302325</v>
      </c>
      <c r="AX16" s="308">
        <f>394989.6-AU16-4675</f>
        <v>274053.83999999997</v>
      </c>
      <c r="AY16" s="310">
        <f>2070-AV16</f>
        <v>1855</v>
      </c>
      <c r="AZ16" s="316">
        <f t="shared" si="15"/>
        <v>147.73791913746629</v>
      </c>
      <c r="BA16" s="3">
        <f t="shared" ref="BA16:BA24" si="80">AX16+AU16</f>
        <v>390314.6</v>
      </c>
      <c r="BB16" s="97">
        <f t="shared" si="37"/>
        <v>2070</v>
      </c>
      <c r="BC16" s="317">
        <f t="shared" si="16"/>
        <v>188.55777777777777</v>
      </c>
      <c r="BD16" s="308">
        <f>248999.92-BG16-1247.38</f>
        <v>200278.82</v>
      </c>
      <c r="BE16" s="310">
        <f>2241-BH16</f>
        <v>1682</v>
      </c>
      <c r="BF16" s="316">
        <f t="shared" si="17"/>
        <v>119.07183115338883</v>
      </c>
      <c r="BG16" s="308">
        <v>47473.72</v>
      </c>
      <c r="BH16" s="310">
        <f>344+215</f>
        <v>559</v>
      </c>
      <c r="BI16" s="316">
        <f t="shared" si="18"/>
        <v>84.926153846153852</v>
      </c>
      <c r="BJ16" s="310"/>
      <c r="BK16" s="310"/>
      <c r="BL16" s="316" t="str">
        <f t="shared" si="19"/>
        <v/>
      </c>
      <c r="BM16" s="3">
        <f t="shared" si="38"/>
        <v>247752.54</v>
      </c>
      <c r="BN16" s="97">
        <f t="shared" si="39"/>
        <v>2241</v>
      </c>
      <c r="BO16" s="317">
        <f t="shared" si="20"/>
        <v>110.55445783132531</v>
      </c>
      <c r="BP16" s="308">
        <f>292101.24-BS16-1692.22</f>
        <v>234905.5</v>
      </c>
      <c r="BQ16" s="310">
        <v>609</v>
      </c>
      <c r="BR16" s="316">
        <f t="shared" si="70"/>
        <v>385.72331691297211</v>
      </c>
      <c r="BS16" s="308">
        <f>11094.68+44408.84</f>
        <v>55503.519999999997</v>
      </c>
      <c r="BT16" s="310">
        <v>367</v>
      </c>
      <c r="BU16" s="316">
        <f t="shared" si="71"/>
        <v>151.23574931880108</v>
      </c>
      <c r="BV16" s="3">
        <f t="shared" si="40"/>
        <v>290409.02</v>
      </c>
      <c r="BW16" s="97">
        <f t="shared" si="72"/>
        <v>976</v>
      </c>
      <c r="BX16" s="317">
        <f t="shared" si="73"/>
        <v>297.55022540983606</v>
      </c>
      <c r="BY16" s="308">
        <v>0</v>
      </c>
      <c r="BZ16" s="308">
        <v>0</v>
      </c>
      <c r="CA16" s="316" t="str">
        <f t="shared" si="74"/>
        <v/>
      </c>
      <c r="CB16" s="308">
        <v>0</v>
      </c>
      <c r="CC16" s="308">
        <v>0</v>
      </c>
      <c r="CD16" s="316" t="str">
        <f t="shared" si="75"/>
        <v/>
      </c>
      <c r="CE16" s="310"/>
      <c r="CF16" s="310"/>
      <c r="CG16" s="316" t="str">
        <f t="shared" si="76"/>
        <v/>
      </c>
      <c r="CH16" s="3">
        <f t="shared" si="77"/>
        <v>0</v>
      </c>
      <c r="CI16" s="97">
        <f t="shared" si="78"/>
        <v>0</v>
      </c>
      <c r="CJ16" s="317" t="str">
        <f t="shared" si="79"/>
        <v/>
      </c>
    </row>
    <row r="17" spans="1:88">
      <c r="A17" t="s">
        <v>138</v>
      </c>
      <c r="B17" t="s">
        <v>133</v>
      </c>
      <c r="C17" s="2">
        <f>VLOOKUP(A17,Dates!$B$2:$E$53,4,FALSE)</f>
        <v>13</v>
      </c>
      <c r="D17" s="310" t="b">
        <f>IF(C17&lt;='RDG Weekly Sales'!$F$1,TRUE,FALSE)</f>
        <v>1</v>
      </c>
      <c r="E17" s="308">
        <f>850297.27-H17-3649.75</f>
        <v>799812.52</v>
      </c>
      <c r="F17" s="310">
        <f>5162-I17</f>
        <v>4755</v>
      </c>
      <c r="G17" s="316">
        <f t="shared" si="28"/>
        <v>168.20452576235542</v>
      </c>
      <c r="H17" s="308">
        <v>46835</v>
      </c>
      <c r="I17" s="310">
        <v>407</v>
      </c>
      <c r="J17" s="316">
        <f t="shared" si="0"/>
        <v>115.07371007371007</v>
      </c>
      <c r="K17" s="3">
        <f t="shared" si="1"/>
        <v>846647.52</v>
      </c>
      <c r="L17" s="97">
        <f t="shared" si="2"/>
        <v>5162</v>
      </c>
      <c r="M17" s="317">
        <f t="shared" si="3"/>
        <v>164.01540488182874</v>
      </c>
      <c r="N17" s="308">
        <v>27346.6</v>
      </c>
      <c r="O17" s="310">
        <v>88</v>
      </c>
      <c r="P17" s="316">
        <f t="shared" si="4"/>
        <v>310.75681818181818</v>
      </c>
      <c r="Q17" s="308">
        <f>21012.5+62124.9</f>
        <v>83137.399999999994</v>
      </c>
      <c r="R17" s="310">
        <v>414</v>
      </c>
      <c r="S17" s="316">
        <f t="shared" si="5"/>
        <v>200.8149758454106</v>
      </c>
      <c r="T17" s="308">
        <f>436150.36+41560-1568</f>
        <v>476142.36</v>
      </c>
      <c r="U17" s="310">
        <v>860</v>
      </c>
      <c r="V17" s="316">
        <f t="shared" si="6"/>
        <v>553.65390697674422</v>
      </c>
      <c r="W17" s="308">
        <f t="shared" si="29"/>
        <v>586626.36</v>
      </c>
      <c r="X17" s="310">
        <f t="shared" si="30"/>
        <v>1362</v>
      </c>
      <c r="Y17" s="317">
        <f t="shared" si="7"/>
        <v>430.70951541850218</v>
      </c>
      <c r="Z17" s="308">
        <f>212722.9-AC17-755.45</f>
        <v>189692.43999999997</v>
      </c>
      <c r="AA17" s="310">
        <f>1981-AD17</f>
        <v>1637</v>
      </c>
      <c r="AB17" s="316">
        <f t="shared" si="8"/>
        <v>115.87809407452656</v>
      </c>
      <c r="AC17" s="308">
        <v>22275.01</v>
      </c>
      <c r="AD17" s="310">
        <f>160+184</f>
        <v>344</v>
      </c>
      <c r="AE17" s="316">
        <f t="shared" si="9"/>
        <v>64.752936046511621</v>
      </c>
      <c r="AF17" s="308">
        <f>42188.62-1211.02</f>
        <v>40977.600000000006</v>
      </c>
      <c r="AG17" s="310">
        <v>161</v>
      </c>
      <c r="AH17" s="316">
        <f t="shared" si="10"/>
        <v>254.51925465838514</v>
      </c>
      <c r="AI17" s="3">
        <f t="shared" si="31"/>
        <v>252945.05</v>
      </c>
      <c r="AJ17" s="97">
        <f t="shared" si="32"/>
        <v>2142</v>
      </c>
      <c r="AK17" s="317">
        <f t="shared" si="11"/>
        <v>118.08825863678804</v>
      </c>
      <c r="AL17" s="308">
        <v>268953.8</v>
      </c>
      <c r="AM17" s="310">
        <f>667+732</f>
        <v>1399</v>
      </c>
      <c r="AN17" s="316">
        <f t="shared" si="12"/>
        <v>192.24717655468191</v>
      </c>
      <c r="AO17" s="308">
        <f>1112400.79-AL17-2447</f>
        <v>840999.99</v>
      </c>
      <c r="AP17" s="310">
        <f>5194-AM17</f>
        <v>3795</v>
      </c>
      <c r="AQ17" s="316">
        <f t="shared" si="13"/>
        <v>221.60737549407114</v>
      </c>
      <c r="AR17" s="3">
        <f t="shared" si="33"/>
        <v>1109953.79</v>
      </c>
      <c r="AS17" s="97">
        <f t="shared" si="34"/>
        <v>5194</v>
      </c>
      <c r="AT17" s="317">
        <f t="shared" si="14"/>
        <v>213.69922795533307</v>
      </c>
      <c r="AU17" s="308">
        <v>41123.75</v>
      </c>
      <c r="AV17" s="310">
        <f>33+135+32+64+100</f>
        <v>364</v>
      </c>
      <c r="AW17" s="316">
        <f t="shared" si="35"/>
        <v>112.97733516483517</v>
      </c>
      <c r="AX17" s="308">
        <f>366812.3-AU17-1375</f>
        <v>324313.55</v>
      </c>
      <c r="AY17" s="310">
        <f>2383-AV17</f>
        <v>2019</v>
      </c>
      <c r="AZ17" s="316">
        <f t="shared" si="15"/>
        <v>160.63078256562653</v>
      </c>
      <c r="BA17" s="3">
        <f t="shared" si="80"/>
        <v>365437.3</v>
      </c>
      <c r="BB17" s="97">
        <f t="shared" si="37"/>
        <v>2383</v>
      </c>
      <c r="BC17" s="317">
        <f t="shared" si="16"/>
        <v>153.35178346621905</v>
      </c>
      <c r="BD17" s="308">
        <f>234785.11-BG17-1115.7</f>
        <v>188857.05</v>
      </c>
      <c r="BE17" s="310">
        <f>2194-BH17</f>
        <v>1665</v>
      </c>
      <c r="BF17" s="316">
        <f t="shared" si="17"/>
        <v>113.42765765765765</v>
      </c>
      <c r="BG17" s="308">
        <v>44812.36</v>
      </c>
      <c r="BH17" s="310">
        <f>262+267</f>
        <v>529</v>
      </c>
      <c r="BI17" s="316">
        <f t="shared" si="18"/>
        <v>84.711455576559544</v>
      </c>
      <c r="BJ17" s="310"/>
      <c r="BK17" s="310"/>
      <c r="BL17" s="316" t="str">
        <f t="shared" si="19"/>
        <v/>
      </c>
      <c r="BM17" s="3">
        <f t="shared" si="38"/>
        <v>233669.40999999997</v>
      </c>
      <c r="BN17" s="97">
        <f t="shared" si="39"/>
        <v>2194</v>
      </c>
      <c r="BO17" s="317">
        <f t="shared" si="20"/>
        <v>106.50383318140382</v>
      </c>
      <c r="BP17" s="308">
        <f>530604.56-BS17-1692.22</f>
        <v>436754.2900000001</v>
      </c>
      <c r="BQ17" s="310">
        <v>933</v>
      </c>
      <c r="BR17" s="316">
        <f t="shared" si="70"/>
        <v>468.11821007502692</v>
      </c>
      <c r="BS17" s="308">
        <f>78606.05+13552</f>
        <v>92158.05</v>
      </c>
      <c r="BT17" s="310">
        <v>395</v>
      </c>
      <c r="BU17" s="316">
        <f t="shared" si="71"/>
        <v>233.31151898734177</v>
      </c>
      <c r="BV17" s="3">
        <f t="shared" si="40"/>
        <v>528912.34000000008</v>
      </c>
      <c r="BW17" s="97">
        <f t="shared" si="72"/>
        <v>1328</v>
      </c>
      <c r="BX17" s="317">
        <f t="shared" si="73"/>
        <v>398.27736445783137</v>
      </c>
      <c r="BY17" s="308">
        <v>0</v>
      </c>
      <c r="BZ17" s="308">
        <v>0</v>
      </c>
      <c r="CA17" s="316" t="str">
        <f t="shared" si="74"/>
        <v/>
      </c>
      <c r="CB17" s="308">
        <v>0</v>
      </c>
      <c r="CC17" s="308">
        <v>0</v>
      </c>
      <c r="CD17" s="316" t="str">
        <f t="shared" si="75"/>
        <v/>
      </c>
      <c r="CE17" s="310"/>
      <c r="CF17" s="310"/>
      <c r="CG17" s="316" t="str">
        <f t="shared" si="76"/>
        <v/>
      </c>
      <c r="CH17" s="3">
        <f t="shared" si="77"/>
        <v>0</v>
      </c>
      <c r="CI17" s="97">
        <f t="shared" si="78"/>
        <v>0</v>
      </c>
      <c r="CJ17" s="317" t="str">
        <f t="shared" si="79"/>
        <v/>
      </c>
    </row>
    <row r="18" spans="1:88">
      <c r="A18" t="s">
        <v>141</v>
      </c>
      <c r="B18" t="s">
        <v>140</v>
      </c>
      <c r="C18" s="2">
        <f>VLOOKUP(A18,Dates!$B$2:$E$53,4,FALSE)</f>
        <v>14</v>
      </c>
      <c r="D18" s="310" t="b">
        <f>IF(C18&lt;='RDG Weekly Sales'!$F$1,TRUE,FALSE)</f>
        <v>1</v>
      </c>
      <c r="E18" s="308">
        <f>786333.87-H18-1808.78</f>
        <v>724988.19</v>
      </c>
      <c r="F18" s="310">
        <f>5180-I18</f>
        <v>4750</v>
      </c>
      <c r="G18" s="316">
        <f t="shared" si="28"/>
        <v>152.62909263157894</v>
      </c>
      <c r="H18" s="308">
        <v>59536.9</v>
      </c>
      <c r="I18" s="310">
        <v>430</v>
      </c>
      <c r="J18" s="316">
        <f t="shared" si="0"/>
        <v>138.4579069767442</v>
      </c>
      <c r="K18" s="3">
        <f t="shared" si="1"/>
        <v>784525.09</v>
      </c>
      <c r="L18" s="97">
        <f t="shared" si="2"/>
        <v>5180</v>
      </c>
      <c r="M18" s="317">
        <f t="shared" si="3"/>
        <v>151.45272007722008</v>
      </c>
      <c r="N18" s="308">
        <v>27402.85</v>
      </c>
      <c r="O18" s="310">
        <v>81</v>
      </c>
      <c r="P18" s="316">
        <f t="shared" si="4"/>
        <v>338.30679012345678</v>
      </c>
      <c r="Q18" s="308">
        <f>13735+27402</f>
        <v>41137</v>
      </c>
      <c r="R18" s="310">
        <v>413</v>
      </c>
      <c r="S18" s="316">
        <f t="shared" si="5"/>
        <v>99.605326876513317</v>
      </c>
      <c r="T18" s="308">
        <f>201751.57+28230-340.95</f>
        <v>229640.62</v>
      </c>
      <c r="U18" s="310">
        <v>706</v>
      </c>
      <c r="V18" s="316">
        <f t="shared" si="6"/>
        <v>325.27</v>
      </c>
      <c r="W18" s="308">
        <f t="shared" si="29"/>
        <v>298180.46999999997</v>
      </c>
      <c r="X18" s="310">
        <f t="shared" si="30"/>
        <v>1200</v>
      </c>
      <c r="Y18" s="317">
        <f t="shared" si="7"/>
        <v>248.48372499999996</v>
      </c>
      <c r="Z18" s="308">
        <f>215990.05-AC18-147.15</f>
        <v>181775.9</v>
      </c>
      <c r="AA18" s="310">
        <f>2201-AD18</f>
        <v>1708</v>
      </c>
      <c r="AB18" s="316">
        <f t="shared" si="8"/>
        <v>106.42617096018735</v>
      </c>
      <c r="AC18" s="308">
        <v>34067</v>
      </c>
      <c r="AD18" s="310">
        <f>318+175</f>
        <v>493</v>
      </c>
      <c r="AE18" s="316">
        <f t="shared" si="9"/>
        <v>69.101419878296142</v>
      </c>
      <c r="AF18" s="308">
        <v>20300.09</v>
      </c>
      <c r="AG18" s="310">
        <v>134</v>
      </c>
      <c r="AH18" s="316">
        <f t="shared" si="10"/>
        <v>151.49320895522388</v>
      </c>
      <c r="AI18" s="3">
        <f t="shared" si="31"/>
        <v>236142.99</v>
      </c>
      <c r="AJ18" s="97">
        <f t="shared" si="32"/>
        <v>2335</v>
      </c>
      <c r="AK18" s="317">
        <f t="shared" si="11"/>
        <v>101.13190149892934</v>
      </c>
      <c r="AL18" s="308">
        <v>164499.29999999999</v>
      </c>
      <c r="AM18" s="310">
        <f>937+368</f>
        <v>1305</v>
      </c>
      <c r="AN18" s="316">
        <f t="shared" si="12"/>
        <v>126.05310344827585</v>
      </c>
      <c r="AO18" s="308">
        <f>775942.93-AL18-2753.9</f>
        <v>608689.7300000001</v>
      </c>
      <c r="AP18" s="310">
        <f>4518-AM18</f>
        <v>3213</v>
      </c>
      <c r="AQ18" s="316">
        <f t="shared" si="13"/>
        <v>189.44591658885778</v>
      </c>
      <c r="AR18" s="3">
        <f t="shared" si="33"/>
        <v>773189.03</v>
      </c>
      <c r="AS18" s="97">
        <f t="shared" si="34"/>
        <v>4518</v>
      </c>
      <c r="AT18" s="317">
        <f t="shared" si="14"/>
        <v>171.13524347056222</v>
      </c>
      <c r="AU18" s="308">
        <v>32633.31</v>
      </c>
      <c r="AV18" s="310">
        <f>54+69+56+112+114</f>
        <v>405</v>
      </c>
      <c r="AW18" s="316">
        <f t="shared" si="35"/>
        <v>80.576074074074072</v>
      </c>
      <c r="AX18" s="308">
        <f>364492.51-AU18-288.09</f>
        <v>331571.11</v>
      </c>
      <c r="AY18" s="310">
        <f>2500-AV18</f>
        <v>2095</v>
      </c>
      <c r="AZ18" s="316">
        <f t="shared" si="15"/>
        <v>158.26783293556085</v>
      </c>
      <c r="BA18" s="3">
        <f t="shared" si="80"/>
        <v>364204.42</v>
      </c>
      <c r="BB18" s="97">
        <f t="shared" si="37"/>
        <v>2500</v>
      </c>
      <c r="BC18" s="317">
        <f t="shared" si="16"/>
        <v>145.68176800000001</v>
      </c>
      <c r="BD18" s="308">
        <f>224949.91-BG18-185.15</f>
        <v>160397.88</v>
      </c>
      <c r="BE18" s="310">
        <f>2157-BH18</f>
        <v>1419</v>
      </c>
      <c r="BF18" s="316">
        <f t="shared" si="17"/>
        <v>113.03585623678647</v>
      </c>
      <c r="BG18" s="308">
        <v>64366.879999999997</v>
      </c>
      <c r="BH18" s="310">
        <f>300+438</f>
        <v>738</v>
      </c>
      <c r="BI18" s="316">
        <f t="shared" si="18"/>
        <v>87.217994579945795</v>
      </c>
      <c r="BJ18" s="310"/>
      <c r="BK18" s="310"/>
      <c r="BL18" s="316" t="str">
        <f t="shared" si="19"/>
        <v/>
      </c>
      <c r="BM18" s="3">
        <f t="shared" si="38"/>
        <v>224764.76</v>
      </c>
      <c r="BN18" s="97">
        <f t="shared" si="39"/>
        <v>2157</v>
      </c>
      <c r="BO18" s="317">
        <f t="shared" si="20"/>
        <v>104.20248493277701</v>
      </c>
      <c r="BP18" s="308">
        <f>242567.3-BS18-1235.05</f>
        <v>173704.95</v>
      </c>
      <c r="BQ18" s="310">
        <v>453</v>
      </c>
      <c r="BR18" s="316">
        <f t="shared" si="70"/>
        <v>383.45463576158943</v>
      </c>
      <c r="BS18" s="308">
        <f>8396+59231.3</f>
        <v>67627.3</v>
      </c>
      <c r="BT18" s="310">
        <v>255</v>
      </c>
      <c r="BU18" s="316">
        <f t="shared" si="71"/>
        <v>265.20509803921567</v>
      </c>
      <c r="BV18" s="3">
        <f t="shared" si="40"/>
        <v>241332.25</v>
      </c>
      <c r="BW18" s="97">
        <f t="shared" si="72"/>
        <v>708</v>
      </c>
      <c r="BX18" s="317">
        <f t="shared" si="73"/>
        <v>340.86475988700568</v>
      </c>
      <c r="BY18" s="308">
        <v>0</v>
      </c>
      <c r="BZ18" s="308">
        <v>0</v>
      </c>
      <c r="CA18" s="316" t="str">
        <f t="shared" si="74"/>
        <v/>
      </c>
      <c r="CB18" s="308">
        <v>0</v>
      </c>
      <c r="CC18" s="308">
        <v>0</v>
      </c>
      <c r="CD18" s="316" t="str">
        <f t="shared" si="75"/>
        <v/>
      </c>
      <c r="CE18" s="310"/>
      <c r="CF18" s="310"/>
      <c r="CG18" s="316" t="str">
        <f t="shared" si="76"/>
        <v/>
      </c>
      <c r="CH18" s="3">
        <f t="shared" si="77"/>
        <v>0</v>
      </c>
      <c r="CI18" s="97">
        <f t="shared" si="78"/>
        <v>0</v>
      </c>
      <c r="CJ18" s="317" t="str">
        <f t="shared" si="79"/>
        <v/>
      </c>
    </row>
    <row r="19" spans="1:88">
      <c r="A19" t="s">
        <v>142</v>
      </c>
      <c r="B19" t="s">
        <v>140</v>
      </c>
      <c r="C19" s="2">
        <f>VLOOKUP(A19,Dates!$B$2:$E$53,4,FALSE)</f>
        <v>15</v>
      </c>
      <c r="D19" s="310" t="b">
        <f>IF(C19&lt;='RDG Weekly Sales'!$F$1,TRUE,FALSE)</f>
        <v>1</v>
      </c>
      <c r="E19" s="308">
        <f>736996.96-H19-2726.15</f>
        <v>686335.86</v>
      </c>
      <c r="F19" s="310">
        <f>5056-I19</f>
        <v>4693</v>
      </c>
      <c r="G19" s="316">
        <f t="shared" si="28"/>
        <v>146.24672064777329</v>
      </c>
      <c r="H19" s="308">
        <v>47934.95</v>
      </c>
      <c r="I19" s="310">
        <v>363</v>
      </c>
      <c r="J19" s="316">
        <f t="shared" si="0"/>
        <v>132.05220385674932</v>
      </c>
      <c r="K19" s="3">
        <f t="shared" si="1"/>
        <v>734270.80999999994</v>
      </c>
      <c r="L19" s="97">
        <f t="shared" si="2"/>
        <v>5056</v>
      </c>
      <c r="M19" s="317">
        <f t="shared" si="3"/>
        <v>145.22761273734176</v>
      </c>
      <c r="N19" s="308">
        <v>28948.01</v>
      </c>
      <c r="O19" s="310">
        <v>90</v>
      </c>
      <c r="P19" s="316">
        <f t="shared" si="4"/>
        <v>321.64455555555554</v>
      </c>
      <c r="Q19" s="308">
        <f>17148+63241.75</f>
        <v>80389.75</v>
      </c>
      <c r="R19" s="310">
        <v>382</v>
      </c>
      <c r="S19" s="316">
        <f t="shared" si="5"/>
        <v>210.44437172774869</v>
      </c>
      <c r="T19" s="308">
        <f>225439.1+31998-613.85</f>
        <v>256823.25</v>
      </c>
      <c r="U19" s="310">
        <v>792</v>
      </c>
      <c r="V19" s="316">
        <f t="shared" si="6"/>
        <v>324.27178030303031</v>
      </c>
      <c r="W19" s="308">
        <f t="shared" si="29"/>
        <v>366161.01</v>
      </c>
      <c r="X19" s="310">
        <f t="shared" si="30"/>
        <v>1264</v>
      </c>
      <c r="Y19" s="317">
        <f t="shared" si="7"/>
        <v>289.68434335443038</v>
      </c>
      <c r="Z19" s="308">
        <f>215990.05-AC19-262.75</f>
        <v>194494.3</v>
      </c>
      <c r="AA19" s="310">
        <f>1969-AD19</f>
        <v>1604</v>
      </c>
      <c r="AB19" s="316">
        <f t="shared" si="8"/>
        <v>121.25579800498753</v>
      </c>
      <c r="AC19" s="308">
        <v>21233</v>
      </c>
      <c r="AD19" s="310">
        <f>202+163</f>
        <v>365</v>
      </c>
      <c r="AE19" s="316">
        <f t="shared" si="9"/>
        <v>58.172602739726024</v>
      </c>
      <c r="AF19" s="308">
        <f>46924.31-1027.93</f>
        <v>45896.38</v>
      </c>
      <c r="AG19" s="310">
        <v>210</v>
      </c>
      <c r="AH19" s="316">
        <f t="shared" si="10"/>
        <v>218.55419047619046</v>
      </c>
      <c r="AI19" s="3">
        <f t="shared" si="31"/>
        <v>261623.67999999999</v>
      </c>
      <c r="AJ19" s="97">
        <f t="shared" si="32"/>
        <v>2179</v>
      </c>
      <c r="AK19" s="317">
        <f t="shared" si="11"/>
        <v>120.06593850390087</v>
      </c>
      <c r="AL19" s="308">
        <v>172813.06</v>
      </c>
      <c r="AM19" s="310">
        <f>516+708</f>
        <v>1224</v>
      </c>
      <c r="AN19" s="316">
        <f t="shared" si="12"/>
        <v>141.18714052287581</v>
      </c>
      <c r="AO19" s="308">
        <f>809251.06-AL19-5981.05</f>
        <v>630456.94999999995</v>
      </c>
      <c r="AP19" s="310">
        <f>4485-AM19</f>
        <v>3261</v>
      </c>
      <c r="AQ19" s="316">
        <f t="shared" si="13"/>
        <v>193.33239803741182</v>
      </c>
      <c r="AR19" s="3">
        <f t="shared" si="33"/>
        <v>803270.01</v>
      </c>
      <c r="AS19" s="97">
        <f t="shared" si="34"/>
        <v>4485</v>
      </c>
      <c r="AT19" s="317">
        <f t="shared" si="14"/>
        <v>179.10145150501671</v>
      </c>
      <c r="AU19" s="308">
        <v>44764.14</v>
      </c>
      <c r="AV19" s="310">
        <v>345</v>
      </c>
      <c r="AW19" s="316">
        <f t="shared" si="35"/>
        <v>129.7511304347826</v>
      </c>
      <c r="AX19" s="308">
        <f>337369.65-AU19-1103.54</f>
        <v>291501.97000000003</v>
      </c>
      <c r="AY19" s="310">
        <f>2231-AV19</f>
        <v>1886</v>
      </c>
      <c r="AZ19" s="316">
        <f t="shared" si="15"/>
        <v>154.5609597030753</v>
      </c>
      <c r="BA19" s="3">
        <f t="shared" si="80"/>
        <v>336266.11000000004</v>
      </c>
      <c r="BB19" s="97">
        <f t="shared" si="37"/>
        <v>2231</v>
      </c>
      <c r="BC19" s="317">
        <f t="shared" si="16"/>
        <v>150.72438816674139</v>
      </c>
      <c r="BD19" s="308">
        <f>216877.36-BG19-55.1</f>
        <v>175896.67999999996</v>
      </c>
      <c r="BE19" s="310">
        <f>2046-BH19</f>
        <v>1501</v>
      </c>
      <c r="BF19" s="316">
        <f t="shared" si="17"/>
        <v>117.18632911392403</v>
      </c>
      <c r="BG19" s="308">
        <v>40925.58</v>
      </c>
      <c r="BH19" s="310">
        <f>172+373</f>
        <v>545</v>
      </c>
      <c r="BI19" s="316">
        <f t="shared" si="18"/>
        <v>75.09280733944955</v>
      </c>
      <c r="BJ19" s="310"/>
      <c r="BK19" s="310"/>
      <c r="BL19" s="316" t="str">
        <f t="shared" si="19"/>
        <v/>
      </c>
      <c r="BM19" s="3">
        <f t="shared" si="38"/>
        <v>216822.25999999995</v>
      </c>
      <c r="BN19" s="97">
        <f t="shared" si="39"/>
        <v>2046</v>
      </c>
      <c r="BO19" s="317">
        <f t="shared" si="20"/>
        <v>105.973734115347</v>
      </c>
      <c r="BP19" s="308">
        <f>226335.08-BS19-102.05</f>
        <v>176083.18</v>
      </c>
      <c r="BQ19" s="310">
        <v>460</v>
      </c>
      <c r="BR19" s="316">
        <f t="shared" si="70"/>
        <v>382.78952173913041</v>
      </c>
      <c r="BS19" s="308">
        <f>10243+39906.85</f>
        <v>50149.85</v>
      </c>
      <c r="BT19" s="310">
        <v>285</v>
      </c>
      <c r="BU19" s="316">
        <f t="shared" si="71"/>
        <v>175.96438596491228</v>
      </c>
      <c r="BV19" s="3">
        <f t="shared" si="40"/>
        <v>226233.03</v>
      </c>
      <c r="BW19" s="97">
        <f t="shared" si="72"/>
        <v>745</v>
      </c>
      <c r="BX19" s="317">
        <f t="shared" si="73"/>
        <v>303.66849664429532</v>
      </c>
      <c r="BY19" s="308">
        <v>0</v>
      </c>
      <c r="BZ19" s="308">
        <v>0</v>
      </c>
      <c r="CA19" s="316" t="str">
        <f t="shared" si="74"/>
        <v/>
      </c>
      <c r="CB19" s="308">
        <v>0</v>
      </c>
      <c r="CC19" s="308">
        <v>0</v>
      </c>
      <c r="CD19" s="316" t="str">
        <f t="shared" si="75"/>
        <v/>
      </c>
      <c r="CE19" s="310"/>
      <c r="CF19" s="310"/>
      <c r="CG19" s="316" t="str">
        <f t="shared" si="76"/>
        <v/>
      </c>
      <c r="CH19" s="3">
        <f t="shared" si="77"/>
        <v>0</v>
      </c>
      <c r="CI19" s="97">
        <f t="shared" si="78"/>
        <v>0</v>
      </c>
      <c r="CJ19" s="317" t="str">
        <f t="shared" si="79"/>
        <v/>
      </c>
    </row>
    <row r="20" spans="1:88">
      <c r="A20" t="s">
        <v>143</v>
      </c>
      <c r="B20" t="s">
        <v>140</v>
      </c>
      <c r="C20" s="2">
        <f>VLOOKUP(A20,Dates!$B$2:$E$53,4,FALSE)</f>
        <v>16</v>
      </c>
      <c r="D20" s="310" t="b">
        <f>IF(C20&lt;='RDG Weekly Sales'!$F$1,TRUE,FALSE)</f>
        <v>1</v>
      </c>
      <c r="E20" s="308">
        <f>838012.92-H20-7770.26</f>
        <v>783587.64</v>
      </c>
      <c r="F20" s="310">
        <f>4794-I20</f>
        <v>4377</v>
      </c>
      <c r="G20" s="316">
        <f t="shared" si="28"/>
        <v>179.02390678546951</v>
      </c>
      <c r="H20" s="308">
        <v>46655.02</v>
      </c>
      <c r="I20" s="310">
        <v>417</v>
      </c>
      <c r="J20" s="316">
        <f t="shared" si="0"/>
        <v>111.88254196642686</v>
      </c>
      <c r="K20" s="3">
        <f t="shared" si="1"/>
        <v>830242.66</v>
      </c>
      <c r="L20" s="97">
        <f t="shared" si="2"/>
        <v>4794</v>
      </c>
      <c r="M20" s="317">
        <f t="shared" si="3"/>
        <v>173.18370045890697</v>
      </c>
      <c r="N20" s="308">
        <v>23710</v>
      </c>
      <c r="O20" s="310">
        <v>77</v>
      </c>
      <c r="P20" s="316">
        <f t="shared" si="4"/>
        <v>307.9220779220779</v>
      </c>
      <c r="Q20" s="308">
        <f>19014+61582.4</f>
        <v>80596.399999999994</v>
      </c>
      <c r="R20" s="310">
        <v>452</v>
      </c>
      <c r="S20" s="316">
        <f t="shared" si="5"/>
        <v>178.31061946902653</v>
      </c>
      <c r="T20" s="308">
        <f>270233.15+30035-4748.05</f>
        <v>295520.10000000003</v>
      </c>
      <c r="U20" s="310">
        <v>888</v>
      </c>
      <c r="V20" s="316">
        <f t="shared" si="6"/>
        <v>332.79290540540546</v>
      </c>
      <c r="W20" s="308">
        <f t="shared" si="29"/>
        <v>399826.5</v>
      </c>
      <c r="X20" s="310">
        <f t="shared" si="30"/>
        <v>1417</v>
      </c>
      <c r="Y20" s="317">
        <f t="shared" si="7"/>
        <v>282.16407904022583</v>
      </c>
      <c r="Z20" s="308">
        <f>225820.8-AC20-1714.35</f>
        <v>184733.11999999997</v>
      </c>
      <c r="AA20" s="310">
        <f>2042-AD20</f>
        <v>1672</v>
      </c>
      <c r="AB20" s="316">
        <f t="shared" si="8"/>
        <v>110.48631578947366</v>
      </c>
      <c r="AC20" s="308">
        <f>49373.33-10000</f>
        <v>39373.33</v>
      </c>
      <c r="AD20" s="310">
        <f>168+202</f>
        <v>370</v>
      </c>
      <c r="AE20" s="316">
        <f t="shared" si="9"/>
        <v>106.4144054054054</v>
      </c>
      <c r="AF20" s="308">
        <f>33171.76-619.08</f>
        <v>32552.68</v>
      </c>
      <c r="AG20" s="310">
        <v>184</v>
      </c>
      <c r="AH20" s="316">
        <f t="shared" si="10"/>
        <v>176.91673913043479</v>
      </c>
      <c r="AI20" s="3">
        <f>Z20+AF20+AC20</f>
        <v>256659.12999999995</v>
      </c>
      <c r="AJ20" s="97">
        <f t="shared" si="32"/>
        <v>2226</v>
      </c>
      <c r="AK20" s="317">
        <f t="shared" si="11"/>
        <v>115.30059748427671</v>
      </c>
      <c r="AL20" s="308">
        <v>165091.04999999999</v>
      </c>
      <c r="AM20" s="310">
        <f>412+764</f>
        <v>1176</v>
      </c>
      <c r="AN20" s="316">
        <f t="shared" si="12"/>
        <v>140.38354591836733</v>
      </c>
      <c r="AO20" s="308">
        <f>733189.03-AL20-3906.12</f>
        <v>564191.86</v>
      </c>
      <c r="AP20" s="310">
        <f>4301-AM20</f>
        <v>3125</v>
      </c>
      <c r="AQ20" s="316">
        <f t="shared" si="13"/>
        <v>180.54139519999998</v>
      </c>
      <c r="AR20" s="3">
        <f t="shared" si="33"/>
        <v>729282.90999999992</v>
      </c>
      <c r="AS20" s="97">
        <f t="shared" si="34"/>
        <v>4301</v>
      </c>
      <c r="AT20" s="317">
        <f t="shared" si="14"/>
        <v>169.56124389676816</v>
      </c>
      <c r="AU20" s="308">
        <v>45002.35</v>
      </c>
      <c r="AV20" s="310">
        <f>53+89+95+83+136</f>
        <v>456</v>
      </c>
      <c r="AW20" s="316">
        <f>IFERROR(AU20/AV20,0)</f>
        <v>98.689364035087721</v>
      </c>
      <c r="AX20" s="308">
        <f>337369.65-AU20-853.4</f>
        <v>291513.90000000002</v>
      </c>
      <c r="AY20" s="310">
        <f>2202-AV20</f>
        <v>1746</v>
      </c>
      <c r="AZ20" s="316">
        <f t="shared" si="15"/>
        <v>166.9609965635739</v>
      </c>
      <c r="BA20" s="3">
        <f t="shared" si="80"/>
        <v>336516.25</v>
      </c>
      <c r="BB20" s="97">
        <f t="shared" si="37"/>
        <v>2202</v>
      </c>
      <c r="BC20" s="317">
        <f t="shared" si="16"/>
        <v>152.82300181653042</v>
      </c>
      <c r="BD20" s="308">
        <f>232124.53-BG20-1006.68</f>
        <v>175371.36000000002</v>
      </c>
      <c r="BE20" s="310">
        <f>2126-BH20</f>
        <v>1489</v>
      </c>
      <c r="BF20" s="316">
        <f t="shared" si="17"/>
        <v>117.77794492948289</v>
      </c>
      <c r="BG20" s="308">
        <v>55746.49</v>
      </c>
      <c r="BH20" s="310">
        <f>218+419</f>
        <v>637</v>
      </c>
      <c r="BI20" s="316">
        <f t="shared" si="18"/>
        <v>87.514113029827314</v>
      </c>
      <c r="BJ20" s="310"/>
      <c r="BK20" s="310"/>
      <c r="BL20" s="316" t="str">
        <f t="shared" si="19"/>
        <v/>
      </c>
      <c r="BM20" s="3">
        <f t="shared" si="38"/>
        <v>231117.85</v>
      </c>
      <c r="BN20" s="97">
        <f t="shared" si="39"/>
        <v>2126</v>
      </c>
      <c r="BO20" s="317">
        <f t="shared" si="20"/>
        <v>108.71018344308561</v>
      </c>
      <c r="BP20" s="308">
        <f>225820.85-BS20</f>
        <v>178072.1</v>
      </c>
      <c r="BQ20" s="310">
        <v>413</v>
      </c>
      <c r="BR20" s="316">
        <f t="shared" si="70"/>
        <v>431.1673123486683</v>
      </c>
      <c r="BS20" s="308">
        <f>8501.5+39247.25</f>
        <v>47748.75</v>
      </c>
      <c r="BT20" s="310">
        <v>301</v>
      </c>
      <c r="BU20" s="316">
        <f t="shared" si="71"/>
        <v>158.63372093023256</v>
      </c>
      <c r="BV20" s="3">
        <f t="shared" si="40"/>
        <v>225820.85</v>
      </c>
      <c r="BW20" s="97">
        <f t="shared" si="72"/>
        <v>714</v>
      </c>
      <c r="BX20" s="317">
        <f t="shared" si="73"/>
        <v>316.27570028011206</v>
      </c>
      <c r="BY20" s="308">
        <v>0</v>
      </c>
      <c r="BZ20" s="308">
        <v>0</v>
      </c>
      <c r="CA20" s="316" t="str">
        <f t="shared" si="74"/>
        <v/>
      </c>
      <c r="CB20" s="308">
        <v>0</v>
      </c>
      <c r="CC20" s="308">
        <v>0</v>
      </c>
      <c r="CD20" s="316" t="str">
        <f t="shared" si="75"/>
        <v/>
      </c>
      <c r="CE20" s="310"/>
      <c r="CF20" s="310"/>
      <c r="CG20" s="316" t="str">
        <f t="shared" si="76"/>
        <v/>
      </c>
      <c r="CH20" s="3">
        <f t="shared" si="77"/>
        <v>0</v>
      </c>
      <c r="CI20" s="97">
        <f t="shared" si="78"/>
        <v>0</v>
      </c>
      <c r="CJ20" s="317" t="str">
        <f t="shared" si="79"/>
        <v/>
      </c>
    </row>
    <row r="21" spans="1:88">
      <c r="A21" t="s">
        <v>144</v>
      </c>
      <c r="B21" t="s">
        <v>140</v>
      </c>
      <c r="C21" s="2">
        <f>VLOOKUP(A21,Dates!$B$2:$E$53,4,FALSE)</f>
        <v>17</v>
      </c>
      <c r="D21" s="310" t="b">
        <f>IF(C21&lt;='RDG Weekly Sales'!$F$1,TRUE,FALSE)</f>
        <v>1</v>
      </c>
      <c r="E21" s="308">
        <f>786471.76-H21-10240.93</f>
        <v>725768.73</v>
      </c>
      <c r="F21" s="310">
        <f>4317-I21</f>
        <v>3868</v>
      </c>
      <c r="G21" s="316">
        <f t="shared" si="28"/>
        <v>187.63410806618407</v>
      </c>
      <c r="H21" s="308">
        <v>50462.1</v>
      </c>
      <c r="I21" s="310">
        <v>449</v>
      </c>
      <c r="J21" s="316">
        <f t="shared" si="0"/>
        <v>112.38775055679287</v>
      </c>
      <c r="K21" s="3">
        <f t="shared" si="1"/>
        <v>776230.83</v>
      </c>
      <c r="L21" s="97">
        <f t="shared" si="2"/>
        <v>4317</v>
      </c>
      <c r="M21" s="317">
        <f t="shared" si="3"/>
        <v>179.80792911744265</v>
      </c>
      <c r="N21" s="308">
        <v>30204</v>
      </c>
      <c r="O21" s="310">
        <v>85</v>
      </c>
      <c r="P21" s="316">
        <f t="shared" si="4"/>
        <v>355.34117647058821</v>
      </c>
      <c r="Q21" s="308">
        <f>29147+50798.1</f>
        <v>79945.100000000006</v>
      </c>
      <c r="R21" s="310">
        <f>50+38+79+116+4+86+7</f>
        <v>380</v>
      </c>
      <c r="S21" s="316">
        <f t="shared" si="5"/>
        <v>210.38184210526316</v>
      </c>
      <c r="T21" s="308">
        <f>348211.25-N21-Q21-1649.25</f>
        <v>236412.9</v>
      </c>
      <c r="U21" s="310">
        <f>48+62+225+8+228+4+220+2</f>
        <v>797</v>
      </c>
      <c r="V21" s="316">
        <f t="shared" si="6"/>
        <v>296.62848180677543</v>
      </c>
      <c r="W21" s="308">
        <f t="shared" si="29"/>
        <v>346562</v>
      </c>
      <c r="X21" s="310">
        <f t="shared" si="30"/>
        <v>1262</v>
      </c>
      <c r="Y21" s="317">
        <f t="shared" si="7"/>
        <v>274.61331220285263</v>
      </c>
      <c r="Z21" s="308">
        <f>212174.15-AC21-1104.53</f>
        <v>189125.25999999998</v>
      </c>
      <c r="AA21" s="310">
        <f>2037-AD21</f>
        <v>1703</v>
      </c>
      <c r="AB21" s="316">
        <f t="shared" si="8"/>
        <v>111.05417498532002</v>
      </c>
      <c r="AC21" s="308">
        <v>21944.36</v>
      </c>
      <c r="AD21" s="310">
        <f>145+189</f>
        <v>334</v>
      </c>
      <c r="AE21" s="316">
        <f t="shared" si="9"/>
        <v>65.701676646706588</v>
      </c>
      <c r="AF21" s="308">
        <f>23111.37-107.35</f>
        <v>23004.02</v>
      </c>
      <c r="AG21" s="310">
        <f>14+10+14+43+72</f>
        <v>153</v>
      </c>
      <c r="AH21" s="316">
        <f t="shared" si="10"/>
        <v>150.35307189542485</v>
      </c>
      <c r="AI21" s="3">
        <f t="shared" si="31"/>
        <v>234073.63999999996</v>
      </c>
      <c r="AJ21" s="97">
        <f t="shared" si="32"/>
        <v>2190</v>
      </c>
      <c r="AK21" s="317">
        <f t="shared" si="11"/>
        <v>106.88294063926939</v>
      </c>
      <c r="AL21" s="308">
        <v>186396.68</v>
      </c>
      <c r="AM21" s="310">
        <f>583+660</f>
        <v>1243</v>
      </c>
      <c r="AN21" s="316">
        <f t="shared" si="12"/>
        <v>149.95710378117457</v>
      </c>
      <c r="AO21" s="308">
        <f>811073.38-AL21-3318.8</f>
        <v>621357.89999999991</v>
      </c>
      <c r="AP21" s="310">
        <f>4088-AM21</f>
        <v>2845</v>
      </c>
      <c r="AQ21" s="316">
        <f t="shared" si="13"/>
        <v>218.40347978910367</v>
      </c>
      <c r="AR21" s="3">
        <f t="shared" si="33"/>
        <v>807754.57999999984</v>
      </c>
      <c r="AS21" s="97">
        <f t="shared" si="34"/>
        <v>4088</v>
      </c>
      <c r="AT21" s="317">
        <f t="shared" si="14"/>
        <v>197.59162915851269</v>
      </c>
      <c r="AU21" s="308">
        <v>50665.9</v>
      </c>
      <c r="AV21" s="310">
        <f>78+111+72+91+89</f>
        <v>441</v>
      </c>
      <c r="AW21" s="316">
        <f t="shared" ref="AW21:AW56" si="81">IFERROR(AU21/AV21,0)</f>
        <v>114.88866213151928</v>
      </c>
      <c r="AX21" s="308">
        <f>392394.59-AU21-5299.1</f>
        <v>336429.59</v>
      </c>
      <c r="AY21" s="310">
        <f>2211-AV21</f>
        <v>1770</v>
      </c>
      <c r="AZ21" s="316">
        <f t="shared" si="15"/>
        <v>190.07321468926554</v>
      </c>
      <c r="BA21" s="3">
        <f t="shared" si="80"/>
        <v>387095.49000000005</v>
      </c>
      <c r="BB21" s="97">
        <f t="shared" si="37"/>
        <v>2211</v>
      </c>
      <c r="BC21" s="317">
        <f t="shared" si="16"/>
        <v>175.07710990502036</v>
      </c>
      <c r="BD21" s="308">
        <f>246532.2-BG21-1171.5</f>
        <v>190216.93000000002</v>
      </c>
      <c r="BE21" s="310">
        <f>2297-BH21</f>
        <v>1643</v>
      </c>
      <c r="BF21" s="316">
        <f t="shared" si="17"/>
        <v>115.77415094339624</v>
      </c>
      <c r="BG21" s="308">
        <v>55143.77</v>
      </c>
      <c r="BH21" s="310">
        <f>274+380</f>
        <v>654</v>
      </c>
      <c r="BI21" s="316">
        <f t="shared" si="18"/>
        <v>84.317691131498464</v>
      </c>
      <c r="BJ21" s="310"/>
      <c r="BK21" s="310"/>
      <c r="BL21" s="316" t="str">
        <f t="shared" si="19"/>
        <v/>
      </c>
      <c r="BM21" s="3">
        <f t="shared" si="38"/>
        <v>245360.7</v>
      </c>
      <c r="BN21" s="97">
        <f t="shared" si="39"/>
        <v>2297</v>
      </c>
      <c r="BO21" s="317">
        <f t="shared" si="20"/>
        <v>106.81789290378755</v>
      </c>
      <c r="BP21" s="308">
        <f>218157.81-BS21-376.8</f>
        <v>155598.01</v>
      </c>
      <c r="BQ21" s="310">
        <f>56+103+2+182+2+77+2</f>
        <v>424</v>
      </c>
      <c r="BR21" s="316">
        <f>IFERROR(BP21/BQ21,"")</f>
        <v>366.97643867924529</v>
      </c>
      <c r="BS21" s="308">
        <f>9668+52515</f>
        <v>62183</v>
      </c>
      <c r="BT21" s="310">
        <f>103+155+3+2+198+4+14+63</f>
        <v>542</v>
      </c>
      <c r="BU21" s="316">
        <f t="shared" si="71"/>
        <v>114.72878228782288</v>
      </c>
      <c r="BV21" s="3">
        <f>+BP21+BS21</f>
        <v>217781.01</v>
      </c>
      <c r="BW21" s="97">
        <f t="shared" si="72"/>
        <v>966</v>
      </c>
      <c r="BX21" s="317">
        <f t="shared" si="73"/>
        <v>225.44618012422362</v>
      </c>
      <c r="BY21" s="308">
        <v>0</v>
      </c>
      <c r="BZ21" s="308">
        <v>0</v>
      </c>
      <c r="CA21" s="316" t="str">
        <f t="shared" si="74"/>
        <v/>
      </c>
      <c r="CB21" s="308">
        <v>0</v>
      </c>
      <c r="CC21" s="308">
        <v>0</v>
      </c>
      <c r="CD21" s="316" t="str">
        <f t="shared" si="75"/>
        <v/>
      </c>
      <c r="CE21" s="310"/>
      <c r="CF21" s="310"/>
      <c r="CG21" s="316" t="str">
        <f t="shared" si="76"/>
        <v/>
      </c>
      <c r="CH21" s="3">
        <f t="shared" si="77"/>
        <v>0</v>
      </c>
      <c r="CI21" s="97">
        <f t="shared" si="78"/>
        <v>0</v>
      </c>
      <c r="CJ21" s="317" t="str">
        <f t="shared" si="79"/>
        <v/>
      </c>
    </row>
    <row r="22" spans="1:88">
      <c r="A22" t="s">
        <v>147</v>
      </c>
      <c r="B22" t="s">
        <v>146</v>
      </c>
      <c r="C22" s="2">
        <f>VLOOKUP(A22,Dates!$B$2:$E$53,4,FALSE)</f>
        <v>18</v>
      </c>
      <c r="D22" s="310" t="b">
        <f>IF(C22&lt;='RDG Weekly Sales'!$F$1,TRUE,FALSE)</f>
        <v>1</v>
      </c>
      <c r="E22" s="308">
        <f>1094110.94-H22-12821</f>
        <v>1025559.6599999999</v>
      </c>
      <c r="F22" s="310">
        <f>5079-I22</f>
        <v>4700</v>
      </c>
      <c r="G22" s="316">
        <f t="shared" si="28"/>
        <v>218.2041829787234</v>
      </c>
      <c r="H22" s="308">
        <v>55730.28</v>
      </c>
      <c r="I22" s="310">
        <v>379</v>
      </c>
      <c r="J22" s="316">
        <f t="shared" si="0"/>
        <v>147.04559366754617</v>
      </c>
      <c r="K22" s="3">
        <f>E22+H22</f>
        <v>1081289.94</v>
      </c>
      <c r="L22" s="97">
        <f t="shared" si="2"/>
        <v>5079</v>
      </c>
      <c r="M22" s="317">
        <f t="shared" si="3"/>
        <v>212.89425871234494</v>
      </c>
      <c r="N22" s="308">
        <v>46857.8</v>
      </c>
      <c r="O22" s="310">
        <v>104</v>
      </c>
      <c r="P22" s="316">
        <f t="shared" si="4"/>
        <v>450.55576923076927</v>
      </c>
      <c r="Q22" s="310">
        <f>63865+154402</f>
        <v>218267</v>
      </c>
      <c r="R22" s="310">
        <f>57+4+61+4+69+2+94+2+65+178+78+4</f>
        <v>618</v>
      </c>
      <c r="S22" s="316">
        <f t="shared" si="5"/>
        <v>353.18284789644014</v>
      </c>
      <c r="T22" s="308">
        <f>479134+54099-7521</f>
        <v>525712</v>
      </c>
      <c r="U22" s="310">
        <f>106+116+93+2+229+15+240+7+4+277+161+10</f>
        <v>1260</v>
      </c>
      <c r="V22" s="316">
        <f t="shared" si="6"/>
        <v>417.23174603174601</v>
      </c>
      <c r="W22" s="308">
        <f t="shared" si="29"/>
        <v>790836.8</v>
      </c>
      <c r="X22" s="310">
        <f t="shared" si="30"/>
        <v>1982</v>
      </c>
      <c r="Y22" s="317">
        <f t="shared" si="7"/>
        <v>399.00948536831487</v>
      </c>
      <c r="Z22" s="308">
        <f>212174.15-AC22-134.53</f>
        <v>190874.62</v>
      </c>
      <c r="AA22" s="310">
        <f>2068-AD22</f>
        <v>1706</v>
      </c>
      <c r="AB22" s="316">
        <f t="shared" si="8"/>
        <v>111.88430246189918</v>
      </c>
      <c r="AC22" s="308">
        <v>21165</v>
      </c>
      <c r="AD22" s="310">
        <f>151+211</f>
        <v>362</v>
      </c>
      <c r="AE22" s="316">
        <f t="shared" si="9"/>
        <v>58.466850828729285</v>
      </c>
      <c r="AF22" s="308">
        <f>33441-678</f>
        <v>32763</v>
      </c>
      <c r="AG22" s="310">
        <f>40+19+67+8+72</f>
        <v>206</v>
      </c>
      <c r="AH22" s="316">
        <f t="shared" si="10"/>
        <v>159.04368932038835</v>
      </c>
      <c r="AI22" s="3">
        <f t="shared" si="31"/>
        <v>244802.62</v>
      </c>
      <c r="AJ22" s="97">
        <f t="shared" si="32"/>
        <v>2274</v>
      </c>
      <c r="AK22" s="317">
        <f t="shared" si="11"/>
        <v>107.65286719437115</v>
      </c>
      <c r="AL22" s="308">
        <v>238619</v>
      </c>
      <c r="AM22" s="310">
        <f>462+752</f>
        <v>1214</v>
      </c>
      <c r="AN22" s="316">
        <f t="shared" si="12"/>
        <v>196.55601317957166</v>
      </c>
      <c r="AO22" s="308">
        <f>1856610.37-AL22-5849</f>
        <v>1612142.37</v>
      </c>
      <c r="AP22" s="310">
        <f>5449-AM22</f>
        <v>4235</v>
      </c>
      <c r="AQ22" s="316">
        <f t="shared" si="13"/>
        <v>380.6711617473436</v>
      </c>
      <c r="AR22" s="3">
        <f t="shared" si="33"/>
        <v>1850761.37</v>
      </c>
      <c r="AS22" s="97">
        <f t="shared" si="34"/>
        <v>5449</v>
      </c>
      <c r="AT22" s="317">
        <f t="shared" si="14"/>
        <v>339.65156358964947</v>
      </c>
      <c r="AU22" s="308">
        <v>30717.919999999998</v>
      </c>
      <c r="AV22" s="310">
        <f>74+51+68+75+78</f>
        <v>346</v>
      </c>
      <c r="AW22" s="316">
        <f t="shared" si="81"/>
        <v>88.780115606936405</v>
      </c>
      <c r="AX22" s="308">
        <f>382648.33-2092.15-AU22</f>
        <v>349838.26</v>
      </c>
      <c r="AY22" s="310">
        <f>2406-AV22</f>
        <v>2060</v>
      </c>
      <c r="AZ22" s="316">
        <f t="shared" si="15"/>
        <v>169.82439805825243</v>
      </c>
      <c r="BA22" s="3">
        <f t="shared" si="80"/>
        <v>380556.18</v>
      </c>
      <c r="BB22" s="97">
        <f t="shared" si="37"/>
        <v>2406</v>
      </c>
      <c r="BC22" s="317">
        <f t="shared" si="16"/>
        <v>158.16965087281795</v>
      </c>
      <c r="BD22" s="308">
        <f>285901.58-BG22-2790.77</f>
        <v>243670.38000000003</v>
      </c>
      <c r="BE22" s="310">
        <f>2472-BH22</f>
        <v>1901</v>
      </c>
      <c r="BF22" s="316">
        <f t="shared" si="17"/>
        <v>128.1801052077854</v>
      </c>
      <c r="BG22" s="308">
        <v>39440.43</v>
      </c>
      <c r="BH22" s="310">
        <f>253+318</f>
        <v>571</v>
      </c>
      <c r="BI22" s="316">
        <f t="shared" si="18"/>
        <v>69.07255691768826</v>
      </c>
      <c r="BJ22" s="308"/>
      <c r="BK22" s="310"/>
      <c r="BL22" s="316" t="str">
        <f t="shared" si="19"/>
        <v/>
      </c>
      <c r="BM22" s="3">
        <f t="shared" si="38"/>
        <v>283110.81000000006</v>
      </c>
      <c r="BN22" s="97">
        <f t="shared" si="39"/>
        <v>2472</v>
      </c>
      <c r="BO22" s="317">
        <f t="shared" si="20"/>
        <v>114.52702669902915</v>
      </c>
      <c r="BP22" s="308">
        <f>718532.3-BS22-4072</f>
        <v>599851.30000000005</v>
      </c>
      <c r="BQ22" s="310">
        <f>210+1+4+279+10+224+7+12+180+18</f>
        <v>945</v>
      </c>
      <c r="BR22" s="316">
        <f>IFERROR(BP22/BQ22,"")</f>
        <v>634.76328042328043</v>
      </c>
      <c r="BS22" s="308">
        <f>22579+92030</f>
        <v>114609</v>
      </c>
      <c r="BT22" s="310">
        <f>322+137+198+99</f>
        <v>756</v>
      </c>
      <c r="BU22" s="316">
        <f t="shared" si="71"/>
        <v>151.59920634920636</v>
      </c>
      <c r="BV22" s="3">
        <f>+BP22+BS22</f>
        <v>714460.3</v>
      </c>
      <c r="BW22" s="97">
        <f t="shared" si="72"/>
        <v>1701</v>
      </c>
      <c r="BX22" s="317">
        <f t="shared" si="73"/>
        <v>420.02369194591421</v>
      </c>
      <c r="BY22" s="308">
        <v>0</v>
      </c>
      <c r="BZ22" s="308">
        <v>0</v>
      </c>
      <c r="CA22" s="316" t="str">
        <f t="shared" si="74"/>
        <v/>
      </c>
      <c r="CB22" s="308">
        <v>0</v>
      </c>
      <c r="CC22" s="308">
        <v>0</v>
      </c>
      <c r="CD22" s="316" t="str">
        <f t="shared" si="75"/>
        <v/>
      </c>
      <c r="CE22" s="308"/>
      <c r="CF22" s="310"/>
      <c r="CG22" s="316" t="str">
        <f t="shared" si="76"/>
        <v/>
      </c>
      <c r="CH22" s="3">
        <f t="shared" si="77"/>
        <v>0</v>
      </c>
      <c r="CI22" s="97">
        <f t="shared" si="78"/>
        <v>0</v>
      </c>
      <c r="CJ22" s="317" t="str">
        <f t="shared" si="79"/>
        <v/>
      </c>
    </row>
    <row r="23" spans="1:88">
      <c r="A23" t="s">
        <v>148</v>
      </c>
      <c r="B23" t="s">
        <v>146</v>
      </c>
      <c r="C23" s="2">
        <f>VLOOKUP(A23,Dates!$B$2:$E$53,4,FALSE)</f>
        <v>19</v>
      </c>
      <c r="D23" s="310" t="b">
        <f>IF(C23&lt;='RDG Weekly Sales'!$F$1,TRUE,FALSE)</f>
        <v>1</v>
      </c>
      <c r="E23" s="308">
        <f>916289.02-H23-12923</f>
        <v>843237.07000000007</v>
      </c>
      <c r="F23" s="310">
        <f>5019-I23</f>
        <v>4564</v>
      </c>
      <c r="G23" s="316">
        <f t="shared" si="28"/>
        <v>184.75834136722176</v>
      </c>
      <c r="H23" s="308">
        <v>60128.95</v>
      </c>
      <c r="I23" s="310">
        <v>455</v>
      </c>
      <c r="J23" s="316">
        <f t="shared" si="0"/>
        <v>132.15153846153845</v>
      </c>
      <c r="K23" s="3">
        <f t="shared" si="1"/>
        <v>903366.02</v>
      </c>
      <c r="L23" s="97">
        <f t="shared" si="2"/>
        <v>5019</v>
      </c>
      <c r="M23" s="317">
        <f t="shared" si="3"/>
        <v>179.98924486949591</v>
      </c>
      <c r="N23" s="308">
        <v>24121.7</v>
      </c>
      <c r="O23" s="310">
        <v>78</v>
      </c>
      <c r="P23" s="316">
        <f t="shared" si="4"/>
        <v>309.25256410256412</v>
      </c>
      <c r="Q23" s="308">
        <f>73475.5+57487.7</f>
        <v>130963.2</v>
      </c>
      <c r="R23" s="310">
        <f>50+100+42+158+3+98+61+48</f>
        <v>560</v>
      </c>
      <c r="S23" s="316">
        <f t="shared" si="5"/>
        <v>233.86285714285714</v>
      </c>
      <c r="T23" s="308">
        <f>324606.73+30389-11198.12</f>
        <v>343797.61</v>
      </c>
      <c r="U23" s="310">
        <f>200+100+262+254+18+15+226+172+2</f>
        <v>1249</v>
      </c>
      <c r="V23" s="316">
        <f t="shared" si="6"/>
        <v>275.25829463570858</v>
      </c>
      <c r="W23" s="308">
        <f t="shared" si="29"/>
        <v>498882.51</v>
      </c>
      <c r="X23" s="310">
        <f t="shared" si="30"/>
        <v>1887</v>
      </c>
      <c r="Y23" s="317">
        <f t="shared" si="7"/>
        <v>264.37864864864866</v>
      </c>
      <c r="Z23" s="308">
        <f>256827.24-AC23-344.73</f>
        <v>213980.46999999997</v>
      </c>
      <c r="AA23" s="310">
        <f>2408-AD23</f>
        <v>1897</v>
      </c>
      <c r="AB23" s="316">
        <f t="shared" si="8"/>
        <v>112.79940432261463</v>
      </c>
      <c r="AC23" s="308">
        <v>42502.04</v>
      </c>
      <c r="AD23" s="310">
        <f>241+270</f>
        <v>511</v>
      </c>
      <c r="AE23" s="316">
        <f t="shared" si="9"/>
        <v>83.174246575342465</v>
      </c>
      <c r="AF23" s="308">
        <f>51412.59-891</f>
        <v>50521.59</v>
      </c>
      <c r="AG23" s="310">
        <f>40+52+29+86</f>
        <v>207</v>
      </c>
      <c r="AH23" s="316">
        <f t="shared" si="10"/>
        <v>244.06565217391304</v>
      </c>
      <c r="AI23" s="3">
        <f t="shared" si="31"/>
        <v>307004.09999999992</v>
      </c>
      <c r="AJ23" s="97">
        <f t="shared" si="32"/>
        <v>2615</v>
      </c>
      <c r="AK23" s="317">
        <f t="shared" si="11"/>
        <v>117.40118546845122</v>
      </c>
      <c r="AL23" s="308">
        <v>128682.25</v>
      </c>
      <c r="AM23" s="310">
        <f>426+809</f>
        <v>1235</v>
      </c>
      <c r="AN23" s="316">
        <f t="shared" si="12"/>
        <v>104.19615384615385</v>
      </c>
      <c r="AO23" s="308">
        <f>631054.39-AL23-3184</f>
        <v>499188.14</v>
      </c>
      <c r="AP23" s="310">
        <f>4468-AM23</f>
        <v>3233</v>
      </c>
      <c r="AQ23" s="316">
        <f t="shared" si="13"/>
        <v>154.4040024744819</v>
      </c>
      <c r="AR23" s="3">
        <f t="shared" si="33"/>
        <v>627870.39</v>
      </c>
      <c r="AS23" s="97">
        <f t="shared" si="34"/>
        <v>4468</v>
      </c>
      <c r="AT23" s="317">
        <f t="shared" si="14"/>
        <v>140.52604968666071</v>
      </c>
      <c r="AU23" s="308">
        <v>76214.100000000006</v>
      </c>
      <c r="AV23" s="310">
        <f>90+55+125+89+78</f>
        <v>437</v>
      </c>
      <c r="AW23" s="316">
        <f t="shared" si="81"/>
        <v>174.40297482837531</v>
      </c>
      <c r="AX23" s="308">
        <f>388067.51-1482-AU23</f>
        <v>310371.41000000003</v>
      </c>
      <c r="AY23" s="310">
        <f>2945-AV23</f>
        <v>2508</v>
      </c>
      <c r="AZ23" s="316">
        <f t="shared" si="15"/>
        <v>123.75255582137163</v>
      </c>
      <c r="BA23" s="3">
        <f t="shared" si="80"/>
        <v>386585.51</v>
      </c>
      <c r="BB23" s="97">
        <f t="shared" si="37"/>
        <v>2945</v>
      </c>
      <c r="BC23" s="317">
        <f t="shared" si="16"/>
        <v>131.26842444821733</v>
      </c>
      <c r="BD23" s="308">
        <f>328206-BG23-2511</f>
        <v>245778.28999999998</v>
      </c>
      <c r="BE23" s="310">
        <f>2818-BH23</f>
        <v>2008</v>
      </c>
      <c r="BF23" s="316">
        <f t="shared" si="17"/>
        <v>122.39954681274899</v>
      </c>
      <c r="BG23" s="308">
        <v>79916.710000000006</v>
      </c>
      <c r="BH23" s="310">
        <f>339+471</f>
        <v>810</v>
      </c>
      <c r="BI23" s="316">
        <f t="shared" si="18"/>
        <v>98.662604938271613</v>
      </c>
      <c r="BJ23" s="308"/>
      <c r="BK23" s="310"/>
      <c r="BL23" s="316" t="str">
        <f t="shared" si="19"/>
        <v/>
      </c>
      <c r="BM23" s="3">
        <f t="shared" si="38"/>
        <v>325695</v>
      </c>
      <c r="BN23" s="97">
        <f t="shared" si="39"/>
        <v>2818</v>
      </c>
      <c r="BO23" s="317">
        <f t="shared" si="20"/>
        <v>115.57665010645849</v>
      </c>
      <c r="BP23" s="308">
        <f>137948.5-BS23</f>
        <v>95014.5</v>
      </c>
      <c r="BQ23" s="310">
        <f>6+50+86+12+177+3+14+36</f>
        <v>384</v>
      </c>
      <c r="BR23" s="316">
        <f t="shared" si="70"/>
        <v>247.43359375</v>
      </c>
      <c r="BS23" s="308">
        <f>5669+37265</f>
        <v>42934</v>
      </c>
      <c r="BT23" s="310">
        <f>52+13+44+133+99</f>
        <v>341</v>
      </c>
      <c r="BU23" s="316">
        <f t="shared" si="71"/>
        <v>125.90615835777126</v>
      </c>
      <c r="BV23" s="3">
        <f t="shared" si="40"/>
        <v>137948.5</v>
      </c>
      <c r="BW23" s="97">
        <f t="shared" si="72"/>
        <v>725</v>
      </c>
      <c r="BX23" s="317">
        <f t="shared" si="73"/>
        <v>190.27379310344827</v>
      </c>
      <c r="BY23" s="308">
        <v>0</v>
      </c>
      <c r="BZ23" s="308">
        <v>0</v>
      </c>
      <c r="CA23" s="316" t="str">
        <f t="shared" si="74"/>
        <v/>
      </c>
      <c r="CB23" s="308">
        <v>0</v>
      </c>
      <c r="CC23" s="308">
        <v>0</v>
      </c>
      <c r="CD23" s="316" t="str">
        <f t="shared" si="75"/>
        <v/>
      </c>
      <c r="CE23" s="308"/>
      <c r="CF23" s="310"/>
      <c r="CG23" s="316" t="str">
        <f t="shared" si="76"/>
        <v/>
      </c>
      <c r="CH23" s="3">
        <f t="shared" si="77"/>
        <v>0</v>
      </c>
      <c r="CI23" s="97">
        <f t="shared" si="78"/>
        <v>0</v>
      </c>
      <c r="CJ23" s="317" t="str">
        <f t="shared" si="79"/>
        <v/>
      </c>
    </row>
    <row r="24" spans="1:88">
      <c r="A24" t="s">
        <v>149</v>
      </c>
      <c r="B24" t="s">
        <v>146</v>
      </c>
      <c r="C24" s="2">
        <f>VLOOKUP(A24,Dates!$B$2:$E$53,4,FALSE)</f>
        <v>20</v>
      </c>
      <c r="D24" s="310" t="b">
        <f>IF(C24&lt;='RDG Weekly Sales'!$F$1,TRUE,FALSE)</f>
        <v>1</v>
      </c>
      <c r="E24" s="308" cm="1">
        <f t="array" ref="E24">SUMPRODUCT((Dinner[Week '#]=$A24)*(INT(Dinner[yyyyMMdd]/10000)=VALUE(RIGHT($AX$2,4)))*Dinner[Net sales])-SUMPRODUCT((Non_Grat_Serv_Chrg[Week '#]=$A24)*(YEAR(Non_Grat_Serv_Chrg[Start Date])=VALUE(RIGHT($AX$2,4)))*(Non_Grat_Serv_Chrg[Sales category]="Non-Grat Svc Charges")*Non_Grat_Serv_Chrg[Net sales])</f>
        <v>669559.57999999996</v>
      </c>
      <c r="F24" s="310">
        <f>4534-I24</f>
        <v>4118</v>
      </c>
      <c r="G24" s="316">
        <f t="shared" si="28"/>
        <v>162.59338999514327</v>
      </c>
      <c r="H24" s="308">
        <f>SUMIF(Lunch[Week '#],$A24,Lunch[Net sales])</f>
        <v>42361.75</v>
      </c>
      <c r="I24" s="310">
        <v>416</v>
      </c>
      <c r="J24" s="316">
        <f t="shared" si="0"/>
        <v>101.83112980769231</v>
      </c>
      <c r="K24" s="3">
        <f t="shared" si="1"/>
        <v>711921.33</v>
      </c>
      <c r="L24" s="97">
        <f t="shared" si="2"/>
        <v>4534</v>
      </c>
      <c r="M24" s="317">
        <f t="shared" si="3"/>
        <v>157.01837891486545</v>
      </c>
      <c r="N24" s="308">
        <f>SUMIF(Omakase[Week '#],$A24,Omakase[Net sales])</f>
        <v>22218</v>
      </c>
      <c r="O24" s="310">
        <v>70</v>
      </c>
      <c r="P24" s="316">
        <f t="shared" si="4"/>
        <v>317.39999999999998</v>
      </c>
      <c r="Q24" s="308">
        <f>SUMIF(MM[Week '#],$A24,MM[Net sales])</f>
        <v>105560.35</v>
      </c>
      <c r="R24" s="310">
        <f>100+75+113+105+4</f>
        <v>397</v>
      </c>
      <c r="S24" s="316">
        <f t="shared" si="5"/>
        <v>265.89508816120906</v>
      </c>
      <c r="T24" s="308">
        <f>SUMIF(Lounge[Week '#],$A24,Lounge[Net sales])-SUMIFS(Sales_Categories[Net sales],Sales_Categories[Week '#],$A24,Sales_Categories[Sales category],"Non-Grat Svc Charges")</f>
        <v>205049.24000000002</v>
      </c>
      <c r="U24" s="310">
        <f>6+130+175+3+249+177+3</f>
        <v>743</v>
      </c>
      <c r="V24" s="316">
        <f t="shared" si="6"/>
        <v>275.97475100942131</v>
      </c>
      <c r="W24" s="308">
        <f t="shared" si="29"/>
        <v>332827.59000000003</v>
      </c>
      <c r="X24" s="310">
        <f t="shared" si="30"/>
        <v>1210</v>
      </c>
      <c r="Y24" s="317">
        <f t="shared" si="7"/>
        <v>275.06412396694219</v>
      </c>
      <c r="Z24" s="308">
        <f>SUMIF(_26DinnerSalesACT[Week '#],$A24,_26DinnerSalesACT[Net sales])-
SUMIFS(_2026AVATotalSalesCat[Net sales],_2026AVATotalSalesCat[Week '#],$A24,_2026AVATotalSalesCat[Sales category],"Non-Grat Svc Charges")</f>
        <v>190426.86</v>
      </c>
      <c r="AA24" s="310">
        <f>2032-AD24</f>
        <v>1879.8530000000001</v>
      </c>
      <c r="AB24" s="316">
        <f t="shared" si="8"/>
        <v>101.29880368305393</v>
      </c>
      <c r="AC24" s="308">
        <f>SUMIF(_26LunchSalesACT[Week '#],$A24,_26LunchSalesACT[Net sales])</f>
        <v>18885.5</v>
      </c>
      <c r="AD24" s="310">
        <v>152.14699999999999</v>
      </c>
      <c r="AE24" s="316">
        <f t="shared" si="9"/>
        <v>124.12666697338759</v>
      </c>
      <c r="AF24" s="308">
        <f>SUMIF(_26MMSalesACT[Week '#],$A24,_26MMSalesACT[Net sales])</f>
        <v>45974.82</v>
      </c>
      <c r="AG24" s="310">
        <f>48+5+6+63+51</f>
        <v>173</v>
      </c>
      <c r="AH24" s="316">
        <f t="shared" si="10"/>
        <v>265.75040462427745</v>
      </c>
      <c r="AI24" s="3">
        <f t="shared" si="31"/>
        <v>255287.18</v>
      </c>
      <c r="AJ24" s="97">
        <f t="shared" si="32"/>
        <v>2205</v>
      </c>
      <c r="AK24" s="317">
        <f t="shared" si="11"/>
        <v>115.77649886621315</v>
      </c>
      <c r="AL24" s="308">
        <f>SUMIF(Brunch[Week '#],$A24,Brunch[Net sales])</f>
        <v>127488.5</v>
      </c>
      <c r="AM24" s="310">
        <v>306.59699999999998</v>
      </c>
      <c r="AN24" s="316">
        <f t="shared" si="12"/>
        <v>415.81783252934639</v>
      </c>
      <c r="AO24" s="308">
        <f>SUMIF(Dinner__2[Week '#],$A24,Dinner__2[Net sales])-
SUMIFS(Sales_Categories__2[Net sales],Sales_Categories__2[Week '#],$A24,Sales_Categories__2[Sales category],"Non-Grat Svc Charges")</f>
        <v>601803.69999999995</v>
      </c>
      <c r="AP24" s="310">
        <f>3828-AM24</f>
        <v>3521.4030000000002</v>
      </c>
      <c r="AQ24" s="316">
        <f t="shared" si="13"/>
        <v>170.89884344393411</v>
      </c>
      <c r="AR24" s="3">
        <f t="shared" si="33"/>
        <v>729292.2</v>
      </c>
      <c r="AS24" s="97">
        <f t="shared" si="34"/>
        <v>3828</v>
      </c>
      <c r="AT24" s="317">
        <f t="shared" si="14"/>
        <v>190.51520376175549</v>
      </c>
      <c r="AU24" s="308">
        <f>SUMIF(Brunch__2[Week '#],$A24,Brunch__2[Net sales])</f>
        <v>58017.71</v>
      </c>
      <c r="AV24" s="310">
        <f>63+111+45+91+71</f>
        <v>381</v>
      </c>
      <c r="AW24" s="316">
        <f t="shared" si="81"/>
        <v>152.27745406824147</v>
      </c>
      <c r="AX24" s="308" cm="1">
        <f t="array" ref="AX24">SUMPRODUCT((Dinner__3[Week '#]=$A24)*(INT(Dinner__3[yyyyMMdd]/10000)=VALUE(RIGHT($AX$2,4)))*Dinner__3[Net sales])-SUMPRODUCT((Sales_Categories__3[Week '#]=$A24)*(YEAR(Sales_Categories__3[Start Date])=VALUE(RIGHT($AX$2,4)))*(Sales_Categories__3[Sales category]="Non-Grat Svc Charges")*Sales_Categories__3[Net sales])</f>
        <v>216371.04</v>
      </c>
      <c r="AY24" s="310">
        <f>2012-AV24</f>
        <v>1631</v>
      </c>
      <c r="AZ24" s="316">
        <f t="shared" si="15"/>
        <v>132.66158185162479</v>
      </c>
      <c r="BA24" s="3">
        <f t="shared" si="80"/>
        <v>274388.75</v>
      </c>
      <c r="BB24" s="97">
        <f t="shared" si="37"/>
        <v>2012</v>
      </c>
      <c r="BC24" s="317">
        <f t="shared" si="16"/>
        <v>136.37611829025846</v>
      </c>
      <c r="BD24" s="308">
        <f>SUMIF(_2026DinnerSales[Week '#],$A24,_2026DinnerSales[Net sales])-
SUMIFS(_2026TotalSalesCat[Net sales],_2026TotalSalesCat[Week '#],$A24,_2026TotalSalesCat[Sales category],"Non-Grat Svc Charges")</f>
        <v>162714.53000000003</v>
      </c>
      <c r="BE24" s="310">
        <f>2149-BH24</f>
        <v>1521</v>
      </c>
      <c r="BF24" s="316">
        <f>IFERROR(BD24/BE24,"")</f>
        <v>106.97865220249838</v>
      </c>
      <c r="BG24" s="308">
        <f>SUMIF(_2026BrunchSales[Week '#],$A24,_2026BrunchSales[Net sales])</f>
        <v>54691.39</v>
      </c>
      <c r="BH24" s="310">
        <f>280+348</f>
        <v>628</v>
      </c>
      <c r="BI24" s="316">
        <f t="shared" si="18"/>
        <v>87.088200636942673</v>
      </c>
      <c r="BJ24" s="308"/>
      <c r="BK24" s="310"/>
      <c r="BL24" s="316" t="str">
        <f t="shared" si="19"/>
        <v/>
      </c>
      <c r="BM24" s="3">
        <f t="shared" si="38"/>
        <v>217405.92000000004</v>
      </c>
      <c r="BN24" s="97">
        <f t="shared" si="39"/>
        <v>2149</v>
      </c>
      <c r="BO24" s="317">
        <f t="shared" si="20"/>
        <v>101.16608655188462</v>
      </c>
      <c r="BP24" s="308">
        <f>SUMIF(Lounge__2[Week '#],$A24,Lounge__2[Net sales])-
SUMIFS(Sales_Categories__4[Net sales],Sales_Categories__4[Week '#],$A24,Sales_Categories__4[Sales category],"Non-Grat Svc Charges")</f>
        <v>178666.15000000002</v>
      </c>
      <c r="BQ24" s="310">
        <f>130+1+86+2+8+215+2+18+105+3</f>
        <v>570</v>
      </c>
      <c r="BR24" s="316">
        <f t="shared" si="70"/>
        <v>313.44938596491232</v>
      </c>
      <c r="BS24" s="308">
        <f>SUMIF(MM__2[Week '#],$A24,MM__2[Net sales])</f>
        <v>62759.9</v>
      </c>
      <c r="BT24" s="310">
        <f>42+1+73+2+159+3</f>
        <v>280</v>
      </c>
      <c r="BU24" s="316">
        <f t="shared" si="71"/>
        <v>224.14250000000001</v>
      </c>
      <c r="BV24" s="3">
        <f t="shared" si="40"/>
        <v>241426.05000000002</v>
      </c>
      <c r="BW24" s="97">
        <f t="shared" si="72"/>
        <v>850</v>
      </c>
      <c r="BX24" s="317">
        <f t="shared" si="73"/>
        <v>284.03064705882355</v>
      </c>
      <c r="BY24" s="308">
        <v>0</v>
      </c>
      <c r="BZ24" s="308">
        <v>0</v>
      </c>
      <c r="CA24" s="316" t="str">
        <f t="shared" si="74"/>
        <v/>
      </c>
      <c r="CB24" s="308">
        <v>0</v>
      </c>
      <c r="CC24" s="308">
        <v>0</v>
      </c>
      <c r="CD24" s="316" t="str">
        <f t="shared" si="75"/>
        <v/>
      </c>
      <c r="CE24" s="308"/>
      <c r="CF24" s="310"/>
      <c r="CG24" s="316" t="str">
        <f t="shared" si="76"/>
        <v/>
      </c>
      <c r="CH24" s="3">
        <f t="shared" si="77"/>
        <v>0</v>
      </c>
      <c r="CI24" s="97">
        <f t="shared" si="78"/>
        <v>0</v>
      </c>
      <c r="CJ24" s="317" t="str">
        <f t="shared" si="79"/>
        <v/>
      </c>
    </row>
    <row r="25" spans="1:88">
      <c r="A25" t="s">
        <v>150</v>
      </c>
      <c r="B25" t="s">
        <v>146</v>
      </c>
      <c r="C25" s="2">
        <f>VLOOKUP(A25,Dates!$B$2:$E$53,4,FALSE)</f>
        <v>21</v>
      </c>
      <c r="D25" s="310" t="b">
        <f>IF(C25&lt;='RDG Weekly Sales'!$F$1,TRUE,FALSE)</f>
        <v>1</v>
      </c>
      <c r="E25" s="308" cm="1">
        <f t="array" ref="E25">SUMPRODUCT((Dinner[Week '#]=$A25)*(INT(Dinner[yyyyMMdd]/10000)=VALUE(RIGHT($AX$2,4)))*Dinner[Net sales])-SUMPRODUCT((Non_Grat_Serv_Chrg[Week '#]=$A25)*(YEAR(Non_Grat_Serv_Chrg[Start Date])=VALUE(RIGHT($AX$2,4)))*(Non_Grat_Serv_Chrg[Sales category]="Non-Grat Svc Charges")*Non_Grat_Serv_Chrg[Net sales])</f>
        <v>689359.89999999991</v>
      </c>
      <c r="F25" s="310">
        <f>4710-I25</f>
        <v>4315</v>
      </c>
      <c r="G25" s="316">
        <f t="shared" si="28"/>
        <v>159.75895712630356</v>
      </c>
      <c r="H25" s="308">
        <f>SUMIF(Lunch[Week '#],$A25,Lunch[Net sales])</f>
        <v>44255.6</v>
      </c>
      <c r="I25" s="310">
        <v>395</v>
      </c>
      <c r="J25" s="316">
        <f t="shared" si="0"/>
        <v>112.03949367088607</v>
      </c>
      <c r="K25" s="3">
        <f t="shared" si="1"/>
        <v>733615.49999999988</v>
      </c>
      <c r="L25" s="97">
        <f t="shared" si="2"/>
        <v>4710</v>
      </c>
      <c r="M25" s="317">
        <f t="shared" si="3"/>
        <v>155.75700636942673</v>
      </c>
      <c r="N25" s="308">
        <f>SUMIF(Omakase[Week '#],$A25,Omakase[Net sales])</f>
        <v>20618</v>
      </c>
      <c r="O25" s="310">
        <v>66</v>
      </c>
      <c r="P25" s="316">
        <f t="shared" si="4"/>
        <v>312.39393939393938</v>
      </c>
      <c r="Q25" s="308">
        <f>SUMIF(MM[Week '#],$A25,MM[Net sales])</f>
        <v>77585.61</v>
      </c>
      <c r="R25" s="310">
        <f>34+67+53+95+101+4+112</f>
        <v>466</v>
      </c>
      <c r="S25" s="316">
        <f t="shared" si="5"/>
        <v>166.4927253218884</v>
      </c>
      <c r="T25" s="308">
        <f>SUMIF(Lounge[Week '#],$A25,Lounge[Net sales])-SUMIFS(Sales_Categories[Net sales],Sales_Categories[Week '#],$A25,Sales_Categories[Sales category],"Non-Grat Svc Charges")</f>
        <v>269442.40999999997</v>
      </c>
      <c r="U25" s="310">
        <f>60+56+167+6+224+6+239+32+199</f>
        <v>989</v>
      </c>
      <c r="V25" s="316">
        <f t="shared" si="6"/>
        <v>272.43924165824063</v>
      </c>
      <c r="W25" s="308">
        <f t="shared" si="29"/>
        <v>367646.01999999996</v>
      </c>
      <c r="X25" s="310">
        <f t="shared" si="30"/>
        <v>1521</v>
      </c>
      <c r="Y25" s="317">
        <f t="shared" si="7"/>
        <v>241.71335963182113</v>
      </c>
      <c r="Z25" s="308">
        <f>SUMIF(_26DinnerSalesACT[Week '#],$A25,_26DinnerSalesACT[Net sales])-
SUMIFS(_2026AVATotalSalesCat[Net sales],_2026AVATotalSalesCat[Week '#],$A25,_2026AVATotalSalesCat[Sales category],"Non-Grat Svc Charges")</f>
        <v>206256.33000000002</v>
      </c>
      <c r="AA25" s="310">
        <f>2072-AD25</f>
        <v>1752</v>
      </c>
      <c r="AB25" s="316">
        <f t="shared" si="8"/>
        <v>117.72621575342467</v>
      </c>
      <c r="AC25" s="308">
        <f>SUMIF(_26LunchSalesACT[Week '#],$A25,_26LunchSalesACT[Net sales])</f>
        <v>22834.03</v>
      </c>
      <c r="AD25" s="310">
        <f>134+186</f>
        <v>320</v>
      </c>
      <c r="AE25" s="316">
        <f t="shared" si="9"/>
        <v>71.356343749999994</v>
      </c>
      <c r="AF25" s="308">
        <f>SUMIF(_26MMSalesACT[Week '#],$A25,_26MMSalesACT[Net sales])</f>
        <v>37032.949999999997</v>
      </c>
      <c r="AG25" s="310">
        <f>30+52+50+50</f>
        <v>182</v>
      </c>
      <c r="AH25" s="316">
        <f t="shared" si="10"/>
        <v>203.47774725274724</v>
      </c>
      <c r="AI25" s="3">
        <f t="shared" si="31"/>
        <v>266123.31000000006</v>
      </c>
      <c r="AJ25" s="97">
        <f t="shared" si="32"/>
        <v>2254</v>
      </c>
      <c r="AK25" s="317">
        <f t="shared" si="11"/>
        <v>118.06712954747118</v>
      </c>
      <c r="AL25" s="308">
        <f>SUMIF(Brunch[Week '#],$A25,Brunch[Net sales])</f>
        <v>188433.5</v>
      </c>
      <c r="AM25" s="310">
        <f>424+737</f>
        <v>1161</v>
      </c>
      <c r="AN25" s="316">
        <f t="shared" si="12"/>
        <v>162.30275624461672</v>
      </c>
      <c r="AO25" s="308">
        <f>SUMIF(Dinner__2[Week '#],$A25,Dinner__2[Net sales])-
SUMIFS(Sales_Categories__2[Net sales],Sales_Categories__2[Week '#],$A25,Sales_Categories__2[Sales category],"Non-Grat Svc Charges")</f>
        <v>566349.92000000004</v>
      </c>
      <c r="AP25" s="310">
        <f>4126-AM25</f>
        <v>2965</v>
      </c>
      <c r="AQ25" s="316">
        <f t="shared" si="13"/>
        <v>191.01177740303544</v>
      </c>
      <c r="AR25" s="3">
        <f t="shared" si="33"/>
        <v>754783.42</v>
      </c>
      <c r="AS25" s="97">
        <f t="shared" si="34"/>
        <v>4126</v>
      </c>
      <c r="AT25" s="317">
        <f t="shared" si="14"/>
        <v>182.93345128453709</v>
      </c>
      <c r="AU25" s="308">
        <f>SUMIF(Brunch__2[Week '#],$A25,Brunch__2[Net sales])</f>
        <v>62512.26</v>
      </c>
      <c r="AV25" s="310">
        <f>36+65+54+146+138</f>
        <v>439</v>
      </c>
      <c r="AW25" s="316">
        <f t="shared" si="81"/>
        <v>142.39694760820046</v>
      </c>
      <c r="AX25" s="308" cm="1">
        <f t="array" ref="AX25">SUMPRODUCT((Dinner__3[Week '#]=$A25)*(INT(Dinner__3[yyyyMMdd]/10000)=VALUE(RIGHT($AX$2,4)))*Dinner__3[Net sales])-SUMPRODUCT((Sales_Categories__3[Week '#]=$A25)*(YEAR(Sales_Categories__3[Start Date])=VALUE(RIGHT($AX$2,4)))*(Sales_Categories__3[Sales category]="Non-Grat Svc Charges")*Sales_Categories__3[Net sales])</f>
        <v>262581.5</v>
      </c>
      <c r="AY25" s="310">
        <f>2218-AV25</f>
        <v>1779</v>
      </c>
      <c r="AZ25" s="316">
        <f t="shared" si="15"/>
        <v>147.60061832490163</v>
      </c>
      <c r="BA25" s="3">
        <f t="shared" si="36"/>
        <v>325093.76000000001</v>
      </c>
      <c r="BB25" s="97">
        <f t="shared" si="37"/>
        <v>2218</v>
      </c>
      <c r="BC25" s="317">
        <f t="shared" si="16"/>
        <v>146.57067628494138</v>
      </c>
      <c r="BD25" s="308">
        <f>SUMIF(_2026DinnerSales[Week '#],$A25,_2026DinnerSales[Net sales])-
SUMIFS(_2026TotalSalesCat[Net sales],_2026TotalSalesCat[Week '#],$A25,_2026TotalSalesCat[Sales category],"Non-Grat Svc Charges")</f>
        <v>179449.48</v>
      </c>
      <c r="BE25" s="310">
        <f>1989-BH25</f>
        <v>1536</v>
      </c>
      <c r="BF25" s="316">
        <f t="shared" si="17"/>
        <v>116.82908854166668</v>
      </c>
      <c r="BG25" s="308">
        <f>SUMIF(_2026BrunchSales[Week '#],$A25,_2026BrunchSales[Net sales])</f>
        <v>32852.199999999997</v>
      </c>
      <c r="BH25" s="310">
        <f>139+314</f>
        <v>453</v>
      </c>
      <c r="BI25" s="316">
        <f t="shared" si="18"/>
        <v>72.521412803532002</v>
      </c>
      <c r="BJ25" s="308"/>
      <c r="BK25" s="310"/>
      <c r="BL25" s="316" t="str">
        <f t="shared" si="19"/>
        <v/>
      </c>
      <c r="BM25" s="3">
        <f t="shared" si="38"/>
        <v>212301.68</v>
      </c>
      <c r="BN25" s="97">
        <f t="shared" si="39"/>
        <v>1989</v>
      </c>
      <c r="BO25" s="317">
        <f t="shared" si="20"/>
        <v>106.73789844142784</v>
      </c>
      <c r="BP25" s="308">
        <f>SUMIF(Lounge__2[Week '#],$A25,Lounge__2[Net sales])-
SUMIFS(Sales_Categories__4[Net sales],Sales_Categories__4[Week '#],$A25,Sales_Categories__4[Sales category],"Non-Grat Svc Charges")</f>
        <v>215040.11000000002</v>
      </c>
      <c r="BQ25" s="310">
        <f>2+95+115+10+263+19+14+197+25</f>
        <v>740</v>
      </c>
      <c r="BR25" s="316">
        <f t="shared" si="70"/>
        <v>290.59474324324327</v>
      </c>
      <c r="BS25" s="308">
        <f>SUMIF(MM__2[Week '#],$A25,MM__2[Net sales])</f>
        <v>72264.91</v>
      </c>
      <c r="BT25" s="310">
        <f>133+71+2+81+145</f>
        <v>432</v>
      </c>
      <c r="BU25" s="316">
        <f t="shared" si="71"/>
        <v>167.27988425925926</v>
      </c>
      <c r="BV25" s="3">
        <f t="shared" si="40"/>
        <v>287305.02</v>
      </c>
      <c r="BW25" s="97">
        <f t="shared" si="72"/>
        <v>1172</v>
      </c>
      <c r="BX25" s="317">
        <f t="shared" si="73"/>
        <v>245.14080204778159</v>
      </c>
      <c r="BY25" s="308">
        <v>0</v>
      </c>
      <c r="BZ25" s="308">
        <v>0</v>
      </c>
      <c r="CA25" s="316" t="str">
        <f t="shared" si="74"/>
        <v/>
      </c>
      <c r="CB25" s="308">
        <v>0</v>
      </c>
      <c r="CC25" s="308">
        <v>0</v>
      </c>
      <c r="CD25" s="316" t="str">
        <f t="shared" si="75"/>
        <v/>
      </c>
      <c r="CE25" s="308"/>
      <c r="CF25" s="310"/>
      <c r="CG25" s="316" t="str">
        <f t="shared" si="76"/>
        <v/>
      </c>
      <c r="CH25" s="3">
        <f t="shared" si="77"/>
        <v>0</v>
      </c>
      <c r="CI25" s="97">
        <f t="shared" si="78"/>
        <v>0</v>
      </c>
      <c r="CJ25" s="317" t="str">
        <f t="shared" si="79"/>
        <v/>
      </c>
    </row>
    <row r="26" spans="1:88">
      <c r="A26" t="s">
        <v>153</v>
      </c>
      <c r="B26" t="s">
        <v>152</v>
      </c>
      <c r="C26" s="2">
        <f>VLOOKUP(A26,Dates!$B$2:$E$53,4,FALSE)</f>
        <v>22</v>
      </c>
      <c r="D26" s="310" t="b">
        <f>IF(C26&lt;='RDG Weekly Sales'!$F$1,TRUE,FALSE)</f>
        <v>1</v>
      </c>
      <c r="E26" s="308" cm="1">
        <f t="array" ref="E26">SUMPRODUCT((Dinner[Week '#]=$A26)*(INT(Dinner[yyyyMMdd]/10000)=VALUE(RIGHT($AX$2,4)))*Dinner[Net sales])-SUMPRODUCT((Non_Grat_Serv_Chrg[Week '#]=$A26)*(YEAR(Non_Grat_Serv_Chrg[Start Date])=VALUE(RIGHT($AX$2,4)))*(Non_Grat_Serv_Chrg[Sales category]="Non-Grat Svc Charges")*Non_Grat_Serv_Chrg[Net sales])</f>
        <v>655710.44000000006</v>
      </c>
      <c r="F26" s="310">
        <f>4807-I26</f>
        <v>4403</v>
      </c>
      <c r="G26" s="316">
        <f t="shared" si="28"/>
        <v>148.9235612082671</v>
      </c>
      <c r="H26" s="308">
        <f>SUMIF(Lunch[Week '#],$A26,Lunch[Net sales])</f>
        <v>51670.2</v>
      </c>
      <c r="I26" s="310">
        <v>404</v>
      </c>
      <c r="J26" s="316">
        <f t="shared" si="0"/>
        <v>127.89653465346534</v>
      </c>
      <c r="K26" s="3">
        <f t="shared" si="1"/>
        <v>707380.64</v>
      </c>
      <c r="L26" s="97">
        <f>F26+I26</f>
        <v>4807</v>
      </c>
      <c r="M26" s="317">
        <f t="shared" si="3"/>
        <v>147.15636363636364</v>
      </c>
      <c r="N26" s="308">
        <f>SUMIF(Omakase[Week '#],$A26,Omakase[Net sales])</f>
        <v>17271</v>
      </c>
      <c r="O26" s="310">
        <v>59</v>
      </c>
      <c r="P26" s="316">
        <f t="shared" si="4"/>
        <v>292.72881355932202</v>
      </c>
      <c r="Q26" s="308">
        <f>SUMIF(MM[Week '#],$A26,MM[Net sales])</f>
        <v>49181</v>
      </c>
      <c r="R26" s="310">
        <f>66+65+178+2+106</f>
        <v>417</v>
      </c>
      <c r="S26" s="316">
        <f t="shared" si="5"/>
        <v>117.9400479616307</v>
      </c>
      <c r="T26" s="308">
        <f>SUMIF(Lounge[Week '#],$A26,Lounge[Net sales])-SUMIFS(Sales_Categories[Net sales],Sales_Categories[Week '#],$A26,Sales_Categories[Sales category],"Non-Grat Svc Charges")</f>
        <v>304492</v>
      </c>
      <c r="U26" s="310">
        <f>108+2+229+1+191+227+4</f>
        <v>762</v>
      </c>
      <c r="V26" s="316">
        <f t="shared" si="6"/>
        <v>399.59580052493436</v>
      </c>
      <c r="W26" s="308">
        <f>SUM(N26,Q26,T26)</f>
        <v>370944</v>
      </c>
      <c r="X26" s="310">
        <f t="shared" si="30"/>
        <v>1238</v>
      </c>
      <c r="Y26" s="317">
        <f t="shared" si="7"/>
        <v>299.63166397415188</v>
      </c>
      <c r="Z26" s="308">
        <f>SUMIF(_26DinnerSalesACT[Week '#],$A26,_26DinnerSalesACT[Net sales])-
SUMIFS(_2026AVATotalSalesCat[Net sales],_2026AVATotalSalesCat[Week '#],$A26,_2026AVATotalSalesCat[Sales category],"Non-Grat Svc Charges")</f>
        <v>158585.00000000003</v>
      </c>
      <c r="AA26" s="310">
        <f>1726-AD26</f>
        <v>1464</v>
      </c>
      <c r="AB26" s="316">
        <f t="shared" si="8"/>
        <v>108.32308743169401</v>
      </c>
      <c r="AC26" s="308">
        <f>SUMIF(_26LunchSalesACT[Week '#],$A26,_26LunchSalesACT[Net sales])</f>
        <v>17868</v>
      </c>
      <c r="AD26" s="310">
        <v>262</v>
      </c>
      <c r="AE26" s="316">
        <f t="shared" si="9"/>
        <v>68.198473282442748</v>
      </c>
      <c r="AF26" s="308">
        <f>SUMIF(_26MMSalesACT[Week '#],$A26,_26MMSalesACT[Net sales])</f>
        <v>26732.78</v>
      </c>
      <c r="AG26" s="310">
        <f>30+22+68+80</f>
        <v>200</v>
      </c>
      <c r="AH26" s="316">
        <f t="shared" si="10"/>
        <v>133.66389999999998</v>
      </c>
      <c r="AI26" s="3">
        <f t="shared" si="31"/>
        <v>203185.78000000003</v>
      </c>
      <c r="AJ26" s="97">
        <f t="shared" si="32"/>
        <v>1926</v>
      </c>
      <c r="AK26" s="317">
        <f t="shared" si="11"/>
        <v>105.49625129802702</v>
      </c>
      <c r="AL26" s="308">
        <f>SUMIF(Brunch[Week '#],$A26,Brunch[Net sales])</f>
        <v>146762.77000000002</v>
      </c>
      <c r="AM26" s="310">
        <f>206+524</f>
        <v>730</v>
      </c>
      <c r="AN26" s="316">
        <f t="shared" si="12"/>
        <v>201.04489041095894</v>
      </c>
      <c r="AO26" s="308">
        <f>SUMIF(Dinner__2[Week '#],$A26,Dinner__2[Net sales])-
SUMIFS(Sales_Categories__2[Net sales],Sales_Categories__2[Week '#],$A26,Sales_Categories__2[Sales category],"Non-Grat Svc Charges")</f>
        <v>633283.5</v>
      </c>
      <c r="AP26" s="310">
        <f>4483-AM26</f>
        <v>3753</v>
      </c>
      <c r="AQ26" s="316">
        <f t="shared" si="13"/>
        <v>168.74060751398881</v>
      </c>
      <c r="AR26" s="3">
        <f t="shared" si="33"/>
        <v>780046.27</v>
      </c>
      <c r="AS26" s="97">
        <f t="shared" si="34"/>
        <v>4483</v>
      </c>
      <c r="AT26" s="317">
        <f t="shared" si="14"/>
        <v>174.00095248717378</v>
      </c>
      <c r="AU26" s="308">
        <f>SUMIF(Brunch__2[Week '#],$A26,Brunch__2[Net sales])</f>
        <v>47193.66</v>
      </c>
      <c r="AV26" s="310">
        <v>410</v>
      </c>
      <c r="AW26" s="316">
        <f t="shared" si="81"/>
        <v>115.10648780487806</v>
      </c>
      <c r="AX26" s="308" cm="1">
        <f t="array" ref="AX26">SUMPRODUCT((Dinner__3[Week '#]=$A26)*(INT(Dinner__3[yyyyMMdd]/10000)=VALUE(RIGHT($AX$2,4)))*Dinner__3[Net sales])-SUMPRODUCT((Sales_Categories__3[Week '#]=$A26)*(YEAR(Sales_Categories__3[Start Date])=VALUE(RIGHT($AX$2,4)))*(Sales_Categories__3[Sales category]="Non-Grat Svc Charges")*Sales_Categories__3[Net sales])</f>
        <v>226416.99</v>
      </c>
      <c r="AY26" s="310">
        <f>1965-AV26</f>
        <v>1555</v>
      </c>
      <c r="AZ26" s="316">
        <f t="shared" si="15"/>
        <v>145.60578135048232</v>
      </c>
      <c r="BA26" s="3">
        <f t="shared" si="36"/>
        <v>273610.65000000002</v>
      </c>
      <c r="BB26" s="97">
        <f t="shared" si="37"/>
        <v>1965</v>
      </c>
      <c r="BC26" s="317">
        <f t="shared" si="16"/>
        <v>139.2420610687023</v>
      </c>
      <c r="BD26" s="308">
        <f>SUMIF(_2026DinnerSales[Week '#],$A26,_2026DinnerSales[Net sales])-
SUMIFS(_2026TotalSalesCat[Net sales],_2026TotalSalesCat[Week '#],$A26,_2026TotalSalesCat[Sales category],"Non-Grat Svc Charges")</f>
        <v>152638.82999999999</v>
      </c>
      <c r="BE26" s="310">
        <f>1906-BH26</f>
        <v>1374</v>
      </c>
      <c r="BF26" s="316">
        <f t="shared" si="17"/>
        <v>111.09085152838426</v>
      </c>
      <c r="BG26" s="308">
        <f>SUMIF(_2026BrunchSales[Week '#],$A26,_2026BrunchSales[Net sales])</f>
        <v>50328.350000000006</v>
      </c>
      <c r="BH26" s="310">
        <f>244+288</f>
        <v>532</v>
      </c>
      <c r="BI26" s="316">
        <f t="shared" si="18"/>
        <v>94.602161654135344</v>
      </c>
      <c r="BJ26" s="308"/>
      <c r="BK26" s="310"/>
      <c r="BL26" s="316" t="str">
        <f t="shared" si="19"/>
        <v/>
      </c>
      <c r="BM26" s="3">
        <f t="shared" si="38"/>
        <v>202967.18</v>
      </c>
      <c r="BN26" s="97">
        <f t="shared" si="39"/>
        <v>1906</v>
      </c>
      <c r="BO26" s="317">
        <f t="shared" si="20"/>
        <v>106.48855194123819</v>
      </c>
      <c r="BP26" s="308">
        <f>SUMIF(Lounge__2[Week '#],$A26,Lounge__2[Net sales])-
SUMIFS(Sales_Categories__4[Net sales],Sales_Categories__4[Week '#],$A26,Sales_Categories__4[Sales category],"Non-Grat Svc Charges")</f>
        <v>107280.75</v>
      </c>
      <c r="BQ26" s="310">
        <f>98+89+2+177+4+14+120+3</f>
        <v>507</v>
      </c>
      <c r="BR26" s="316">
        <f t="shared" si="70"/>
        <v>211.5991124260355</v>
      </c>
      <c r="BS26" s="308">
        <f>SUMIF(MM__2[Week '#],$A26,MM__2[Net sales])</f>
        <v>115291.75</v>
      </c>
      <c r="BT26" s="310">
        <f>100+114+84</f>
        <v>298</v>
      </c>
      <c r="BU26" s="316">
        <f t="shared" si="71"/>
        <v>386.88506711409394</v>
      </c>
      <c r="BV26" s="3">
        <f t="shared" si="40"/>
        <v>222572.5</v>
      </c>
      <c r="BW26" s="97">
        <f t="shared" si="72"/>
        <v>805</v>
      </c>
      <c r="BX26" s="317">
        <f t="shared" si="73"/>
        <v>276.48757763975158</v>
      </c>
      <c r="BY26" s="308">
        <v>0</v>
      </c>
      <c r="BZ26" s="308">
        <v>0</v>
      </c>
      <c r="CA26" s="316" t="str">
        <f t="shared" si="74"/>
        <v/>
      </c>
      <c r="CB26" s="308">
        <v>0</v>
      </c>
      <c r="CC26" s="308">
        <v>0</v>
      </c>
      <c r="CD26" s="316" t="str">
        <f t="shared" si="75"/>
        <v/>
      </c>
      <c r="CE26" s="308"/>
      <c r="CF26" s="310"/>
      <c r="CG26" s="316" t="str">
        <f t="shared" si="76"/>
        <v/>
      </c>
      <c r="CH26" s="3">
        <f t="shared" si="77"/>
        <v>0</v>
      </c>
      <c r="CI26" s="97">
        <f t="shared" si="78"/>
        <v>0</v>
      </c>
      <c r="CJ26" s="317" t="str">
        <f t="shared" si="79"/>
        <v/>
      </c>
    </row>
    <row r="27" spans="1:88">
      <c r="A27" t="s">
        <v>154</v>
      </c>
      <c r="B27" t="s">
        <v>152</v>
      </c>
      <c r="C27" s="2">
        <f>VLOOKUP(A27,Dates!$B$2:$E$53,4,FALSE)</f>
        <v>23</v>
      </c>
      <c r="D27" s="310" t="b">
        <f>IF(C27&lt;='RDG Weekly Sales'!$F$1,TRUE,FALSE)</f>
        <v>1</v>
      </c>
      <c r="E27" s="308" cm="1">
        <f t="array" ref="E27">SUMPRODUCT((Dinner[Week '#]=$A27)*(INT(Dinner[yyyyMMdd]/10000)=VALUE(RIGHT($AX$2,4)))*Dinner[Net sales])-SUMPRODUCT((Non_Grat_Serv_Chrg[Week '#]=$A27)*(YEAR(Non_Grat_Serv_Chrg[Start Date])=VALUE(RIGHT($AX$2,4)))*(Non_Grat_Serv_Chrg[Sales category]="Non-Grat Svc Charges")*Non_Grat_Serv_Chrg[Net sales])</f>
        <v>593590</v>
      </c>
      <c r="F27" s="310">
        <f>3939-I27</f>
        <v>3602</v>
      </c>
      <c r="G27" s="316">
        <f t="shared" si="28"/>
        <v>164.79455857856746</v>
      </c>
      <c r="H27" s="308">
        <f>SUMIF(Lunch[Week '#],$A27,Lunch[Net sales])</f>
        <v>39216.93</v>
      </c>
      <c r="I27" s="310">
        <v>337</v>
      </c>
      <c r="J27" s="316">
        <f t="shared" si="0"/>
        <v>116.37071216617211</v>
      </c>
      <c r="K27" s="3">
        <f t="shared" si="1"/>
        <v>632806.93000000005</v>
      </c>
      <c r="L27" s="97">
        <f t="shared" si="2"/>
        <v>3939</v>
      </c>
      <c r="M27" s="317">
        <f t="shared" si="3"/>
        <v>160.6516704747398</v>
      </c>
      <c r="N27" s="308">
        <f>SUMIF(Omakase[Week '#],$A27,Omakase[Net sales])</f>
        <v>18291</v>
      </c>
      <c r="O27" s="310">
        <v>72</v>
      </c>
      <c r="P27" s="316">
        <f t="shared" si="4"/>
        <v>254.04166666666666</v>
      </c>
      <c r="Q27" s="308">
        <f>SUMIF(MM[Week '#],$A27,MM[Net sales])</f>
        <v>54002</v>
      </c>
      <c r="R27" s="310">
        <f>50+28+75+2+80+101+2</f>
        <v>338</v>
      </c>
      <c r="S27" s="316">
        <f t="shared" si="5"/>
        <v>159.76923076923077</v>
      </c>
      <c r="T27" s="308">
        <f>SUMIF(Lounge[Week '#],$A27,Lounge[Net sales])-SUMIFS(Sales_Categories[Net sales],Sales_Categories[Week '#],$A27,Sales_Categories[Sales category],"Non-Grat Svc Charges")</f>
        <v>139156</v>
      </c>
      <c r="U27" s="310">
        <f>103+143+1+150+9+181+4+2</f>
        <v>593</v>
      </c>
      <c r="V27" s="316">
        <f t="shared" si="6"/>
        <v>234.66441821247892</v>
      </c>
      <c r="W27" s="308">
        <f t="shared" si="29"/>
        <v>211449</v>
      </c>
      <c r="X27" s="310">
        <f t="shared" si="30"/>
        <v>1003</v>
      </c>
      <c r="Y27" s="317">
        <f t="shared" si="7"/>
        <v>210.81655034895314</v>
      </c>
      <c r="Z27" s="308">
        <f>SUMIF(_26DinnerSalesACT[Week '#],$A27,_26DinnerSalesACT[Net sales])-
SUMIFS(_2026AVATotalSalesCat[Net sales],_2026AVATotalSalesCat[Week '#],$A27,_2026AVATotalSalesCat[Sales category],"Non-Grat Svc Charges")</f>
        <v>161480.79</v>
      </c>
      <c r="AA27" s="310">
        <f>1773-AD27</f>
        <v>1492</v>
      </c>
      <c r="AB27" s="316">
        <f t="shared" si="8"/>
        <v>108.2310924932976</v>
      </c>
      <c r="AC27" s="308">
        <f>SUMIF(_26LunchSalesACT[Week '#],$A27,_26LunchSalesACT[Net sales])</f>
        <v>18179.55</v>
      </c>
      <c r="AD27" s="310">
        <v>281</v>
      </c>
      <c r="AE27" s="316">
        <f t="shared" si="9"/>
        <v>64.695907473309603</v>
      </c>
      <c r="AF27" s="308">
        <f>SUMIF(_26MMSalesACT[Week '#],$A27,_26MMSalesACT[Net sales])</f>
        <v>30796.7</v>
      </c>
      <c r="AG27" s="310">
        <f>13+48+97</f>
        <v>158</v>
      </c>
      <c r="AH27" s="316">
        <f t="shared" si="10"/>
        <v>194.91582278481013</v>
      </c>
      <c r="AI27" s="3">
        <f t="shared" si="31"/>
        <v>210457.04</v>
      </c>
      <c r="AJ27" s="97">
        <f t="shared" si="32"/>
        <v>1931</v>
      </c>
      <c r="AK27" s="317">
        <f t="shared" si="11"/>
        <v>108.98862765406525</v>
      </c>
      <c r="AL27" s="308">
        <f>SUMIF(Brunch[Week '#],$A27,Brunch[Net sales])</f>
        <v>122167.5</v>
      </c>
      <c r="AM27" s="310">
        <f>191+400</f>
        <v>591</v>
      </c>
      <c r="AN27" s="316">
        <f t="shared" si="12"/>
        <v>206.71319796954316</v>
      </c>
      <c r="AO27" s="308">
        <f>SUMIF(Dinner__2[Week '#],$A27,Dinner__2[Net sales])-
SUMIFS(Sales_Categories__2[Net sales],Sales_Categories__2[Week '#],$A27,Sales_Categories__2[Sales category],"Non-Grat Svc Charges")</f>
        <v>457411.87</v>
      </c>
      <c r="AP27" s="310">
        <f>3644-AM27</f>
        <v>3053</v>
      </c>
      <c r="AQ27" s="316">
        <f t="shared" si="13"/>
        <v>149.82373730756632</v>
      </c>
      <c r="AR27" s="3">
        <f t="shared" si="33"/>
        <v>579579.37</v>
      </c>
      <c r="AS27" s="97">
        <f t="shared" si="34"/>
        <v>3644</v>
      </c>
      <c r="AT27" s="317">
        <f t="shared" si="14"/>
        <v>159.05032107574095</v>
      </c>
      <c r="AU27" s="308">
        <f>SUMIF(Brunch__2[Week '#],$A27,Brunch__2[Net sales])</f>
        <v>30539.5</v>
      </c>
      <c r="AV27" s="310">
        <v>330</v>
      </c>
      <c r="AW27" s="316">
        <f t="shared" si="81"/>
        <v>92.543939393939397</v>
      </c>
      <c r="AX27" s="308" cm="1">
        <f t="array" ref="AX27">SUMPRODUCT((Dinner__3[Week '#]=$A27)*(INT(Dinner__3[yyyyMMdd]/10000)=VALUE(RIGHT($AX$2,4)))*Dinner__3[Net sales])-SUMPRODUCT((Sales_Categories__3[Week '#]=$A27)*(YEAR(Sales_Categories__3[Start Date])=VALUE(RIGHT($AX$2,4)))*(Sales_Categories__3[Sales category]="Non-Grat Svc Charges")*Sales_Categories__3[Net sales])</f>
        <v>196591.75</v>
      </c>
      <c r="AY27" s="310">
        <f>1734-AV27</f>
        <v>1404</v>
      </c>
      <c r="AZ27" s="316">
        <f t="shared" si="15"/>
        <v>140.02261396011397</v>
      </c>
      <c r="BA27" s="3">
        <f t="shared" si="36"/>
        <v>227131.25</v>
      </c>
      <c r="BB27" s="97">
        <f t="shared" si="37"/>
        <v>1734</v>
      </c>
      <c r="BC27" s="317">
        <f t="shared" si="16"/>
        <v>130.98688004613609</v>
      </c>
      <c r="BD27" s="308">
        <f>SUMIF(_2026DinnerSales[Week '#],$A27,_2026DinnerSales[Net sales])-
SUMIFS(_2026TotalSalesCat[Net sales],_2026TotalSalesCat[Week '#],$A27,_2026TotalSalesCat[Sales category],"Non-Grat Svc Charges")</f>
        <v>147470.99000000002</v>
      </c>
      <c r="BE27" s="310">
        <f>1706-BH27</f>
        <v>1278</v>
      </c>
      <c r="BF27" s="316">
        <f t="shared" si="17"/>
        <v>115.39201095461661</v>
      </c>
      <c r="BG27" s="308">
        <f>SUMIF(_2026BrunchSales[Week '#],$A27,_2026BrunchSales[Net sales])</f>
        <v>37719.93</v>
      </c>
      <c r="BH27" s="310">
        <f>187+241</f>
        <v>428</v>
      </c>
      <c r="BI27" s="316">
        <f t="shared" si="18"/>
        <v>88.130677570093454</v>
      </c>
      <c r="BJ27" s="308"/>
      <c r="BK27" s="310"/>
      <c r="BL27" s="316" t="str">
        <f t="shared" si="19"/>
        <v/>
      </c>
      <c r="BM27" s="3">
        <f t="shared" si="38"/>
        <v>185190.92</v>
      </c>
      <c r="BN27" s="97">
        <f t="shared" si="39"/>
        <v>1706</v>
      </c>
      <c r="BO27" s="317">
        <f t="shared" si="20"/>
        <v>108.55270808909731</v>
      </c>
      <c r="BP27" s="308">
        <f>SUMIF(Lounge__2[Week '#],$A27,Lounge__2[Net sales])-
SUMIFS(Sales_Categories__4[Net sales],Sales_Categories__4[Week '#],$A27,Sales_Categories__4[Sales category],"Non-Grat Svc Charges")</f>
        <v>168574.25</v>
      </c>
      <c r="BQ27" s="310">
        <f>156+2+130+13+149+9+18+70</f>
        <v>547</v>
      </c>
      <c r="BR27" s="316">
        <f t="shared" si="70"/>
        <v>308.17961608775136</v>
      </c>
      <c r="BS27" s="308">
        <f>SUMIF(MM__2[Week '#],$A27,MM__2[Net sales])</f>
        <v>37587.75</v>
      </c>
      <c r="BT27" s="310">
        <f>29+76+87+100</f>
        <v>292</v>
      </c>
      <c r="BU27" s="316">
        <f t="shared" si="71"/>
        <v>128.7251712328767</v>
      </c>
      <c r="BV27" s="3">
        <f t="shared" si="40"/>
        <v>206162</v>
      </c>
      <c r="BW27" s="97">
        <f t="shared" si="72"/>
        <v>839</v>
      </c>
      <c r="BX27" s="317">
        <f t="shared" si="73"/>
        <v>245.72348033373063</v>
      </c>
      <c r="BY27" s="308">
        <v>0</v>
      </c>
      <c r="BZ27" s="308">
        <v>0</v>
      </c>
      <c r="CA27" s="316" t="str">
        <f t="shared" si="74"/>
        <v/>
      </c>
      <c r="CB27" s="308">
        <v>0</v>
      </c>
      <c r="CC27" s="308">
        <v>0</v>
      </c>
      <c r="CD27" s="316" t="str">
        <f t="shared" si="75"/>
        <v/>
      </c>
      <c r="CE27" s="308"/>
      <c r="CF27" s="310"/>
      <c r="CG27" s="316" t="str">
        <f t="shared" si="76"/>
        <v/>
      </c>
      <c r="CH27" s="3">
        <f t="shared" si="77"/>
        <v>0</v>
      </c>
      <c r="CI27" s="97">
        <f t="shared" si="78"/>
        <v>0</v>
      </c>
      <c r="CJ27" s="317" t="str">
        <f t="shared" si="79"/>
        <v/>
      </c>
    </row>
    <row r="28" spans="1:88">
      <c r="A28" t="s">
        <v>155</v>
      </c>
      <c r="B28" t="s">
        <v>152</v>
      </c>
      <c r="C28" s="2">
        <f>VLOOKUP(A28,Dates!$B$2:$E$53,4,FALSE)</f>
        <v>24</v>
      </c>
      <c r="D28" s="310" t="b">
        <f>IF(C28&lt;='RDG Weekly Sales'!$F$1,TRUE,FALSE)</f>
        <v>1</v>
      </c>
      <c r="E28" s="385" cm="1">
        <f t="array" ref="E28">SUMPRODUCT((Dinner[Week '#]=$A28)*(INT(Dinner[yyyyMMdd]/10000)=VALUE(RIGHT($AX$2,4)))*Dinner[Net sales])-SUMPRODUCT((Non_Grat_Serv_Chrg[Week '#]=$A28)*(YEAR(Non_Grat_Serv_Chrg[Start Date])=VALUE(RIGHT($AX$2,4)))*(Non_Grat_Serv_Chrg[Sales category]="Non-Grat Svc Charges")*Non_Grat_Serv_Chrg[Net sales])</f>
        <v>526690.5</v>
      </c>
      <c r="F28" s="310">
        <f>3825-I28</f>
        <v>3522</v>
      </c>
      <c r="G28" s="316">
        <f t="shared" si="28"/>
        <v>149.54301533219763</v>
      </c>
      <c r="H28" s="385" cm="1">
        <f t="array" ref="H28">SUMPRODUCT((Lunch[Week '#]=$A28)*(INT(Lunch[yyyyMMdd]/10000)=VALUE(RIGHT($H$2,4)))*Lunch[Net sales])</f>
        <v>35956.5</v>
      </c>
      <c r="I28" s="310">
        <v>303</v>
      </c>
      <c r="J28" s="316">
        <f t="shared" si="0"/>
        <v>118.66831683168317</v>
      </c>
      <c r="K28" s="3">
        <f t="shared" si="1"/>
        <v>562647</v>
      </c>
      <c r="L28" s="97">
        <f t="shared" si="2"/>
        <v>3825</v>
      </c>
      <c r="M28" s="317">
        <f t="shared" si="3"/>
        <v>147.09725490196078</v>
      </c>
      <c r="N28" s="385" cm="1">
        <f t="array" ref="N28">SUMPRODUCT((Omakase[Week '#]=$A28)*(INT(Omakase[yyyyMMdd]/10000)=VALUE(RIGHT($N$2,4)))*Omakase[Net sales])</f>
        <v>17273</v>
      </c>
      <c r="O28" s="310">
        <v>47</v>
      </c>
      <c r="P28" s="316">
        <f t="shared" si="4"/>
        <v>367.51063829787233</v>
      </c>
      <c r="Q28" s="385" cm="1">
        <f t="array" ref="Q28">SUMPRODUCT((MM[Week '#]=$A28)*(INT(MM[yyyyMMdd]/10000)=VALUE(RIGHT($Q$2,4)))*MM[Net sales])</f>
        <v>30903</v>
      </c>
      <c r="R28" s="310">
        <f>22+53+2+66+53+2</f>
        <v>198</v>
      </c>
      <c r="S28" s="316">
        <f t="shared" si="5"/>
        <v>156.07575757575756</v>
      </c>
      <c r="T28" s="385" cm="1">
        <f t="array" ref="T28">SUMPRODUCT((Lounge[Week '#]=$A28)*(INT(Lounge[yyyyMMdd]/10000)=VALUE(RIGHT($Q$2,4)))*Lounge[Net sales])-SUMIFS(Sales_Categories[Net sales],Sales_Categories[Week '#],$A28,Sales_Categories[Sales category],"Non-Grat Svc Charges")</f>
        <v>138324</v>
      </c>
      <c r="U28" s="310">
        <f>58+156+10+158+172+8</f>
        <v>562</v>
      </c>
      <c r="V28" s="316">
        <f t="shared" si="6"/>
        <v>246.12811387900356</v>
      </c>
      <c r="W28" s="308">
        <f t="shared" si="29"/>
        <v>186500</v>
      </c>
      <c r="X28" s="310">
        <f t="shared" si="30"/>
        <v>807</v>
      </c>
      <c r="Y28" s="317">
        <f t="shared" si="7"/>
        <v>231.10285006195787</v>
      </c>
      <c r="Z28" s="385" cm="1">
        <f t="array" ref="Z28">SUMPRODUCT((_26DinnerSalesACT[Week '#]=$A28)*(INT(_26DinnerSalesACT[yyyyMMdd]/10000)=VALUE(RIGHT($AX$2,4)))*_26DinnerSalesACT[Net sales])-
SUMIFS(_2026AVATotalSalesCat[Net sales],_2026AVATotalSalesCat[Week '#],$A28,_2026AVATotalSalesCat[Sales category],"Non-Grat Svc Charges")</f>
        <v>151669.26999999999</v>
      </c>
      <c r="AA28" s="310">
        <f>1650-AD28</f>
        <v>1370</v>
      </c>
      <c r="AB28" s="316">
        <f t="shared" si="8"/>
        <v>110.70749635036496</v>
      </c>
      <c r="AC28" s="385">
        <f>SUMIF(_26LunchSalesACT[Week '#],$A28,_26LunchSalesACT[Net sales])</f>
        <v>16768.82</v>
      </c>
      <c r="AD28" s="310">
        <v>280</v>
      </c>
      <c r="AE28" s="316">
        <f t="shared" si="9"/>
        <v>59.888642857142855</v>
      </c>
      <c r="AF28" s="385">
        <f>SUMIF(_26MMSalesACT[Week '#],$A28,_26MMSalesACT[Net sales])</f>
        <v>22855.4</v>
      </c>
      <c r="AG28" s="310">
        <f>34+23+62+64</f>
        <v>183</v>
      </c>
      <c r="AH28" s="316">
        <f t="shared" si="10"/>
        <v>124.8928961748634</v>
      </c>
      <c r="AI28" s="3">
        <f t="shared" si="31"/>
        <v>191293.49</v>
      </c>
      <c r="AJ28" s="97">
        <f t="shared" si="32"/>
        <v>1833</v>
      </c>
      <c r="AK28" s="317">
        <f t="shared" si="11"/>
        <v>104.36087834151664</v>
      </c>
      <c r="AL28" s="385" cm="1">
        <f t="array" ref="AL28">SUMPRODUCT((Brunch[Week '#]=$A28)*(INT(Brunch[yyyyMMdd]/10000)=VALUE(RIGHT($AL$2,4)))*Brunch[Net sales])</f>
        <v>160575.15000000002</v>
      </c>
      <c r="AM28" s="310">
        <f>155+449</f>
        <v>604</v>
      </c>
      <c r="AN28" s="316">
        <f t="shared" si="12"/>
        <v>265.85289735099343</v>
      </c>
      <c r="AO28" s="385" cm="1">
        <f t="array" ref="AO28">SUMPRODUCT((Dinner__2[Week '#]=$A28)*(INT(Dinner__2[yyyyMMdd]/10000)=VALUE(RIGHT($AL$2,4)))*Dinner__2[Net sales])-
SUMIFS(Sales_Categories__2[Net sales],Sales_Categories__2[Week '#],$A28,Sales_Categories__2[Sales category],"Non-Grat Svc Charges")</f>
        <v>403082.61000000004</v>
      </c>
      <c r="AP28" s="310">
        <f>3090-AM28</f>
        <v>2486</v>
      </c>
      <c r="AQ28" s="316">
        <f t="shared" si="13"/>
        <v>162.14103378921965</v>
      </c>
      <c r="AR28" s="3">
        <f t="shared" si="33"/>
        <v>563657.76</v>
      </c>
      <c r="AS28" s="97">
        <f t="shared" si="34"/>
        <v>3090</v>
      </c>
      <c r="AT28" s="317">
        <f t="shared" si="14"/>
        <v>182.41351456310679</v>
      </c>
      <c r="AU28" s="308" cm="1">
        <f t="array" ref="AU28">SUMPRODUCT((Brunch__2[Week '#]=$A28)*(INT(Brunch__2[yyyyMMdd]/10000)=VALUE(RIGHT($AU$2,4)))*Brunch__2[Net sales])</f>
        <v>16610.95</v>
      </c>
      <c r="AV28" s="310">
        <v>164</v>
      </c>
      <c r="AW28" s="316">
        <f t="shared" si="81"/>
        <v>101.28628048780489</v>
      </c>
      <c r="AX28" s="385" cm="1">
        <f t="array" ref="AX28">SUMPRODUCT((Dinner__3[Week '#]=$A28)*(INT(Dinner__3[yyyyMMdd]/10000)=VALUE(RIGHT($AX$2,4)))*Dinner__3[Net sales])-SUMPRODUCT((Sales_Categories__3[Week '#]=$A28)*(YEAR(Sales_Categories__3[Start Date])=VALUE(RIGHT($AX$2,4)))*(Sales_Categories__3[Sales category]="Non-Grat Svc Charges")*Sales_Categories__3[Net sales])</f>
        <v>193599.75</v>
      </c>
      <c r="AY28" s="310">
        <f>1521-AV28</f>
        <v>1357</v>
      </c>
      <c r="AZ28" s="316">
        <f t="shared" si="15"/>
        <v>142.6674649963154</v>
      </c>
      <c r="BA28" s="3">
        <f t="shared" si="36"/>
        <v>210210.7</v>
      </c>
      <c r="BB28" s="97">
        <f t="shared" si="37"/>
        <v>1521</v>
      </c>
      <c r="BC28" s="317">
        <f t="shared" si="16"/>
        <v>138.20558842866535</v>
      </c>
      <c r="BD28" s="386">
        <f>SUMIF(_2026DinnerSales[Week '#],$A28,_2026DinnerSales[Net sales])-
SUMIFS(_2026TotalSalesCat[Net sales],_2026TotalSalesCat[Week '#],$A28,_2026TotalSalesCat[Sales category],"Non-Grat Svc Charges")</f>
        <v>136044.64000000001</v>
      </c>
      <c r="BE28" s="310">
        <f>1547-BH28</f>
        <v>1101</v>
      </c>
      <c r="BF28" s="316">
        <f t="shared" si="17"/>
        <v>123.5646139872843</v>
      </c>
      <c r="BG28" s="386">
        <f>SUMIF(_2026BrunchSales[Week '#],$A28,_2026BrunchSales[Net sales])</f>
        <v>36384.720000000001</v>
      </c>
      <c r="BH28" s="310">
        <f>175+271</f>
        <v>446</v>
      </c>
      <c r="BI28" s="316">
        <f t="shared" si="18"/>
        <v>81.58008968609866</v>
      </c>
      <c r="BJ28" s="386"/>
      <c r="BK28" s="310"/>
      <c r="BL28" s="316" t="str">
        <f t="shared" si="19"/>
        <v/>
      </c>
      <c r="BM28" s="3">
        <f t="shared" si="38"/>
        <v>172429.36000000002</v>
      </c>
      <c r="BN28" s="97">
        <f t="shared" si="39"/>
        <v>1547</v>
      </c>
      <c r="BO28" s="317">
        <f t="shared" si="20"/>
        <v>111.46047834518424</v>
      </c>
      <c r="BP28" s="385">
        <f>SUMIF(Lounge__2[Week '#],$A28,Lounge__2[Net sales])-
SUMIFS(Sales_Categories__4[Net sales],Sales_Categories__4[Week '#],$A28,Sales_Categories__4[Sales category],"Non-Grat Svc Charges")</f>
        <v>97436.75</v>
      </c>
      <c r="BQ28" s="310">
        <f>34+124+5+93+6+107</f>
        <v>369</v>
      </c>
      <c r="BR28" s="316">
        <f t="shared" si="70"/>
        <v>264.05623306233065</v>
      </c>
      <c r="BS28" s="385">
        <f>SUMIF(MM__2[Week '#],$A28,MM__2[Net sales])</f>
        <v>26800.75</v>
      </c>
      <c r="BT28" s="310">
        <f>30+67+75+74+2</f>
        <v>248</v>
      </c>
      <c r="BU28" s="316">
        <f t="shared" si="71"/>
        <v>108.06754032258064</v>
      </c>
      <c r="BV28" s="3">
        <f t="shared" si="40"/>
        <v>124237.5</v>
      </c>
      <c r="BW28" s="97">
        <f t="shared" si="72"/>
        <v>617</v>
      </c>
      <c r="BX28" s="317">
        <f t="shared" si="73"/>
        <v>201.35737439222041</v>
      </c>
      <c r="BY28" s="308">
        <v>0</v>
      </c>
      <c r="BZ28" s="308">
        <v>0</v>
      </c>
      <c r="CA28" s="316" t="str">
        <f t="shared" si="74"/>
        <v/>
      </c>
      <c r="CB28" s="308">
        <v>0</v>
      </c>
      <c r="CC28" s="308">
        <v>0</v>
      </c>
      <c r="CD28" s="316" t="str">
        <f t="shared" si="75"/>
        <v/>
      </c>
      <c r="CE28" s="386"/>
      <c r="CF28" s="310"/>
      <c r="CG28" s="316" t="str">
        <f t="shared" si="76"/>
        <v/>
      </c>
      <c r="CH28" s="3">
        <f t="shared" si="77"/>
        <v>0</v>
      </c>
      <c r="CI28" s="97">
        <f t="shared" si="78"/>
        <v>0</v>
      </c>
      <c r="CJ28" s="317" t="str">
        <f t="shared" si="79"/>
        <v/>
      </c>
    </row>
    <row r="29" spans="1:88">
      <c r="A29" t="s">
        <v>156</v>
      </c>
      <c r="B29" t="s">
        <v>152</v>
      </c>
      <c r="C29" s="2">
        <f>VLOOKUP(A29,Dates!$B$2:$E$53,4,FALSE)</f>
        <v>25</v>
      </c>
      <c r="D29" s="168" t="b">
        <f>IF(C29&lt;='RDG Weekly Sales'!$F$1,TRUE,FALSE)</f>
        <v>1</v>
      </c>
      <c r="E29" s="167">
        <f>646975.09-H29-2121.25</f>
        <v>589991.64</v>
      </c>
      <c r="F29" s="168">
        <f>4171-I29</f>
        <v>3746</v>
      </c>
      <c r="G29" s="170">
        <f t="shared" si="28"/>
        <v>157.49910304324612</v>
      </c>
      <c r="H29" s="167">
        <v>54862.2</v>
      </c>
      <c r="I29" s="168">
        <v>425</v>
      </c>
      <c r="J29" s="170">
        <f t="shared" si="0"/>
        <v>129.08752941176471</v>
      </c>
      <c r="K29" s="3">
        <f t="shared" si="1"/>
        <v>644853.84</v>
      </c>
      <c r="L29" s="97">
        <f t="shared" si="2"/>
        <v>4171</v>
      </c>
      <c r="M29" s="172">
        <f t="shared" si="3"/>
        <v>154.60413330136657</v>
      </c>
      <c r="N29" s="167">
        <v>15028.4</v>
      </c>
      <c r="O29" s="168">
        <v>54</v>
      </c>
      <c r="P29" s="170">
        <f t="shared" si="4"/>
        <v>278.30370370370372</v>
      </c>
      <c r="Q29" s="167">
        <f>35578.45+8795</f>
        <v>44373.45</v>
      </c>
      <c r="R29" s="168">
        <f>44+24+73+84</f>
        <v>225</v>
      </c>
      <c r="S29" s="170">
        <f t="shared" si="5"/>
        <v>197.21533333333332</v>
      </c>
      <c r="T29" s="167">
        <f>142711.9+17873-194.35</f>
        <v>160390.54999999999</v>
      </c>
      <c r="U29" s="168">
        <f>42+99+10+216+193</f>
        <v>560</v>
      </c>
      <c r="V29" s="170">
        <f t="shared" si="6"/>
        <v>286.41169642857142</v>
      </c>
      <c r="W29" s="167">
        <f t="shared" si="29"/>
        <v>219792.4</v>
      </c>
      <c r="X29" s="168">
        <f t="shared" si="30"/>
        <v>839</v>
      </c>
      <c r="Y29" s="172">
        <f t="shared" si="7"/>
        <v>261.9694874851013</v>
      </c>
      <c r="Z29" s="167">
        <f>199098.6-198.4-AC29</f>
        <v>172269.2</v>
      </c>
      <c r="AA29" s="168">
        <f>1976-AD29</f>
        <v>1626</v>
      </c>
      <c r="AB29" s="170">
        <f t="shared" si="8"/>
        <v>105.94661746617467</v>
      </c>
      <c r="AC29" s="167">
        <v>26631</v>
      </c>
      <c r="AD29" s="168">
        <f>119+231</f>
        <v>350</v>
      </c>
      <c r="AE29" s="170">
        <f t="shared" si="9"/>
        <v>76.088571428571427</v>
      </c>
      <c r="AF29" s="167">
        <f>26890.53-285.65</f>
        <v>26604.879999999997</v>
      </c>
      <c r="AG29" s="168">
        <f>22+23+64+53</f>
        <v>162</v>
      </c>
      <c r="AH29" s="170">
        <f t="shared" si="10"/>
        <v>164.22765432098763</v>
      </c>
      <c r="AI29" s="3">
        <f t="shared" si="31"/>
        <v>225505.08000000002</v>
      </c>
      <c r="AJ29" s="97">
        <f t="shared" si="32"/>
        <v>2138</v>
      </c>
      <c r="AK29" s="172">
        <f t="shared" si="11"/>
        <v>105.47478016838167</v>
      </c>
      <c r="AL29" s="167">
        <v>158003.15</v>
      </c>
      <c r="AM29" s="168">
        <f>422+823</f>
        <v>1245</v>
      </c>
      <c r="AN29" s="170">
        <f t="shared" si="12"/>
        <v>126.91016064257028</v>
      </c>
      <c r="AO29" s="167">
        <f>658336.06-AL29-4253.9</f>
        <v>496079.01</v>
      </c>
      <c r="AP29" s="168">
        <f>3622-AM29</f>
        <v>2377</v>
      </c>
      <c r="AQ29" s="170">
        <f t="shared" si="13"/>
        <v>208.69962557846026</v>
      </c>
      <c r="AR29" s="3">
        <f t="shared" si="33"/>
        <v>654082.16</v>
      </c>
      <c r="AS29" s="97">
        <f t="shared" si="34"/>
        <v>3622</v>
      </c>
      <c r="AT29" s="172">
        <f t="shared" si="14"/>
        <v>180.58590833793485</v>
      </c>
      <c r="AU29" s="167">
        <v>37349.050000000003</v>
      </c>
      <c r="AV29" s="310">
        <f>8+56+73+69+57</f>
        <v>263</v>
      </c>
      <c r="AW29" s="170">
        <f t="shared" si="81"/>
        <v>142.01159695817492</v>
      </c>
      <c r="AX29" s="167">
        <f>196016.12-AU29-504.4</f>
        <v>158162.67000000001</v>
      </c>
      <c r="AY29" s="310">
        <f>1560-AV29</f>
        <v>1297</v>
      </c>
      <c r="AZ29" s="170">
        <f t="shared" si="15"/>
        <v>121.94500385505013</v>
      </c>
      <c r="BA29" s="3">
        <f t="shared" si="36"/>
        <v>195511.72000000003</v>
      </c>
      <c r="BB29" s="97">
        <f t="shared" si="37"/>
        <v>1560</v>
      </c>
      <c r="BC29" s="172">
        <f t="shared" si="16"/>
        <v>125.32802564102566</v>
      </c>
      <c r="BD29" s="167">
        <f>166501.49-BG29-224</f>
        <v>127051.98999999999</v>
      </c>
      <c r="BE29" s="168">
        <f>1601-BH29</f>
        <v>1139</v>
      </c>
      <c r="BF29" s="170">
        <f t="shared" si="17"/>
        <v>111.5469622475856</v>
      </c>
      <c r="BG29" s="167">
        <v>39225.5</v>
      </c>
      <c r="BH29" s="168">
        <f>156+306</f>
        <v>462</v>
      </c>
      <c r="BI29" s="170">
        <f t="shared" si="18"/>
        <v>84.90367965367966</v>
      </c>
      <c r="BJ29" s="167"/>
      <c r="BK29" s="168"/>
      <c r="BL29" s="170" t="str">
        <f t="shared" si="19"/>
        <v/>
      </c>
      <c r="BM29" s="3">
        <f t="shared" si="38"/>
        <v>166277.49</v>
      </c>
      <c r="BN29" s="97">
        <f t="shared" si="39"/>
        <v>1601</v>
      </c>
      <c r="BO29" s="172">
        <f t="shared" si="20"/>
        <v>103.858519675203</v>
      </c>
      <c r="BP29" s="167">
        <f>121331.23+25235-2674.35</f>
        <v>143891.87999999998</v>
      </c>
      <c r="BQ29" s="168">
        <f>47+92+2+2+244+129+7</f>
        <v>523</v>
      </c>
      <c r="BR29" s="170">
        <f t="shared" si="70"/>
        <v>275.12787762906305</v>
      </c>
      <c r="BS29" s="167">
        <f>49965.15+4156</f>
        <v>54121.15</v>
      </c>
      <c r="BT29" s="168">
        <f>50+30+96+56</f>
        <v>232</v>
      </c>
      <c r="BU29" s="170">
        <f t="shared" si="71"/>
        <v>233.28081896551726</v>
      </c>
      <c r="BV29" s="3">
        <f t="shared" si="40"/>
        <v>198013.02999999997</v>
      </c>
      <c r="BW29" s="97">
        <f t="shared" si="72"/>
        <v>755</v>
      </c>
      <c r="BX29" s="172">
        <f t="shared" si="73"/>
        <v>262.26891390728474</v>
      </c>
      <c r="BY29" s="167">
        <v>0</v>
      </c>
      <c r="BZ29" s="167">
        <v>0</v>
      </c>
      <c r="CA29" s="170" t="str">
        <f t="shared" si="74"/>
        <v/>
      </c>
      <c r="CB29" s="167">
        <v>0</v>
      </c>
      <c r="CC29" s="167">
        <v>0</v>
      </c>
      <c r="CD29" s="170" t="str">
        <f t="shared" si="75"/>
        <v/>
      </c>
      <c r="CE29" s="167"/>
      <c r="CF29" s="168"/>
      <c r="CG29" s="170" t="str">
        <f t="shared" si="76"/>
        <v/>
      </c>
      <c r="CH29" s="3">
        <f t="shared" si="77"/>
        <v>0</v>
      </c>
      <c r="CI29" s="97">
        <f t="shared" si="78"/>
        <v>0</v>
      </c>
      <c r="CJ29" s="172" t="str">
        <f t="shared" si="79"/>
        <v/>
      </c>
    </row>
    <row r="30" spans="1:88">
      <c r="A30" t="s">
        <v>157</v>
      </c>
      <c r="B30" t="s">
        <v>152</v>
      </c>
      <c r="C30" s="2">
        <f>VLOOKUP(A30,Dates!$B$2:$E$53,4,FALSE)</f>
        <v>26</v>
      </c>
      <c r="D30" s="310" t="b">
        <f>IF(C30&lt;='RDG Weekly Sales'!$F$1,TRUE,FALSE)</f>
        <v>1</v>
      </c>
      <c r="E30" s="385" cm="1">
        <f t="array" ref="E30">SUMPRODUCT((Dinner[Week '#]=$A30)*(INT(Dinner[yyyyMMdd]/10000)=VALUE(RIGHT($AX$2,4)))*Dinner[Net sales])-SUMPRODUCT((Non_Grat_Serv_Chrg[Week '#]=$A30)*(YEAR(Non_Grat_Serv_Chrg[Start Date])=VALUE(RIGHT($AX$2,4)))*(Non_Grat_Serv_Chrg[Sales category]="Non-Grat Svc Charges")*Non_Grat_Serv_Chrg[Net sales])</f>
        <v>611321.75</v>
      </c>
      <c r="F30" s="310">
        <v>3797</v>
      </c>
      <c r="G30" s="316">
        <f t="shared" si="28"/>
        <v>161.0012509876218</v>
      </c>
      <c r="H30" s="385" cm="1">
        <f t="array" ref="H30">SUMPRODUCT((Lunch[Week '#]=$A30)*(INT(Lunch[yyyyMMdd]/10000)=VALUE(RIGHT($H$2,4)))*Lunch[Net sales])</f>
        <v>45681</v>
      </c>
      <c r="I30" s="310">
        <v>382</v>
      </c>
      <c r="J30" s="316">
        <f t="shared" si="0"/>
        <v>119.58376963350786</v>
      </c>
      <c r="K30" s="3">
        <f t="shared" si="1"/>
        <v>657002.75</v>
      </c>
      <c r="L30" s="97">
        <f>F30+I30</f>
        <v>4179</v>
      </c>
      <c r="M30" s="317">
        <f t="shared" si="3"/>
        <v>157.21530270399617</v>
      </c>
      <c r="N30" s="385" cm="1">
        <f t="array" ref="N30">SUMPRODUCT((Omakase[Week '#]=$A30)*(INT(Omakase[yyyyMMdd]/10000)=VALUE(RIGHT($N$2,4)))*Omakase[Net sales])</f>
        <v>19472.099999999999</v>
      </c>
      <c r="O30" s="310">
        <v>61</v>
      </c>
      <c r="P30" s="316">
        <f t="shared" si="4"/>
        <v>319.21475409836063</v>
      </c>
      <c r="Q30" s="385" cm="1">
        <f t="array" ref="Q30">SUMPRODUCT((MM[Week '#]=$A30)*(INT(MM[yyyyMMdd]/10000)=VALUE(RIGHT($Q$2,4)))*MM[Net sales])</f>
        <v>57073.9</v>
      </c>
      <c r="R30" s="310">
        <v>263</v>
      </c>
      <c r="S30" s="316">
        <f t="shared" si="5"/>
        <v>217.0110266159696</v>
      </c>
      <c r="T30" s="385" cm="1">
        <f t="array" ref="T30">SUMPRODUCT((Lounge[Week '#]=$A30)*(INT(Lounge[yyyyMMdd]/10000)=VALUE(RIGHT($Q$2,4)))*Lounge[Net sales])-SUMIFS(Sales_Categories[Net sales],Sales_Categories[Week '#],$A30,Sales_Categories[Sales category],"Non-Grat Svc Charges")</f>
        <v>246913.28</v>
      </c>
      <c r="U30" s="310">
        <v>781</v>
      </c>
      <c r="V30" s="316">
        <f t="shared" si="6"/>
        <v>316.15016645326506</v>
      </c>
      <c r="W30" s="308">
        <f t="shared" si="29"/>
        <v>323459.28000000003</v>
      </c>
      <c r="X30" s="310">
        <f t="shared" si="30"/>
        <v>1105</v>
      </c>
      <c r="Y30" s="317">
        <f t="shared" si="7"/>
        <v>292.72333031674208</v>
      </c>
      <c r="Z30" s="385" cm="1">
        <f t="array" ref="Z30">SUMPRODUCT((_26DinnerSalesACT[Week '#]=$A30)*(INT(_26DinnerSalesACT[yyyyMMdd]/10000)=VALUE(RIGHT($AX$2,4)))*_26DinnerSalesACT[Net sales])-
SUMIFS(_2026AVATotalSalesCat[Net sales],_2026AVATotalSalesCat[Week '#],$A30,_2026AVATotalSalesCat[Sales category],"Non-Grat Svc Charges")</f>
        <v>169795.59</v>
      </c>
      <c r="AA30" s="310">
        <v>1560</v>
      </c>
      <c r="AB30" s="316">
        <f t="shared" si="8"/>
        <v>108.84332692307692</v>
      </c>
      <c r="AC30" s="385">
        <f>SUMIF(_26LunchSalesACT[Week '#],$A30,_26LunchSalesACT[Net sales])</f>
        <v>14802.01</v>
      </c>
      <c r="AD30" s="310">
        <v>236</v>
      </c>
      <c r="AE30" s="316">
        <f t="shared" si="9"/>
        <v>62.720381355932204</v>
      </c>
      <c r="AF30" s="385">
        <f>SUMIF(_26MMSalesACT[Week '#],$A30,_26MMSalesACT[Net sales])</f>
        <v>35790.71</v>
      </c>
      <c r="AG30" s="310">
        <v>166</v>
      </c>
      <c r="AH30" s="316">
        <f t="shared" si="10"/>
        <v>215.60668674698795</v>
      </c>
      <c r="AI30" s="3">
        <f t="shared" si="31"/>
        <v>220388.31</v>
      </c>
      <c r="AJ30" s="97">
        <f t="shared" si="32"/>
        <v>1962</v>
      </c>
      <c r="AK30" s="317">
        <f t="shared" si="11"/>
        <v>112.32839449541284</v>
      </c>
      <c r="AL30" s="385" cm="1">
        <f t="array" ref="AL30">SUMPRODUCT((Brunch[Week '#]=$A30)*(INT(Brunch[yyyyMMdd]/10000)=VALUE(RIGHT($AL$2,4)))*Brunch[Net sales])</f>
        <v>282785.58</v>
      </c>
      <c r="AM30" s="310">
        <v>1270</v>
      </c>
      <c r="AN30" s="316">
        <f t="shared" si="12"/>
        <v>222.66581102362207</v>
      </c>
      <c r="AO30" s="385" cm="1">
        <f t="array" ref="AO30">SUMPRODUCT((Dinner__2[Week '#]=$A30)*(INT(Dinner__2[yyyyMMdd]/10000)=VALUE(RIGHT($AL$2,4)))*Dinner__2[Net sales])-
SUMIFS(Sales_Categories__2[Net sales],Sales_Categories__2[Week '#],$A30,Sales_Categories__2[Sales category],"Non-Grat Svc Charges")</f>
        <v>544420.23</v>
      </c>
      <c r="AP30" s="310">
        <v>2583</v>
      </c>
      <c r="AQ30" s="316">
        <f t="shared" si="13"/>
        <v>210.77051103368177</v>
      </c>
      <c r="AR30" s="3">
        <f t="shared" si="33"/>
        <v>827205.81</v>
      </c>
      <c r="AS30" s="97">
        <f t="shared" si="34"/>
        <v>3853</v>
      </c>
      <c r="AT30" s="317">
        <f t="shared" si="14"/>
        <v>214.69135997923698</v>
      </c>
      <c r="AU30" s="308" cm="1">
        <f t="array" ref="AU30">SUMPRODUCT((Brunch__2[Week '#]=$A30)*(INT(Brunch__2[yyyyMMdd]/10000)=VALUE(RIGHT($AU$2,4)))*Brunch__2[Net sales])</f>
        <v>22948.959999999999</v>
      </c>
      <c r="AV30" s="310">
        <v>299</v>
      </c>
      <c r="AW30" s="316">
        <f t="shared" si="81"/>
        <v>76.75237458193979</v>
      </c>
      <c r="AX30" s="385" cm="1">
        <f t="array" ref="AX30">SUMPRODUCT((Dinner__3[Week '#]=$A30)*(INT(Dinner__3[yyyyMMdd]/10000)=VALUE(RIGHT($AX$2,4)))*Dinner__3[Net sales])-SUMPRODUCT((Sales_Categories__3[Week '#]=$A30)*(YEAR(Sales_Categories__3[Start Date])=VALUE(RIGHT($AX$2,4)))*(Sales_Categories__3[Sales category]="Non-Grat Svc Charges")*Sales_Categories__3[Net sales])</f>
        <v>232390.55000000002</v>
      </c>
      <c r="AY30" s="310">
        <v>1557</v>
      </c>
      <c r="AZ30" s="316">
        <f t="shared" si="15"/>
        <v>149.25533076429031</v>
      </c>
      <c r="BA30" s="3">
        <f t="shared" si="36"/>
        <v>255339.51</v>
      </c>
      <c r="BB30" s="97">
        <f t="shared" si="37"/>
        <v>1856</v>
      </c>
      <c r="BC30" s="317">
        <f t="shared" si="16"/>
        <v>137.57516702586207</v>
      </c>
      <c r="BD30" s="386">
        <f>SUMIF(_2026DinnerSales[Week '#],$A30,_2026DinnerSales[Net sales])-
SUMIFS(_2026TotalSalesCat[Net sales],_2026TotalSalesCat[Week '#],$A30,_2026TotalSalesCat[Sales category],"Non-Grat Svc Charges")</f>
        <v>124131.76</v>
      </c>
      <c r="BE30" s="310">
        <v>1081</v>
      </c>
      <c r="BF30" s="316">
        <f t="shared" si="17"/>
        <v>114.83049028677151</v>
      </c>
      <c r="BG30" s="386">
        <f>SUMIF(_2026BrunchSales[Week '#],$A30,_2026BrunchSales[Net sales])</f>
        <v>31372.370000000003</v>
      </c>
      <c r="BH30" s="310">
        <v>367</v>
      </c>
      <c r="BI30" s="316">
        <f t="shared" si="18"/>
        <v>85.483297002724797</v>
      </c>
      <c r="BJ30" s="386"/>
      <c r="BK30" s="310"/>
      <c r="BL30" s="316" t="str">
        <f t="shared" si="19"/>
        <v/>
      </c>
      <c r="BM30" s="3">
        <f t="shared" si="38"/>
        <v>155504.13</v>
      </c>
      <c r="BN30" s="97">
        <f t="shared" si="39"/>
        <v>1448</v>
      </c>
      <c r="BO30" s="317">
        <f t="shared" si="20"/>
        <v>107.3923549723757</v>
      </c>
      <c r="BP30" s="385">
        <f>SUMIF(Lounge__2[Week '#],$A30,Lounge__2[Net sales])-
SUMIFS(Sales_Categories__4[Net sales],Sales_Categories__4[Week '#],$A30,Sales_Categories__4[Sales category],"Non-Grat Svc Charges")</f>
        <v>244637.13</v>
      </c>
      <c r="BQ30" s="310">
        <v>666</v>
      </c>
      <c r="BR30" s="316">
        <f t="shared" si="70"/>
        <v>367.32301801801805</v>
      </c>
      <c r="BS30" s="385">
        <f>SUMIF(MM__2[Week '#],$A30,MM__2[Net sales])</f>
        <v>26674</v>
      </c>
      <c r="BT30" s="310">
        <v>242</v>
      </c>
      <c r="BU30" s="316">
        <f t="shared" si="71"/>
        <v>110.22314049586777</v>
      </c>
      <c r="BV30" s="3">
        <f t="shared" si="40"/>
        <v>271311.13</v>
      </c>
      <c r="BW30" s="97">
        <f t="shared" si="72"/>
        <v>908</v>
      </c>
      <c r="BX30" s="317">
        <f t="shared" si="73"/>
        <v>298.80080396475773</v>
      </c>
      <c r="BY30" s="308">
        <v>0</v>
      </c>
      <c r="BZ30" s="308">
        <v>0</v>
      </c>
      <c r="CA30" s="316" t="str">
        <f t="shared" si="74"/>
        <v/>
      </c>
      <c r="CB30" s="308">
        <v>0</v>
      </c>
      <c r="CC30" s="308">
        <v>0</v>
      </c>
      <c r="CD30" s="316" t="str">
        <f t="shared" si="75"/>
        <v/>
      </c>
      <c r="CE30" s="386"/>
      <c r="CF30" s="310"/>
      <c r="CG30" s="316" t="str">
        <f t="shared" si="76"/>
        <v/>
      </c>
      <c r="CH30" s="3">
        <f t="shared" si="77"/>
        <v>0</v>
      </c>
      <c r="CI30" s="97">
        <f t="shared" si="78"/>
        <v>0</v>
      </c>
      <c r="CJ30" s="317" t="str">
        <f t="shared" si="79"/>
        <v/>
      </c>
    </row>
    <row r="31" spans="1:88">
      <c r="A31" t="s">
        <v>160</v>
      </c>
      <c r="B31" t="s">
        <v>159</v>
      </c>
      <c r="C31" s="2">
        <f>VLOOKUP(A31,Dates!$B$2:$E$53,4,FALSE)</f>
        <v>27</v>
      </c>
      <c r="D31" s="168" t="b">
        <f>IF(C31&lt;='RDG Weekly Sales'!$F$1,TRUE,FALSE)</f>
        <v>1</v>
      </c>
      <c r="E31" s="167" cm="1">
        <f t="array" ref="E31">SUMPRODUCT((Dinner[Week '#]=$A31)*(INT(Dinner[yyyyMMdd]/10000)=VALUE(RIGHT($AX$2,4)))*Dinner[Net sales])-SUMPRODUCT((Non_Grat_Serv_Chrg[Week '#]=$A31)*(YEAR(Non_Grat_Serv_Chrg[Start Date])=VALUE(RIGHT($AX$2,4)))*(Non_Grat_Serv_Chrg[Sales category]="Non-Grat Svc Charges")*Non_Grat_Serv_Chrg[Net sales])</f>
        <v>542559</v>
      </c>
      <c r="F31" s="168">
        <v>3617</v>
      </c>
      <c r="G31" s="170">
        <f t="shared" si="28"/>
        <v>150.00248824993088</v>
      </c>
      <c r="H31" s="167" cm="1">
        <f t="array" ref="H31">SUMPRODUCT((Lunch[Week '#]=$A31)*(INT(Lunch[yyyyMMdd]/10000)=VALUE(RIGHT($H$2,4)))*Lunch[Net sales])</f>
        <v>40810.5</v>
      </c>
      <c r="I31" s="168">
        <v>367</v>
      </c>
      <c r="J31" s="170">
        <f t="shared" si="0"/>
        <v>111.20027247956403</v>
      </c>
      <c r="K31" s="3">
        <f t="shared" si="1"/>
        <v>583369.5</v>
      </c>
      <c r="L31" s="97">
        <f t="shared" si="2"/>
        <v>3984</v>
      </c>
      <c r="M31" s="172">
        <f t="shared" si="3"/>
        <v>146.4280873493976</v>
      </c>
      <c r="N31" s="167" cm="1">
        <f t="array" ref="N31">SUMPRODUCT((Omakase[Week '#]=$A31)*(INT(Omakase[yyyyMMdd]/10000)=VALUE(RIGHT($N$2,4)))*Omakase[Net sales])</f>
        <v>20681.25</v>
      </c>
      <c r="O31" s="168">
        <v>74</v>
      </c>
      <c r="P31" s="170">
        <f t="shared" si="4"/>
        <v>279.47635135135135</v>
      </c>
      <c r="Q31" s="167" cm="1">
        <f t="array" ref="Q31">SUMPRODUCT((MM[Week '#]=$A31)*(INT(MM[yyyyMMdd]/10000)=VALUE(RIGHT($Q$2,4)))*MM[Net sales])</f>
        <v>22951</v>
      </c>
      <c r="R31" s="168">
        <v>194</v>
      </c>
      <c r="S31" s="170">
        <f t="shared" si="5"/>
        <v>118.30412371134021</v>
      </c>
      <c r="T31" s="167" cm="1">
        <f t="array" ref="T31">SUMPRODUCT((Lounge[Week '#]=$A31)*(INT(Lounge[yyyyMMdd]/10000)=VALUE(RIGHT($Q$2,4)))*Lounge[Net sales])-SUMIFS(Sales_Categories[Net sales],Sales_Categories[Week '#],$A31,Sales_Categories[Sales category],"Non-Grat Svc Charges")</f>
        <v>162360.79</v>
      </c>
      <c r="U31" s="168">
        <v>654</v>
      </c>
      <c r="V31" s="170">
        <f t="shared" si="6"/>
        <v>248.25808868501531</v>
      </c>
      <c r="W31" s="167">
        <f t="shared" si="29"/>
        <v>205993.04</v>
      </c>
      <c r="X31" s="168">
        <f t="shared" si="30"/>
        <v>922</v>
      </c>
      <c r="Y31" s="172">
        <f t="shared" si="7"/>
        <v>223.41978308026032</v>
      </c>
      <c r="Z31" s="167" cm="1">
        <f t="array" ref="Z31">SUMPRODUCT((_26DinnerSalesACT[Week '#]=$A31)*(INT(_26DinnerSalesACT[yyyyMMdd]/10000)=VALUE(RIGHT($AX$2,4)))*_26DinnerSalesACT[Net sales])-
SUMIFS(_2026AVATotalSalesCat[Net sales],_2026AVATotalSalesCat[Week '#],$A31,_2026AVATotalSalesCat[Sales category],"Non-Grat Svc Charges")</f>
        <v>132540.19</v>
      </c>
      <c r="AA31" s="168">
        <v>1227</v>
      </c>
      <c r="AB31" s="170">
        <f t="shared" si="8"/>
        <v>108.01971475142625</v>
      </c>
      <c r="AC31" s="167">
        <f>SUMIF(_26LunchSalesACT[Week '#],$A31,_26LunchSalesACT[Net sales])</f>
        <v>10561.5</v>
      </c>
      <c r="AD31" s="168">
        <v>113</v>
      </c>
      <c r="AE31" s="170">
        <f t="shared" si="9"/>
        <v>93.464601769911511</v>
      </c>
      <c r="AF31" s="167">
        <f>SUMIF(_26MMSalesACT[Week '#],$A31,_26MMSalesACT[Net sales])</f>
        <v>20420.849999999999</v>
      </c>
      <c r="AG31" s="168">
        <v>113</v>
      </c>
      <c r="AH31" s="170">
        <f t="shared" si="10"/>
        <v>180.71548672566371</v>
      </c>
      <c r="AI31" s="3">
        <f t="shared" si="31"/>
        <v>163522.54</v>
      </c>
      <c r="AJ31" s="97">
        <f t="shared" si="32"/>
        <v>1453</v>
      </c>
      <c r="AK31" s="172">
        <f t="shared" si="11"/>
        <v>112.54132140399174</v>
      </c>
      <c r="AL31" s="167" cm="1">
        <f t="array" ref="AL31">SUMPRODUCT((Brunch[Week '#]=$A31)*(INT(Brunch[yyyyMMdd]/10000)=VALUE(RIGHT($AL$2,4)))*Brunch[Net sales])</f>
        <v>93126.11</v>
      </c>
      <c r="AM31" s="168">
        <v>861</v>
      </c>
      <c r="AN31" s="170">
        <f t="shared" si="12"/>
        <v>108.16040650406504</v>
      </c>
      <c r="AO31" s="167" cm="1">
        <f t="array" ref="AO31">SUMPRODUCT((Dinner__2[Week '#]=$A31)*(INT(Dinner__2[yyyyMMdd]/10000)=VALUE(RIGHT($AL$2,4)))*Dinner__2[Net sales])-
SUMIFS(Sales_Categories__2[Net sales],Sales_Categories__2[Week '#],$A31,Sales_Categories__2[Sales category],"Non-Grat Svc Charges")</f>
        <v>463085.24999999994</v>
      </c>
      <c r="AP31" s="168">
        <v>2405</v>
      </c>
      <c r="AQ31" s="170">
        <f t="shared" si="13"/>
        <v>192.55103950103947</v>
      </c>
      <c r="AR31" s="3">
        <f t="shared" si="33"/>
        <v>556211.36</v>
      </c>
      <c r="AS31" s="97">
        <f t="shared" si="34"/>
        <v>3266</v>
      </c>
      <c r="AT31" s="172">
        <f t="shared" si="14"/>
        <v>170.30353949785669</v>
      </c>
      <c r="AU31" s="167" cm="1">
        <f t="array" ref="AU31">SUMPRODUCT((Brunch__2[Week '#]=$A31)*(INT(Brunch__2[yyyyMMdd]/10000)=VALUE(RIGHT($AU$2,4)))*Brunch__2[Net sales])</f>
        <v>23412.95</v>
      </c>
      <c r="AV31" s="168">
        <v>288</v>
      </c>
      <c r="AW31" s="170">
        <f t="shared" si="81"/>
        <v>81.294965277777777</v>
      </c>
      <c r="AX31" s="167" cm="1">
        <f t="array" ref="AX31">SUMPRODUCT((Dinner__3[Week '#]=$A31)*(INT(Dinner__3[yyyyMMdd]/10000)=VALUE(RIGHT($AX$2,4)))*Dinner__3[Net sales])-SUMPRODUCT((Sales_Categories__3[Week '#]=$A31)*(YEAR(Sales_Categories__3[Start Date])=VALUE(RIGHT($AX$2,4)))*(Sales_Categories__3[Sales category]="Non-Grat Svc Charges")*Sales_Categories__3[Net sales])</f>
        <v>170590.50999999998</v>
      </c>
      <c r="AY31" s="168">
        <v>1195</v>
      </c>
      <c r="AZ31" s="170">
        <f t="shared" si="15"/>
        <v>142.75356485355647</v>
      </c>
      <c r="BA31" s="3">
        <f t="shared" si="36"/>
        <v>194003.46</v>
      </c>
      <c r="BB31" s="97">
        <f t="shared" si="37"/>
        <v>1483</v>
      </c>
      <c r="BC31" s="172">
        <f t="shared" si="16"/>
        <v>130.81824679703303</v>
      </c>
      <c r="BD31" s="167">
        <f>SUMIF(_2026DinnerSales[Week '#],$A31,_2026DinnerSales[Net sales])-
SUMIFS(_2026TotalSalesCat[Net sales],_2026TotalSalesCat[Week '#],$A31,_2026TotalSalesCat[Sales category],"Non-Grat Svc Charges")</f>
        <v>77701.939999999988</v>
      </c>
      <c r="BE31" s="168">
        <v>711</v>
      </c>
      <c r="BF31" s="170">
        <f t="shared" si="17"/>
        <v>109.28542897327706</v>
      </c>
      <c r="BG31" s="167">
        <f>SUMIF(_2026BrunchSales[Week '#],$A31,_2026BrunchSales[Net sales])</f>
        <v>17334.120000000003</v>
      </c>
      <c r="BH31" s="168">
        <v>234</v>
      </c>
      <c r="BI31" s="170">
        <f t="shared" si="18"/>
        <v>74.077435897435905</v>
      </c>
      <c r="BJ31" s="167"/>
      <c r="BK31" s="168"/>
      <c r="BL31" s="170" t="str">
        <f t="shared" si="19"/>
        <v/>
      </c>
      <c r="BM31" s="3">
        <f t="shared" si="38"/>
        <v>95036.06</v>
      </c>
      <c r="BN31" s="97">
        <f t="shared" si="39"/>
        <v>945</v>
      </c>
      <c r="BO31" s="172">
        <f t="shared" si="20"/>
        <v>100.56725925925926</v>
      </c>
      <c r="BP31" s="167">
        <f>SUMIF(Lounge__2[Week '#],$A31,Lounge__2[Net sales])-
SUMIFS(Sales_Categories__4[Net sales],Sales_Categories__4[Week '#],$A31,Sales_Categories__4[Sales category],"Non-Grat Svc Charges")</f>
        <v>119747.51999999999</v>
      </c>
      <c r="BQ31" s="168">
        <v>622</v>
      </c>
      <c r="BR31" s="170">
        <f t="shared" si="70"/>
        <v>192.52012861736333</v>
      </c>
      <c r="BS31" s="167">
        <f>SUMIF(MM__2[Week '#],$A31,MM__2[Net sales])</f>
        <v>30496</v>
      </c>
      <c r="BT31" s="168">
        <v>248</v>
      </c>
      <c r="BU31" s="170">
        <f t="shared" si="71"/>
        <v>122.96774193548387</v>
      </c>
      <c r="BV31" s="3">
        <f t="shared" si="40"/>
        <v>150243.51999999999</v>
      </c>
      <c r="BW31" s="97">
        <f t="shared" si="72"/>
        <v>870</v>
      </c>
      <c r="BX31" s="172">
        <f t="shared" si="73"/>
        <v>172.69370114942527</v>
      </c>
      <c r="BY31" s="167">
        <v>0</v>
      </c>
      <c r="BZ31" s="167">
        <v>0</v>
      </c>
      <c r="CA31" s="170" t="str">
        <f t="shared" si="74"/>
        <v/>
      </c>
      <c r="CB31" s="167">
        <v>0</v>
      </c>
      <c r="CC31" s="167">
        <v>0</v>
      </c>
      <c r="CD31" s="170" t="str">
        <f t="shared" si="75"/>
        <v/>
      </c>
      <c r="CE31" s="167"/>
      <c r="CF31" s="168"/>
      <c r="CG31" s="170" t="str">
        <f t="shared" si="76"/>
        <v/>
      </c>
      <c r="CH31" s="3">
        <f t="shared" si="77"/>
        <v>0</v>
      </c>
      <c r="CI31" s="97">
        <f t="shared" si="78"/>
        <v>0</v>
      </c>
      <c r="CJ31" s="172" t="str">
        <f t="shared" si="79"/>
        <v/>
      </c>
    </row>
    <row r="32" spans="1:88">
      <c r="A32" t="s">
        <v>161</v>
      </c>
      <c r="B32" t="s">
        <v>159</v>
      </c>
      <c r="C32" s="2">
        <f>VLOOKUP(A32,Dates!$B$2:$E$53,4,FALSE)</f>
        <v>28</v>
      </c>
      <c r="D32" s="168" t="b">
        <f>IF(C32&lt;='RDG Weekly Sales'!$F$1,TRUE,FALSE)</f>
        <v>1</v>
      </c>
      <c r="E32" s="167" cm="1">
        <f t="array" ref="E32">SUMPRODUCT((Dinner[Week '#]=$A32)*(INT(Dinner[yyyyMMdd]/10000)=VALUE(RIGHT($AX$2,4)))*Dinner[Net sales])-SUMPRODUCT((Non_Grat_Serv_Chrg[Week '#]=$A32)*(YEAR(Non_Grat_Serv_Chrg[Start Date])=VALUE(RIGHT($AX$2,4)))*(Non_Grat_Serv_Chrg[Sales category]="Non-Grat Svc Charges")*Non_Grat_Serv_Chrg[Net sales])</f>
        <v>610790.25</v>
      </c>
      <c r="F32" s="168">
        <v>3420</v>
      </c>
      <c r="G32" s="170">
        <f t="shared" si="28"/>
        <v>178.59364035087719</v>
      </c>
      <c r="H32" s="167" cm="1">
        <f t="array" ref="H32">SUMPRODUCT((Lunch[Week '#]=$A32)*(INT(Lunch[yyyyMMdd]/10000)=VALUE(RIGHT($H$2,4)))*Lunch[Net sales])</f>
        <v>37511.5</v>
      </c>
      <c r="I32" s="168">
        <v>314</v>
      </c>
      <c r="J32" s="170">
        <f t="shared" si="0"/>
        <v>119.46337579617834</v>
      </c>
      <c r="K32" s="3">
        <f t="shared" si="1"/>
        <v>648301.75</v>
      </c>
      <c r="L32" s="97">
        <f t="shared" si="2"/>
        <v>3734</v>
      </c>
      <c r="M32" s="172">
        <f t="shared" si="3"/>
        <v>173.62125066952331</v>
      </c>
      <c r="N32" s="167" cm="1">
        <f t="array" ref="N32">SUMPRODUCT((Omakase[Week '#]=$A32)*(INT(Omakase[yyyyMMdd]/10000)=VALUE(RIGHT($N$2,4)))*Omakase[Net sales])</f>
        <v>24859.5</v>
      </c>
      <c r="O32" s="168">
        <v>82</v>
      </c>
      <c r="P32" s="170">
        <f t="shared" si="4"/>
        <v>303.16463414634148</v>
      </c>
      <c r="Q32" s="167" cm="1">
        <f t="array" ref="Q32">SUMPRODUCT((MM[Week '#]=$A32)*(INT(MM[yyyyMMdd]/10000)=VALUE(RIGHT($Q$2,4)))*MM[Net sales])</f>
        <v>59389.56</v>
      </c>
      <c r="R32" s="168">
        <v>321</v>
      </c>
      <c r="S32" s="170">
        <f t="shared" si="5"/>
        <v>185.01420560747664</v>
      </c>
      <c r="T32" s="167" cm="1">
        <f t="array" ref="T32">SUMPRODUCT((Lounge[Week '#]=$A32)*(INT(Lounge[yyyyMMdd]/10000)=VALUE(RIGHT($Q$2,4)))*Lounge[Net sales])-SUMIFS(Sales_Categories[Net sales],Sales_Categories[Week '#],$A32,Sales_Categories[Sales category],"Non-Grat Svc Charges")</f>
        <v>254032.19</v>
      </c>
      <c r="U32" s="168">
        <v>682</v>
      </c>
      <c r="V32" s="170">
        <f t="shared" si="6"/>
        <v>372.48121700879767</v>
      </c>
      <c r="W32" s="167">
        <f t="shared" si="29"/>
        <v>338281.25</v>
      </c>
      <c r="X32" s="168">
        <f t="shared" si="30"/>
        <v>1085</v>
      </c>
      <c r="Y32" s="172">
        <f t="shared" si="7"/>
        <v>311.7799539170507</v>
      </c>
      <c r="Z32" s="167" cm="1">
        <f t="array" ref="Z32">SUMPRODUCT((_26DinnerSalesACT[Week '#]=$A32)*(INT(_26DinnerSalesACT[yyyyMMdd]/10000)=VALUE(RIGHT($AX$2,4)))*_26DinnerSalesACT[Net sales])-
SUMIFS(_2026AVATotalSalesCat[Net sales],_2026AVATotalSalesCat[Week '#],$A32,_2026AVATotalSalesCat[Sales category],"Non-Grat Svc Charges")</f>
        <v>151127.30999999997</v>
      </c>
      <c r="AA32" s="168">
        <v>1367</v>
      </c>
      <c r="AB32" s="170">
        <f t="shared" si="8"/>
        <v>110.55399414776882</v>
      </c>
      <c r="AC32" s="167" cm="1">
        <f t="array" ref="AC32">SUMPRODUCT((_26LunchSalesACT[Week '#]=$A32)*(INT(_26LunchSalesACT[yyyyMMdd]/10000)=VALUE(RIGHT($AX$2,4)))*_26LunchSalesACT[Net sales])</f>
        <v>19821.68</v>
      </c>
      <c r="AD32" s="168">
        <v>274</v>
      </c>
      <c r="AE32" s="170">
        <f t="shared" si="9"/>
        <v>72.341897810218981</v>
      </c>
      <c r="AF32" s="167">
        <f>SUMIF(_26MMSalesACT[Week '#],$A32,_26MMSalesACT[Net sales])</f>
        <v>39381.18</v>
      </c>
      <c r="AG32" s="168">
        <v>140</v>
      </c>
      <c r="AH32" s="170">
        <f t="shared" si="10"/>
        <v>281.29414285714284</v>
      </c>
      <c r="AI32" s="3">
        <f t="shared" si="31"/>
        <v>210330.16999999995</v>
      </c>
      <c r="AJ32" s="97">
        <f t="shared" si="32"/>
        <v>1781</v>
      </c>
      <c r="AK32" s="172">
        <f t="shared" si="11"/>
        <v>118.09667040988207</v>
      </c>
      <c r="AL32" s="167" cm="1">
        <f t="array" ref="AL32">SUMPRODUCT((Brunch[Week '#]=$A32)*(INT(Brunch[yyyyMMdd]/10000)=VALUE(RIGHT($AL$2,4)))*Brunch[Net sales])</f>
        <v>174784.7</v>
      </c>
      <c r="AM32" s="168">
        <v>1198</v>
      </c>
      <c r="AN32" s="170">
        <f t="shared" si="12"/>
        <v>145.89707846410684</v>
      </c>
      <c r="AO32" s="167" cm="1">
        <f t="array" ref="AO32">SUMPRODUCT((Dinner__2[Week '#]=$A32)*(INT(Dinner__2[yyyyMMdd]/10000)=VALUE(RIGHT($AL$2,4)))*Dinner__2[Net sales])-
SUMIFS(Sales_Categories__2[Net sales],Sales_Categories__2[Week '#],$A32,Sales_Categories__2[Sales category],"Non-Grat Svc Charges")</f>
        <v>553850.6399999999</v>
      </c>
      <c r="AP32" s="168">
        <v>2488</v>
      </c>
      <c r="AQ32" s="170">
        <f t="shared" si="13"/>
        <v>222.6087781350482</v>
      </c>
      <c r="AR32" s="3">
        <f t="shared" si="33"/>
        <v>728635.33999999985</v>
      </c>
      <c r="AS32" s="97">
        <f t="shared" si="34"/>
        <v>3686</v>
      </c>
      <c r="AT32" s="172">
        <f t="shared" si="14"/>
        <v>197.67643516006507</v>
      </c>
      <c r="AU32" s="167" cm="1">
        <f t="array" ref="AU32">SUMPRODUCT((Brunch__2[Week '#]=$A32)*(INT(Brunch__2[yyyyMMdd]/10000)=VALUE(RIGHT($AU$2,4)))*Brunch__2[Net sales])</f>
        <v>23851</v>
      </c>
      <c r="AV32" s="168">
        <v>300</v>
      </c>
      <c r="AW32" s="170">
        <f t="shared" si="81"/>
        <v>79.50333333333333</v>
      </c>
      <c r="AX32" s="167" cm="1">
        <f t="array" ref="AX32">SUMPRODUCT((Dinner__3[Week '#]=$A32)*(INT(Dinner__3[yyyyMMdd]/10000)=VALUE(RIGHT($AX$2,4)))*Dinner__3[Net sales])-SUMPRODUCT((Sales_Categories__3[Week '#]=$A32)*(YEAR(Sales_Categories__3[Start Date])=VALUE(RIGHT($AX$2,4)))*(Sales_Categories__3[Sales category]="Non-Grat Svc Charges")*Sales_Categories__3[Net sales])</f>
        <v>204186.41999999998</v>
      </c>
      <c r="AY32" s="168">
        <v>1377</v>
      </c>
      <c r="AZ32" s="170">
        <f t="shared" si="15"/>
        <v>148.2835294117647</v>
      </c>
      <c r="BA32" s="3">
        <f t="shared" si="36"/>
        <v>228037.41999999998</v>
      </c>
      <c r="BB32" s="97">
        <f t="shared" si="37"/>
        <v>1677</v>
      </c>
      <c r="BC32" s="172">
        <f t="shared" si="16"/>
        <v>135.97937984496124</v>
      </c>
      <c r="BD32" s="167">
        <f>SUMIF(_2026DinnerSales[Week '#],$A32,_2026DinnerSales[Net sales])-
SUMIFS(_2026TotalSalesCat[Net sales],_2026TotalSalesCat[Week '#],$A32,_2026TotalSalesCat[Sales category],"Non-Grat Svc Charges")</f>
        <v>99010.67</v>
      </c>
      <c r="BE32" s="168">
        <v>925</v>
      </c>
      <c r="BF32" s="170">
        <f t="shared" si="17"/>
        <v>107.03856216216217</v>
      </c>
      <c r="BG32" s="167">
        <f>SUMIF(_2026BrunchSales[Week '#],$A32,_2026BrunchSales[Net sales])</f>
        <v>28025.03</v>
      </c>
      <c r="BH32" s="168">
        <v>365</v>
      </c>
      <c r="BI32" s="170">
        <f t="shared" si="18"/>
        <v>76.780904109589045</v>
      </c>
      <c r="BJ32" s="167"/>
      <c r="BK32" s="168"/>
      <c r="BL32" s="170" t="str">
        <f t="shared" si="19"/>
        <v/>
      </c>
      <c r="BM32" s="3">
        <f t="shared" si="38"/>
        <v>127035.7</v>
      </c>
      <c r="BN32" s="97">
        <f t="shared" si="39"/>
        <v>1290</v>
      </c>
      <c r="BO32" s="172">
        <f t="shared" si="20"/>
        <v>98.47728682170542</v>
      </c>
      <c r="BP32" s="167">
        <f>SUMIF(Lounge__2[Week '#],$A32,Lounge__2[Net sales])-
SUMIFS(Sales_Categories__4[Net sales],Sales_Categories__4[Week '#],$A32,Sales_Categories__4[Sales category],"Non-Grat Svc Charges")</f>
        <v>218040.5</v>
      </c>
      <c r="BQ32" s="168">
        <v>711</v>
      </c>
      <c r="BR32" s="170">
        <f t="shared" si="70"/>
        <v>306.66736990154709</v>
      </c>
      <c r="BS32" s="167">
        <f>SUMIF(MM__2[Week '#],$A32,MM__2[Net sales])</f>
        <v>34764</v>
      </c>
      <c r="BT32" s="168">
        <v>257</v>
      </c>
      <c r="BU32" s="170">
        <f t="shared" si="71"/>
        <v>135.26848249027236</v>
      </c>
      <c r="BV32" s="3">
        <f t="shared" si="40"/>
        <v>252804.5</v>
      </c>
      <c r="BW32" s="97">
        <f t="shared" si="72"/>
        <v>968</v>
      </c>
      <c r="BX32" s="172">
        <f t="shared" si="73"/>
        <v>261.16167355371903</v>
      </c>
      <c r="BY32" s="167">
        <v>0</v>
      </c>
      <c r="BZ32" s="167">
        <v>0</v>
      </c>
      <c r="CA32" s="170" t="str">
        <f t="shared" si="74"/>
        <v/>
      </c>
      <c r="CB32" s="167">
        <v>0</v>
      </c>
      <c r="CC32" s="167">
        <v>0</v>
      </c>
      <c r="CD32" s="170" t="str">
        <f t="shared" si="75"/>
        <v/>
      </c>
      <c r="CE32" s="167"/>
      <c r="CF32" s="168"/>
      <c r="CG32" s="170" t="str">
        <f t="shared" si="76"/>
        <v/>
      </c>
      <c r="CH32" s="3">
        <f t="shared" si="77"/>
        <v>0</v>
      </c>
      <c r="CI32" s="97">
        <f t="shared" si="78"/>
        <v>0</v>
      </c>
      <c r="CJ32" s="172" t="str">
        <f t="shared" si="79"/>
        <v/>
      </c>
    </row>
    <row r="33" spans="1:88">
      <c r="A33" t="s">
        <v>162</v>
      </c>
      <c r="B33" t="s">
        <v>159</v>
      </c>
      <c r="C33" s="2">
        <f>VLOOKUP(A33,Dates!$B$2:$E$53,4,FALSE)</f>
        <v>29</v>
      </c>
      <c r="D33" s="168" t="b">
        <f>IF(C33&lt;='RDG Weekly Sales'!$F$1,TRUE,FALSE)</f>
        <v>1</v>
      </c>
      <c r="E33" s="167" cm="1">
        <f t="array" ref="E33">SUMPRODUCT((Dinner[Week '#]=$A33)*(INT(Dinner[yyyyMMdd]/10000)=VALUE(RIGHT($AX$2,4)))*Dinner[Net sales])-SUMPRODUCT((Non_Grat_Serv_Chrg[Week '#]=$A33)*(YEAR(Non_Grat_Serv_Chrg[Start Date])=VALUE(RIGHT($AX$2,4)))*(Non_Grat_Serv_Chrg[Sales category]="Non-Grat Svc Charges")*Non_Grat_Serv_Chrg[Net sales])</f>
        <v>517648.36</v>
      </c>
      <c r="F33" s="168">
        <v>3525</v>
      </c>
      <c r="G33" s="170">
        <f t="shared" si="28"/>
        <v>146.85059858156029</v>
      </c>
      <c r="H33" s="167" cm="1">
        <f t="array" ref="H33">SUMPRODUCT((Lunch[Week '#]=$A33)*(INT(Lunch[yyyyMMdd]/10000)=VALUE(RIGHT($H$2,4)))*Lunch[Net sales])</f>
        <v>23504</v>
      </c>
      <c r="I33" s="168">
        <v>208</v>
      </c>
      <c r="J33" s="170">
        <f t="shared" si="0"/>
        <v>113</v>
      </c>
      <c r="K33" s="3">
        <f t="shared" si="1"/>
        <v>541152.36</v>
      </c>
      <c r="L33" s="97">
        <f t="shared" si="2"/>
        <v>3733</v>
      </c>
      <c r="M33" s="172">
        <f t="shared" si="3"/>
        <v>144.96446825609428</v>
      </c>
      <c r="N33" s="167" cm="1">
        <f t="array" ref="N33">SUMPRODUCT((Omakase[Week '#]=$A33)*(INT(Omakase[yyyyMMdd]/10000)=VALUE(RIGHT($N$2,4)))*Omakase[Net sales])</f>
        <v>23612</v>
      </c>
      <c r="O33" s="168">
        <v>82</v>
      </c>
      <c r="P33" s="170">
        <f t="shared" si="4"/>
        <v>287.95121951219511</v>
      </c>
      <c r="Q33" s="167" cm="1">
        <f t="array" ref="Q33">SUMPRODUCT((MM[Week '#]=$A33)*(INT(MM[yyyyMMdd]/10000)=VALUE(RIGHT($Q$2,4)))*MM[Net sales])</f>
        <v>42271</v>
      </c>
      <c r="R33" s="168">
        <v>236</v>
      </c>
      <c r="S33" s="170">
        <f t="shared" si="5"/>
        <v>179.11440677966101</v>
      </c>
      <c r="T33" s="167" cm="1">
        <f t="array" ref="T33">SUMPRODUCT((Lounge[Week '#]=$A33)*(INT(Lounge[yyyyMMdd]/10000)=VALUE(RIGHT($Q$2,4)))*Lounge[Net sales])-SUMIFS(Sales_Categories[Net sales],Sales_Categories[Week '#],$A33,Sales_Categories[Sales category],"Non-Grat Svc Charges")</f>
        <v>167173.01</v>
      </c>
      <c r="U33" s="168">
        <v>684</v>
      </c>
      <c r="V33" s="170">
        <f t="shared" si="6"/>
        <v>244.40498538011698</v>
      </c>
      <c r="W33" s="167">
        <f t="shared" si="29"/>
        <v>233056.01</v>
      </c>
      <c r="X33" s="168">
        <f t="shared" si="30"/>
        <v>1002</v>
      </c>
      <c r="Y33" s="172">
        <f t="shared" si="7"/>
        <v>232.59082834331338</v>
      </c>
      <c r="Z33" s="167" cm="1">
        <f t="array" ref="Z33">SUMPRODUCT((_26DinnerSalesACT[Week '#]=$A33)*(INT(_26DinnerSalesACT[yyyyMMdd]/10000)=VALUE(RIGHT($AX$2,4)))*_26DinnerSalesACT[Net sales])-
SUMIFS(_2026AVATotalSalesCat[Net sales],_2026AVATotalSalesCat[Week '#],$A33,_2026AVATotalSalesCat[Sales category],"Non-Grat Svc Charges")</f>
        <v>186213.95</v>
      </c>
      <c r="AA33" s="168">
        <v>1610</v>
      </c>
      <c r="AB33" s="170">
        <f t="shared" si="8"/>
        <v>115.66083850931678</v>
      </c>
      <c r="AC33" s="167" cm="1">
        <f t="array" ref="AC33">SUMPRODUCT((_26LunchSalesACT[Week '#]=$A33)*(INT(_26LunchSalesACT[yyyyMMdd]/10000)=VALUE(RIGHT($AX$2,4)))*_26LunchSalesACT[Net sales])</f>
        <v>15899.15</v>
      </c>
      <c r="AD33" s="168">
        <v>253</v>
      </c>
      <c r="AE33" s="170">
        <f t="shared" si="9"/>
        <v>62.842490118577075</v>
      </c>
      <c r="AF33" s="167">
        <f>SUMIF(_26MMSalesACT[Week '#],$A33,_26MMSalesACT[Net sales])</f>
        <v>31297.86</v>
      </c>
      <c r="AG33" s="168">
        <v>181</v>
      </c>
      <c r="AH33" s="170">
        <f t="shared" si="10"/>
        <v>172.91635359116023</v>
      </c>
      <c r="AI33" s="3">
        <f t="shared" si="31"/>
        <v>233410.96</v>
      </c>
      <c r="AJ33" s="97">
        <f t="shared" si="32"/>
        <v>2044</v>
      </c>
      <c r="AK33" s="172">
        <f t="shared" si="11"/>
        <v>114.193228962818</v>
      </c>
      <c r="AL33" s="167" cm="1">
        <f t="array" ref="AL33">SUMPRODUCT((Brunch[Week '#]=$A33)*(INT(Brunch[yyyyMMdd]/10000)=VALUE(RIGHT($AL$2,4)))*Brunch[Net sales])</f>
        <v>149122.34</v>
      </c>
      <c r="AM33" s="168">
        <v>729</v>
      </c>
      <c r="AN33" s="170">
        <f t="shared" si="12"/>
        <v>204.55739368998627</v>
      </c>
      <c r="AO33" s="167" cm="1">
        <f t="array" ref="AO33">SUMPRODUCT((Dinner__2[Week '#]=$A33)*(INT(Dinner__2[yyyyMMdd]/10000)=VALUE(RIGHT($AL$2,4)))*Dinner__2[Net sales])-
SUMIFS(Sales_Categories__2[Net sales],Sales_Categories__2[Week '#],$A33,Sales_Categories__2[Sales category],"Non-Grat Svc Charges")</f>
        <v>378289.57</v>
      </c>
      <c r="AP33" s="168">
        <v>2372</v>
      </c>
      <c r="AQ33" s="170">
        <f t="shared" si="13"/>
        <v>159.48126897133221</v>
      </c>
      <c r="AR33" s="3">
        <f t="shared" si="33"/>
        <v>527411.91</v>
      </c>
      <c r="AS33" s="97">
        <f t="shared" si="34"/>
        <v>3101</v>
      </c>
      <c r="AT33" s="172">
        <f t="shared" si="14"/>
        <v>170.07801031925186</v>
      </c>
      <c r="AU33" s="167" cm="1">
        <f t="array" ref="AU33">SUMPRODUCT((Brunch__2[Week '#]=$A33)*(INT(Brunch__2[yyyyMMdd]/10000)=VALUE(RIGHT($AU$2,4)))*Brunch__2[Net sales])</f>
        <v>25481.93</v>
      </c>
      <c r="AV33" s="168">
        <v>264</v>
      </c>
      <c r="AW33" s="170">
        <f t="shared" si="81"/>
        <v>96.522462121212129</v>
      </c>
      <c r="AX33" s="167" cm="1">
        <f t="array" ref="AX33">SUMPRODUCT((Dinner__3[Week '#]=$A33)*(INT(Dinner__3[yyyyMMdd]/10000)=VALUE(RIGHT($AX$2,4)))*Dinner__3[Net sales])-SUMPRODUCT((Sales_Categories__3[Week '#]=$A33)*(YEAR(Sales_Categories__3[Start Date])=VALUE(RIGHT($AX$2,4)))*(Sales_Categories__3[Sales category]="Non-Grat Svc Charges")*Sales_Categories__3[Net sales])</f>
        <v>216653.86000000002</v>
      </c>
      <c r="AY33" s="168">
        <v>1620</v>
      </c>
      <c r="AZ33" s="170">
        <f t="shared" si="15"/>
        <v>133.73695061728395</v>
      </c>
      <c r="BA33" s="3">
        <f t="shared" si="36"/>
        <v>242135.79</v>
      </c>
      <c r="BB33" s="97">
        <f t="shared" si="37"/>
        <v>1884</v>
      </c>
      <c r="BC33" s="172">
        <f t="shared" si="16"/>
        <v>128.52218152866243</v>
      </c>
      <c r="BD33" s="167">
        <f>SUMIF(_2026DinnerSales[Week '#],$A33,_2026DinnerSales[Net sales])-
SUMIFS(_2026TotalSalesCat[Net sales],_2026TotalSalesCat[Week '#],$A33,_2026TotalSalesCat[Sales category],"Non-Grat Svc Charges")</f>
        <v>122983.98999999999</v>
      </c>
      <c r="BE33" s="168">
        <v>1086</v>
      </c>
      <c r="BF33" s="170">
        <f t="shared" si="17"/>
        <v>113.24492633517495</v>
      </c>
      <c r="BG33" s="167">
        <f>SUMIF(_2026BrunchSales[Week '#],$A33,_2026BrunchSales[Net sales])</f>
        <v>24678.02</v>
      </c>
      <c r="BH33" s="168">
        <v>331</v>
      </c>
      <c r="BI33" s="170">
        <f t="shared" si="18"/>
        <v>74.555951661631426</v>
      </c>
      <c r="BJ33" s="167"/>
      <c r="BK33" s="168"/>
      <c r="BL33" s="170" t="str">
        <f t="shared" si="19"/>
        <v/>
      </c>
      <c r="BM33" s="3">
        <f t="shared" si="38"/>
        <v>147662.00999999998</v>
      </c>
      <c r="BN33" s="97">
        <f t="shared" si="39"/>
        <v>1417</v>
      </c>
      <c r="BO33" s="172">
        <f t="shared" si="20"/>
        <v>104.2074876499647</v>
      </c>
      <c r="BP33" s="167">
        <f>SUMIF(Lounge__2[Week '#],$A33,Lounge__2[Net sales])-
SUMIFS(Sales_Categories__4[Net sales],Sales_Categories__4[Week '#],$A33,Sales_Categories__4[Sales category],"Non-Grat Svc Charges")</f>
        <v>131152.65</v>
      </c>
      <c r="BQ33" s="168">
        <v>517</v>
      </c>
      <c r="BR33" s="170">
        <f t="shared" si="70"/>
        <v>253.68017408123791</v>
      </c>
      <c r="BS33" s="167">
        <f>SUMIF(MM__2[Week '#],$A33,MM__2[Net sales])</f>
        <v>0</v>
      </c>
      <c r="BT33" s="168">
        <v>0</v>
      </c>
      <c r="BU33" s="170">
        <v>0</v>
      </c>
      <c r="BV33" s="3">
        <f t="shared" si="40"/>
        <v>131152.65</v>
      </c>
      <c r="BW33" s="97">
        <f t="shared" si="72"/>
        <v>517</v>
      </c>
      <c r="BX33" s="172">
        <f t="shared" si="73"/>
        <v>253.68017408123791</v>
      </c>
      <c r="BY33" s="167">
        <v>0</v>
      </c>
      <c r="BZ33" s="167">
        <v>0</v>
      </c>
      <c r="CA33" s="170" t="str">
        <f t="shared" si="74"/>
        <v/>
      </c>
      <c r="CB33" s="167">
        <v>0</v>
      </c>
      <c r="CC33" s="167">
        <v>0</v>
      </c>
      <c r="CD33" s="170" t="str">
        <f t="shared" si="75"/>
        <v/>
      </c>
      <c r="CE33" s="167"/>
      <c r="CF33" s="168"/>
      <c r="CG33" s="170" t="str">
        <f t="shared" si="76"/>
        <v/>
      </c>
      <c r="CH33" s="3">
        <f t="shared" si="77"/>
        <v>0</v>
      </c>
      <c r="CI33" s="97">
        <f t="shared" si="78"/>
        <v>0</v>
      </c>
      <c r="CJ33" s="172" t="str">
        <f t="shared" si="79"/>
        <v/>
      </c>
    </row>
    <row r="34" spans="1:88">
      <c r="A34" t="s">
        <v>163</v>
      </c>
      <c r="B34" t="s">
        <v>159</v>
      </c>
      <c r="C34" s="2">
        <f>VLOOKUP(A34,Dates!$B$2:$E$53,4,FALSE)</f>
        <v>30</v>
      </c>
      <c r="D34" s="168" t="b">
        <f>IF(C34&lt;='RDG Weekly Sales'!$F$1,TRUE,FALSE)</f>
        <v>1</v>
      </c>
      <c r="E34" s="167" cm="1">
        <f t="array" ref="E34">SUMPRODUCT((Dinner[Week '#]=$A34)*(INT(Dinner[yyyyMMdd]/10000)=VALUE(RIGHT($AX$2,4)))*Dinner[Net sales])-SUMPRODUCT((Non_Grat_Serv_Chrg[Week '#]=$A34)*(YEAR(Non_Grat_Serv_Chrg[Start Date])=VALUE(RIGHT($AX$2,4)))*(Non_Grat_Serv_Chrg[Sales category]="Non-Grat Svc Charges")*Non_Grat_Serv_Chrg[Net sales])</f>
        <v>496952.55000000005</v>
      </c>
      <c r="F34" s="168">
        <v>3489</v>
      </c>
      <c r="G34" s="170">
        <f t="shared" si="28"/>
        <v>142.43409286328463</v>
      </c>
      <c r="H34" s="167" cm="1">
        <f t="array" ref="H34">SUMPRODUCT((Lunch[Week '#]=$A34)*(INT(Lunch[yyyyMMdd]/10000)=VALUE(RIGHT($H$2,4)))*Lunch[Net sales])</f>
        <v>36422.449999999997</v>
      </c>
      <c r="I34" s="168">
        <v>321</v>
      </c>
      <c r="J34" s="170">
        <f t="shared" si="0"/>
        <v>113.46557632398753</v>
      </c>
      <c r="K34" s="3">
        <f t="shared" si="1"/>
        <v>533375</v>
      </c>
      <c r="L34" s="97">
        <f t="shared" si="2"/>
        <v>3810</v>
      </c>
      <c r="M34" s="172">
        <f t="shared" si="3"/>
        <v>139.99343832020998</v>
      </c>
      <c r="N34" s="167" cm="1">
        <f t="array" ref="N34">SUMPRODUCT((Omakase[Week '#]=$A34)*(INT(Omakase[yyyyMMdd]/10000)=VALUE(RIGHT($N$2,4)))*Omakase[Net sales])</f>
        <v>24325.4</v>
      </c>
      <c r="O34" s="168">
        <v>76</v>
      </c>
      <c r="P34" s="170">
        <f t="shared" si="4"/>
        <v>320.07105263157899</v>
      </c>
      <c r="Q34" s="167" cm="1">
        <f t="array" ref="Q34">SUMPRODUCT((MM[Week '#]=$A34)*(INT(MM[yyyyMMdd]/10000)=VALUE(RIGHT($Q$2,4)))*MM[Net sales])</f>
        <v>51957</v>
      </c>
      <c r="R34" s="168">
        <v>284</v>
      </c>
      <c r="S34" s="170">
        <f t="shared" si="5"/>
        <v>182.94718309859155</v>
      </c>
      <c r="T34" s="167" cm="1">
        <f t="array" ref="T34">SUMPRODUCT((Lounge[Week '#]=$A34)*(INT(Lounge[yyyyMMdd]/10000)=VALUE(RIGHT($Q$2,4)))*Lounge[Net sales])-SUMIFS(Sales_Categories[Net sales],Sales_Categories[Week '#],$A34,Sales_Categories[Sales category],"Non-Grat Svc Charges")</f>
        <v>167449</v>
      </c>
      <c r="U34" s="168">
        <v>621</v>
      </c>
      <c r="V34" s="170">
        <f t="shared" si="6"/>
        <v>269.64412238325281</v>
      </c>
      <c r="W34" s="167">
        <f t="shared" si="29"/>
        <v>243731.4</v>
      </c>
      <c r="X34" s="168">
        <f t="shared" si="30"/>
        <v>981</v>
      </c>
      <c r="Y34" s="172">
        <f t="shared" si="7"/>
        <v>248.45198776758409</v>
      </c>
      <c r="Z34" s="167" cm="1">
        <f t="array" ref="Z34">SUMPRODUCT((_26DinnerSalesACT[Week '#]=$A34)*(INT(_26DinnerSalesACT[yyyyMMdd]/10000)=VALUE(RIGHT($AX$2,4)))*_26DinnerSalesACT[Net sales])-
SUMIFS(_2026AVATotalSalesCat[Net sales],_2026AVATotalSalesCat[Week '#],$A34,_2026AVATotalSalesCat[Sales category],"Non-Grat Svc Charges")</f>
        <v>172463.13</v>
      </c>
      <c r="AA34" s="168">
        <v>1603</v>
      </c>
      <c r="AB34" s="170">
        <f t="shared" si="8"/>
        <v>107.58772925764193</v>
      </c>
      <c r="AC34" s="167" cm="1">
        <f t="array" ref="AC34">SUMPRODUCT((_26LunchSalesACT[Week '#]=$A34)*(INT(_26LunchSalesACT[yyyyMMdd]/10000)=VALUE(RIGHT($AX$2,4)))*_26LunchSalesACT[Net sales])</f>
        <v>15494.5</v>
      </c>
      <c r="AD34" s="168">
        <v>259</v>
      </c>
      <c r="AE34" s="170">
        <f t="shared" si="9"/>
        <v>59.824324324324323</v>
      </c>
      <c r="AF34" s="167">
        <f>SUMIF(_26MMSalesACT[Week '#],$A34,_26MMSalesACT[Net sales])</f>
        <v>34133.5</v>
      </c>
      <c r="AG34" s="168">
        <v>142</v>
      </c>
      <c r="AH34" s="170">
        <f t="shared" si="10"/>
        <v>240.37676056338029</v>
      </c>
      <c r="AI34" s="3">
        <f t="shared" si="31"/>
        <v>222091.13</v>
      </c>
      <c r="AJ34" s="97">
        <f t="shared" si="32"/>
        <v>2004</v>
      </c>
      <c r="AK34" s="172">
        <f t="shared" si="11"/>
        <v>110.82391716566866</v>
      </c>
      <c r="AL34" s="167" cm="1">
        <f t="array" ref="AL34">SUMPRODUCT((Brunch[Week '#]=$A34)*(INT(Brunch[yyyyMMdd]/10000)=VALUE(RIGHT($AL$2,4)))*Brunch[Net sales])</f>
        <v>96780.93</v>
      </c>
      <c r="AM34" s="168">
        <v>769</v>
      </c>
      <c r="AN34" s="170">
        <f t="shared" si="12"/>
        <v>125.85296488946683</v>
      </c>
      <c r="AO34" s="167" cm="1">
        <f t="array" ref="AO34">SUMPRODUCT((Dinner__2[Week '#]=$A34)*(INT(Dinner__2[yyyyMMdd]/10000)=VALUE(RIGHT($AL$2,4)))*Dinner__2[Net sales])-
SUMIFS(Sales_Categories__2[Net sales],Sales_Categories__2[Week '#],$A34,Sales_Categories__2[Sales category],"Non-Grat Svc Charges")</f>
        <v>388767.88</v>
      </c>
      <c r="AP34" s="168">
        <v>2339</v>
      </c>
      <c r="AQ34" s="170">
        <f t="shared" si="13"/>
        <v>166.21115006412998</v>
      </c>
      <c r="AR34" s="3">
        <f t="shared" si="33"/>
        <v>485548.81</v>
      </c>
      <c r="AS34" s="97">
        <f t="shared" si="34"/>
        <v>3108</v>
      </c>
      <c r="AT34" s="172">
        <f t="shared" si="14"/>
        <v>156.22548584298585</v>
      </c>
      <c r="AU34" s="167" cm="1">
        <f t="array" ref="AU34">SUMPRODUCT((Brunch__2[Week '#]=$A34)*(INT(Brunch__2[yyyyMMdd]/10000)=VALUE(RIGHT($AU$2,4)))*Brunch__2[Net sales])</f>
        <v>20914</v>
      </c>
      <c r="AV34" s="168">
        <v>287</v>
      </c>
      <c r="AW34" s="170">
        <f t="shared" si="81"/>
        <v>72.871080139372822</v>
      </c>
      <c r="AX34" s="167" cm="1">
        <f t="array" ref="AX34">SUMPRODUCT((Dinner__3[Week '#]=$A34)*(INT(Dinner__3[yyyyMMdd]/10000)=VALUE(RIGHT($AX$2,4)))*Dinner__3[Net sales])-SUMPRODUCT((Sales_Categories__3[Week '#]=$A34)*(YEAR(Sales_Categories__3[Start Date])=VALUE(RIGHT($AX$2,4)))*(Sales_Categories__3[Sales category]="Non-Grat Svc Charges")*Sales_Categories__3[Net sales])</f>
        <v>225208.5</v>
      </c>
      <c r="AY34" s="168">
        <v>1698</v>
      </c>
      <c r="AZ34" s="170">
        <f t="shared" si="15"/>
        <v>132.63162544169612</v>
      </c>
      <c r="BA34" s="3">
        <f t="shared" si="36"/>
        <v>246122.5</v>
      </c>
      <c r="BB34" s="97">
        <f t="shared" si="37"/>
        <v>1985</v>
      </c>
      <c r="BC34" s="172">
        <f t="shared" si="16"/>
        <v>123.9911838790932</v>
      </c>
      <c r="BD34" s="167">
        <f>SUMIF(_2026DinnerSales[Week '#],$A34,_2026DinnerSales[Net sales])-
SUMIFS(_2026TotalSalesCat[Net sales],_2026TotalSalesCat[Week '#],$A34,_2026TotalSalesCat[Sales category],"Non-Grat Svc Charges")</f>
        <v>136785.16</v>
      </c>
      <c r="BE34" s="168">
        <v>1123</v>
      </c>
      <c r="BF34" s="170">
        <f t="shared" si="17"/>
        <v>121.8033481745325</v>
      </c>
      <c r="BG34" s="167">
        <f>SUMIF(_2026BrunchSales[Week '#],$A34,_2026BrunchSales[Net sales])</f>
        <v>31353.91</v>
      </c>
      <c r="BH34" s="168">
        <v>396</v>
      </c>
      <c r="BI34" s="170">
        <f t="shared" si="18"/>
        <v>79.176540404040409</v>
      </c>
      <c r="BJ34" s="167"/>
      <c r="BK34" s="168"/>
      <c r="BL34" s="170" t="str">
        <f t="shared" si="19"/>
        <v/>
      </c>
      <c r="BM34" s="3">
        <f t="shared" si="38"/>
        <v>168139.07</v>
      </c>
      <c r="BN34" s="97">
        <f t="shared" si="39"/>
        <v>1519</v>
      </c>
      <c r="BO34" s="172">
        <f t="shared" si="20"/>
        <v>110.69063199473338</v>
      </c>
      <c r="BP34" s="167">
        <f>SUMIF(Lounge__2[Week '#],$A34,Lounge__2[Net sales])-
SUMIFS(Sales_Categories__4[Net sales],Sales_Categories__4[Week '#],$A34,Sales_Categories__4[Sales category],"Non-Grat Svc Charges")</f>
        <v>79190.3</v>
      </c>
      <c r="BQ34" s="168">
        <v>295</v>
      </c>
      <c r="BR34" s="170">
        <f t="shared" si="70"/>
        <v>268.44169491525423</v>
      </c>
      <c r="BS34" s="167">
        <f>SUMIF(MM__2[Week '#],$A34,MM__2[Net sales])</f>
        <v>0</v>
      </c>
      <c r="BT34" s="168">
        <v>0</v>
      </c>
      <c r="BU34" s="170">
        <v>0</v>
      </c>
      <c r="BV34" s="3">
        <f t="shared" si="40"/>
        <v>79190.3</v>
      </c>
      <c r="BW34" s="97">
        <f t="shared" si="72"/>
        <v>295</v>
      </c>
      <c r="BX34" s="172">
        <f t="shared" si="73"/>
        <v>268.44169491525423</v>
      </c>
      <c r="BY34" s="167">
        <v>0</v>
      </c>
      <c r="BZ34" s="167">
        <v>0</v>
      </c>
      <c r="CA34" s="170" t="str">
        <f t="shared" si="74"/>
        <v/>
      </c>
      <c r="CB34" s="167">
        <v>0</v>
      </c>
      <c r="CC34" s="167">
        <v>0</v>
      </c>
      <c r="CD34" s="170" t="str">
        <f t="shared" si="75"/>
        <v/>
      </c>
      <c r="CE34" s="167"/>
      <c r="CF34" s="168"/>
      <c r="CG34" s="170" t="str">
        <f t="shared" si="76"/>
        <v/>
      </c>
      <c r="CH34" s="3">
        <f t="shared" si="77"/>
        <v>0</v>
      </c>
      <c r="CI34" s="97">
        <f t="shared" si="78"/>
        <v>0</v>
      </c>
      <c r="CJ34" s="172" t="str">
        <f t="shared" si="79"/>
        <v/>
      </c>
    </row>
    <row r="35" spans="1:88">
      <c r="A35" t="s">
        <v>166</v>
      </c>
      <c r="B35" t="s">
        <v>165</v>
      </c>
      <c r="C35" s="2">
        <f>VLOOKUP(A35,Dates!$B$2:$E$53,4,FALSE)</f>
        <v>31</v>
      </c>
      <c r="D35" s="168" t="b">
        <f>IF(C35&lt;='RDG Weekly Sales'!$F$1,TRUE,FALSE)</f>
        <v>1</v>
      </c>
      <c r="E35" s="167" cm="1">
        <f t="array" ref="E35">SUMPRODUCT((Dinner[Week '#]=$A35)*(INT(Dinner[yyyyMMdd]/10000)=VALUE(RIGHT($AX$2,4)))*Dinner[Net sales])-SUMPRODUCT((Non_Grat_Serv_Chrg[Week '#]=$A35)*(YEAR(Non_Grat_Serv_Chrg[Start Date])=VALUE(RIGHT($AX$2,4)))*(Non_Grat_Serv_Chrg[Sales category]="Non-Grat Svc Charges")*Non_Grat_Serv_Chrg[Net sales])</f>
        <v>465200.9</v>
      </c>
      <c r="F35" s="168">
        <v>3325</v>
      </c>
      <c r="G35" s="170">
        <f t="shared" si="28"/>
        <v>139.91004511278197</v>
      </c>
      <c r="H35" s="167" cm="1">
        <f t="array" ref="H35">SUMPRODUCT((Lunch[Week '#]=$A35)*(INT(Lunch[yyyyMMdd]/10000)=VALUE(RIGHT($H$2,4)))*Lunch[Net sales])</f>
        <v>34524</v>
      </c>
      <c r="I35" s="168">
        <v>306</v>
      </c>
      <c r="J35" s="170">
        <f t="shared" si="0"/>
        <v>112.82352941176471</v>
      </c>
      <c r="K35" s="3">
        <f t="shared" si="1"/>
        <v>499724.9</v>
      </c>
      <c r="L35" s="97">
        <f t="shared" si="2"/>
        <v>3631</v>
      </c>
      <c r="M35" s="172">
        <f t="shared" si="3"/>
        <v>137.62734783806116</v>
      </c>
      <c r="N35" s="167" cm="1">
        <f t="array" ref="N35">SUMPRODUCT((Omakase[Week '#]=$A35)*(INT(Omakase[yyyyMMdd]/10000)=VALUE(RIGHT($N$2,4)))*Omakase[Net sales])</f>
        <v>20987</v>
      </c>
      <c r="O35" s="168">
        <v>70</v>
      </c>
      <c r="P35" s="170">
        <f t="shared" si="4"/>
        <v>299.81428571428569</v>
      </c>
      <c r="Q35" s="167" cm="1">
        <f t="array" ref="Q35">SUMPRODUCT((MM[Week '#]=$A35)*(INT(MM[yyyyMMdd]/10000)=VALUE(RIGHT($Q$2,4)))*MM[Net sales])</f>
        <v>33608.85</v>
      </c>
      <c r="R35" s="168">
        <v>219</v>
      </c>
      <c r="S35" s="170">
        <f t="shared" si="5"/>
        <v>153.46506849315068</v>
      </c>
      <c r="T35" s="167" cm="1">
        <f t="array" ref="T35">SUMPRODUCT((Lounge[Week '#]=$A35)*(INT(Lounge[yyyyMMdd]/10000)=VALUE(RIGHT($Q$2,4)))*Lounge[Net sales])-SUMIFS(Sales_Categories[Net sales],Sales_Categories[Week '#],$A35,Sales_Categories[Sales category],"Non-Grat Svc Charges")</f>
        <v>119530.15000000001</v>
      </c>
      <c r="U35" s="168">
        <v>482</v>
      </c>
      <c r="V35" s="170">
        <f t="shared" si="6"/>
        <v>247.98786307053945</v>
      </c>
      <c r="W35" s="167">
        <f t="shared" si="29"/>
        <v>174126</v>
      </c>
      <c r="X35" s="168">
        <f t="shared" si="30"/>
        <v>771</v>
      </c>
      <c r="Y35" s="172">
        <f t="shared" si="7"/>
        <v>225.8443579766537</v>
      </c>
      <c r="Z35" s="167" cm="1">
        <f t="array" ref="Z35">SUMPRODUCT((_26DinnerSalesACT[Week '#]=$A35)*(INT(_26DinnerSalesACT[yyyyMMdd]/10000)=VALUE(RIGHT($AX$2,4)))*_26DinnerSalesACT[Net sales])-
SUMIFS(_2026AVATotalSalesCat[Net sales],_2026AVATotalSalesCat[Week '#],$A35,_2026AVATotalSalesCat[Sales category],"Non-Grat Svc Charges")</f>
        <v>171921.56</v>
      </c>
      <c r="AA35" s="168">
        <v>1561</v>
      </c>
      <c r="AB35" s="170">
        <f t="shared" si="8"/>
        <v>110.13552850736707</v>
      </c>
      <c r="AC35" s="167" cm="1">
        <f t="array" ref="AC35">SUMPRODUCT((_26LunchSalesACT[Week '#]=$A35)*(INT(_26LunchSalesACT[yyyyMMdd]/10000)=VALUE(RIGHT($AX$2,4)))*_26LunchSalesACT[Net sales])</f>
        <v>23584.940000000002</v>
      </c>
      <c r="AD35" s="168">
        <v>360</v>
      </c>
      <c r="AE35" s="170">
        <f t="shared" si="9"/>
        <v>65.513722222222228</v>
      </c>
      <c r="AF35" s="167">
        <f>SUMIF(_26MMSalesACT[Week '#],$A35,_26MMSalesACT[Net sales])</f>
        <v>33211.119999999995</v>
      </c>
      <c r="AG35" s="168">
        <v>181</v>
      </c>
      <c r="AH35" s="170">
        <f t="shared" si="10"/>
        <v>183.48685082872925</v>
      </c>
      <c r="AI35" s="3">
        <f t="shared" si="31"/>
        <v>228717.62</v>
      </c>
      <c r="AJ35" s="97">
        <f t="shared" si="32"/>
        <v>2102</v>
      </c>
      <c r="AK35" s="172">
        <f t="shared" si="11"/>
        <v>108.80952426260704</v>
      </c>
      <c r="AL35" s="167" cm="1">
        <f t="array" ref="AL35">SUMPRODUCT((Brunch[Week '#]=$A35)*(INT(Brunch[yyyyMMdd]/10000)=VALUE(RIGHT($AL$2,4)))*Brunch[Net sales])</f>
        <v>88136.75</v>
      </c>
      <c r="AM35" s="168">
        <v>836</v>
      </c>
      <c r="AN35" s="170">
        <f t="shared" si="12"/>
        <v>105.42673444976077</v>
      </c>
      <c r="AO35" s="167" cm="1">
        <f t="array" ref="AO35">SUMPRODUCT((Dinner__2[Week '#]=$A35)*(INT(Dinner__2[yyyyMMdd]/10000)=VALUE(RIGHT($AL$2,4)))*Dinner__2[Net sales])-
SUMIFS(Sales_Categories__2[Net sales],Sales_Categories__2[Week '#],$A35,Sales_Categories__2[Sales category],"Non-Grat Svc Charges")</f>
        <v>367394.10000000003</v>
      </c>
      <c r="AP35" s="168">
        <v>2067</v>
      </c>
      <c r="AQ35" s="170">
        <f t="shared" si="13"/>
        <v>177.74267053701018</v>
      </c>
      <c r="AR35" s="3">
        <f t="shared" si="33"/>
        <v>455530.85000000003</v>
      </c>
      <c r="AS35" s="97">
        <f t="shared" si="34"/>
        <v>2903</v>
      </c>
      <c r="AT35" s="172">
        <f t="shared" si="14"/>
        <v>156.91727523251811</v>
      </c>
      <c r="AU35" s="167" cm="1">
        <f t="array" ref="AU35">SUMPRODUCT((Brunch__2[Week '#]=$A35)*(INT(Brunch__2[yyyyMMdd]/10000)=VALUE(RIGHT($AU$2,4)))*Brunch__2[Net sales])</f>
        <v>27913.29</v>
      </c>
      <c r="AV35" s="168">
        <v>279</v>
      </c>
      <c r="AW35" s="170">
        <f t="shared" si="81"/>
        <v>100.04763440860215</v>
      </c>
      <c r="AX35" s="167" cm="1">
        <f t="array" ref="AX35">SUMPRODUCT((Dinner__3[Week '#]=$A35)*(INT(Dinner__3[yyyyMMdd]/10000)=VALUE(RIGHT($AX$2,4)))*Dinner__3[Net sales])-SUMPRODUCT((Sales_Categories__3[Week '#]=$A35)*(YEAR(Sales_Categories__3[Start Date])=VALUE(RIGHT($AX$2,4)))*(Sales_Categories__3[Sales category]="Non-Grat Svc Charges")*Sales_Categories__3[Net sales])</f>
        <v>192945.94</v>
      </c>
      <c r="AY35" s="168">
        <v>1506</v>
      </c>
      <c r="AZ35" s="170">
        <f t="shared" si="15"/>
        <v>128.1181540504648</v>
      </c>
      <c r="BA35" s="3">
        <f t="shared" si="36"/>
        <v>220859.23</v>
      </c>
      <c r="BB35" s="97">
        <f t="shared" si="37"/>
        <v>1785</v>
      </c>
      <c r="BC35" s="172">
        <f t="shared" si="16"/>
        <v>123.73066106442577</v>
      </c>
      <c r="BD35" s="167">
        <f>SUMIF(_2026DinnerSales[Week '#],$A35,_2026DinnerSales[Net sales])-
SUMIFS(_2026TotalSalesCat[Net sales],_2026TotalSalesCat[Week '#],$A35,_2026TotalSalesCat[Sales category],"Non-Grat Svc Charges")</f>
        <v>122816.51999999999</v>
      </c>
      <c r="BE35" s="168">
        <v>1080</v>
      </c>
      <c r="BF35" s="170">
        <f t="shared" si="17"/>
        <v>113.71899999999999</v>
      </c>
      <c r="BG35" s="167">
        <f>SUMIF(_2026BrunchSales[Week '#],$A35,_2026BrunchSales[Net sales])</f>
        <v>25906.870000000003</v>
      </c>
      <c r="BH35" s="168">
        <v>353</v>
      </c>
      <c r="BI35" s="170">
        <f t="shared" si="18"/>
        <v>73.390566572237972</v>
      </c>
      <c r="BJ35" s="167"/>
      <c r="BK35" s="168"/>
      <c r="BL35" s="170" t="str">
        <f t="shared" si="19"/>
        <v/>
      </c>
      <c r="BM35" s="3">
        <f t="shared" si="38"/>
        <v>148723.38999999998</v>
      </c>
      <c r="BN35" s="97">
        <f t="shared" si="39"/>
        <v>1433</v>
      </c>
      <c r="BO35" s="172">
        <f t="shared" si="20"/>
        <v>103.78464061409629</v>
      </c>
      <c r="BP35" s="167">
        <f>SUMIF(Lounge__2[Week '#],$A35,Lounge__2[Net sales])-
SUMIFS(Sales_Categories__4[Net sales],Sales_Categories__4[Week '#],$A35,Sales_Categories__4[Sales category],"Non-Grat Svc Charges")</f>
        <v>79700</v>
      </c>
      <c r="BQ35" s="168">
        <v>428</v>
      </c>
      <c r="BR35" s="170">
        <f t="shared" si="70"/>
        <v>186.21495327102804</v>
      </c>
      <c r="BS35" s="167">
        <f>SUMIF(MM__2[Week '#],$A35,MM__2[Net sales])</f>
        <v>0</v>
      </c>
      <c r="BT35" s="168">
        <v>0</v>
      </c>
      <c r="BU35" s="170">
        <v>0</v>
      </c>
      <c r="BV35" s="3">
        <f t="shared" si="40"/>
        <v>79700</v>
      </c>
      <c r="BW35" s="97">
        <f t="shared" si="72"/>
        <v>428</v>
      </c>
      <c r="BX35" s="172">
        <f t="shared" si="73"/>
        <v>186.21495327102804</v>
      </c>
      <c r="BY35" s="167">
        <v>0</v>
      </c>
      <c r="BZ35" s="167">
        <v>0</v>
      </c>
      <c r="CA35" s="170" t="str">
        <f t="shared" si="74"/>
        <v/>
      </c>
      <c r="CB35" s="167">
        <v>0</v>
      </c>
      <c r="CC35" s="167">
        <v>0</v>
      </c>
      <c r="CD35" s="170" t="str">
        <f t="shared" si="75"/>
        <v/>
      </c>
      <c r="CE35" s="167"/>
      <c r="CF35" s="168"/>
      <c r="CG35" s="170" t="str">
        <f t="shared" si="76"/>
        <v/>
      </c>
      <c r="CH35" s="3">
        <f t="shared" si="77"/>
        <v>0</v>
      </c>
      <c r="CI35" s="97">
        <f t="shared" si="78"/>
        <v>0</v>
      </c>
      <c r="CJ35" s="172" t="str">
        <f t="shared" si="79"/>
        <v/>
      </c>
    </row>
    <row r="36" spans="1:88">
      <c r="A36" t="s">
        <v>167</v>
      </c>
      <c r="B36" t="s">
        <v>165</v>
      </c>
      <c r="C36" s="2">
        <f>VLOOKUP(A36,Dates!$B$2:$E$53,4,FALSE)</f>
        <v>32</v>
      </c>
      <c r="D36" s="168" t="b">
        <f>IF(C36&lt;='RDG Weekly Sales'!$F$1,TRUE,FALSE)</f>
        <v>1</v>
      </c>
      <c r="E36" s="167" cm="1">
        <f t="array" ref="E36">SUMPRODUCT((Dinner[Week '#]=$A36)*(INT(Dinner[yyyyMMdd]/10000)=VALUE(RIGHT($AX$2,4)))*Dinner[Net sales])-SUMPRODUCT((Non_Grat_Serv_Chrg[Week '#]=$A36)*(YEAR(Non_Grat_Serv_Chrg[Start Date])=VALUE(RIGHT($AX$2,4)))*(Non_Grat_Serv_Chrg[Sales category]="Non-Grat Svc Charges")*Non_Grat_Serv_Chrg[Net sales])</f>
        <v>486246.9</v>
      </c>
      <c r="F36" s="168" cm="1">
        <f t="array" ref="F36">_xlfn._xlws.FILTER([5]COVERS!$AR$7:$AR$71,[5]COVERS!$I$7:$I$71=$A36,"")</f>
        <v>3502</v>
      </c>
      <c r="G36" s="170">
        <f t="shared" si="28"/>
        <v>138.84834380354084</v>
      </c>
      <c r="H36" s="167" cm="1">
        <f t="array" ref="H36">SUMPRODUCT((Lunch[Week '#]=$A36)*(INT(Lunch[yyyyMMdd]/10000)=VALUE(RIGHT($H$2,4)))*Lunch[Net sales])</f>
        <v>40405.1</v>
      </c>
      <c r="I36" s="168" cm="1">
        <f t="array" ref="I36">_xlfn._xlws.FILTER([5]COVERS!$AA$7:$AA$71,[5]COVERS!$I$7:$I$71=$A36,"")</f>
        <v>348</v>
      </c>
      <c r="J36" s="170">
        <f t="shared" si="0"/>
        <v>116.1066091954023</v>
      </c>
      <c r="K36" s="3">
        <f t="shared" si="1"/>
        <v>526652</v>
      </c>
      <c r="L36" s="97">
        <f t="shared" si="2"/>
        <v>3850</v>
      </c>
      <c r="M36" s="172">
        <f t="shared" si="3"/>
        <v>136.79272727272726</v>
      </c>
      <c r="N36" s="167" cm="1">
        <f t="array" ref="N36">SUMPRODUCT((Omakase[Week '#]=$A36)*(INT(Omakase[yyyyMMdd]/10000)=VALUE(RIGHT($N$2,4)))*Omakase[Net sales])</f>
        <v>23072</v>
      </c>
      <c r="O36" s="168" cm="1">
        <f t="array" ref="O36">_xlfn._xlws.FILTER([6]COVERS!$AA$11:$AA$70,[6]COVERS!$I$11:$I$70=A36,"")</f>
        <v>76</v>
      </c>
      <c r="P36" s="170">
        <f t="shared" si="4"/>
        <v>303.57894736842104</v>
      </c>
      <c r="Q36" s="167" cm="1">
        <f t="array" ref="Q36">SUMPRODUCT((MM[Week '#]=$A36)*(INT(MM[yyyyMMdd]/10000)=VALUE(RIGHT($Q$2,4)))*MM[Net sales])</f>
        <v>32919</v>
      </c>
      <c r="R36" s="168" cm="1">
        <f t="array" ref="R36">_xlfn._xlws.FILTER([6]COVERS!$AR$11:$AR$70,[6]COVERS!$I$11:$I$70=A36,"")</f>
        <v>249</v>
      </c>
      <c r="S36" s="170">
        <f t="shared" si="5"/>
        <v>132.20481927710844</v>
      </c>
      <c r="T36" s="167" cm="1">
        <f t="array" ref="T36">SUMPRODUCT((Lounge[Week '#]=$A36)*(INT(Lounge[yyyyMMdd]/10000)=VALUE(RIGHT($Q$2,4)))*Lounge[Net sales])-SUMIFS(Sales_Categories[Net sales],Sales_Categories[Week '#],$A36,Sales_Categories[Sales category],"Non-Grat Svc Charges")</f>
        <v>120826.5</v>
      </c>
      <c r="U36" s="168" cm="1">
        <f t="array" ref="U36">_xlfn._xlws.FILTER([6]COVERS!$BI$11:$BI$70,[6]COVERS!$I$11:$I$70=A36,"")</f>
        <v>531</v>
      </c>
      <c r="V36" s="170">
        <f t="shared" si="6"/>
        <v>227.545197740113</v>
      </c>
      <c r="W36" s="167">
        <f t="shared" si="29"/>
        <v>176817.5</v>
      </c>
      <c r="X36" s="168">
        <f t="shared" si="30"/>
        <v>856</v>
      </c>
      <c r="Y36" s="172">
        <f t="shared" si="7"/>
        <v>206.5625</v>
      </c>
      <c r="Z36" s="167" cm="1">
        <f t="array" ref="Z36">SUMPRODUCT((_26DinnerSalesACT[Week '#]=$A36)*(INT(_26DinnerSalesACT[yyyyMMdd]/10000)=VALUE(RIGHT($AX$2,4)))*_26DinnerSalesACT[Net sales])-
SUMIFS(_2026AVATotalSalesCat[Net sales],_2026AVATotalSalesCat[Week '#],$A36,_2026AVATotalSalesCat[Sales category],"Non-Grat Svc Charges")</f>
        <v>171353.59000000003</v>
      </c>
      <c r="AA36" s="168" cm="1">
        <f t="array" ref="AA36">_xlfn._xlws.FILTER([7]COVERS!$AR$11:$AR$70,[7]COVERS!$I$11:$I$70=$A36,"")</f>
        <v>1648</v>
      </c>
      <c r="AB36" s="170">
        <f t="shared" si="8"/>
        <v>103.97669296116507</v>
      </c>
      <c r="AC36" s="167" cm="1">
        <f t="array" ref="AC36">SUMPRODUCT((_26LunchSalesACT[Week '#]=$A36)*(INT(_26LunchSalesACT[yyyyMMdd]/10000)=VALUE(RIGHT($AX$2,4)))*_26LunchSalesACT[Net sales])</f>
        <v>18366.5</v>
      </c>
      <c r="AD36" s="168" cm="1">
        <f t="array" ref="AD36">_xlfn._xlws.FILTER([7]COVERS!$AA$11:$AA$70,[7]COVERS!$I$11:$I$70=$A36,"")</f>
        <v>294</v>
      </c>
      <c r="AE36" s="170">
        <f t="shared" si="9"/>
        <v>62.471088435374149</v>
      </c>
      <c r="AF36" s="167">
        <f>SUMIF(_26MMSalesACT[Week '#],$A36,_26MMSalesACT[Net sales])</f>
        <v>30098.980000000003</v>
      </c>
      <c r="AG36" s="168" cm="1">
        <f t="array" ref="AG36">_xlfn._xlws.FILTER([7]COVERS!$BI$11:$BI$70,[7]COVERS!$I$11:$I$70=$A36,"")</f>
        <v>170</v>
      </c>
      <c r="AH36" s="170">
        <f t="shared" si="10"/>
        <v>177.0528235294118</v>
      </c>
      <c r="AI36" s="3">
        <f t="shared" si="31"/>
        <v>219819.07000000004</v>
      </c>
      <c r="AJ36" s="97">
        <f t="shared" si="32"/>
        <v>2112</v>
      </c>
      <c r="AK36" s="172">
        <f t="shared" si="11"/>
        <v>104.08099905303033</v>
      </c>
      <c r="AL36" s="167" cm="1">
        <f t="array" ref="AL36">SUMPRODUCT((Brunch[Week '#]=$A36)*(INT(Brunch[yyyyMMdd]/10000)=VALUE(RIGHT($AL$2,4)))*Brunch[Net sales])</f>
        <v>100815.45</v>
      </c>
      <c r="AM36" s="168" cm="1">
        <f t="array" ref="AM36">_xlfn._xlws.FILTER([8]COVERS!$AA$11:$AA$71,[8]COVERS!$I$11:$I$71=A36,"")</f>
        <v>548</v>
      </c>
      <c r="AN36" s="170">
        <f t="shared" si="12"/>
        <v>183.969799270073</v>
      </c>
      <c r="AO36" s="167" cm="1">
        <f t="array" ref="AO36">SUMPRODUCT((Dinner__2[Week '#]=$A36)*(INT(Dinner__2[yyyyMMdd]/10000)=VALUE(RIGHT($AL$2,4)))*Dinner__2[Net sales])-
SUMIFS(Sales_Categories__2[Net sales],Sales_Categories__2[Week '#],$A36,Sales_Categories__2[Sales category],"Non-Grat Svc Charges")</f>
        <v>338910.83999999997</v>
      </c>
      <c r="AP36" s="168" cm="1">
        <f t="array" ref="AP36">_xlfn._xlws.FILTER([8]COVERS!$AR$11:$AR$71,[8]COVERS!$I$11:$I$71=A36,"")</f>
        <v>2173</v>
      </c>
      <c r="AQ36" s="170">
        <f t="shared" si="13"/>
        <v>155.96449148642429</v>
      </c>
      <c r="AR36" s="3">
        <f t="shared" si="33"/>
        <v>439726.29</v>
      </c>
      <c r="AS36" s="97">
        <f t="shared" si="34"/>
        <v>2721</v>
      </c>
      <c r="AT36" s="172">
        <f t="shared" si="14"/>
        <v>161.60466372657112</v>
      </c>
      <c r="AU36" s="167" cm="1">
        <f t="array" ref="AU36">SUMPRODUCT((Brunch__2[Week '#]=$A36)*(INT(Brunch__2[yyyyMMdd]/10000)=VALUE(RIGHT($AU$2,4)))*Brunch__2[Net sales])</f>
        <v>37689.839999999997</v>
      </c>
      <c r="AV36" s="168" cm="1">
        <f t="array" ref="AV36">_xlfn._xlws.FILTER([9]COVERS!$AA$11:$AA$71,[9]COVERS!$I$11:$I$71=A36,"")</f>
        <v>434</v>
      </c>
      <c r="AW36" s="170">
        <f t="shared" si="81"/>
        <v>86.842949308755749</v>
      </c>
      <c r="AX36" s="168" cm="1">
        <f t="array" ref="AX36">SUMPRODUCT((Dinner__3[Week '#]=$A36)*(INT(Dinner__3[yyyyMMdd]/10000)=VALUE(RIGHT($AX$2,4)))*Dinner__3[Net sales])-SUMPRODUCT((Sales_Categories__3[Week '#]=$A36)*(YEAR(Sales_Categories__3[Start Date])=VALUE(RIGHT($AX$2,4)))*(Sales_Categories__3[Sales category]="Non-Grat Svc Charges")*Sales_Categories__3[Net sales])</f>
        <v>222304.41</v>
      </c>
      <c r="AY36" s="168" cm="1">
        <f t="array" ref="AY36">_xlfn._xlws.FILTER([9]COVERS!$AR$11:$AR$71,[9]COVERS!$I$11:$I$71=A36,"")</f>
        <v>1656</v>
      </c>
      <c r="AZ36" s="170">
        <f t="shared" si="15"/>
        <v>134.24179347826086</v>
      </c>
      <c r="BA36" s="3">
        <f t="shared" si="36"/>
        <v>259994.25</v>
      </c>
      <c r="BB36" s="97">
        <f t="shared" si="37"/>
        <v>2090</v>
      </c>
      <c r="BC36" s="172">
        <f t="shared" si="16"/>
        <v>124.39916267942584</v>
      </c>
      <c r="BD36" s="167">
        <f>SUMIF(_2026DinnerSales[Week '#],$A36,_2026DinnerSales[Net sales])-
SUMIFS(_2026TotalSalesCat[Net sales],_2026TotalSalesCat[Week '#],$A36,_2026TotalSalesCat[Sales category],"Non-Grat Svc Charges")</f>
        <v>158816.01999999999</v>
      </c>
      <c r="BE36" s="168" cm="1">
        <f t="array" ref="BE36">_xlfn._xlws.FILTER([10]COVERS!$AR$11:$AR$70,[10]COVERS!$I$11:$I$70=$A36,"")</f>
        <v>1382</v>
      </c>
      <c r="BF36" s="170">
        <f t="shared" si="17"/>
        <v>114.91752532561505</v>
      </c>
      <c r="BG36" s="167">
        <f>SUMIF(_2026BrunchSales[Week '#],$A36,_2026BrunchSales[Net sales])</f>
        <v>40742.559999999998</v>
      </c>
      <c r="BH36" s="168" cm="1">
        <f t="array" ref="BH36">_xlfn._xlws.FILTER([10]COVERS!$AA$11:$AA$70,[10]COVERS!$I$11:$I$70=$A36,"")</f>
        <v>416</v>
      </c>
      <c r="BI36" s="170">
        <f t="shared" si="18"/>
        <v>97.938846153846143</v>
      </c>
      <c r="BJ36" s="167"/>
      <c r="BK36" s="168"/>
      <c r="BL36" s="170" t="str">
        <f t="shared" si="19"/>
        <v/>
      </c>
      <c r="BM36" s="3">
        <f t="shared" si="38"/>
        <v>199558.58</v>
      </c>
      <c r="BN36" s="97">
        <f t="shared" si="39"/>
        <v>1798</v>
      </c>
      <c r="BO36" s="172">
        <f t="shared" si="20"/>
        <v>110.98919911012236</v>
      </c>
      <c r="BP36" s="167">
        <f>SUMIF(Lounge__2[Week '#],$A36,Lounge__2[Net sales])-
SUMIFS(Sales_Categories__4[Net sales],Sales_Categories__4[Week '#],$A36,Sales_Categories__4[Sales category],"Non-Grat Svc Charges")</f>
        <v>73306.3</v>
      </c>
      <c r="BQ36" s="168" cm="1">
        <f t="array" ref="BQ36">_xlfn._xlws.FILTER([11]COVERS!$AR$11:$AR$71,[11]COVERS!$I$11:$I$71=A36,"")</f>
        <v>379</v>
      </c>
      <c r="BR36" s="170">
        <f t="shared" si="70"/>
        <v>193.4203166226913</v>
      </c>
      <c r="BS36" s="167">
        <f>SUMIF(MM__2[Week '#],$A36,MM__2[Net sales])</f>
        <v>14829</v>
      </c>
      <c r="BT36" s="168" cm="1">
        <f t="array" ref="BT36">_xlfn._xlws.FILTER([11]COVERS!$AA$11:$AA$71,[11]COVERS!$I$11:$I$71=A36,"")</f>
        <v>313</v>
      </c>
      <c r="BU36" s="170">
        <f t="shared" si="71"/>
        <v>47.376996805111823</v>
      </c>
      <c r="BV36" s="3">
        <f t="shared" si="40"/>
        <v>88135.3</v>
      </c>
      <c r="BW36" s="97">
        <f t="shared" si="72"/>
        <v>692</v>
      </c>
      <c r="BX36" s="172">
        <f t="shared" si="73"/>
        <v>127.36315028901734</v>
      </c>
      <c r="BY36" s="167">
        <v>0</v>
      </c>
      <c r="BZ36" s="167">
        <v>0</v>
      </c>
      <c r="CA36" s="170" t="str">
        <f t="shared" si="74"/>
        <v/>
      </c>
      <c r="CB36" s="167">
        <v>0</v>
      </c>
      <c r="CC36" s="167">
        <v>0</v>
      </c>
      <c r="CD36" s="170" t="str">
        <f t="shared" si="75"/>
        <v/>
      </c>
      <c r="CE36" s="167"/>
      <c r="CF36" s="168"/>
      <c r="CG36" s="170" t="str">
        <f t="shared" si="76"/>
        <v/>
      </c>
      <c r="CH36" s="3">
        <f t="shared" si="77"/>
        <v>0</v>
      </c>
      <c r="CI36" s="97">
        <f t="shared" si="78"/>
        <v>0</v>
      </c>
      <c r="CJ36" s="172" t="str">
        <f t="shared" si="79"/>
        <v/>
      </c>
    </row>
    <row r="37" spans="1:88">
      <c r="A37" t="s">
        <v>168</v>
      </c>
      <c r="B37" t="s">
        <v>165</v>
      </c>
      <c r="C37" s="2">
        <f>VLOOKUP(A37,Dates!$B$2:$E$53,4,FALSE)</f>
        <v>33</v>
      </c>
      <c r="D37" s="168" t="b">
        <f>IF(C37&lt;='RDG Weekly Sales'!$F$1,TRUE,FALSE)</f>
        <v>1</v>
      </c>
      <c r="E37" s="167" cm="1">
        <f t="array" ref="E37">SUMPRODUCT((Dinner[Week '#]=$A37)*(INT(Dinner[yyyyMMdd]/10000)=VALUE(RIGHT($AX$2,4)))*Dinner[Net sales])-SUMPRODUCT((Non_Grat_Serv_Chrg[Week '#]=$A37)*(YEAR(Non_Grat_Serv_Chrg[Start Date])=VALUE(RIGHT($AX$2,4)))*(Non_Grat_Serv_Chrg[Sales category]="Non-Grat Svc Charges")*Non_Grat_Serv_Chrg[Net sales])</f>
        <v>491062.8</v>
      </c>
      <c r="F37" s="168" cm="1">
        <f t="array" ref="F37">_xlfn._xlws.FILTER([5]COVERS!$AR$7:$AR$71,[5]COVERS!$I$7:$I$71=$A37,"")</f>
        <v>3637</v>
      </c>
      <c r="G37" s="170">
        <f t="shared" si="28"/>
        <v>135.0186417376959</v>
      </c>
      <c r="H37" s="167" cm="1">
        <f t="array" ref="H37">SUMPRODUCT((Lunch[Week '#]=$A37)*(INT(Lunch[yyyyMMdd]/10000)=VALUE(RIGHT($H$2,4)))*Lunch[Net sales])</f>
        <v>34337</v>
      </c>
      <c r="I37" s="168" cm="1">
        <f t="array" ref="I37">_xlfn._xlws.FILTER([5]COVERS!$AA$7:$AA$71,[5]COVERS!$I$7:$I$71=$A37,"")</f>
        <v>301</v>
      </c>
      <c r="J37" s="170">
        <f t="shared" si="0"/>
        <v>114.07641196013289</v>
      </c>
      <c r="K37" s="3">
        <f t="shared" ref="K37:K56" si="82">E37+H37</f>
        <v>525399.80000000005</v>
      </c>
      <c r="L37" s="97">
        <f t="shared" ref="L37:L56" si="83">F37+I37</f>
        <v>3938</v>
      </c>
      <c r="M37" s="172">
        <f t="shared" si="3"/>
        <v>133.4179278821737</v>
      </c>
      <c r="N37" s="167" cm="1">
        <f t="array" ref="N37">SUMPRODUCT((Omakase[Week '#]=$A37)*(INT(Omakase[yyyyMMdd]/10000)=VALUE(RIGHT($N$2,4)))*Omakase[Net sales])</f>
        <v>15259</v>
      </c>
      <c r="O37" s="168" cm="1">
        <f t="array" ref="O37">_xlfn._xlws.FILTER([6]COVERS!$AA$11:$AA$70,[6]COVERS!$I$11:$I$70=A37,"")</f>
        <v>63</v>
      </c>
      <c r="P37" s="170">
        <f t="shared" si="4"/>
        <v>242.20634920634922</v>
      </c>
      <c r="Q37" s="167" cm="1">
        <f t="array" ref="Q37">SUMPRODUCT((MM[Week '#]=$A37)*(INT(MM[yyyyMMdd]/10000)=VALUE(RIGHT($Q$2,4)))*MM[Net sales])</f>
        <v>52841.3</v>
      </c>
      <c r="R37" s="168" cm="1">
        <f t="array" ref="R37">_xlfn._xlws.FILTER([6]COVERS!$AR$11:$AR$70,[6]COVERS!$I$11:$I$70=A37,"")</f>
        <v>283</v>
      </c>
      <c r="S37" s="170">
        <f t="shared" si="5"/>
        <v>186.71837455830391</v>
      </c>
      <c r="T37" s="167" cm="1">
        <f t="array" ref="T37">SUMPRODUCT((Lounge[Week '#]=$A37)*(INT(Lounge[yyyyMMdd]/10000)=VALUE(RIGHT($Q$2,4)))*Lounge[Net sales])-SUMIFS(Sales_Categories[Net sales],Sales_Categories[Week '#],$A37,Sales_Categories[Sales category],"Non-Grat Svc Charges")</f>
        <v>64932.7</v>
      </c>
      <c r="U37" s="168" cm="1">
        <f t="array" ref="U37">_xlfn._xlws.FILTER([6]COVERS!$BI$11:$BI$70,[6]COVERS!$I$11:$I$70=A37,"")</f>
        <v>470</v>
      </c>
      <c r="V37" s="170">
        <f t="shared" si="6"/>
        <v>138.15468085106383</v>
      </c>
      <c r="W37" s="167">
        <f t="shared" si="29"/>
        <v>133033</v>
      </c>
      <c r="X37" s="168">
        <f t="shared" si="30"/>
        <v>816</v>
      </c>
      <c r="Y37" s="172">
        <f t="shared" si="7"/>
        <v>163.03063725490196</v>
      </c>
      <c r="Z37" s="167" cm="1">
        <f t="array" ref="Z37">SUMPRODUCT((_26DinnerSalesACT[Week '#]=$A37)*(INT(_26DinnerSalesACT[yyyyMMdd]/10000)=VALUE(RIGHT($AX$2,4)))*_26DinnerSalesACT[Net sales])-
SUMIFS(_2026AVATotalSalesCat[Net sales],_2026AVATotalSalesCat[Week '#],$A37,_2026AVATotalSalesCat[Sales category],"Non-Grat Svc Charges")</f>
        <v>160122.23999999999</v>
      </c>
      <c r="AA37" s="168" cm="1">
        <f t="array" ref="AA37">_xlfn._xlws.FILTER([7]COVERS!$AR$11:$AR$70,[7]COVERS!$I$11:$I$70=$A37,"")</f>
        <v>1695</v>
      </c>
      <c r="AB37" s="170">
        <f t="shared" si="8"/>
        <v>94.467398230088492</v>
      </c>
      <c r="AC37" s="167" cm="1">
        <f t="array" ref="AC37">SUMPRODUCT((_26LunchSalesACT[Week '#]=$A37)*(INT(_26LunchSalesACT[yyyyMMdd]/10000)=VALUE(RIGHT($AX$2,4)))*_26LunchSalesACT[Net sales])</f>
        <v>15261</v>
      </c>
      <c r="AD37" s="168" cm="1">
        <f t="array" ref="AD37">_xlfn._xlws.FILTER([7]COVERS!$AA$11:$AA$70,[7]COVERS!$I$11:$I$70=$A37,"")</f>
        <v>255</v>
      </c>
      <c r="AE37" s="170">
        <f t="shared" si="9"/>
        <v>59.847058823529409</v>
      </c>
      <c r="AF37" s="167">
        <f>SUMIF(_26MMSalesACT[Week '#],$A37,_26MMSalesACT[Net sales])</f>
        <v>32501.8</v>
      </c>
      <c r="AG37" s="168" cm="1">
        <f t="array" ref="AG37">_xlfn._xlws.FILTER([7]COVERS!$BI$11:$BI$70,[7]COVERS!$I$11:$I$70=$A37,"")</f>
        <v>145</v>
      </c>
      <c r="AH37" s="170">
        <f t="shared" si="10"/>
        <v>224.1503448275862</v>
      </c>
      <c r="AI37" s="3">
        <f t="shared" si="31"/>
        <v>207885.03999999998</v>
      </c>
      <c r="AJ37" s="97">
        <f t="shared" si="32"/>
        <v>2095</v>
      </c>
      <c r="AK37" s="172">
        <f t="shared" si="11"/>
        <v>99.229136038186141</v>
      </c>
      <c r="AL37" s="167" cm="1">
        <f t="array" ref="AL37">SUMPRODUCT((Brunch[Week '#]=$A37)*(INT(Brunch[yyyyMMdd]/10000)=VALUE(RIGHT($AL$2,4)))*Brunch[Net sales])</f>
        <v>58424.86</v>
      </c>
      <c r="AM37" s="168" cm="1">
        <f t="array" ref="AM37">_xlfn._xlws.FILTER([8]COVERS!$AA$11:$AA$71,[8]COVERS!$I$11:$I$71=A37,"")</f>
        <v>661</v>
      </c>
      <c r="AN37" s="170">
        <f t="shared" si="12"/>
        <v>88.388593040847198</v>
      </c>
      <c r="AO37" s="167" cm="1">
        <f t="array" ref="AO37">SUMPRODUCT((Dinner__2[Week '#]=$A37)*(INT(Dinner__2[yyyyMMdd]/10000)=VALUE(RIGHT($AL$2,4)))*Dinner__2[Net sales])-
SUMIFS(Sales_Categories__2[Net sales],Sales_Categories__2[Week '#],$A37,Sales_Categories__2[Sales category],"Non-Grat Svc Charges")</f>
        <v>314532.19999999995</v>
      </c>
      <c r="AP37" s="168" cm="1">
        <f t="array" ref="AP37">_xlfn._xlws.FILTER([8]COVERS!$AR$11:$AR$71,[8]COVERS!$I$11:$I$71=A37,"")</f>
        <v>1920</v>
      </c>
      <c r="AQ37" s="170">
        <f t="shared" si="13"/>
        <v>163.81885416666665</v>
      </c>
      <c r="AR37" s="3">
        <f t="shared" si="33"/>
        <v>372957.05999999994</v>
      </c>
      <c r="AS37" s="97">
        <f t="shared" si="34"/>
        <v>2581</v>
      </c>
      <c r="AT37" s="172">
        <f t="shared" si="14"/>
        <v>144.50099186361874</v>
      </c>
      <c r="AU37" s="167" cm="1">
        <f t="array" ref="AU37">SUMPRODUCT((Brunch__2[Week '#]=$A37)*(INT(Brunch__2[yyyyMMdd]/10000)=VALUE(RIGHT($AU$2,4)))*Brunch__2[Net sales])</f>
        <v>31160.25</v>
      </c>
      <c r="AV37" s="168" cm="1">
        <f t="array" ref="AV37">_xlfn._xlws.FILTER([9]COVERS!$AA$11:$AA$71,[9]COVERS!$I$11:$I$71=A37,"")</f>
        <v>395</v>
      </c>
      <c r="AW37" s="170">
        <f t="shared" si="81"/>
        <v>78.886708860759498</v>
      </c>
      <c r="AX37" s="167" cm="1">
        <f t="array" ref="AX37">SUMPRODUCT((Dinner__3[Week '#]=$A37)*(INT(Dinner__3[yyyyMMdd]/10000)=VALUE(RIGHT($AX$2,4)))*Dinner__3[Net sales])-SUMPRODUCT((Sales_Categories__3[Week '#]=$A37)*(YEAR(Sales_Categories__3[Start Date])=VALUE(RIGHT($AX$2,4)))*(Sales_Categories__3[Sales category]="Non-Grat Svc Charges")*Sales_Categories__3[Net sales])</f>
        <v>257214.5</v>
      </c>
      <c r="AY37" s="168" cm="1">
        <f t="array" ref="AY37">_xlfn._xlws.FILTER([9]COVERS!$AR$11:$AR$71,[9]COVERS!$I$11:$I$71=A37,"")</f>
        <v>1941</v>
      </c>
      <c r="AZ37" s="170">
        <f t="shared" si="15"/>
        <v>132.5164863472437</v>
      </c>
      <c r="BA37" s="3">
        <f t="shared" si="36"/>
        <v>288374.75</v>
      </c>
      <c r="BB37" s="97">
        <f t="shared" si="37"/>
        <v>2336</v>
      </c>
      <c r="BC37" s="172">
        <f t="shared" si="16"/>
        <v>123.44809503424658</v>
      </c>
      <c r="BD37" s="167">
        <f>SUMIF(_2026DinnerSales[Week '#],$A37,_2026DinnerSales[Net sales])-
SUMIFS(_2026TotalSalesCat[Net sales],_2026TotalSalesCat[Week '#],$A37,_2026TotalSalesCat[Sales category],"Non-Grat Svc Charges")</f>
        <v>169263.97999999998</v>
      </c>
      <c r="BE37" s="168" cm="1">
        <f t="array" ref="BE37">_xlfn._xlws.FILTER([10]COVERS!$AR$11:$AR$70,[10]COVERS!$I$11:$I$70=$A37,"")</f>
        <v>1500</v>
      </c>
      <c r="BF37" s="170">
        <f t="shared" si="17"/>
        <v>112.84265333333332</v>
      </c>
      <c r="BG37" s="167">
        <f>SUMIF(_2026BrunchSales[Week '#],$A37,_2026BrunchSales[Net sales])</f>
        <v>32543.32</v>
      </c>
      <c r="BH37" s="168" cm="1">
        <f t="array" ref="BH37">_xlfn._xlws.FILTER([10]COVERS!$AA$11:$AA$70,[10]COVERS!$I$11:$I$70=$A37,"")</f>
        <v>393</v>
      </c>
      <c r="BI37" s="170">
        <f t="shared" si="18"/>
        <v>82.807430025445285</v>
      </c>
      <c r="BJ37" s="167"/>
      <c r="BK37" s="168"/>
      <c r="BL37" s="170" t="str">
        <f t="shared" si="19"/>
        <v/>
      </c>
      <c r="BM37" s="3">
        <f t="shared" si="38"/>
        <v>201807.3</v>
      </c>
      <c r="BN37" s="97">
        <f t="shared" si="39"/>
        <v>1893</v>
      </c>
      <c r="BO37" s="172">
        <f t="shared" si="20"/>
        <v>106.60713153724247</v>
      </c>
      <c r="BP37" s="167">
        <f>SUMIF(Lounge__2[Week '#],$A37,Lounge__2[Net sales])-
SUMIFS(Sales_Categories__4[Net sales],Sales_Categories__4[Week '#],$A37,Sales_Categories__4[Sales category],"Non-Grat Svc Charges")</f>
        <v>118977.43</v>
      </c>
      <c r="BQ37" s="168" cm="1">
        <f t="array" ref="BQ37">_xlfn._xlws.FILTER([11]COVERS!$AR$11:$AR$71,[11]COVERS!$I$11:$I$71=A37,"")</f>
        <v>510</v>
      </c>
      <c r="BR37" s="170">
        <f t="shared" si="70"/>
        <v>233.28907843137253</v>
      </c>
      <c r="BS37" s="167">
        <f>SUMIF(MM__2[Week '#],$A37,MM__2[Net sales])</f>
        <v>27957</v>
      </c>
      <c r="BT37" s="168" cm="1">
        <f t="array" ref="BT37">_xlfn._xlws.FILTER([11]COVERS!$AA$11:$AA$71,[11]COVERS!$I$11:$I$71=A37,"")</f>
        <v>297</v>
      </c>
      <c r="BU37" s="170">
        <f t="shared" si="71"/>
        <v>94.131313131313135</v>
      </c>
      <c r="BV37" s="3">
        <f t="shared" si="40"/>
        <v>146934.43</v>
      </c>
      <c r="BW37" s="97">
        <f t="shared" si="72"/>
        <v>807</v>
      </c>
      <c r="BX37" s="172">
        <f t="shared" si="73"/>
        <v>182.07488228004956</v>
      </c>
      <c r="BY37" s="167">
        <v>0</v>
      </c>
      <c r="BZ37" s="167">
        <v>0</v>
      </c>
      <c r="CA37" s="170" t="str">
        <f t="shared" si="74"/>
        <v/>
      </c>
      <c r="CB37" s="167">
        <v>0</v>
      </c>
      <c r="CC37" s="167">
        <v>0</v>
      </c>
      <c r="CD37" s="170" t="str">
        <f t="shared" si="75"/>
        <v/>
      </c>
      <c r="CE37" s="167"/>
      <c r="CF37" s="168"/>
      <c r="CG37" s="170" t="str">
        <f t="shared" si="76"/>
        <v/>
      </c>
      <c r="CH37" s="3">
        <f t="shared" si="77"/>
        <v>0</v>
      </c>
      <c r="CI37" s="97">
        <f t="shared" si="78"/>
        <v>0</v>
      </c>
      <c r="CJ37" s="172" t="str">
        <f t="shared" si="79"/>
        <v/>
      </c>
    </row>
    <row r="38" spans="1:88">
      <c r="A38" t="s">
        <v>101</v>
      </c>
      <c r="B38" t="s">
        <v>165</v>
      </c>
      <c r="C38" s="2">
        <f>VLOOKUP(A38,Dates!$B$2:$E$53,4,FALSE)</f>
        <v>34</v>
      </c>
      <c r="D38" s="168" t="b">
        <f>IF(C38&lt;='RDG Weekly Sales'!$F$1,TRUE,FALSE)</f>
        <v>1</v>
      </c>
      <c r="E38" s="167" cm="1">
        <f t="array" ref="E38">SUMPRODUCT((Dinner[Week '#]=$A38)*(INT(Dinner[yyyyMMdd]/10000)=VALUE(RIGHT($AX$2,4)))*Dinner[Net sales])-SUMPRODUCT((Non_Grat_Serv_Chrg[Week '#]=$A38)*(YEAR(Non_Grat_Serv_Chrg[Start Date])=VALUE(RIGHT($AX$2,4)))*(Non_Grat_Serv_Chrg[Sales category]="Non-Grat Svc Charges")*Non_Grat_Serv_Chrg[Net sales])</f>
        <v>507489.99999999994</v>
      </c>
      <c r="F38" s="168" cm="1">
        <f t="array" ref="F38">_xlfn._xlws.FILTER([5]COVERS!$AR$7:$AR$71,[5]COVERS!$I$7:$I$71=$A38,"")</f>
        <v>3781</v>
      </c>
      <c r="G38" s="170">
        <f t="shared" ref="G38" si="84">IFERROR(E38/F38,"")</f>
        <v>134.22110552763817</v>
      </c>
      <c r="H38" s="167" cm="1">
        <f t="array" ref="H38">SUMPRODUCT((Lunch[Week '#]=$A38)*(INT(Lunch[yyyyMMdd]/10000)=VALUE(RIGHT($H$2,4)))*Lunch[Net sales])</f>
        <v>30216</v>
      </c>
      <c r="I38" s="168" cm="1">
        <f t="array" ref="I38">_xlfn._xlws.FILTER([5]COVERS!$AA$7:$AA$71,[5]COVERS!$I$7:$I$71=$A38,"")</f>
        <v>269</v>
      </c>
      <c r="J38" s="170">
        <f t="shared" ref="J38" si="85">IFERROR(H38/I38,"")</f>
        <v>112.32713754646841</v>
      </c>
      <c r="K38" s="3">
        <f t="shared" ref="K38" si="86">E38+H38</f>
        <v>537706</v>
      </c>
      <c r="L38" s="97">
        <f t="shared" ref="L38" si="87">F38+I38</f>
        <v>4050</v>
      </c>
      <c r="M38" s="172">
        <f t="shared" ref="M38" si="88">IFERROR(K38/L38,"")</f>
        <v>132.76691358024692</v>
      </c>
      <c r="N38" s="167" cm="1">
        <f t="array" ref="N38">SUMPRODUCT((Omakase[Week '#]=$A38)*(INT(Omakase[yyyyMMdd]/10000)=VALUE(RIGHT($N$2,4)))*Omakase[Net sales])</f>
        <v>17523</v>
      </c>
      <c r="O38" s="168" cm="1">
        <f t="array" ref="O38">_xlfn._xlws.FILTER([6]COVERS!$AA$11:$AA$70,[6]COVERS!$I$11:$I$70=A38,"")</f>
        <v>0</v>
      </c>
      <c r="P38" s="170" t="str">
        <f t="shared" ref="P38" si="89">IFERROR(N38/O38,"")</f>
        <v/>
      </c>
      <c r="Q38" s="167" cm="1">
        <f t="array" ref="Q38">SUMPRODUCT((MM[Week '#]=$A38)*(INT(MM[yyyyMMdd]/10000)=VALUE(RIGHT($Q$2,4)))*MM[Net sales])</f>
        <v>43187</v>
      </c>
      <c r="R38" s="168" cm="1">
        <f t="array" ref="R38">_xlfn._xlws.FILTER([6]COVERS!$AR$11:$AR$70,[6]COVERS!$I$11:$I$70=A38,"")</f>
        <v>0</v>
      </c>
      <c r="S38" s="170" t="str">
        <f t="shared" ref="S38" si="90">IFERROR(Q38/R38,"")</f>
        <v/>
      </c>
      <c r="T38" s="167" cm="1">
        <f t="array" ref="T38">SUMPRODUCT((Lounge[Week '#]=$A38)*(INT(Lounge[yyyyMMdd]/10000)=VALUE(RIGHT($Q$2,4)))*Lounge[Net sales])-SUMIFS(Sales_Categories[Net sales],Sales_Categories[Week '#],$A38,Sales_Categories[Sales category],"Non-Grat Svc Charges")</f>
        <v>130893</v>
      </c>
      <c r="U38" s="168" cm="1">
        <f t="array" ref="U38">_xlfn._xlws.FILTER([6]COVERS!$BI$11:$BI$70,[6]COVERS!$I$11:$I$70=A38,"")</f>
        <v>0</v>
      </c>
      <c r="V38" s="170" t="str">
        <f t="shared" ref="V38" si="91">IFERROR(T38/U38,"")</f>
        <v/>
      </c>
      <c r="W38" s="167">
        <f t="shared" ref="W38" si="92">SUM(N38,Q38,T38)</f>
        <v>191603</v>
      </c>
      <c r="X38" s="168">
        <f t="shared" ref="X38" si="93">SUM(O38,R38,U38)</f>
        <v>0</v>
      </c>
      <c r="Y38" s="172" t="str">
        <f t="shared" ref="Y38" si="94">IFERROR(W38/X38,"")</f>
        <v/>
      </c>
      <c r="Z38" s="167" cm="1">
        <f t="array" ref="Z38">SUMPRODUCT((_26DinnerSalesACT[Week '#]=$A38)*(INT(_26DinnerSalesACT[yyyyMMdd]/10000)=VALUE(RIGHT($AX$2,4)))*_26DinnerSalesACT[Net sales])-
SUMIFS(_2026AVATotalSalesCat[Net sales],_2026AVATotalSalesCat[Week '#],$A38,_2026AVATotalSalesCat[Sales category],"Non-Grat Svc Charges")</f>
        <v>206393.2</v>
      </c>
      <c r="AA38" s="168" cm="1">
        <f t="array" ref="AA38">_xlfn._xlws.FILTER([7]COVERS!$AR$11:$AR$70,[7]COVERS!$I$11:$I$70=$A38,"")</f>
        <v>0</v>
      </c>
      <c r="AB38" s="170" t="str">
        <f t="shared" ref="AB38" si="95">IFERROR(Z38/AA38,"")</f>
        <v/>
      </c>
      <c r="AC38" s="167" cm="1">
        <f t="array" ref="AC38">SUMPRODUCT((_26LunchSalesACT[Week '#]=$A38)*(INT(_26LunchSalesACT[yyyyMMdd]/10000)=VALUE(RIGHT($AX$2,4)))*_26LunchSalesACT[Net sales])</f>
        <v>17786</v>
      </c>
      <c r="AD38" s="168" cm="1">
        <f t="array" ref="AD38">_xlfn._xlws.FILTER([7]COVERS!$AA$11:$AA$70,[7]COVERS!$I$11:$I$70=$A38,"")</f>
        <v>0</v>
      </c>
      <c r="AE38" s="170" t="str">
        <f t="shared" ref="AE38" si="96">IFERROR(AC38/AD38,"")</f>
        <v/>
      </c>
      <c r="AF38" s="167">
        <f>SUMIF(_26MMSalesACT[Week '#],$A38,_26MMSalesACT[Net sales])</f>
        <v>39261.039999999994</v>
      </c>
      <c r="AG38" s="168" cm="1">
        <f t="array" ref="AG38">_xlfn._xlws.FILTER([7]COVERS!$BI$11:$BI$70,[7]COVERS!$I$11:$I$70=$A38,"")</f>
        <v>0</v>
      </c>
      <c r="AH38" s="170" t="str">
        <f t="shared" ref="AH38" si="97">IFERROR(AF38/AG38,"")</f>
        <v/>
      </c>
      <c r="AI38" s="3">
        <f t="shared" ref="AI38" si="98">Z38+AF38+AC38</f>
        <v>263440.24</v>
      </c>
      <c r="AJ38" s="97">
        <f t="shared" ref="AJ38" si="99">AA38+AG38+AD38</f>
        <v>0</v>
      </c>
      <c r="AK38" s="172" t="str">
        <f t="shared" ref="AK38" si="100">IFERROR(AI38/AJ38,"")</f>
        <v/>
      </c>
      <c r="AL38" s="167" cm="1">
        <f t="array" ref="AL38">SUMPRODUCT((Brunch[Week '#]=$A38)*(INT(Brunch[yyyyMMdd]/10000)=VALUE(RIGHT($AL$2,4)))*Brunch[Net sales])</f>
        <v>63555.3</v>
      </c>
      <c r="AM38" s="168" cm="1">
        <f t="array" ref="AM38">_xlfn._xlws.FILTER([8]COVERS!$AA$11:$AA$71,[8]COVERS!$I$11:$I$71=A38,"")</f>
        <v>0</v>
      </c>
      <c r="AN38" s="170" t="str">
        <f t="shared" ref="AN38" si="101">IFERROR(AL38/AM38,"")</f>
        <v/>
      </c>
      <c r="AO38" s="167" cm="1">
        <f t="array" ref="AO38">SUMPRODUCT((Dinner__2[Week '#]=$A38)*(INT(Dinner__2[yyyyMMdd]/10000)=VALUE(RIGHT($AL$2,4)))*Dinner__2[Net sales])-
SUMIFS(Sales_Categories__2[Net sales],Sales_Categories__2[Week '#],$A38,Sales_Categories__2[Sales category],"Non-Grat Svc Charges")</f>
        <v>323010.56</v>
      </c>
      <c r="AP38" s="168" cm="1">
        <f t="array" ref="AP38">_xlfn._xlws.FILTER([8]COVERS!$AR$11:$AR$71,[8]COVERS!$I$11:$I$71=A38,"")</f>
        <v>0</v>
      </c>
      <c r="AQ38" s="170" t="str">
        <f t="shared" ref="AQ38" si="102">IFERROR(AO38/AP38,"")</f>
        <v/>
      </c>
      <c r="AR38" s="3">
        <f t="shared" ref="AR38" si="103">AO38+AL38</f>
        <v>386565.86</v>
      </c>
      <c r="AS38" s="97">
        <f t="shared" ref="AS38" si="104">AP38+AM38</f>
        <v>0</v>
      </c>
      <c r="AT38" s="172" t="str">
        <f t="shared" ref="AT38" si="105">IFERROR(AR38/AS38,"")</f>
        <v/>
      </c>
      <c r="AU38" s="167" cm="1">
        <f t="array" ref="AU38">SUMPRODUCT((Brunch__2[Week '#]=$A38)*(INT(Brunch__2[yyyyMMdd]/10000)=VALUE(RIGHT($AU$2,4)))*Brunch__2[Net sales])</f>
        <v>38676.46</v>
      </c>
      <c r="AV38" s="168" cm="1">
        <f t="array" ref="AV38">_xlfn._xlws.FILTER([9]COVERS!$AA$11:$AA$71,[9]COVERS!$I$11:$I$71=A38,"")</f>
        <v>0</v>
      </c>
      <c r="AW38" s="170">
        <f t="shared" ref="AW38" si="106">IFERROR(AU38/AV38,0)</f>
        <v>0</v>
      </c>
      <c r="AX38" s="167" cm="1">
        <f t="array" ref="AX38">SUMPRODUCT((Dinner__3[Week '#]=$A38)*(INT(Dinner__3[yyyyMMdd]/10000)=VALUE(RIGHT($AX$2,4)))*Dinner__3[Net sales])-SUMPRODUCT((Sales_Categories__3[Week '#]=$A38)*(YEAR(Sales_Categories__3[Start Date])=VALUE(RIGHT($AX$2,4)))*(Sales_Categories__3[Sales category]="Non-Grat Svc Charges")*Sales_Categories__3[Net sales])</f>
        <v>243338.46000000002</v>
      </c>
      <c r="AY38" s="168" cm="1">
        <f t="array" ref="AY38">_xlfn._xlws.FILTER([9]COVERS!$AR$11:$AR$71,[9]COVERS!$I$11:$I$71=A38,"")</f>
        <v>0</v>
      </c>
      <c r="AZ38" s="170" t="str">
        <f t="shared" ref="AZ38" si="107">IFERROR(AX38/AY38,"")</f>
        <v/>
      </c>
      <c r="BA38" s="3">
        <f t="shared" ref="BA38" si="108">AX38+AU38</f>
        <v>282014.92000000004</v>
      </c>
      <c r="BB38" s="97">
        <f t="shared" ref="BB38" si="109">AY38+AV38</f>
        <v>0</v>
      </c>
      <c r="BC38" s="172" t="str">
        <f t="shared" ref="BC38" si="110">IFERROR(BA38/BB38,"")</f>
        <v/>
      </c>
      <c r="BD38" s="167">
        <f>SUMIF(_2026DinnerSales[Week '#],$A38,_2026DinnerSales[Net sales])-
SUMIFS(_2026TotalSalesCat[Net sales],_2026TotalSalesCat[Week '#],$A38,_2026TotalSalesCat[Sales category],"Non-Grat Svc Charges")</f>
        <v>184934.81999999998</v>
      </c>
      <c r="BE38" s="168" cm="1">
        <f t="array" ref="BE38">_xlfn._xlws.FILTER([10]COVERS!$AR$11:$AR$70,[10]COVERS!$I$11:$I$70=$A38,"")</f>
        <v>0</v>
      </c>
      <c r="BF38" s="170" t="str">
        <f t="shared" ref="BF38" si="111">IFERROR(BD38/BE38,"")</f>
        <v/>
      </c>
      <c r="BG38" s="167">
        <f>SUMIF(_2026BrunchSales[Week '#],$A38,_2026BrunchSales[Net sales])</f>
        <v>31587.200000000001</v>
      </c>
      <c r="BH38" s="168" cm="1">
        <f t="array" ref="BH38">_xlfn._xlws.FILTER([10]COVERS!$AA$11:$AA$70,[10]COVERS!$I$11:$I$70=$A38,"")</f>
        <v>0</v>
      </c>
      <c r="BI38" s="170" t="str">
        <f t="shared" ref="BI38" si="112">IFERROR(BG38/BH38,"")</f>
        <v/>
      </c>
      <c r="BJ38" s="167"/>
      <c r="BK38" s="168"/>
      <c r="BL38" s="170" t="str">
        <f t="shared" ref="BL38" si="113">IFERROR(BJ38/BK38,"")</f>
        <v/>
      </c>
      <c r="BM38" s="3">
        <f t="shared" ref="BM38" si="114">BD38+BJ38+BG38</f>
        <v>216522.02</v>
      </c>
      <c r="BN38" s="97">
        <f t="shared" ref="BN38" si="115">BE38+BK38+BH38</f>
        <v>0</v>
      </c>
      <c r="BO38" s="172" t="str">
        <f t="shared" ref="BO38" si="116">IFERROR(BM38/BN38,"")</f>
        <v/>
      </c>
      <c r="BP38" s="167">
        <f>SUMIF(Lounge__2[Week '#],$A38,Lounge__2[Net sales])-
SUMIFS(Sales_Categories__4[Net sales],Sales_Categories__4[Week '#],$A38,Sales_Categories__4[Sales category],"Non-Grat Svc Charges")</f>
        <v>81304.5</v>
      </c>
      <c r="BQ38" s="168" cm="1">
        <f t="array" ref="BQ38">_xlfn._xlws.FILTER([11]COVERS!$AR$11:$AR$71,[11]COVERS!$I$11:$I$71=A38,"")</f>
        <v>0</v>
      </c>
      <c r="BR38" s="170" t="str">
        <f t="shared" ref="BR38" si="117">IFERROR(BP38/BQ38,"")</f>
        <v/>
      </c>
      <c r="BS38" s="167">
        <f>SUMIF(MM__2[Week '#],$A38,MM__2[Net sales])</f>
        <v>36205.25</v>
      </c>
      <c r="BT38" s="168" cm="1">
        <f t="array" ref="BT38">_xlfn._xlws.FILTER([11]COVERS!$AA$11:$AA$71,[11]COVERS!$I$11:$I$71=A38,"")</f>
        <v>0</v>
      </c>
      <c r="BU38" s="170" t="str">
        <f t="shared" ref="BU38" si="118">IFERROR(BS38/BT38,"")</f>
        <v/>
      </c>
      <c r="BV38" s="3">
        <f t="shared" ref="BV38" si="119">+BP38+BS38</f>
        <v>117509.75</v>
      </c>
      <c r="BW38" s="97">
        <f t="shared" ref="BW38" si="120">BT38+BQ38</f>
        <v>0</v>
      </c>
      <c r="BX38" s="172" t="str">
        <f t="shared" ref="BX38" si="121">IFERROR(BV38/BW38,"")</f>
        <v/>
      </c>
      <c r="BY38" s="167">
        <v>0</v>
      </c>
      <c r="BZ38" s="167">
        <v>0</v>
      </c>
      <c r="CA38" s="170" t="str">
        <f t="shared" si="74"/>
        <v/>
      </c>
      <c r="CB38" s="167">
        <v>0</v>
      </c>
      <c r="CC38" s="167">
        <v>0</v>
      </c>
      <c r="CD38" s="170" t="str">
        <f t="shared" si="75"/>
        <v/>
      </c>
      <c r="CE38" s="167"/>
      <c r="CF38" s="168"/>
      <c r="CG38" s="170" t="str">
        <f t="shared" si="76"/>
        <v/>
      </c>
      <c r="CH38" s="3">
        <f t="shared" si="77"/>
        <v>0</v>
      </c>
      <c r="CI38" s="97">
        <f t="shared" si="78"/>
        <v>0</v>
      </c>
      <c r="CJ38" s="172" t="str">
        <f t="shared" si="79"/>
        <v/>
      </c>
    </row>
    <row r="39" spans="1:88">
      <c r="A39" t="s">
        <v>171</v>
      </c>
      <c r="B39" t="s">
        <v>170</v>
      </c>
      <c r="C39" s="2">
        <f>VLOOKUP(A39,Dates!$B$2:$E$53,4,FALSE)</f>
        <v>35</v>
      </c>
      <c r="D39" s="168" t="b">
        <f>IF(C39&lt;='RDG Weekly Sales'!$F$1,TRUE,FALSE)</f>
        <v>0</v>
      </c>
      <c r="E39" s="167"/>
      <c r="F39" s="168"/>
      <c r="G39" s="170" t="str">
        <f t="shared" si="28"/>
        <v/>
      </c>
      <c r="H39" s="167"/>
      <c r="I39" s="168"/>
      <c r="J39" s="170" t="str">
        <f t="shared" si="0"/>
        <v/>
      </c>
      <c r="K39" s="3">
        <f t="shared" si="82"/>
        <v>0</v>
      </c>
      <c r="L39" s="97">
        <f t="shared" si="83"/>
        <v>0</v>
      </c>
      <c r="M39" s="172" t="str">
        <f t="shared" si="3"/>
        <v/>
      </c>
      <c r="N39" s="167"/>
      <c r="O39" s="168"/>
      <c r="P39" s="170" t="str">
        <f t="shared" si="4"/>
        <v/>
      </c>
      <c r="Q39" s="167"/>
      <c r="R39" s="168"/>
      <c r="S39" s="170" t="str">
        <f t="shared" si="5"/>
        <v/>
      </c>
      <c r="T39" s="167"/>
      <c r="U39" s="168"/>
      <c r="V39" s="170" t="str">
        <f t="shared" si="6"/>
        <v/>
      </c>
      <c r="W39" s="167">
        <f t="shared" si="29"/>
        <v>0</v>
      </c>
      <c r="X39" s="168">
        <f t="shared" si="30"/>
        <v>0</v>
      </c>
      <c r="Y39" s="172" t="str">
        <f t="shared" si="7"/>
        <v/>
      </c>
      <c r="Z39" s="167"/>
      <c r="AA39" s="168"/>
      <c r="AB39" s="170" t="str">
        <f t="shared" si="8"/>
        <v/>
      </c>
      <c r="AC39" s="167"/>
      <c r="AD39" s="168"/>
      <c r="AE39" s="170" t="str">
        <f t="shared" si="9"/>
        <v/>
      </c>
      <c r="AF39" s="167"/>
      <c r="AG39" s="168"/>
      <c r="AH39" s="170" t="str">
        <f t="shared" si="10"/>
        <v/>
      </c>
      <c r="AI39" s="3">
        <f t="shared" si="31"/>
        <v>0</v>
      </c>
      <c r="AJ39" s="97">
        <f t="shared" si="32"/>
        <v>0</v>
      </c>
      <c r="AK39" s="172" t="str">
        <f t="shared" si="11"/>
        <v/>
      </c>
      <c r="AL39" s="167"/>
      <c r="AM39" s="168"/>
      <c r="AN39" s="170" t="str">
        <f t="shared" si="12"/>
        <v/>
      </c>
      <c r="AO39" s="167"/>
      <c r="AP39" s="168"/>
      <c r="AQ39" s="170" t="str">
        <f t="shared" si="13"/>
        <v/>
      </c>
      <c r="AR39" s="3">
        <f t="shared" si="33"/>
        <v>0</v>
      </c>
      <c r="AS39" s="97">
        <f t="shared" si="34"/>
        <v>0</v>
      </c>
      <c r="AT39" s="172" t="str">
        <f t="shared" si="14"/>
        <v/>
      </c>
      <c r="AU39" s="167"/>
      <c r="AV39" s="168"/>
      <c r="AW39" s="170">
        <f t="shared" si="81"/>
        <v>0</v>
      </c>
      <c r="AX39" s="167"/>
      <c r="AY39" s="168"/>
      <c r="AZ39" s="170" t="str">
        <f t="shared" si="15"/>
        <v/>
      </c>
      <c r="BA39" s="3">
        <f t="shared" si="36"/>
        <v>0</v>
      </c>
      <c r="BB39" s="97">
        <f t="shared" si="37"/>
        <v>0</v>
      </c>
      <c r="BC39" s="172" t="str">
        <f t="shared" si="16"/>
        <v/>
      </c>
      <c r="BD39" s="167"/>
      <c r="BE39" s="168"/>
      <c r="BF39" s="170" t="str">
        <f t="shared" si="17"/>
        <v/>
      </c>
      <c r="BG39" s="167"/>
      <c r="BH39" s="388"/>
      <c r="BI39" s="170" t="str">
        <f t="shared" si="18"/>
        <v/>
      </c>
      <c r="BJ39" s="167"/>
      <c r="BK39" s="168"/>
      <c r="BL39" s="170" t="str">
        <f t="shared" si="19"/>
        <v/>
      </c>
      <c r="BM39" s="3">
        <f t="shared" si="38"/>
        <v>0</v>
      </c>
      <c r="BN39" s="97">
        <f t="shared" si="39"/>
        <v>0</v>
      </c>
      <c r="BO39" s="172" t="str">
        <f t="shared" si="20"/>
        <v/>
      </c>
      <c r="BP39" s="167"/>
      <c r="BQ39" s="168"/>
      <c r="BR39" s="170" t="str">
        <f t="shared" si="70"/>
        <v/>
      </c>
      <c r="BS39" s="167"/>
      <c r="BT39" s="168"/>
      <c r="BU39" s="170" t="str">
        <f t="shared" si="71"/>
        <v/>
      </c>
      <c r="BV39" s="3">
        <f t="shared" si="40"/>
        <v>0</v>
      </c>
      <c r="BW39" s="97">
        <f t="shared" si="72"/>
        <v>0</v>
      </c>
      <c r="BX39" s="172" t="str">
        <f t="shared" si="73"/>
        <v/>
      </c>
      <c r="BY39" s="167">
        <v>0</v>
      </c>
      <c r="BZ39" s="167">
        <v>0</v>
      </c>
      <c r="CA39" s="170" t="str">
        <f t="shared" si="74"/>
        <v/>
      </c>
      <c r="CB39" s="167">
        <v>0</v>
      </c>
      <c r="CC39" s="167">
        <v>0</v>
      </c>
      <c r="CD39" s="170" t="str">
        <f t="shared" si="75"/>
        <v/>
      </c>
      <c r="CE39" s="167"/>
      <c r="CF39" s="168"/>
      <c r="CG39" s="170" t="str">
        <f t="shared" si="76"/>
        <v/>
      </c>
      <c r="CH39" s="3">
        <f t="shared" si="77"/>
        <v>0</v>
      </c>
      <c r="CI39" s="97">
        <f t="shared" si="78"/>
        <v>0</v>
      </c>
      <c r="CJ39" s="172" t="str">
        <f t="shared" si="79"/>
        <v/>
      </c>
    </row>
    <row r="40" spans="1:88">
      <c r="A40" t="s">
        <v>172</v>
      </c>
      <c r="B40" t="s">
        <v>170</v>
      </c>
      <c r="C40" s="2">
        <f>VLOOKUP(A40,Dates!$B$2:$E$53,4,FALSE)</f>
        <v>36</v>
      </c>
      <c r="D40" s="168" t="b">
        <f>IF(C40&lt;='RDG Weekly Sales'!$F$1,TRUE,FALSE)</f>
        <v>0</v>
      </c>
      <c r="E40" s="167"/>
      <c r="F40" s="168"/>
      <c r="G40" s="170" t="str">
        <f t="shared" si="28"/>
        <v/>
      </c>
      <c r="H40" s="167"/>
      <c r="I40" s="168"/>
      <c r="J40" s="170" t="str">
        <f t="shared" si="0"/>
        <v/>
      </c>
      <c r="K40" s="3">
        <f t="shared" si="82"/>
        <v>0</v>
      </c>
      <c r="L40" s="97">
        <f t="shared" si="83"/>
        <v>0</v>
      </c>
      <c r="M40" s="172" t="str">
        <f t="shared" si="3"/>
        <v/>
      </c>
      <c r="N40" s="167"/>
      <c r="O40" s="168"/>
      <c r="P40" s="170" t="str">
        <f t="shared" si="4"/>
        <v/>
      </c>
      <c r="Q40" s="167"/>
      <c r="R40" s="168"/>
      <c r="S40" s="170" t="str">
        <f t="shared" si="5"/>
        <v/>
      </c>
      <c r="T40" s="167"/>
      <c r="U40" s="168"/>
      <c r="V40" s="170" t="str">
        <f t="shared" si="6"/>
        <v/>
      </c>
      <c r="W40" s="167">
        <f t="shared" si="29"/>
        <v>0</v>
      </c>
      <c r="X40" s="168">
        <f t="shared" si="30"/>
        <v>0</v>
      </c>
      <c r="Y40" s="172" t="str">
        <f t="shared" si="7"/>
        <v/>
      </c>
      <c r="Z40" s="167"/>
      <c r="AA40" s="168"/>
      <c r="AB40" s="170" t="str">
        <f t="shared" si="8"/>
        <v/>
      </c>
      <c r="AC40" s="167"/>
      <c r="AD40" s="168"/>
      <c r="AE40" s="170" t="str">
        <f t="shared" si="9"/>
        <v/>
      </c>
      <c r="AF40" s="167"/>
      <c r="AG40" s="168"/>
      <c r="AH40" s="170" t="str">
        <f t="shared" si="10"/>
        <v/>
      </c>
      <c r="AI40" s="3">
        <f t="shared" si="31"/>
        <v>0</v>
      </c>
      <c r="AJ40" s="97">
        <f t="shared" si="32"/>
        <v>0</v>
      </c>
      <c r="AK40" s="172" t="str">
        <f t="shared" si="11"/>
        <v/>
      </c>
      <c r="AL40" s="167"/>
      <c r="AM40" s="168"/>
      <c r="AN40" s="170" t="str">
        <f t="shared" si="12"/>
        <v/>
      </c>
      <c r="AO40" s="167"/>
      <c r="AP40" s="168"/>
      <c r="AQ40" s="170" t="str">
        <f t="shared" si="13"/>
        <v/>
      </c>
      <c r="AR40" s="3">
        <f t="shared" si="33"/>
        <v>0</v>
      </c>
      <c r="AS40" s="97">
        <f t="shared" si="34"/>
        <v>0</v>
      </c>
      <c r="AT40" s="172" t="str">
        <f t="shared" si="14"/>
        <v/>
      </c>
      <c r="AU40" s="167"/>
      <c r="AV40" s="168"/>
      <c r="AW40" s="170">
        <f t="shared" si="81"/>
        <v>0</v>
      </c>
      <c r="AX40" s="167"/>
      <c r="AY40" s="168"/>
      <c r="AZ40" s="170" t="str">
        <f t="shared" si="15"/>
        <v/>
      </c>
      <c r="BA40" s="3">
        <f t="shared" si="36"/>
        <v>0</v>
      </c>
      <c r="BB40" s="97">
        <f t="shared" si="37"/>
        <v>0</v>
      </c>
      <c r="BC40" s="172" t="str">
        <f t="shared" si="16"/>
        <v/>
      </c>
      <c r="BD40" s="167"/>
      <c r="BE40" s="168"/>
      <c r="BF40" s="170" t="str">
        <f t="shared" si="17"/>
        <v/>
      </c>
      <c r="BG40" s="167"/>
      <c r="BH40" s="168"/>
      <c r="BI40" s="170" t="str">
        <f t="shared" si="18"/>
        <v/>
      </c>
      <c r="BJ40" s="167"/>
      <c r="BK40" s="168"/>
      <c r="BL40" s="170" t="str">
        <f t="shared" si="19"/>
        <v/>
      </c>
      <c r="BM40" s="3">
        <f t="shared" si="38"/>
        <v>0</v>
      </c>
      <c r="BN40" s="97">
        <f t="shared" si="39"/>
        <v>0</v>
      </c>
      <c r="BO40" s="172" t="str">
        <f t="shared" si="20"/>
        <v/>
      </c>
      <c r="BP40" s="167"/>
      <c r="BQ40" s="168"/>
      <c r="BR40" s="170" t="str">
        <f t="shared" si="70"/>
        <v/>
      </c>
      <c r="BS40" s="167"/>
      <c r="BT40" s="168"/>
      <c r="BU40" s="170" t="str">
        <f t="shared" si="71"/>
        <v/>
      </c>
      <c r="BV40" s="3">
        <f t="shared" si="40"/>
        <v>0</v>
      </c>
      <c r="BW40" s="97">
        <f t="shared" si="72"/>
        <v>0</v>
      </c>
      <c r="BX40" s="172" t="str">
        <f t="shared" si="73"/>
        <v/>
      </c>
      <c r="BY40" s="167">
        <v>0</v>
      </c>
      <c r="BZ40" s="167">
        <v>0</v>
      </c>
      <c r="CA40" s="170" t="str">
        <f t="shared" si="74"/>
        <v/>
      </c>
      <c r="CB40" s="167">
        <v>0</v>
      </c>
      <c r="CC40" s="167">
        <v>0</v>
      </c>
      <c r="CD40" s="170" t="str">
        <f t="shared" si="75"/>
        <v/>
      </c>
      <c r="CE40" s="167"/>
      <c r="CF40" s="168"/>
      <c r="CG40" s="170" t="str">
        <f t="shared" si="76"/>
        <v/>
      </c>
      <c r="CH40" s="3">
        <f t="shared" si="77"/>
        <v>0</v>
      </c>
      <c r="CI40" s="97">
        <f t="shared" si="78"/>
        <v>0</v>
      </c>
      <c r="CJ40" s="172" t="str">
        <f t="shared" si="79"/>
        <v/>
      </c>
    </row>
    <row r="41" spans="1:88">
      <c r="A41" t="s">
        <v>173</v>
      </c>
      <c r="B41" t="s">
        <v>170</v>
      </c>
      <c r="C41" s="2">
        <f>VLOOKUP(A41,Dates!$B$2:$E$53,4,FALSE)</f>
        <v>37</v>
      </c>
      <c r="D41" s="168" t="b">
        <f>IF(C41&lt;='RDG Weekly Sales'!$F$1,TRUE,FALSE)</f>
        <v>0</v>
      </c>
      <c r="E41" s="167"/>
      <c r="F41" s="168"/>
      <c r="G41" s="170" t="str">
        <f t="shared" si="28"/>
        <v/>
      </c>
      <c r="H41" s="167"/>
      <c r="I41" s="168"/>
      <c r="J41" s="170" t="str">
        <f t="shared" si="0"/>
        <v/>
      </c>
      <c r="K41" s="3">
        <f t="shared" si="82"/>
        <v>0</v>
      </c>
      <c r="L41" s="97">
        <f t="shared" si="83"/>
        <v>0</v>
      </c>
      <c r="M41" s="172" t="str">
        <f t="shared" si="3"/>
        <v/>
      </c>
      <c r="N41" s="167"/>
      <c r="O41" s="168"/>
      <c r="P41" s="170" t="str">
        <f t="shared" si="4"/>
        <v/>
      </c>
      <c r="Q41" s="167"/>
      <c r="R41" s="168"/>
      <c r="S41" s="170" t="str">
        <f t="shared" si="5"/>
        <v/>
      </c>
      <c r="T41" s="167"/>
      <c r="U41" s="168"/>
      <c r="V41" s="170" t="str">
        <f t="shared" si="6"/>
        <v/>
      </c>
      <c r="W41" s="167">
        <f t="shared" si="29"/>
        <v>0</v>
      </c>
      <c r="X41" s="168">
        <f t="shared" si="30"/>
        <v>0</v>
      </c>
      <c r="Y41" s="172" t="str">
        <f t="shared" si="7"/>
        <v/>
      </c>
      <c r="Z41" s="167"/>
      <c r="AA41" s="168"/>
      <c r="AB41" s="170" t="str">
        <f t="shared" si="8"/>
        <v/>
      </c>
      <c r="AC41" s="167"/>
      <c r="AD41" s="168"/>
      <c r="AE41" s="170" t="str">
        <f t="shared" si="9"/>
        <v/>
      </c>
      <c r="AF41" s="167"/>
      <c r="AG41" s="168"/>
      <c r="AH41" s="170" t="str">
        <f t="shared" si="10"/>
        <v/>
      </c>
      <c r="AI41" s="3">
        <f t="shared" si="31"/>
        <v>0</v>
      </c>
      <c r="AJ41" s="97">
        <f t="shared" si="32"/>
        <v>0</v>
      </c>
      <c r="AK41" s="172" t="str">
        <f t="shared" si="11"/>
        <v/>
      </c>
      <c r="AL41" s="167"/>
      <c r="AM41" s="168"/>
      <c r="AN41" s="170" t="str">
        <f t="shared" si="12"/>
        <v/>
      </c>
      <c r="AO41" s="167"/>
      <c r="AP41" s="168"/>
      <c r="AQ41" s="170" t="str">
        <f t="shared" si="13"/>
        <v/>
      </c>
      <c r="AR41" s="3">
        <f t="shared" si="33"/>
        <v>0</v>
      </c>
      <c r="AS41" s="97">
        <f t="shared" si="34"/>
        <v>0</v>
      </c>
      <c r="AT41" s="172" t="str">
        <f t="shared" si="14"/>
        <v/>
      </c>
      <c r="AU41" s="167"/>
      <c r="AV41" s="168"/>
      <c r="AW41" s="170">
        <f t="shared" si="81"/>
        <v>0</v>
      </c>
      <c r="AX41" s="167"/>
      <c r="AY41" s="168"/>
      <c r="AZ41" s="170" t="str">
        <f t="shared" si="15"/>
        <v/>
      </c>
      <c r="BA41" s="3">
        <f t="shared" si="36"/>
        <v>0</v>
      </c>
      <c r="BB41" s="97">
        <f t="shared" si="37"/>
        <v>0</v>
      </c>
      <c r="BC41" s="172" t="str">
        <f t="shared" si="16"/>
        <v/>
      </c>
      <c r="BD41" s="167"/>
      <c r="BE41" s="168"/>
      <c r="BF41" s="170" t="str">
        <f t="shared" si="17"/>
        <v/>
      </c>
      <c r="BG41" s="167"/>
      <c r="BH41" s="168"/>
      <c r="BI41" s="170" t="str">
        <f t="shared" si="18"/>
        <v/>
      </c>
      <c r="BJ41" s="167"/>
      <c r="BK41" s="168"/>
      <c r="BL41" s="170" t="str">
        <f t="shared" si="19"/>
        <v/>
      </c>
      <c r="BM41" s="3">
        <f t="shared" si="38"/>
        <v>0</v>
      </c>
      <c r="BN41" s="97">
        <f t="shared" si="39"/>
        <v>0</v>
      </c>
      <c r="BO41" s="172" t="str">
        <f t="shared" si="20"/>
        <v/>
      </c>
      <c r="BP41" s="167"/>
      <c r="BQ41" s="168"/>
      <c r="BR41" s="170" t="str">
        <f t="shared" si="70"/>
        <v/>
      </c>
      <c r="BS41" s="167"/>
      <c r="BT41" s="168"/>
      <c r="BU41" s="170" t="str">
        <f t="shared" si="71"/>
        <v/>
      </c>
      <c r="BV41" s="3">
        <f t="shared" si="40"/>
        <v>0</v>
      </c>
      <c r="BW41" s="97">
        <f t="shared" si="72"/>
        <v>0</v>
      </c>
      <c r="BX41" s="172" t="str">
        <f t="shared" si="73"/>
        <v/>
      </c>
      <c r="BY41" s="167">
        <v>0</v>
      </c>
      <c r="BZ41" s="167">
        <v>0</v>
      </c>
      <c r="CA41" s="170" t="str">
        <f t="shared" si="74"/>
        <v/>
      </c>
      <c r="CB41" s="167">
        <v>0</v>
      </c>
      <c r="CC41" s="167">
        <v>0</v>
      </c>
      <c r="CD41" s="170" t="str">
        <f t="shared" si="75"/>
        <v/>
      </c>
      <c r="CE41" s="167"/>
      <c r="CF41" s="168"/>
      <c r="CG41" s="170" t="str">
        <f t="shared" si="76"/>
        <v/>
      </c>
      <c r="CH41" s="3">
        <f t="shared" si="77"/>
        <v>0</v>
      </c>
      <c r="CI41" s="97">
        <f t="shared" si="78"/>
        <v>0</v>
      </c>
      <c r="CJ41" s="172" t="str">
        <f t="shared" si="79"/>
        <v/>
      </c>
    </row>
    <row r="42" spans="1:88">
      <c r="A42" t="s">
        <v>174</v>
      </c>
      <c r="B42" t="s">
        <v>170</v>
      </c>
      <c r="C42" s="2">
        <f>VLOOKUP(A42,Dates!$B$2:$E$53,4,FALSE)</f>
        <v>38</v>
      </c>
      <c r="D42" s="168" t="b">
        <f>IF(C42&lt;='RDG Weekly Sales'!$F$1,TRUE,FALSE)</f>
        <v>0</v>
      </c>
      <c r="E42" s="167"/>
      <c r="F42" s="168"/>
      <c r="G42" s="170" t="str">
        <f t="shared" si="28"/>
        <v/>
      </c>
      <c r="H42" s="167"/>
      <c r="I42" s="168"/>
      <c r="J42" s="170" t="str">
        <f t="shared" si="0"/>
        <v/>
      </c>
      <c r="K42" s="3">
        <f t="shared" si="82"/>
        <v>0</v>
      </c>
      <c r="L42" s="97">
        <f t="shared" si="83"/>
        <v>0</v>
      </c>
      <c r="M42" s="172" t="str">
        <f t="shared" si="3"/>
        <v/>
      </c>
      <c r="N42" s="167"/>
      <c r="O42" s="168"/>
      <c r="P42" s="170" t="str">
        <f t="shared" si="4"/>
        <v/>
      </c>
      <c r="Q42" s="167"/>
      <c r="R42" s="168"/>
      <c r="S42" s="170" t="str">
        <f t="shared" si="5"/>
        <v/>
      </c>
      <c r="T42" s="167"/>
      <c r="U42" s="168"/>
      <c r="V42" s="170" t="str">
        <f t="shared" si="6"/>
        <v/>
      </c>
      <c r="W42" s="167">
        <f t="shared" si="29"/>
        <v>0</v>
      </c>
      <c r="X42" s="168">
        <f t="shared" si="30"/>
        <v>0</v>
      </c>
      <c r="Y42" s="172" t="str">
        <f t="shared" si="7"/>
        <v/>
      </c>
      <c r="Z42" s="167"/>
      <c r="AA42" s="168"/>
      <c r="AB42" s="170" t="str">
        <f t="shared" si="8"/>
        <v/>
      </c>
      <c r="AC42" s="167"/>
      <c r="AD42" s="168"/>
      <c r="AE42" s="170" t="str">
        <f t="shared" si="9"/>
        <v/>
      </c>
      <c r="AF42" s="167"/>
      <c r="AG42" s="168"/>
      <c r="AH42" s="170" t="str">
        <f t="shared" si="10"/>
        <v/>
      </c>
      <c r="AI42" s="3">
        <f t="shared" si="31"/>
        <v>0</v>
      </c>
      <c r="AJ42" s="97">
        <f t="shared" si="32"/>
        <v>0</v>
      </c>
      <c r="AK42" s="172" t="str">
        <f t="shared" si="11"/>
        <v/>
      </c>
      <c r="AL42" s="167"/>
      <c r="AM42" s="168"/>
      <c r="AN42" s="170" t="str">
        <f t="shared" si="12"/>
        <v/>
      </c>
      <c r="AO42" s="167"/>
      <c r="AP42" s="168"/>
      <c r="AQ42" s="170" t="str">
        <f t="shared" si="13"/>
        <v/>
      </c>
      <c r="AR42" s="3">
        <f t="shared" si="33"/>
        <v>0</v>
      </c>
      <c r="AS42" s="97">
        <f t="shared" si="34"/>
        <v>0</v>
      </c>
      <c r="AT42" s="172" t="str">
        <f t="shared" si="14"/>
        <v/>
      </c>
      <c r="AU42" s="167"/>
      <c r="AV42" s="168"/>
      <c r="AW42" s="170">
        <f t="shared" si="81"/>
        <v>0</v>
      </c>
      <c r="AX42" s="167"/>
      <c r="AY42" s="168"/>
      <c r="AZ42" s="170" t="str">
        <f t="shared" si="15"/>
        <v/>
      </c>
      <c r="BA42" s="3">
        <f t="shared" si="36"/>
        <v>0</v>
      </c>
      <c r="BB42" s="97">
        <f t="shared" si="37"/>
        <v>0</v>
      </c>
      <c r="BC42" s="172" t="str">
        <f t="shared" si="16"/>
        <v/>
      </c>
      <c r="BD42" s="167"/>
      <c r="BE42" s="168"/>
      <c r="BF42" s="170" t="str">
        <f t="shared" si="17"/>
        <v/>
      </c>
      <c r="BG42" s="167"/>
      <c r="BH42" s="168"/>
      <c r="BI42" s="170" t="str">
        <f t="shared" si="18"/>
        <v/>
      </c>
      <c r="BJ42" s="167"/>
      <c r="BK42" s="168"/>
      <c r="BL42" s="170" t="str">
        <f t="shared" si="19"/>
        <v/>
      </c>
      <c r="BM42" s="3">
        <f t="shared" si="38"/>
        <v>0</v>
      </c>
      <c r="BN42" s="97">
        <f t="shared" si="39"/>
        <v>0</v>
      </c>
      <c r="BO42" s="172" t="str">
        <f t="shared" si="20"/>
        <v/>
      </c>
      <c r="BP42" s="167"/>
      <c r="BQ42" s="168"/>
      <c r="BR42" s="170" t="str">
        <f t="shared" si="70"/>
        <v/>
      </c>
      <c r="BS42" s="167"/>
      <c r="BT42" s="168"/>
      <c r="BU42" s="170" t="str">
        <f t="shared" si="71"/>
        <v/>
      </c>
      <c r="BV42" s="3">
        <f t="shared" si="40"/>
        <v>0</v>
      </c>
      <c r="BW42" s="97">
        <f t="shared" si="72"/>
        <v>0</v>
      </c>
      <c r="BX42" s="172" t="str">
        <f t="shared" si="73"/>
        <v/>
      </c>
      <c r="BY42" s="167">
        <v>0</v>
      </c>
      <c r="BZ42" s="167">
        <v>0</v>
      </c>
      <c r="CA42" s="170" t="str">
        <f t="shared" si="74"/>
        <v/>
      </c>
      <c r="CB42" s="167">
        <v>0</v>
      </c>
      <c r="CC42" s="167">
        <v>0</v>
      </c>
      <c r="CD42" s="170" t="str">
        <f t="shared" si="75"/>
        <v/>
      </c>
      <c r="CE42" s="167"/>
      <c r="CF42" s="168"/>
      <c r="CG42" s="170" t="str">
        <f t="shared" si="76"/>
        <v/>
      </c>
      <c r="CH42" s="3">
        <f t="shared" si="77"/>
        <v>0</v>
      </c>
      <c r="CI42" s="97">
        <f t="shared" si="78"/>
        <v>0</v>
      </c>
      <c r="CJ42" s="172" t="str">
        <f t="shared" si="79"/>
        <v/>
      </c>
    </row>
    <row r="43" spans="1:88">
      <c r="A43" t="s">
        <v>175</v>
      </c>
      <c r="B43" t="s">
        <v>170</v>
      </c>
      <c r="C43" s="2">
        <f>VLOOKUP(A43,Dates!$B$2:$E$53,4,FALSE)</f>
        <v>39</v>
      </c>
      <c r="D43" s="168" t="b">
        <f>IF(C43&lt;='RDG Weekly Sales'!$F$1,TRUE,FALSE)</f>
        <v>0</v>
      </c>
      <c r="E43" s="167"/>
      <c r="F43" s="168"/>
      <c r="G43" s="170" t="str">
        <f t="shared" si="28"/>
        <v/>
      </c>
      <c r="H43" s="167"/>
      <c r="I43" s="168"/>
      <c r="J43" s="170" t="str">
        <f t="shared" si="0"/>
        <v/>
      </c>
      <c r="K43" s="3">
        <f t="shared" si="82"/>
        <v>0</v>
      </c>
      <c r="L43" s="97">
        <f t="shared" si="83"/>
        <v>0</v>
      </c>
      <c r="M43" s="172" t="str">
        <f t="shared" si="3"/>
        <v/>
      </c>
      <c r="N43" s="167"/>
      <c r="O43" s="168"/>
      <c r="P43" s="170" t="str">
        <f t="shared" si="4"/>
        <v/>
      </c>
      <c r="Q43" s="167"/>
      <c r="R43" s="168"/>
      <c r="S43" s="170" t="str">
        <f t="shared" si="5"/>
        <v/>
      </c>
      <c r="T43" s="167"/>
      <c r="U43" s="168"/>
      <c r="V43" s="170" t="str">
        <f t="shared" si="6"/>
        <v/>
      </c>
      <c r="W43" s="167">
        <f t="shared" si="29"/>
        <v>0</v>
      </c>
      <c r="X43" s="168">
        <f t="shared" si="30"/>
        <v>0</v>
      </c>
      <c r="Y43" s="172" t="str">
        <f t="shared" si="7"/>
        <v/>
      </c>
      <c r="Z43" s="167"/>
      <c r="AA43" s="168"/>
      <c r="AB43" s="170" t="str">
        <f t="shared" si="8"/>
        <v/>
      </c>
      <c r="AC43" s="167"/>
      <c r="AD43" s="168"/>
      <c r="AE43" s="170" t="str">
        <f t="shared" si="9"/>
        <v/>
      </c>
      <c r="AF43" s="167"/>
      <c r="AG43" s="168"/>
      <c r="AH43" s="170" t="str">
        <f t="shared" si="10"/>
        <v/>
      </c>
      <c r="AI43" s="3">
        <f t="shared" si="31"/>
        <v>0</v>
      </c>
      <c r="AJ43" s="97">
        <f t="shared" si="32"/>
        <v>0</v>
      </c>
      <c r="AK43" s="172" t="str">
        <f t="shared" si="11"/>
        <v/>
      </c>
      <c r="AL43" s="167"/>
      <c r="AM43" s="168"/>
      <c r="AN43" s="170" t="str">
        <f t="shared" si="12"/>
        <v/>
      </c>
      <c r="AO43" s="167"/>
      <c r="AP43" s="168"/>
      <c r="AQ43" s="170" t="str">
        <f t="shared" si="13"/>
        <v/>
      </c>
      <c r="AR43" s="3">
        <f t="shared" si="33"/>
        <v>0</v>
      </c>
      <c r="AS43" s="97">
        <f t="shared" si="34"/>
        <v>0</v>
      </c>
      <c r="AT43" s="172" t="str">
        <f t="shared" si="14"/>
        <v/>
      </c>
      <c r="AU43" s="167"/>
      <c r="AV43" s="168"/>
      <c r="AW43" s="170">
        <f t="shared" si="81"/>
        <v>0</v>
      </c>
      <c r="AX43" s="167"/>
      <c r="AY43" s="168"/>
      <c r="AZ43" s="170" t="str">
        <f t="shared" si="15"/>
        <v/>
      </c>
      <c r="BA43" s="3">
        <f t="shared" si="36"/>
        <v>0</v>
      </c>
      <c r="BB43" s="97">
        <f t="shared" si="37"/>
        <v>0</v>
      </c>
      <c r="BC43" s="172" t="str">
        <f t="shared" si="16"/>
        <v/>
      </c>
      <c r="BD43" s="167"/>
      <c r="BE43" s="168"/>
      <c r="BF43" s="170" t="str">
        <f t="shared" si="17"/>
        <v/>
      </c>
      <c r="BG43" s="167"/>
      <c r="BH43" s="168"/>
      <c r="BI43" s="170" t="str">
        <f t="shared" si="18"/>
        <v/>
      </c>
      <c r="BJ43" s="167"/>
      <c r="BK43" s="168"/>
      <c r="BL43" s="170" t="str">
        <f t="shared" si="19"/>
        <v/>
      </c>
      <c r="BM43" s="3">
        <f t="shared" si="38"/>
        <v>0</v>
      </c>
      <c r="BN43" s="97">
        <f t="shared" si="39"/>
        <v>0</v>
      </c>
      <c r="BO43" s="172" t="str">
        <f t="shared" si="20"/>
        <v/>
      </c>
      <c r="BP43" s="167"/>
      <c r="BQ43" s="168"/>
      <c r="BR43" s="170" t="str">
        <f t="shared" si="70"/>
        <v/>
      </c>
      <c r="BS43" s="167"/>
      <c r="BT43" s="168"/>
      <c r="BU43" s="170" t="str">
        <f t="shared" si="71"/>
        <v/>
      </c>
      <c r="BV43" s="3">
        <f t="shared" si="40"/>
        <v>0</v>
      </c>
      <c r="BW43" s="97">
        <f t="shared" si="72"/>
        <v>0</v>
      </c>
      <c r="BX43" s="172" t="str">
        <f t="shared" si="73"/>
        <v/>
      </c>
      <c r="BY43" s="167">
        <v>0</v>
      </c>
      <c r="BZ43" s="167">
        <v>0</v>
      </c>
      <c r="CA43" s="170" t="str">
        <f t="shared" si="74"/>
        <v/>
      </c>
      <c r="CB43" s="167">
        <v>0</v>
      </c>
      <c r="CC43" s="167">
        <v>0</v>
      </c>
      <c r="CD43" s="170" t="str">
        <f t="shared" si="75"/>
        <v/>
      </c>
      <c r="CE43" s="167"/>
      <c r="CF43" s="168"/>
      <c r="CG43" s="170" t="str">
        <f t="shared" si="76"/>
        <v/>
      </c>
      <c r="CH43" s="3">
        <f t="shared" si="77"/>
        <v>0</v>
      </c>
      <c r="CI43" s="97">
        <f t="shared" si="78"/>
        <v>0</v>
      </c>
      <c r="CJ43" s="172" t="str">
        <f t="shared" si="79"/>
        <v/>
      </c>
    </row>
    <row r="44" spans="1:88">
      <c r="A44" t="s">
        <v>177</v>
      </c>
      <c r="B44" t="s">
        <v>76</v>
      </c>
      <c r="C44" s="2">
        <f>VLOOKUP(A44,Dates!$B$2:$E$53,4,FALSE)</f>
        <v>40</v>
      </c>
      <c r="D44" s="168" t="b">
        <f>IF(C44&lt;='RDG Weekly Sales'!$F$1,TRUE,FALSE)</f>
        <v>0</v>
      </c>
      <c r="E44" s="167"/>
      <c r="F44" s="168"/>
      <c r="G44" s="170" t="str">
        <f t="shared" si="28"/>
        <v/>
      </c>
      <c r="H44" s="167"/>
      <c r="I44" s="168"/>
      <c r="J44" s="170" t="str">
        <f t="shared" si="0"/>
        <v/>
      </c>
      <c r="K44" s="3">
        <f>E44+H44</f>
        <v>0</v>
      </c>
      <c r="L44" s="97">
        <f>F44+I44</f>
        <v>0</v>
      </c>
      <c r="M44" s="172" t="str">
        <f t="shared" si="3"/>
        <v/>
      </c>
      <c r="N44" s="167"/>
      <c r="O44" s="168"/>
      <c r="P44" s="170" t="str">
        <f t="shared" si="4"/>
        <v/>
      </c>
      <c r="Q44" s="167"/>
      <c r="R44" s="168"/>
      <c r="S44" s="170" t="str">
        <f t="shared" si="5"/>
        <v/>
      </c>
      <c r="T44" s="167"/>
      <c r="U44" s="168"/>
      <c r="V44" s="170" t="str">
        <f t="shared" si="6"/>
        <v/>
      </c>
      <c r="W44" s="167">
        <f t="shared" si="29"/>
        <v>0</v>
      </c>
      <c r="X44" s="168">
        <f t="shared" si="30"/>
        <v>0</v>
      </c>
      <c r="Y44" s="172" t="str">
        <f t="shared" si="7"/>
        <v/>
      </c>
      <c r="Z44" s="167"/>
      <c r="AA44" s="168"/>
      <c r="AB44" s="170" t="str">
        <f t="shared" si="8"/>
        <v/>
      </c>
      <c r="AC44" s="167"/>
      <c r="AD44" s="168"/>
      <c r="AE44" s="170" t="str">
        <f t="shared" si="9"/>
        <v/>
      </c>
      <c r="AF44" s="167"/>
      <c r="AG44" s="168"/>
      <c r="AH44" s="170" t="str">
        <f t="shared" si="10"/>
        <v/>
      </c>
      <c r="AI44" s="3">
        <f t="shared" si="31"/>
        <v>0</v>
      </c>
      <c r="AJ44" s="97">
        <f t="shared" si="32"/>
        <v>0</v>
      </c>
      <c r="AK44" s="172" t="str">
        <f t="shared" si="11"/>
        <v/>
      </c>
      <c r="AL44" s="167"/>
      <c r="AM44" s="168"/>
      <c r="AN44" s="170" t="str">
        <f t="shared" si="12"/>
        <v/>
      </c>
      <c r="AO44" s="167"/>
      <c r="AP44" s="168"/>
      <c r="AQ44" s="170" t="str">
        <f t="shared" si="13"/>
        <v/>
      </c>
      <c r="AR44" s="3">
        <f t="shared" si="33"/>
        <v>0</v>
      </c>
      <c r="AS44" s="97">
        <f t="shared" si="34"/>
        <v>0</v>
      </c>
      <c r="AT44" s="172" t="str">
        <f t="shared" si="14"/>
        <v/>
      </c>
      <c r="AU44" s="167"/>
      <c r="AV44" s="168"/>
      <c r="AW44" s="170">
        <f t="shared" si="81"/>
        <v>0</v>
      </c>
      <c r="AX44" s="167"/>
      <c r="AY44" s="168"/>
      <c r="AZ44" s="170" t="str">
        <f t="shared" si="15"/>
        <v/>
      </c>
      <c r="BA44" s="3">
        <f t="shared" si="36"/>
        <v>0</v>
      </c>
      <c r="BB44" s="97">
        <f t="shared" si="37"/>
        <v>0</v>
      </c>
      <c r="BC44" s="172" t="str">
        <f t="shared" si="16"/>
        <v/>
      </c>
      <c r="BD44" s="167"/>
      <c r="BE44" s="168"/>
      <c r="BF44" s="170" t="str">
        <f t="shared" si="17"/>
        <v/>
      </c>
      <c r="BG44" s="167"/>
      <c r="BH44" s="168"/>
      <c r="BI44" s="170" t="str">
        <f t="shared" si="18"/>
        <v/>
      </c>
      <c r="BJ44" s="167"/>
      <c r="BK44" s="168"/>
      <c r="BL44" s="170" t="str">
        <f t="shared" si="19"/>
        <v/>
      </c>
      <c r="BM44" s="3">
        <f t="shared" si="38"/>
        <v>0</v>
      </c>
      <c r="BN44" s="97">
        <f t="shared" si="39"/>
        <v>0</v>
      </c>
      <c r="BO44" s="172" t="str">
        <f t="shared" si="20"/>
        <v/>
      </c>
      <c r="BP44" s="167"/>
      <c r="BQ44" s="168"/>
      <c r="BR44" s="170" t="str">
        <f t="shared" si="70"/>
        <v/>
      </c>
      <c r="BS44" s="167"/>
      <c r="BT44" s="168"/>
      <c r="BU44" s="170" t="str">
        <f t="shared" si="71"/>
        <v/>
      </c>
      <c r="BV44" s="3">
        <f t="shared" si="40"/>
        <v>0</v>
      </c>
      <c r="BW44" s="97">
        <f t="shared" si="72"/>
        <v>0</v>
      </c>
      <c r="BX44" s="172" t="str">
        <f t="shared" si="73"/>
        <v/>
      </c>
      <c r="BY44" s="167">
        <v>0</v>
      </c>
      <c r="BZ44" s="167">
        <v>0</v>
      </c>
      <c r="CA44" s="170" t="str">
        <f t="shared" si="74"/>
        <v/>
      </c>
      <c r="CB44" s="167">
        <v>0</v>
      </c>
      <c r="CC44" s="167">
        <v>0</v>
      </c>
      <c r="CD44" s="170" t="str">
        <f t="shared" si="75"/>
        <v/>
      </c>
      <c r="CE44" s="167"/>
      <c r="CF44" s="168"/>
      <c r="CG44" s="170" t="str">
        <f t="shared" si="76"/>
        <v/>
      </c>
      <c r="CH44" s="3">
        <f t="shared" si="77"/>
        <v>0</v>
      </c>
      <c r="CI44" s="97">
        <f t="shared" si="78"/>
        <v>0</v>
      </c>
      <c r="CJ44" s="172" t="str">
        <f t="shared" si="79"/>
        <v/>
      </c>
    </row>
    <row r="45" spans="1:88">
      <c r="A45" t="s">
        <v>178</v>
      </c>
      <c r="B45" t="s">
        <v>76</v>
      </c>
      <c r="C45" s="2">
        <f>VLOOKUP(A45,Dates!$B$2:$E$53,4,FALSE)</f>
        <v>41</v>
      </c>
      <c r="D45" s="168" t="b">
        <f>IF(C45&lt;='RDG Weekly Sales'!$F$1,TRUE,FALSE)</f>
        <v>0</v>
      </c>
      <c r="E45" s="167"/>
      <c r="F45" s="168"/>
      <c r="G45" s="170" t="str">
        <f t="shared" si="28"/>
        <v/>
      </c>
      <c r="H45" s="167"/>
      <c r="I45" s="168"/>
      <c r="J45" s="170" t="str">
        <f t="shared" si="0"/>
        <v/>
      </c>
      <c r="K45" s="3">
        <f t="shared" si="82"/>
        <v>0</v>
      </c>
      <c r="L45" s="97">
        <f t="shared" si="83"/>
        <v>0</v>
      </c>
      <c r="M45" s="172" t="str">
        <f t="shared" si="3"/>
        <v/>
      </c>
      <c r="N45" s="167"/>
      <c r="O45" s="168"/>
      <c r="P45" s="170" t="str">
        <f t="shared" si="4"/>
        <v/>
      </c>
      <c r="Q45" s="167"/>
      <c r="R45" s="168"/>
      <c r="S45" s="170" t="str">
        <f t="shared" si="5"/>
        <v/>
      </c>
      <c r="T45" s="167"/>
      <c r="U45" s="168"/>
      <c r="V45" s="170" t="str">
        <f t="shared" si="6"/>
        <v/>
      </c>
      <c r="W45" s="167">
        <f t="shared" si="29"/>
        <v>0</v>
      </c>
      <c r="X45" s="168">
        <f t="shared" si="30"/>
        <v>0</v>
      </c>
      <c r="Y45" s="172" t="str">
        <f t="shared" si="7"/>
        <v/>
      </c>
      <c r="Z45" s="167"/>
      <c r="AA45" s="168"/>
      <c r="AB45" s="170" t="str">
        <f t="shared" si="8"/>
        <v/>
      </c>
      <c r="AC45" s="167"/>
      <c r="AD45" s="168"/>
      <c r="AE45" s="170" t="str">
        <f t="shared" si="9"/>
        <v/>
      </c>
      <c r="AF45" s="167"/>
      <c r="AG45" s="168"/>
      <c r="AH45" s="170" t="str">
        <f t="shared" si="10"/>
        <v/>
      </c>
      <c r="AI45" s="3">
        <f t="shared" si="31"/>
        <v>0</v>
      </c>
      <c r="AJ45" s="97">
        <f t="shared" si="32"/>
        <v>0</v>
      </c>
      <c r="AK45" s="172" t="str">
        <f t="shared" si="11"/>
        <v/>
      </c>
      <c r="AL45" s="167"/>
      <c r="AM45" s="168"/>
      <c r="AN45" s="170" t="str">
        <f t="shared" si="12"/>
        <v/>
      </c>
      <c r="AO45" s="167"/>
      <c r="AP45" s="168"/>
      <c r="AQ45" s="170" t="str">
        <f t="shared" si="13"/>
        <v/>
      </c>
      <c r="AR45" s="3">
        <f t="shared" si="33"/>
        <v>0</v>
      </c>
      <c r="AS45" s="97">
        <f t="shared" si="34"/>
        <v>0</v>
      </c>
      <c r="AT45" s="172" t="str">
        <f t="shared" si="14"/>
        <v/>
      </c>
      <c r="AU45" s="167"/>
      <c r="AV45" s="168"/>
      <c r="AW45" s="170">
        <f t="shared" si="81"/>
        <v>0</v>
      </c>
      <c r="AX45" s="167"/>
      <c r="AY45" s="168"/>
      <c r="AZ45" s="170" t="str">
        <f t="shared" si="15"/>
        <v/>
      </c>
      <c r="BA45" s="3">
        <f>AX45+AU45</f>
        <v>0</v>
      </c>
      <c r="BB45" s="97">
        <f t="shared" si="37"/>
        <v>0</v>
      </c>
      <c r="BC45" s="172" t="str">
        <f t="shared" si="16"/>
        <v/>
      </c>
      <c r="BD45" s="167"/>
      <c r="BE45" s="168"/>
      <c r="BF45" s="170" t="str">
        <f t="shared" si="17"/>
        <v/>
      </c>
      <c r="BG45" s="167"/>
      <c r="BH45" s="168"/>
      <c r="BI45" s="170" t="str">
        <f t="shared" si="18"/>
        <v/>
      </c>
      <c r="BJ45" s="167"/>
      <c r="BK45" s="168"/>
      <c r="BL45" s="170" t="str">
        <f t="shared" si="19"/>
        <v/>
      </c>
      <c r="BM45" s="3">
        <f t="shared" si="38"/>
        <v>0</v>
      </c>
      <c r="BN45" s="97">
        <f t="shared" si="39"/>
        <v>0</v>
      </c>
      <c r="BO45" s="172" t="str">
        <f t="shared" si="20"/>
        <v/>
      </c>
      <c r="BP45" s="167"/>
      <c r="BQ45" s="168"/>
      <c r="BR45" s="170" t="str">
        <f t="shared" si="70"/>
        <v/>
      </c>
      <c r="BS45" s="167"/>
      <c r="BT45" s="168"/>
      <c r="BU45" s="170" t="str">
        <f t="shared" si="71"/>
        <v/>
      </c>
      <c r="BV45" s="3">
        <f t="shared" si="40"/>
        <v>0</v>
      </c>
      <c r="BW45" s="97">
        <f t="shared" si="72"/>
        <v>0</v>
      </c>
      <c r="BX45" s="172" t="str">
        <f t="shared" si="73"/>
        <v/>
      </c>
      <c r="BY45" s="167">
        <v>0</v>
      </c>
      <c r="BZ45" s="167">
        <v>0</v>
      </c>
      <c r="CA45" s="170" t="str">
        <f t="shared" si="74"/>
        <v/>
      </c>
      <c r="CB45" s="167">
        <v>0</v>
      </c>
      <c r="CC45" s="167">
        <v>0</v>
      </c>
      <c r="CD45" s="170" t="str">
        <f t="shared" si="75"/>
        <v/>
      </c>
      <c r="CE45" s="167"/>
      <c r="CF45" s="168"/>
      <c r="CG45" s="170" t="str">
        <f t="shared" si="76"/>
        <v/>
      </c>
      <c r="CH45" s="3">
        <f t="shared" si="77"/>
        <v>0</v>
      </c>
      <c r="CI45" s="97">
        <f t="shared" si="78"/>
        <v>0</v>
      </c>
      <c r="CJ45" s="172" t="str">
        <f t="shared" si="79"/>
        <v/>
      </c>
    </row>
    <row r="46" spans="1:88">
      <c r="A46" t="s">
        <v>179</v>
      </c>
      <c r="B46" t="s">
        <v>76</v>
      </c>
      <c r="C46" s="2">
        <f>VLOOKUP(A46,Dates!$B$2:$E$53,4,FALSE)</f>
        <v>42</v>
      </c>
      <c r="D46" s="168" t="b">
        <f>IF(C46&lt;='RDG Weekly Sales'!$F$1,TRUE,FALSE)</f>
        <v>0</v>
      </c>
      <c r="E46" s="167"/>
      <c r="F46" s="168"/>
      <c r="G46" s="170" t="str">
        <f t="shared" si="28"/>
        <v/>
      </c>
      <c r="H46" s="167"/>
      <c r="I46" s="168"/>
      <c r="J46" s="170" t="str">
        <f t="shared" si="0"/>
        <v/>
      </c>
      <c r="K46" s="3">
        <f t="shared" si="82"/>
        <v>0</v>
      </c>
      <c r="L46" s="97">
        <f t="shared" si="83"/>
        <v>0</v>
      </c>
      <c r="M46" s="172" t="str">
        <f t="shared" si="3"/>
        <v/>
      </c>
      <c r="N46" s="167"/>
      <c r="O46" s="168"/>
      <c r="P46" s="170" t="str">
        <f t="shared" si="4"/>
        <v/>
      </c>
      <c r="Q46" s="167"/>
      <c r="R46" s="168"/>
      <c r="S46" s="170" t="str">
        <f t="shared" si="5"/>
        <v/>
      </c>
      <c r="T46" s="167"/>
      <c r="U46" s="168"/>
      <c r="V46" s="170" t="str">
        <f t="shared" si="6"/>
        <v/>
      </c>
      <c r="W46" s="167">
        <f t="shared" si="29"/>
        <v>0</v>
      </c>
      <c r="X46" s="168">
        <f t="shared" si="30"/>
        <v>0</v>
      </c>
      <c r="Y46" s="172" t="str">
        <f t="shared" si="7"/>
        <v/>
      </c>
      <c r="Z46" s="167"/>
      <c r="AA46" s="168"/>
      <c r="AB46" s="170" t="str">
        <f t="shared" si="8"/>
        <v/>
      </c>
      <c r="AC46" s="167"/>
      <c r="AD46" s="168"/>
      <c r="AE46" s="170" t="str">
        <f t="shared" si="9"/>
        <v/>
      </c>
      <c r="AF46" s="167"/>
      <c r="AG46" s="168"/>
      <c r="AH46" s="170" t="str">
        <f t="shared" si="10"/>
        <v/>
      </c>
      <c r="AI46" s="3">
        <f t="shared" si="31"/>
        <v>0</v>
      </c>
      <c r="AJ46" s="97">
        <f t="shared" si="32"/>
        <v>0</v>
      </c>
      <c r="AK46" s="172" t="str">
        <f t="shared" si="11"/>
        <v/>
      </c>
      <c r="AL46" s="167"/>
      <c r="AM46" s="168"/>
      <c r="AN46" s="170" t="str">
        <f t="shared" si="12"/>
        <v/>
      </c>
      <c r="AO46" s="167"/>
      <c r="AP46" s="168"/>
      <c r="AQ46" s="170" t="str">
        <f t="shared" si="13"/>
        <v/>
      </c>
      <c r="AR46" s="3">
        <f t="shared" si="33"/>
        <v>0</v>
      </c>
      <c r="AS46" s="97">
        <f t="shared" si="34"/>
        <v>0</v>
      </c>
      <c r="AT46" s="172" t="str">
        <f t="shared" si="14"/>
        <v/>
      </c>
      <c r="AU46" s="167"/>
      <c r="AV46" s="168"/>
      <c r="AW46" s="170">
        <f t="shared" si="81"/>
        <v>0</v>
      </c>
      <c r="AX46" s="167"/>
      <c r="AY46" s="168"/>
      <c r="AZ46" s="170" t="str">
        <f t="shared" si="15"/>
        <v/>
      </c>
      <c r="BA46" s="3">
        <f t="shared" si="36"/>
        <v>0</v>
      </c>
      <c r="BB46" s="97">
        <f t="shared" si="37"/>
        <v>0</v>
      </c>
      <c r="BC46" s="172" t="str">
        <f t="shared" si="16"/>
        <v/>
      </c>
      <c r="BD46" s="167"/>
      <c r="BE46" s="168"/>
      <c r="BF46" s="170" t="str">
        <f t="shared" si="17"/>
        <v/>
      </c>
      <c r="BG46" s="167"/>
      <c r="BH46" s="168"/>
      <c r="BI46" s="170" t="str">
        <f t="shared" si="18"/>
        <v/>
      </c>
      <c r="BJ46" s="167"/>
      <c r="BK46" s="168"/>
      <c r="BL46" s="170" t="str">
        <f t="shared" si="19"/>
        <v/>
      </c>
      <c r="BM46" s="3">
        <f t="shared" si="38"/>
        <v>0</v>
      </c>
      <c r="BN46" s="97">
        <f t="shared" si="39"/>
        <v>0</v>
      </c>
      <c r="BO46" s="172" t="str">
        <f t="shared" si="20"/>
        <v/>
      </c>
      <c r="BP46" s="167"/>
      <c r="BQ46" s="168"/>
      <c r="BR46" s="170" t="str">
        <f t="shared" si="70"/>
        <v/>
      </c>
      <c r="BS46" s="167"/>
      <c r="BT46" s="168"/>
      <c r="BU46" s="170" t="str">
        <f t="shared" si="71"/>
        <v/>
      </c>
      <c r="BV46" s="3">
        <f t="shared" si="40"/>
        <v>0</v>
      </c>
      <c r="BW46" s="97">
        <f t="shared" si="72"/>
        <v>0</v>
      </c>
      <c r="BX46" s="172" t="str">
        <f t="shared" si="73"/>
        <v/>
      </c>
      <c r="BY46" s="167">
        <v>0</v>
      </c>
      <c r="BZ46" s="167">
        <v>0</v>
      </c>
      <c r="CA46" s="170" t="str">
        <f t="shared" si="74"/>
        <v/>
      </c>
      <c r="CB46" s="167">
        <v>0</v>
      </c>
      <c r="CC46" s="167">
        <v>0</v>
      </c>
      <c r="CD46" s="170" t="str">
        <f t="shared" si="75"/>
        <v/>
      </c>
      <c r="CE46" s="167"/>
      <c r="CF46" s="168"/>
      <c r="CG46" s="170" t="str">
        <f t="shared" si="76"/>
        <v/>
      </c>
      <c r="CH46" s="3">
        <f t="shared" si="77"/>
        <v>0</v>
      </c>
      <c r="CI46" s="97">
        <f t="shared" si="78"/>
        <v>0</v>
      </c>
      <c r="CJ46" s="172" t="str">
        <f t="shared" si="79"/>
        <v/>
      </c>
    </row>
    <row r="47" spans="1:88">
      <c r="A47" t="s">
        <v>180</v>
      </c>
      <c r="B47" t="s">
        <v>76</v>
      </c>
      <c r="C47" s="2">
        <f>VLOOKUP(A47,Dates!$B$2:$E$53,4,FALSE)</f>
        <v>43</v>
      </c>
      <c r="D47" s="168" t="b">
        <f>IF(C47&lt;='RDG Weekly Sales'!$F$1,TRUE,FALSE)</f>
        <v>0</v>
      </c>
      <c r="E47" s="167"/>
      <c r="F47" s="168"/>
      <c r="G47" s="170" t="str">
        <f t="shared" si="28"/>
        <v/>
      </c>
      <c r="H47" s="167"/>
      <c r="I47" s="168"/>
      <c r="J47" s="170" t="str">
        <f t="shared" si="0"/>
        <v/>
      </c>
      <c r="K47" s="3">
        <f t="shared" si="82"/>
        <v>0</v>
      </c>
      <c r="L47" s="97">
        <f t="shared" si="83"/>
        <v>0</v>
      </c>
      <c r="M47" s="172" t="str">
        <f t="shared" si="3"/>
        <v/>
      </c>
      <c r="N47" s="167"/>
      <c r="O47" s="168"/>
      <c r="P47" s="170" t="str">
        <f t="shared" si="4"/>
        <v/>
      </c>
      <c r="Q47" s="167"/>
      <c r="R47" s="168"/>
      <c r="S47" s="170" t="str">
        <f t="shared" si="5"/>
        <v/>
      </c>
      <c r="T47" s="167"/>
      <c r="U47" s="168"/>
      <c r="V47" s="170" t="str">
        <f t="shared" si="6"/>
        <v/>
      </c>
      <c r="W47" s="167">
        <f t="shared" si="29"/>
        <v>0</v>
      </c>
      <c r="X47" s="168">
        <f t="shared" si="30"/>
        <v>0</v>
      </c>
      <c r="Y47" s="172" t="str">
        <f t="shared" si="7"/>
        <v/>
      </c>
      <c r="Z47" s="167"/>
      <c r="AA47" s="168"/>
      <c r="AB47" s="170" t="str">
        <f t="shared" si="8"/>
        <v/>
      </c>
      <c r="AC47" s="167"/>
      <c r="AD47" s="168"/>
      <c r="AE47" s="170" t="str">
        <f t="shared" si="9"/>
        <v/>
      </c>
      <c r="AF47" s="167"/>
      <c r="AG47" s="168"/>
      <c r="AH47" s="170" t="str">
        <f t="shared" si="10"/>
        <v/>
      </c>
      <c r="AI47" s="3">
        <f t="shared" si="31"/>
        <v>0</v>
      </c>
      <c r="AJ47" s="97">
        <f t="shared" si="32"/>
        <v>0</v>
      </c>
      <c r="AK47" s="172" t="str">
        <f t="shared" si="11"/>
        <v/>
      </c>
      <c r="AL47" s="167"/>
      <c r="AM47" s="168"/>
      <c r="AN47" s="170" t="str">
        <f t="shared" si="12"/>
        <v/>
      </c>
      <c r="AO47" s="167"/>
      <c r="AP47" s="168"/>
      <c r="AQ47" s="170" t="str">
        <f t="shared" si="13"/>
        <v/>
      </c>
      <c r="AR47" s="3">
        <f t="shared" si="33"/>
        <v>0</v>
      </c>
      <c r="AS47" s="97">
        <f t="shared" si="34"/>
        <v>0</v>
      </c>
      <c r="AT47" s="172" t="str">
        <f t="shared" si="14"/>
        <v/>
      </c>
      <c r="AU47" s="167"/>
      <c r="AV47" s="168"/>
      <c r="AW47" s="170">
        <f t="shared" si="81"/>
        <v>0</v>
      </c>
      <c r="AX47" s="167"/>
      <c r="AY47" s="168"/>
      <c r="AZ47" s="170" t="str">
        <f t="shared" si="15"/>
        <v/>
      </c>
      <c r="BA47" s="3">
        <f t="shared" si="36"/>
        <v>0</v>
      </c>
      <c r="BB47" s="97">
        <f t="shared" si="37"/>
        <v>0</v>
      </c>
      <c r="BC47" s="172" t="str">
        <f t="shared" si="16"/>
        <v/>
      </c>
      <c r="BD47" s="167"/>
      <c r="BE47" s="168"/>
      <c r="BF47" s="170" t="str">
        <f t="shared" si="17"/>
        <v/>
      </c>
      <c r="BG47" s="167"/>
      <c r="BH47" s="168"/>
      <c r="BI47" s="170" t="str">
        <f t="shared" si="18"/>
        <v/>
      </c>
      <c r="BJ47" s="167"/>
      <c r="BK47" s="168"/>
      <c r="BL47" s="170" t="str">
        <f t="shared" si="19"/>
        <v/>
      </c>
      <c r="BM47" s="3">
        <f t="shared" si="38"/>
        <v>0</v>
      </c>
      <c r="BN47" s="97">
        <f t="shared" si="39"/>
        <v>0</v>
      </c>
      <c r="BO47" s="172" t="str">
        <f t="shared" si="20"/>
        <v/>
      </c>
      <c r="BP47" s="167"/>
      <c r="BQ47" s="168"/>
      <c r="BR47" s="170" t="str">
        <f t="shared" si="70"/>
        <v/>
      </c>
      <c r="BS47" s="167"/>
      <c r="BT47" s="168"/>
      <c r="BU47" s="170" t="str">
        <f t="shared" si="71"/>
        <v/>
      </c>
      <c r="BV47" s="3">
        <f t="shared" si="40"/>
        <v>0</v>
      </c>
      <c r="BW47" s="97">
        <f t="shared" si="72"/>
        <v>0</v>
      </c>
      <c r="BX47" s="172" t="str">
        <f t="shared" si="73"/>
        <v/>
      </c>
      <c r="BY47" s="167">
        <v>0</v>
      </c>
      <c r="BZ47" s="167">
        <v>0</v>
      </c>
      <c r="CA47" s="170" t="str">
        <f t="shared" si="74"/>
        <v/>
      </c>
      <c r="CB47" s="167">
        <v>0</v>
      </c>
      <c r="CC47" s="167">
        <v>0</v>
      </c>
      <c r="CD47" s="170" t="str">
        <f t="shared" si="75"/>
        <v/>
      </c>
      <c r="CE47" s="167"/>
      <c r="CF47" s="168"/>
      <c r="CG47" s="170" t="str">
        <f t="shared" si="76"/>
        <v/>
      </c>
      <c r="CH47" s="3">
        <f t="shared" si="77"/>
        <v>0</v>
      </c>
      <c r="CI47" s="97">
        <f t="shared" si="78"/>
        <v>0</v>
      </c>
      <c r="CJ47" s="172" t="str">
        <f t="shared" si="79"/>
        <v/>
      </c>
    </row>
    <row r="48" spans="1:88">
      <c r="A48" t="s">
        <v>183</v>
      </c>
      <c r="B48" t="s">
        <v>182</v>
      </c>
      <c r="C48" s="2">
        <f>VLOOKUP(A48,Dates!$B$2:$E$53,4,FALSE)</f>
        <v>44</v>
      </c>
      <c r="D48" s="168" t="b">
        <f>IF(C48&lt;='RDG Weekly Sales'!$F$1,TRUE,FALSE)</f>
        <v>0</v>
      </c>
      <c r="E48" s="167"/>
      <c r="F48" s="168"/>
      <c r="G48" s="170" t="str">
        <f t="shared" si="28"/>
        <v/>
      </c>
      <c r="H48" s="167"/>
      <c r="I48" s="168"/>
      <c r="J48" s="170" t="str">
        <f t="shared" si="0"/>
        <v/>
      </c>
      <c r="K48" s="3">
        <f t="shared" si="82"/>
        <v>0</v>
      </c>
      <c r="L48" s="97">
        <f t="shared" si="83"/>
        <v>0</v>
      </c>
      <c r="M48" s="172" t="str">
        <f t="shared" si="3"/>
        <v/>
      </c>
      <c r="N48" s="167"/>
      <c r="O48" s="168"/>
      <c r="P48" s="170" t="str">
        <f t="shared" si="4"/>
        <v/>
      </c>
      <c r="Q48" s="167"/>
      <c r="R48" s="168"/>
      <c r="S48" s="170" t="str">
        <f t="shared" si="5"/>
        <v/>
      </c>
      <c r="T48" s="167"/>
      <c r="U48" s="168"/>
      <c r="V48" s="170" t="str">
        <f t="shared" si="6"/>
        <v/>
      </c>
      <c r="W48" s="167">
        <f t="shared" si="29"/>
        <v>0</v>
      </c>
      <c r="X48" s="168">
        <f t="shared" si="30"/>
        <v>0</v>
      </c>
      <c r="Y48" s="172" t="str">
        <f t="shared" si="7"/>
        <v/>
      </c>
      <c r="Z48" s="167"/>
      <c r="AA48" s="168"/>
      <c r="AB48" s="170" t="str">
        <f t="shared" si="8"/>
        <v/>
      </c>
      <c r="AC48" s="167"/>
      <c r="AD48" s="168"/>
      <c r="AE48" s="170" t="str">
        <f t="shared" si="9"/>
        <v/>
      </c>
      <c r="AF48" s="167"/>
      <c r="AG48" s="168"/>
      <c r="AH48" s="170" t="str">
        <f t="shared" si="10"/>
        <v/>
      </c>
      <c r="AI48" s="3">
        <f t="shared" si="31"/>
        <v>0</v>
      </c>
      <c r="AJ48" s="97">
        <f t="shared" si="32"/>
        <v>0</v>
      </c>
      <c r="AK48" s="172" t="str">
        <f t="shared" si="11"/>
        <v/>
      </c>
      <c r="AL48" s="167"/>
      <c r="AM48" s="168"/>
      <c r="AN48" s="170" t="str">
        <f t="shared" si="12"/>
        <v/>
      </c>
      <c r="AO48" s="167"/>
      <c r="AP48" s="168"/>
      <c r="AQ48" s="170" t="str">
        <f t="shared" si="13"/>
        <v/>
      </c>
      <c r="AR48" s="3">
        <f t="shared" si="33"/>
        <v>0</v>
      </c>
      <c r="AS48" s="97">
        <f t="shared" si="34"/>
        <v>0</v>
      </c>
      <c r="AT48" s="172" t="str">
        <f t="shared" si="14"/>
        <v/>
      </c>
      <c r="AU48" s="167"/>
      <c r="AV48" s="168"/>
      <c r="AW48" s="170">
        <f t="shared" si="81"/>
        <v>0</v>
      </c>
      <c r="AX48" s="167"/>
      <c r="AY48" s="168"/>
      <c r="AZ48" s="170" t="str">
        <f t="shared" si="15"/>
        <v/>
      </c>
      <c r="BA48" s="3">
        <f t="shared" si="36"/>
        <v>0</v>
      </c>
      <c r="BB48" s="97">
        <f t="shared" si="37"/>
        <v>0</v>
      </c>
      <c r="BC48" s="172" t="str">
        <f t="shared" si="16"/>
        <v/>
      </c>
      <c r="BD48" s="167"/>
      <c r="BE48" s="168"/>
      <c r="BF48" s="170" t="str">
        <f t="shared" si="17"/>
        <v/>
      </c>
      <c r="BG48" s="167"/>
      <c r="BH48" s="168"/>
      <c r="BI48" s="170" t="str">
        <f t="shared" si="18"/>
        <v/>
      </c>
      <c r="BJ48" s="167"/>
      <c r="BK48" s="168"/>
      <c r="BL48" s="170" t="str">
        <f t="shared" si="19"/>
        <v/>
      </c>
      <c r="BM48" s="3">
        <f t="shared" si="38"/>
        <v>0</v>
      </c>
      <c r="BN48" s="97">
        <f t="shared" si="39"/>
        <v>0</v>
      </c>
      <c r="BO48" s="172" t="str">
        <f t="shared" si="20"/>
        <v/>
      </c>
      <c r="BP48" s="167"/>
      <c r="BQ48" s="168"/>
      <c r="BR48" s="170" t="str">
        <f t="shared" si="70"/>
        <v/>
      </c>
      <c r="BS48" s="167"/>
      <c r="BT48" s="168"/>
      <c r="BU48" s="170" t="str">
        <f t="shared" si="71"/>
        <v/>
      </c>
      <c r="BV48" s="3">
        <f t="shared" si="40"/>
        <v>0</v>
      </c>
      <c r="BW48" s="97">
        <f t="shared" si="72"/>
        <v>0</v>
      </c>
      <c r="BX48" s="172" t="str">
        <f t="shared" si="73"/>
        <v/>
      </c>
      <c r="BY48" s="167">
        <v>0</v>
      </c>
      <c r="BZ48" s="167">
        <v>0</v>
      </c>
      <c r="CA48" s="170" t="str">
        <f t="shared" si="74"/>
        <v/>
      </c>
      <c r="CB48" s="167">
        <v>0</v>
      </c>
      <c r="CC48" s="167">
        <v>0</v>
      </c>
      <c r="CD48" s="170" t="str">
        <f t="shared" si="75"/>
        <v/>
      </c>
      <c r="CE48" s="167"/>
      <c r="CF48" s="168"/>
      <c r="CG48" s="170" t="str">
        <f t="shared" si="76"/>
        <v/>
      </c>
      <c r="CH48" s="3">
        <f t="shared" si="77"/>
        <v>0</v>
      </c>
      <c r="CI48" s="97">
        <f t="shared" si="78"/>
        <v>0</v>
      </c>
      <c r="CJ48" s="172" t="str">
        <f t="shared" si="79"/>
        <v/>
      </c>
    </row>
    <row r="49" spans="1:88">
      <c r="A49" t="s">
        <v>184</v>
      </c>
      <c r="B49" t="s">
        <v>182</v>
      </c>
      <c r="C49" s="2">
        <f>VLOOKUP(A49,Dates!$B$2:$E$53,4,FALSE)</f>
        <v>45</v>
      </c>
      <c r="D49" s="168" t="b">
        <f>IF(C49&lt;='RDG Weekly Sales'!$F$1,TRUE,FALSE)</f>
        <v>0</v>
      </c>
      <c r="E49" s="167"/>
      <c r="F49" s="168"/>
      <c r="G49" s="170" t="str">
        <f t="shared" si="28"/>
        <v/>
      </c>
      <c r="H49" s="167"/>
      <c r="I49" s="168"/>
      <c r="J49" s="170" t="str">
        <f t="shared" si="0"/>
        <v/>
      </c>
      <c r="K49" s="3">
        <f t="shared" si="82"/>
        <v>0</v>
      </c>
      <c r="L49" s="97">
        <f t="shared" si="83"/>
        <v>0</v>
      </c>
      <c r="M49" s="172" t="str">
        <f t="shared" si="3"/>
        <v/>
      </c>
      <c r="N49" s="167"/>
      <c r="O49" s="168"/>
      <c r="P49" s="170" t="str">
        <f t="shared" si="4"/>
        <v/>
      </c>
      <c r="Q49" s="167"/>
      <c r="R49" s="168"/>
      <c r="S49" s="170" t="str">
        <f t="shared" si="5"/>
        <v/>
      </c>
      <c r="T49" s="167"/>
      <c r="U49" s="168"/>
      <c r="V49" s="170" t="str">
        <f t="shared" si="6"/>
        <v/>
      </c>
      <c r="W49" s="167">
        <f t="shared" si="29"/>
        <v>0</v>
      </c>
      <c r="X49" s="168">
        <f t="shared" si="30"/>
        <v>0</v>
      </c>
      <c r="Y49" s="172" t="str">
        <f t="shared" si="7"/>
        <v/>
      </c>
      <c r="Z49" s="167"/>
      <c r="AA49" s="168"/>
      <c r="AB49" s="170" t="str">
        <f t="shared" si="8"/>
        <v/>
      </c>
      <c r="AC49" s="167"/>
      <c r="AD49" s="168"/>
      <c r="AE49" s="170" t="str">
        <f t="shared" si="9"/>
        <v/>
      </c>
      <c r="AF49" s="167"/>
      <c r="AG49" s="168"/>
      <c r="AH49" s="170" t="str">
        <f t="shared" si="10"/>
        <v/>
      </c>
      <c r="AI49" s="3">
        <f t="shared" si="31"/>
        <v>0</v>
      </c>
      <c r="AJ49" s="97">
        <f t="shared" si="32"/>
        <v>0</v>
      </c>
      <c r="AK49" s="172" t="str">
        <f t="shared" si="11"/>
        <v/>
      </c>
      <c r="AL49" s="167"/>
      <c r="AM49" s="168"/>
      <c r="AN49" s="170" t="str">
        <f t="shared" si="12"/>
        <v/>
      </c>
      <c r="AO49" s="167"/>
      <c r="AP49" s="168"/>
      <c r="AQ49" s="170" t="str">
        <f t="shared" si="13"/>
        <v/>
      </c>
      <c r="AR49" s="3">
        <f t="shared" si="33"/>
        <v>0</v>
      </c>
      <c r="AS49" s="97">
        <f t="shared" si="34"/>
        <v>0</v>
      </c>
      <c r="AT49" s="172" t="str">
        <f t="shared" si="14"/>
        <v/>
      </c>
      <c r="AU49" s="167"/>
      <c r="AV49" s="168"/>
      <c r="AW49" s="170">
        <f t="shared" si="81"/>
        <v>0</v>
      </c>
      <c r="AX49" s="167"/>
      <c r="AY49" s="168"/>
      <c r="AZ49" s="170" t="str">
        <f t="shared" si="15"/>
        <v/>
      </c>
      <c r="BA49" s="3">
        <f t="shared" si="36"/>
        <v>0</v>
      </c>
      <c r="BB49" s="97">
        <f t="shared" si="37"/>
        <v>0</v>
      </c>
      <c r="BC49" s="172" t="str">
        <f t="shared" si="16"/>
        <v/>
      </c>
      <c r="BD49" s="167"/>
      <c r="BE49" s="168"/>
      <c r="BF49" s="170" t="str">
        <f t="shared" si="17"/>
        <v/>
      </c>
      <c r="BG49" s="167"/>
      <c r="BH49" s="168"/>
      <c r="BI49" s="170" t="str">
        <f t="shared" si="18"/>
        <v/>
      </c>
      <c r="BJ49" s="167"/>
      <c r="BK49" s="168"/>
      <c r="BL49" s="170" t="str">
        <f t="shared" si="19"/>
        <v/>
      </c>
      <c r="BM49" s="3">
        <f t="shared" si="38"/>
        <v>0</v>
      </c>
      <c r="BN49" s="97">
        <f t="shared" si="39"/>
        <v>0</v>
      </c>
      <c r="BO49" s="172" t="str">
        <f t="shared" si="20"/>
        <v/>
      </c>
      <c r="BP49" s="167"/>
      <c r="BQ49" s="168"/>
      <c r="BR49" s="170" t="str">
        <f t="shared" si="70"/>
        <v/>
      </c>
      <c r="BS49" s="167"/>
      <c r="BT49" s="168"/>
      <c r="BU49" s="170" t="str">
        <f t="shared" si="71"/>
        <v/>
      </c>
      <c r="BV49" s="3">
        <f t="shared" si="40"/>
        <v>0</v>
      </c>
      <c r="BW49" s="97">
        <f t="shared" si="72"/>
        <v>0</v>
      </c>
      <c r="BX49" s="172" t="str">
        <f t="shared" si="73"/>
        <v/>
      </c>
      <c r="BY49" s="167">
        <v>0</v>
      </c>
      <c r="BZ49" s="167">
        <v>0</v>
      </c>
      <c r="CA49" s="170" t="str">
        <f t="shared" si="74"/>
        <v/>
      </c>
      <c r="CB49" s="167">
        <v>0</v>
      </c>
      <c r="CC49" s="167">
        <v>0</v>
      </c>
      <c r="CD49" s="170" t="str">
        <f t="shared" si="75"/>
        <v/>
      </c>
      <c r="CE49" s="167"/>
      <c r="CF49" s="168"/>
      <c r="CG49" s="170" t="str">
        <f t="shared" si="76"/>
        <v/>
      </c>
      <c r="CH49" s="3">
        <f t="shared" si="77"/>
        <v>0</v>
      </c>
      <c r="CI49" s="97">
        <f t="shared" si="78"/>
        <v>0</v>
      </c>
      <c r="CJ49" s="172" t="str">
        <f t="shared" si="79"/>
        <v/>
      </c>
    </row>
    <row r="50" spans="1:88">
      <c r="A50" t="s">
        <v>185</v>
      </c>
      <c r="B50" t="s">
        <v>182</v>
      </c>
      <c r="C50" s="2">
        <f>VLOOKUP(A50,Dates!$B$2:$E$53,4,FALSE)</f>
        <v>46</v>
      </c>
      <c r="D50" s="168" t="b">
        <f>IF(C50&lt;='RDG Weekly Sales'!$F$1,TRUE,FALSE)</f>
        <v>0</v>
      </c>
      <c r="E50" s="167"/>
      <c r="F50" s="168"/>
      <c r="G50" s="170" t="str">
        <f t="shared" si="28"/>
        <v/>
      </c>
      <c r="H50" s="167"/>
      <c r="I50" s="168"/>
      <c r="J50" s="170" t="str">
        <f t="shared" si="0"/>
        <v/>
      </c>
      <c r="K50" s="3">
        <f t="shared" si="82"/>
        <v>0</v>
      </c>
      <c r="L50" s="97">
        <f t="shared" si="83"/>
        <v>0</v>
      </c>
      <c r="M50" s="172" t="str">
        <f t="shared" si="3"/>
        <v/>
      </c>
      <c r="N50" s="167"/>
      <c r="O50" s="168"/>
      <c r="P50" s="170" t="str">
        <f t="shared" si="4"/>
        <v/>
      </c>
      <c r="Q50" s="167"/>
      <c r="R50" s="168"/>
      <c r="S50" s="170" t="str">
        <f t="shared" si="5"/>
        <v/>
      </c>
      <c r="T50" s="167"/>
      <c r="U50" s="168"/>
      <c r="V50" s="170" t="str">
        <f t="shared" si="6"/>
        <v/>
      </c>
      <c r="W50" s="167">
        <f t="shared" si="29"/>
        <v>0</v>
      </c>
      <c r="X50" s="168">
        <f t="shared" si="30"/>
        <v>0</v>
      </c>
      <c r="Y50" s="172" t="str">
        <f t="shared" si="7"/>
        <v/>
      </c>
      <c r="Z50" s="167"/>
      <c r="AA50" s="168"/>
      <c r="AB50" s="170" t="str">
        <f t="shared" si="8"/>
        <v/>
      </c>
      <c r="AC50" s="167"/>
      <c r="AD50" s="168"/>
      <c r="AE50" s="170" t="str">
        <f t="shared" si="9"/>
        <v/>
      </c>
      <c r="AF50" s="167"/>
      <c r="AG50" s="168"/>
      <c r="AH50" s="170" t="str">
        <f t="shared" si="10"/>
        <v/>
      </c>
      <c r="AI50" s="3">
        <f t="shared" si="31"/>
        <v>0</v>
      </c>
      <c r="AJ50" s="97">
        <f t="shared" si="32"/>
        <v>0</v>
      </c>
      <c r="AK50" s="172" t="str">
        <f t="shared" si="11"/>
        <v/>
      </c>
      <c r="AL50" s="167"/>
      <c r="AM50" s="168"/>
      <c r="AN50" s="170" t="str">
        <f t="shared" si="12"/>
        <v/>
      </c>
      <c r="AO50" s="167"/>
      <c r="AP50" s="168"/>
      <c r="AQ50" s="170" t="str">
        <f t="shared" si="13"/>
        <v/>
      </c>
      <c r="AR50" s="3">
        <f t="shared" si="33"/>
        <v>0</v>
      </c>
      <c r="AS50" s="97">
        <f t="shared" si="34"/>
        <v>0</v>
      </c>
      <c r="AT50" s="172" t="str">
        <f t="shared" si="14"/>
        <v/>
      </c>
      <c r="AU50" s="167"/>
      <c r="AV50" s="168"/>
      <c r="AW50" s="170">
        <f t="shared" si="81"/>
        <v>0</v>
      </c>
      <c r="AX50" s="167"/>
      <c r="AY50" s="168"/>
      <c r="AZ50" s="170" t="str">
        <f t="shared" si="15"/>
        <v/>
      </c>
      <c r="BA50" s="3">
        <f t="shared" si="36"/>
        <v>0</v>
      </c>
      <c r="BB50" s="97">
        <f t="shared" si="37"/>
        <v>0</v>
      </c>
      <c r="BC50" s="172" t="str">
        <f t="shared" si="16"/>
        <v/>
      </c>
      <c r="BD50" s="167"/>
      <c r="BE50" s="168"/>
      <c r="BF50" s="170" t="str">
        <f t="shared" si="17"/>
        <v/>
      </c>
      <c r="BG50" s="167"/>
      <c r="BH50" s="168"/>
      <c r="BI50" s="170" t="str">
        <f t="shared" si="18"/>
        <v/>
      </c>
      <c r="BJ50" s="167"/>
      <c r="BK50" s="168"/>
      <c r="BL50" s="170" t="str">
        <f t="shared" si="19"/>
        <v/>
      </c>
      <c r="BM50" s="3">
        <f t="shared" si="38"/>
        <v>0</v>
      </c>
      <c r="BN50" s="97">
        <f t="shared" si="39"/>
        <v>0</v>
      </c>
      <c r="BO50" s="172" t="str">
        <f t="shared" si="20"/>
        <v/>
      </c>
      <c r="BP50" s="167"/>
      <c r="BQ50" s="168"/>
      <c r="BR50" s="170" t="str">
        <f t="shared" si="70"/>
        <v/>
      </c>
      <c r="BS50" s="167"/>
      <c r="BT50" s="168"/>
      <c r="BU50" s="170" t="str">
        <f t="shared" si="71"/>
        <v/>
      </c>
      <c r="BV50" s="3">
        <f t="shared" si="40"/>
        <v>0</v>
      </c>
      <c r="BW50" s="97">
        <f t="shared" si="72"/>
        <v>0</v>
      </c>
      <c r="BX50" s="172" t="str">
        <f t="shared" si="73"/>
        <v/>
      </c>
      <c r="BY50" s="167">
        <v>0</v>
      </c>
      <c r="BZ50" s="167">
        <v>0</v>
      </c>
      <c r="CA50" s="170" t="str">
        <f t="shared" si="74"/>
        <v/>
      </c>
      <c r="CB50" s="167">
        <v>0</v>
      </c>
      <c r="CC50" s="167">
        <v>0</v>
      </c>
      <c r="CD50" s="170" t="str">
        <f t="shared" si="75"/>
        <v/>
      </c>
      <c r="CE50" s="167"/>
      <c r="CF50" s="168"/>
      <c r="CG50" s="170" t="str">
        <f t="shared" si="76"/>
        <v/>
      </c>
      <c r="CH50" s="3">
        <f t="shared" si="77"/>
        <v>0</v>
      </c>
      <c r="CI50" s="97">
        <f t="shared" si="78"/>
        <v>0</v>
      </c>
      <c r="CJ50" s="172" t="str">
        <f t="shared" si="79"/>
        <v/>
      </c>
    </row>
    <row r="51" spans="1:88">
      <c r="A51" t="s">
        <v>186</v>
      </c>
      <c r="B51" t="s">
        <v>182</v>
      </c>
      <c r="C51" s="2">
        <f>VLOOKUP(A51,Dates!$B$2:$E$53,4,FALSE)</f>
        <v>47</v>
      </c>
      <c r="D51" s="168" t="b">
        <f>IF(C51&lt;='RDG Weekly Sales'!$F$1,TRUE,FALSE)</f>
        <v>0</v>
      </c>
      <c r="E51" s="167"/>
      <c r="F51" s="168"/>
      <c r="G51" s="170" t="str">
        <f t="shared" si="28"/>
        <v/>
      </c>
      <c r="H51" s="167"/>
      <c r="I51" s="168"/>
      <c r="J51" s="170" t="str">
        <f t="shared" si="0"/>
        <v/>
      </c>
      <c r="K51" s="3">
        <f t="shared" si="82"/>
        <v>0</v>
      </c>
      <c r="L51" s="97">
        <f t="shared" si="83"/>
        <v>0</v>
      </c>
      <c r="M51" s="172" t="str">
        <f t="shared" si="3"/>
        <v/>
      </c>
      <c r="N51" s="167"/>
      <c r="O51" s="168"/>
      <c r="P51" s="170" t="str">
        <f t="shared" si="4"/>
        <v/>
      </c>
      <c r="Q51" s="167"/>
      <c r="R51" s="168"/>
      <c r="S51" s="170" t="str">
        <f t="shared" si="5"/>
        <v/>
      </c>
      <c r="T51" s="167"/>
      <c r="U51" s="168"/>
      <c r="V51" s="170" t="str">
        <f t="shared" si="6"/>
        <v/>
      </c>
      <c r="W51" s="167">
        <f t="shared" si="29"/>
        <v>0</v>
      </c>
      <c r="X51" s="168">
        <f t="shared" si="30"/>
        <v>0</v>
      </c>
      <c r="Y51" s="172" t="str">
        <f t="shared" si="7"/>
        <v/>
      </c>
      <c r="Z51" s="167"/>
      <c r="AA51" s="168"/>
      <c r="AB51" s="170" t="str">
        <f t="shared" si="8"/>
        <v/>
      </c>
      <c r="AC51" s="167"/>
      <c r="AD51" s="168"/>
      <c r="AE51" s="170" t="str">
        <f t="shared" si="9"/>
        <v/>
      </c>
      <c r="AF51" s="167"/>
      <c r="AG51" s="168"/>
      <c r="AH51" s="170" t="str">
        <f t="shared" si="10"/>
        <v/>
      </c>
      <c r="AI51" s="3">
        <f t="shared" si="31"/>
        <v>0</v>
      </c>
      <c r="AJ51" s="97">
        <f t="shared" si="32"/>
        <v>0</v>
      </c>
      <c r="AK51" s="172" t="str">
        <f t="shared" si="11"/>
        <v/>
      </c>
      <c r="AL51" s="167"/>
      <c r="AM51" s="168"/>
      <c r="AN51" s="170" t="str">
        <f t="shared" si="12"/>
        <v/>
      </c>
      <c r="AO51" s="167"/>
      <c r="AP51" s="168"/>
      <c r="AQ51" s="170" t="str">
        <f t="shared" si="13"/>
        <v/>
      </c>
      <c r="AR51" s="3">
        <f t="shared" si="33"/>
        <v>0</v>
      </c>
      <c r="AS51" s="97">
        <f t="shared" si="34"/>
        <v>0</v>
      </c>
      <c r="AT51" s="172" t="str">
        <f t="shared" si="14"/>
        <v/>
      </c>
      <c r="AU51" s="167"/>
      <c r="AV51" s="168"/>
      <c r="AW51" s="170">
        <f t="shared" si="81"/>
        <v>0</v>
      </c>
      <c r="AX51" s="167"/>
      <c r="AY51" s="168"/>
      <c r="AZ51" s="170" t="str">
        <f t="shared" si="15"/>
        <v/>
      </c>
      <c r="BA51" s="3">
        <f t="shared" si="36"/>
        <v>0</v>
      </c>
      <c r="BB51" s="97">
        <f t="shared" si="37"/>
        <v>0</v>
      </c>
      <c r="BC51" s="172" t="str">
        <f t="shared" si="16"/>
        <v/>
      </c>
      <c r="BD51" s="167"/>
      <c r="BE51" s="168"/>
      <c r="BF51" s="170" t="str">
        <f t="shared" si="17"/>
        <v/>
      </c>
      <c r="BG51" s="167"/>
      <c r="BH51" s="168"/>
      <c r="BI51" s="170" t="str">
        <f t="shared" si="18"/>
        <v/>
      </c>
      <c r="BJ51" s="167"/>
      <c r="BK51" s="168"/>
      <c r="BL51" s="170" t="str">
        <f t="shared" si="19"/>
        <v/>
      </c>
      <c r="BM51" s="3">
        <f t="shared" si="38"/>
        <v>0</v>
      </c>
      <c r="BN51" s="97">
        <f t="shared" si="39"/>
        <v>0</v>
      </c>
      <c r="BO51" s="172" t="str">
        <f t="shared" si="20"/>
        <v/>
      </c>
      <c r="BP51" s="167"/>
      <c r="BQ51" s="168"/>
      <c r="BR51" s="170" t="str">
        <f t="shared" si="70"/>
        <v/>
      </c>
      <c r="BS51" s="167"/>
      <c r="BT51" s="168"/>
      <c r="BU51" s="170" t="str">
        <f t="shared" si="71"/>
        <v/>
      </c>
      <c r="BV51" s="3">
        <f t="shared" si="40"/>
        <v>0</v>
      </c>
      <c r="BW51" s="97">
        <f t="shared" si="72"/>
        <v>0</v>
      </c>
      <c r="BX51" s="172" t="str">
        <f t="shared" si="73"/>
        <v/>
      </c>
      <c r="BY51" s="167">
        <v>0</v>
      </c>
      <c r="BZ51" s="167">
        <v>0</v>
      </c>
      <c r="CA51" s="170" t="str">
        <f t="shared" si="74"/>
        <v/>
      </c>
      <c r="CB51" s="167">
        <v>0</v>
      </c>
      <c r="CC51" s="167">
        <v>0</v>
      </c>
      <c r="CD51" s="170" t="str">
        <f t="shared" si="75"/>
        <v/>
      </c>
      <c r="CE51" s="167"/>
      <c r="CF51" s="168"/>
      <c r="CG51" s="170" t="str">
        <f t="shared" si="76"/>
        <v/>
      </c>
      <c r="CH51" s="3">
        <f t="shared" si="77"/>
        <v>0</v>
      </c>
      <c r="CI51" s="97">
        <f t="shared" si="78"/>
        <v>0</v>
      </c>
      <c r="CJ51" s="172" t="str">
        <f t="shared" si="79"/>
        <v/>
      </c>
    </row>
    <row r="52" spans="1:88">
      <c r="A52" t="s">
        <v>189</v>
      </c>
      <c r="B52" t="s">
        <v>188</v>
      </c>
      <c r="C52" s="2">
        <f>VLOOKUP(A52,Dates!$B$2:$E$53,4,FALSE)</f>
        <v>48</v>
      </c>
      <c r="D52" s="168" t="b">
        <f>IF(C52&lt;='RDG Weekly Sales'!$F$1,TRUE,FALSE)</f>
        <v>0</v>
      </c>
      <c r="E52" s="167"/>
      <c r="F52" s="168"/>
      <c r="G52" s="170" t="str">
        <f t="shared" si="28"/>
        <v/>
      </c>
      <c r="H52" s="167"/>
      <c r="I52" s="168"/>
      <c r="J52" s="170" t="str">
        <f t="shared" si="0"/>
        <v/>
      </c>
      <c r="K52" s="3">
        <f t="shared" si="82"/>
        <v>0</v>
      </c>
      <c r="L52" s="97">
        <f t="shared" si="83"/>
        <v>0</v>
      </c>
      <c r="M52" s="172" t="str">
        <f t="shared" si="3"/>
        <v/>
      </c>
      <c r="N52" s="167"/>
      <c r="O52" s="168"/>
      <c r="P52" s="170" t="str">
        <f t="shared" si="4"/>
        <v/>
      </c>
      <c r="Q52" s="167"/>
      <c r="R52" s="168"/>
      <c r="S52" s="170" t="str">
        <f t="shared" si="5"/>
        <v/>
      </c>
      <c r="T52" s="167"/>
      <c r="U52" s="168"/>
      <c r="V52" s="170" t="str">
        <f t="shared" si="6"/>
        <v/>
      </c>
      <c r="W52" s="167">
        <f t="shared" si="29"/>
        <v>0</v>
      </c>
      <c r="X52" s="168">
        <f t="shared" si="30"/>
        <v>0</v>
      </c>
      <c r="Y52" s="172" t="str">
        <f t="shared" si="7"/>
        <v/>
      </c>
      <c r="Z52" s="167"/>
      <c r="AA52" s="168"/>
      <c r="AB52" s="170" t="str">
        <f t="shared" si="8"/>
        <v/>
      </c>
      <c r="AC52" s="167"/>
      <c r="AD52" s="168"/>
      <c r="AE52" s="170" t="str">
        <f t="shared" si="9"/>
        <v/>
      </c>
      <c r="AF52" s="167"/>
      <c r="AG52" s="168"/>
      <c r="AH52" s="170" t="str">
        <f t="shared" si="10"/>
        <v/>
      </c>
      <c r="AI52" s="3">
        <f t="shared" si="31"/>
        <v>0</v>
      </c>
      <c r="AJ52" s="97">
        <f t="shared" si="32"/>
        <v>0</v>
      </c>
      <c r="AK52" s="172" t="str">
        <f t="shared" si="11"/>
        <v/>
      </c>
      <c r="AL52" s="167"/>
      <c r="AM52" s="168"/>
      <c r="AN52" s="170" t="str">
        <f t="shared" si="12"/>
        <v/>
      </c>
      <c r="AO52" s="167"/>
      <c r="AP52" s="168"/>
      <c r="AQ52" s="170" t="str">
        <f t="shared" si="13"/>
        <v/>
      </c>
      <c r="AR52" s="3">
        <f t="shared" si="33"/>
        <v>0</v>
      </c>
      <c r="AS52" s="97">
        <f t="shared" si="34"/>
        <v>0</v>
      </c>
      <c r="AT52" s="172" t="str">
        <f t="shared" si="14"/>
        <v/>
      </c>
      <c r="AU52" s="167"/>
      <c r="AV52" s="168"/>
      <c r="AW52" s="170">
        <f t="shared" si="81"/>
        <v>0</v>
      </c>
      <c r="AX52" s="167"/>
      <c r="AY52" s="168"/>
      <c r="AZ52" s="170" t="str">
        <f t="shared" si="15"/>
        <v/>
      </c>
      <c r="BA52" s="3">
        <f t="shared" si="36"/>
        <v>0</v>
      </c>
      <c r="BB52" s="97">
        <f t="shared" si="37"/>
        <v>0</v>
      </c>
      <c r="BC52" s="172" t="str">
        <f t="shared" si="16"/>
        <v/>
      </c>
      <c r="BD52" s="167"/>
      <c r="BE52" s="168"/>
      <c r="BF52" s="170" t="str">
        <f t="shared" si="17"/>
        <v/>
      </c>
      <c r="BG52" s="167"/>
      <c r="BH52" s="168"/>
      <c r="BI52" s="170" t="str">
        <f t="shared" si="18"/>
        <v/>
      </c>
      <c r="BJ52" s="167"/>
      <c r="BK52" s="168"/>
      <c r="BL52" s="170" t="str">
        <f t="shared" si="19"/>
        <v/>
      </c>
      <c r="BM52" s="3">
        <f t="shared" si="38"/>
        <v>0</v>
      </c>
      <c r="BN52" s="97">
        <f t="shared" si="39"/>
        <v>0</v>
      </c>
      <c r="BO52" s="172" t="str">
        <f t="shared" si="20"/>
        <v/>
      </c>
      <c r="BP52" s="167"/>
      <c r="BQ52" s="168"/>
      <c r="BR52" s="170" t="str">
        <f t="shared" si="70"/>
        <v/>
      </c>
      <c r="BS52" s="167"/>
      <c r="BT52" s="168"/>
      <c r="BU52" s="170" t="str">
        <f t="shared" si="71"/>
        <v/>
      </c>
      <c r="BV52" s="3">
        <f t="shared" si="40"/>
        <v>0</v>
      </c>
      <c r="BW52" s="97">
        <f t="shared" si="72"/>
        <v>0</v>
      </c>
      <c r="BX52" s="172" t="str">
        <f t="shared" si="73"/>
        <v/>
      </c>
      <c r="BY52" s="167">
        <v>180867</v>
      </c>
      <c r="BZ52" s="168">
        <v>1446</v>
      </c>
      <c r="CA52" s="170">
        <f t="shared" si="74"/>
        <v>125.08091286307054</v>
      </c>
      <c r="CB52" s="167">
        <v>0</v>
      </c>
      <c r="CC52" s="168">
        <v>0</v>
      </c>
      <c r="CD52" s="170" t="str">
        <f t="shared" si="75"/>
        <v/>
      </c>
      <c r="CE52" s="167"/>
      <c r="CF52" s="168"/>
      <c r="CG52" s="170" t="str">
        <f t="shared" si="76"/>
        <v/>
      </c>
      <c r="CH52" s="3">
        <f t="shared" si="77"/>
        <v>180867</v>
      </c>
      <c r="CI52" s="97">
        <f t="shared" si="78"/>
        <v>1446</v>
      </c>
      <c r="CJ52" s="172">
        <f t="shared" si="79"/>
        <v>125.08091286307054</v>
      </c>
    </row>
    <row r="53" spans="1:88">
      <c r="A53" t="s">
        <v>190</v>
      </c>
      <c r="B53" t="s">
        <v>188</v>
      </c>
      <c r="C53" s="2">
        <f>VLOOKUP(A53,Dates!$B$2:$E$53,4,FALSE)</f>
        <v>49</v>
      </c>
      <c r="D53" s="168" t="b">
        <f>IF(C53&lt;='RDG Weekly Sales'!$F$1,TRUE,FALSE)</f>
        <v>0</v>
      </c>
      <c r="E53" s="167"/>
      <c r="F53" s="168"/>
      <c r="G53" s="170" t="str">
        <f t="shared" si="28"/>
        <v/>
      </c>
      <c r="H53" s="167"/>
      <c r="I53" s="168"/>
      <c r="J53" s="170" t="str">
        <f t="shared" si="0"/>
        <v/>
      </c>
      <c r="K53" s="3">
        <f t="shared" si="82"/>
        <v>0</v>
      </c>
      <c r="L53" s="97">
        <f t="shared" si="83"/>
        <v>0</v>
      </c>
      <c r="M53" s="172" t="str">
        <f t="shared" si="3"/>
        <v/>
      </c>
      <c r="N53" s="167"/>
      <c r="O53" s="168"/>
      <c r="P53" s="170" t="str">
        <f t="shared" si="4"/>
        <v/>
      </c>
      <c r="Q53" s="167"/>
      <c r="R53" s="168"/>
      <c r="S53" s="170" t="str">
        <f t="shared" si="5"/>
        <v/>
      </c>
      <c r="T53" s="167"/>
      <c r="U53" s="168"/>
      <c r="V53" s="170" t="str">
        <f t="shared" si="6"/>
        <v/>
      </c>
      <c r="W53" s="167">
        <f t="shared" si="29"/>
        <v>0</v>
      </c>
      <c r="X53" s="168">
        <f t="shared" si="30"/>
        <v>0</v>
      </c>
      <c r="Y53" s="172" t="str">
        <f t="shared" si="7"/>
        <v/>
      </c>
      <c r="Z53" s="167"/>
      <c r="AA53" s="168"/>
      <c r="AB53" s="170" t="str">
        <f t="shared" si="8"/>
        <v/>
      </c>
      <c r="AC53" s="167"/>
      <c r="AD53" s="168"/>
      <c r="AE53" s="170" t="str">
        <f t="shared" si="9"/>
        <v/>
      </c>
      <c r="AF53" s="167"/>
      <c r="AG53" s="168"/>
      <c r="AH53" s="170" t="str">
        <f t="shared" si="10"/>
        <v/>
      </c>
      <c r="AI53" s="3">
        <f t="shared" si="31"/>
        <v>0</v>
      </c>
      <c r="AJ53" s="97">
        <f t="shared" si="32"/>
        <v>0</v>
      </c>
      <c r="AK53" s="172" t="str">
        <f t="shared" si="11"/>
        <v/>
      </c>
      <c r="AL53" s="167"/>
      <c r="AM53" s="168"/>
      <c r="AN53" s="170" t="str">
        <f t="shared" si="12"/>
        <v/>
      </c>
      <c r="AO53" s="167"/>
      <c r="AP53" s="168"/>
      <c r="AQ53" s="170" t="str">
        <f t="shared" si="13"/>
        <v/>
      </c>
      <c r="AR53" s="3">
        <f t="shared" si="33"/>
        <v>0</v>
      </c>
      <c r="AS53" s="97">
        <f t="shared" si="34"/>
        <v>0</v>
      </c>
      <c r="AT53" s="172" t="str">
        <f t="shared" si="14"/>
        <v/>
      </c>
      <c r="AU53" s="167"/>
      <c r="AV53" s="168"/>
      <c r="AW53" s="170">
        <f t="shared" si="81"/>
        <v>0</v>
      </c>
      <c r="AX53" s="167"/>
      <c r="AY53" s="168"/>
      <c r="AZ53" s="170" t="str">
        <f t="shared" si="15"/>
        <v/>
      </c>
      <c r="BA53" s="3">
        <f t="shared" si="36"/>
        <v>0</v>
      </c>
      <c r="BB53" s="97">
        <f t="shared" si="37"/>
        <v>0</v>
      </c>
      <c r="BC53" s="172" t="str">
        <f t="shared" si="16"/>
        <v/>
      </c>
      <c r="BD53" s="167"/>
      <c r="BE53" s="168"/>
      <c r="BF53" s="170" t="str">
        <f t="shared" si="17"/>
        <v/>
      </c>
      <c r="BG53" s="167"/>
      <c r="BH53" s="168"/>
      <c r="BI53" s="170" t="str">
        <f t="shared" si="18"/>
        <v/>
      </c>
      <c r="BJ53" s="167"/>
      <c r="BK53" s="168"/>
      <c r="BL53" s="170" t="str">
        <f t="shared" si="19"/>
        <v/>
      </c>
      <c r="BM53" s="3">
        <f t="shared" si="38"/>
        <v>0</v>
      </c>
      <c r="BN53" s="97">
        <f t="shared" si="39"/>
        <v>0</v>
      </c>
      <c r="BO53" s="172" t="str">
        <f t="shared" si="20"/>
        <v/>
      </c>
      <c r="BP53" s="167"/>
      <c r="BQ53" s="168"/>
      <c r="BR53" s="170" t="str">
        <f t="shared" si="70"/>
        <v/>
      </c>
      <c r="BS53" s="167"/>
      <c r="BT53" s="168"/>
      <c r="BU53" s="170" t="str">
        <f t="shared" si="71"/>
        <v/>
      </c>
      <c r="BV53" s="3">
        <f t="shared" si="40"/>
        <v>0</v>
      </c>
      <c r="BW53" s="97">
        <f t="shared" si="72"/>
        <v>0</v>
      </c>
      <c r="BX53" s="172" t="str">
        <f t="shared" si="73"/>
        <v/>
      </c>
      <c r="BY53" s="167">
        <v>209405</v>
      </c>
      <c r="BZ53" s="168">
        <v>1498</v>
      </c>
      <c r="CA53" s="170">
        <f t="shared" si="74"/>
        <v>139.78971962616822</v>
      </c>
      <c r="CB53" s="167">
        <v>0</v>
      </c>
      <c r="CC53" s="168">
        <v>0</v>
      </c>
      <c r="CD53" s="170" t="str">
        <f t="shared" si="75"/>
        <v/>
      </c>
      <c r="CE53" s="167"/>
      <c r="CF53" s="168"/>
      <c r="CG53" s="170" t="str">
        <f t="shared" si="76"/>
        <v/>
      </c>
      <c r="CH53" s="3">
        <f t="shared" si="77"/>
        <v>209405</v>
      </c>
      <c r="CI53" s="97">
        <f t="shared" si="78"/>
        <v>1498</v>
      </c>
      <c r="CJ53" s="172">
        <f t="shared" si="79"/>
        <v>139.78971962616822</v>
      </c>
    </row>
    <row r="54" spans="1:88">
      <c r="A54" t="s">
        <v>191</v>
      </c>
      <c r="B54" t="s">
        <v>188</v>
      </c>
      <c r="C54" s="2">
        <f>VLOOKUP(A54,Dates!$B$2:$E$53,4,FALSE)</f>
        <v>50</v>
      </c>
      <c r="D54" s="168" t="b">
        <f>IF(C54&lt;='RDG Weekly Sales'!$F$1,TRUE,FALSE)</f>
        <v>0</v>
      </c>
      <c r="E54" s="167"/>
      <c r="F54" s="168"/>
      <c r="G54" s="170" t="str">
        <f t="shared" si="28"/>
        <v/>
      </c>
      <c r="H54" s="167"/>
      <c r="I54" s="168"/>
      <c r="J54" s="170" t="str">
        <f t="shared" si="0"/>
        <v/>
      </c>
      <c r="K54" s="3">
        <f t="shared" si="82"/>
        <v>0</v>
      </c>
      <c r="L54" s="97">
        <f t="shared" si="83"/>
        <v>0</v>
      </c>
      <c r="M54" s="172" t="str">
        <f t="shared" si="3"/>
        <v/>
      </c>
      <c r="N54" s="167"/>
      <c r="O54" s="168"/>
      <c r="P54" s="170" t="str">
        <f t="shared" si="4"/>
        <v/>
      </c>
      <c r="Q54" s="167"/>
      <c r="R54" s="168"/>
      <c r="S54" s="170" t="str">
        <f t="shared" si="5"/>
        <v/>
      </c>
      <c r="T54" s="167"/>
      <c r="U54" s="168"/>
      <c r="V54" s="170" t="str">
        <f t="shared" si="6"/>
        <v/>
      </c>
      <c r="W54" s="167">
        <f t="shared" si="29"/>
        <v>0</v>
      </c>
      <c r="X54" s="168">
        <f t="shared" si="30"/>
        <v>0</v>
      </c>
      <c r="Y54" s="172" t="str">
        <f t="shared" si="7"/>
        <v/>
      </c>
      <c r="Z54" s="167"/>
      <c r="AA54" s="168"/>
      <c r="AB54" s="170" t="str">
        <f t="shared" si="8"/>
        <v/>
      </c>
      <c r="AC54" s="167"/>
      <c r="AD54" s="168"/>
      <c r="AE54" s="170" t="str">
        <f t="shared" si="9"/>
        <v/>
      </c>
      <c r="AF54" s="167"/>
      <c r="AG54" s="168"/>
      <c r="AH54" s="170" t="str">
        <f t="shared" si="10"/>
        <v/>
      </c>
      <c r="AI54" s="3">
        <f t="shared" si="31"/>
        <v>0</v>
      </c>
      <c r="AJ54" s="97">
        <f t="shared" si="32"/>
        <v>0</v>
      </c>
      <c r="AK54" s="172" t="str">
        <f t="shared" si="11"/>
        <v/>
      </c>
      <c r="AL54" s="167"/>
      <c r="AM54" s="168"/>
      <c r="AN54" s="170" t="str">
        <f t="shared" si="12"/>
        <v/>
      </c>
      <c r="AO54" s="167"/>
      <c r="AP54" s="168"/>
      <c r="AQ54" s="170" t="str">
        <f t="shared" si="13"/>
        <v/>
      </c>
      <c r="AR54" s="3">
        <f t="shared" si="33"/>
        <v>0</v>
      </c>
      <c r="AS54" s="97">
        <f t="shared" si="34"/>
        <v>0</v>
      </c>
      <c r="AT54" s="172" t="str">
        <f t="shared" si="14"/>
        <v/>
      </c>
      <c r="AU54" s="167"/>
      <c r="AV54" s="168"/>
      <c r="AW54" s="170">
        <f t="shared" si="81"/>
        <v>0</v>
      </c>
      <c r="AX54" s="167"/>
      <c r="AY54" s="168"/>
      <c r="AZ54" s="170" t="str">
        <f t="shared" si="15"/>
        <v/>
      </c>
      <c r="BA54" s="3">
        <f t="shared" si="36"/>
        <v>0</v>
      </c>
      <c r="BB54" s="97">
        <f t="shared" si="37"/>
        <v>0</v>
      </c>
      <c r="BC54" s="172" t="str">
        <f t="shared" si="16"/>
        <v/>
      </c>
      <c r="BD54" s="167"/>
      <c r="BE54" s="168"/>
      <c r="BF54" s="170" t="str">
        <f t="shared" si="17"/>
        <v/>
      </c>
      <c r="BG54" s="167"/>
      <c r="BH54" s="168"/>
      <c r="BI54" s="170" t="str">
        <f t="shared" si="18"/>
        <v/>
      </c>
      <c r="BJ54" s="167"/>
      <c r="BK54" s="168"/>
      <c r="BL54" s="170" t="str">
        <f t="shared" si="19"/>
        <v/>
      </c>
      <c r="BM54" s="3">
        <f t="shared" si="38"/>
        <v>0</v>
      </c>
      <c r="BN54" s="97">
        <f t="shared" si="39"/>
        <v>0</v>
      </c>
      <c r="BO54" s="172" t="str">
        <f t="shared" si="20"/>
        <v/>
      </c>
      <c r="BP54" s="167"/>
      <c r="BQ54" s="168"/>
      <c r="BR54" s="170" t="str">
        <f t="shared" si="70"/>
        <v/>
      </c>
      <c r="BS54" s="167"/>
      <c r="BT54" s="168"/>
      <c r="BU54" s="170" t="str">
        <f t="shared" si="71"/>
        <v/>
      </c>
      <c r="BV54" s="3">
        <f t="shared" si="40"/>
        <v>0</v>
      </c>
      <c r="BW54" s="97">
        <f t="shared" si="72"/>
        <v>0</v>
      </c>
      <c r="BX54" s="172" t="str">
        <f t="shared" si="73"/>
        <v/>
      </c>
      <c r="BY54" s="167">
        <v>222386</v>
      </c>
      <c r="BZ54" s="168">
        <v>1559</v>
      </c>
      <c r="CA54" s="170">
        <f t="shared" si="74"/>
        <v>142.64656831302116</v>
      </c>
      <c r="CB54" s="167">
        <v>10120.299999999999</v>
      </c>
      <c r="CC54" s="168">
        <v>67</v>
      </c>
      <c r="CD54" s="170">
        <f t="shared" si="75"/>
        <v>151.04925373134327</v>
      </c>
      <c r="CE54" s="167"/>
      <c r="CF54" s="168"/>
      <c r="CG54" s="170" t="str">
        <f t="shared" si="76"/>
        <v/>
      </c>
      <c r="CH54" s="3">
        <f t="shared" si="77"/>
        <v>232506.3</v>
      </c>
      <c r="CI54" s="97">
        <f t="shared" si="78"/>
        <v>1626</v>
      </c>
      <c r="CJ54" s="172">
        <f t="shared" si="79"/>
        <v>142.99280442804428</v>
      </c>
    </row>
    <row r="55" spans="1:88">
      <c r="A55" t="s">
        <v>192</v>
      </c>
      <c r="B55" t="s">
        <v>188</v>
      </c>
      <c r="C55" s="2">
        <f>VLOOKUP(A55,Dates!$B$2:$E$53,4,FALSE)</f>
        <v>51</v>
      </c>
      <c r="D55" s="168" t="b">
        <f>IF(C55&lt;='RDG Weekly Sales'!$F$1,TRUE,FALSE)</f>
        <v>0</v>
      </c>
      <c r="E55" s="167"/>
      <c r="F55" s="168"/>
      <c r="G55" s="170" t="str">
        <f t="shared" si="28"/>
        <v/>
      </c>
      <c r="H55" s="167"/>
      <c r="I55" s="168"/>
      <c r="J55" s="170" t="str">
        <f t="shared" si="0"/>
        <v/>
      </c>
      <c r="K55" s="3">
        <f t="shared" si="82"/>
        <v>0</v>
      </c>
      <c r="L55" s="97">
        <f t="shared" si="83"/>
        <v>0</v>
      </c>
      <c r="M55" s="172" t="str">
        <f t="shared" si="3"/>
        <v/>
      </c>
      <c r="N55" s="167"/>
      <c r="O55" s="168"/>
      <c r="P55" s="170" t="str">
        <f t="shared" si="4"/>
        <v/>
      </c>
      <c r="Q55" s="167"/>
      <c r="R55" s="168"/>
      <c r="S55" s="170" t="str">
        <f t="shared" si="5"/>
        <v/>
      </c>
      <c r="T55" s="167"/>
      <c r="U55" s="168"/>
      <c r="V55" s="170" t="str">
        <f t="shared" si="6"/>
        <v/>
      </c>
      <c r="W55" s="167">
        <f t="shared" si="29"/>
        <v>0</v>
      </c>
      <c r="X55" s="168">
        <f t="shared" si="30"/>
        <v>0</v>
      </c>
      <c r="Y55" s="172" t="str">
        <f t="shared" si="7"/>
        <v/>
      </c>
      <c r="Z55" s="167"/>
      <c r="AA55" s="168"/>
      <c r="AB55" s="170" t="str">
        <f t="shared" si="8"/>
        <v/>
      </c>
      <c r="AC55" s="167"/>
      <c r="AD55" s="168"/>
      <c r="AE55" s="170" t="str">
        <f t="shared" si="9"/>
        <v/>
      </c>
      <c r="AF55" s="167"/>
      <c r="AG55" s="168"/>
      <c r="AH55" s="170" t="str">
        <f t="shared" si="10"/>
        <v/>
      </c>
      <c r="AI55" s="3">
        <f t="shared" si="31"/>
        <v>0</v>
      </c>
      <c r="AJ55" s="97">
        <f t="shared" si="32"/>
        <v>0</v>
      </c>
      <c r="AK55" s="172" t="str">
        <f t="shared" si="11"/>
        <v/>
      </c>
      <c r="AL55" s="167"/>
      <c r="AM55" s="168"/>
      <c r="AN55" s="170" t="str">
        <f t="shared" si="12"/>
        <v/>
      </c>
      <c r="AO55" s="167"/>
      <c r="AP55" s="168"/>
      <c r="AQ55" s="170" t="str">
        <f t="shared" si="13"/>
        <v/>
      </c>
      <c r="AR55" s="3">
        <f t="shared" si="33"/>
        <v>0</v>
      </c>
      <c r="AS55" s="97">
        <f t="shared" si="34"/>
        <v>0</v>
      </c>
      <c r="AT55" s="172" t="str">
        <f t="shared" si="14"/>
        <v/>
      </c>
      <c r="AU55" s="167"/>
      <c r="AV55" s="168"/>
      <c r="AW55" s="170">
        <f t="shared" si="81"/>
        <v>0</v>
      </c>
      <c r="AX55" s="167"/>
      <c r="AY55" s="168"/>
      <c r="AZ55" s="170" t="str">
        <f t="shared" si="15"/>
        <v/>
      </c>
      <c r="BA55" s="3">
        <f t="shared" si="36"/>
        <v>0</v>
      </c>
      <c r="BB55" s="97">
        <f t="shared" si="37"/>
        <v>0</v>
      </c>
      <c r="BC55" s="172" t="str">
        <f t="shared" si="16"/>
        <v/>
      </c>
      <c r="BD55" s="167"/>
      <c r="BE55" s="168"/>
      <c r="BF55" s="170" t="str">
        <f t="shared" si="17"/>
        <v/>
      </c>
      <c r="BG55" s="167"/>
      <c r="BH55" s="168"/>
      <c r="BI55" s="170" t="str">
        <f t="shared" si="18"/>
        <v/>
      </c>
      <c r="BJ55" s="167"/>
      <c r="BK55" s="168"/>
      <c r="BL55" s="170" t="str">
        <f t="shared" si="19"/>
        <v/>
      </c>
      <c r="BM55" s="3">
        <f t="shared" si="38"/>
        <v>0</v>
      </c>
      <c r="BN55" s="97">
        <f t="shared" si="39"/>
        <v>0</v>
      </c>
      <c r="BO55" s="172" t="str">
        <f t="shared" si="20"/>
        <v/>
      </c>
      <c r="BP55" s="167"/>
      <c r="BQ55" s="168"/>
      <c r="BR55" s="170" t="str">
        <f t="shared" si="70"/>
        <v/>
      </c>
      <c r="BS55" s="167"/>
      <c r="BT55" s="168"/>
      <c r="BU55" s="170" t="str">
        <f t="shared" si="71"/>
        <v/>
      </c>
      <c r="BV55" s="3">
        <f t="shared" si="40"/>
        <v>0</v>
      </c>
      <c r="BW55" s="97">
        <f t="shared" si="72"/>
        <v>0</v>
      </c>
      <c r="BX55" s="172" t="str">
        <f t="shared" si="73"/>
        <v/>
      </c>
      <c r="BY55" s="167">
        <v>201834</v>
      </c>
      <c r="BZ55" s="168">
        <v>1724</v>
      </c>
      <c r="CA55" s="170">
        <f t="shared" si="74"/>
        <v>117.07308584686776</v>
      </c>
      <c r="CB55" s="167">
        <v>0</v>
      </c>
      <c r="CC55" s="168">
        <v>0</v>
      </c>
      <c r="CD55" s="170" t="str">
        <f t="shared" si="75"/>
        <v/>
      </c>
      <c r="CE55" s="167"/>
      <c r="CF55" s="168"/>
      <c r="CG55" s="170" t="str">
        <f t="shared" si="76"/>
        <v/>
      </c>
      <c r="CH55" s="3">
        <f t="shared" si="77"/>
        <v>201834</v>
      </c>
      <c r="CI55" s="97">
        <f t="shared" si="78"/>
        <v>1724</v>
      </c>
      <c r="CJ55" s="172">
        <f t="shared" si="79"/>
        <v>117.07308584686776</v>
      </c>
    </row>
    <row r="56" spans="1:88">
      <c r="A56" t="s">
        <v>193</v>
      </c>
      <c r="B56" t="s">
        <v>188</v>
      </c>
      <c r="C56" s="2">
        <f>VLOOKUP(A56,Dates!$B$2:$E$53,4,FALSE)</f>
        <v>52</v>
      </c>
      <c r="D56" s="168" t="b">
        <f>IF(C56&lt;='RDG Weekly Sales'!$F$1,TRUE,FALSE)</f>
        <v>0</v>
      </c>
      <c r="E56" s="167"/>
      <c r="F56" s="168"/>
      <c r="G56" s="170" t="str">
        <f t="shared" si="28"/>
        <v/>
      </c>
      <c r="H56" s="167"/>
      <c r="I56" s="168"/>
      <c r="J56" s="170" t="str">
        <f t="shared" si="0"/>
        <v/>
      </c>
      <c r="K56" s="3">
        <f t="shared" si="82"/>
        <v>0</v>
      </c>
      <c r="L56" s="97">
        <f t="shared" si="83"/>
        <v>0</v>
      </c>
      <c r="M56" s="172" t="str">
        <f t="shared" si="3"/>
        <v/>
      </c>
      <c r="N56" s="167"/>
      <c r="O56" s="168"/>
      <c r="P56" s="170" t="str">
        <f t="shared" si="4"/>
        <v/>
      </c>
      <c r="Q56" s="167"/>
      <c r="R56" s="168"/>
      <c r="S56" s="170" t="str">
        <f t="shared" si="5"/>
        <v/>
      </c>
      <c r="T56" s="167"/>
      <c r="U56" s="168"/>
      <c r="V56" s="170" t="str">
        <f t="shared" si="6"/>
        <v/>
      </c>
      <c r="W56" s="167">
        <f t="shared" si="29"/>
        <v>0</v>
      </c>
      <c r="X56" s="168">
        <f t="shared" si="30"/>
        <v>0</v>
      </c>
      <c r="Y56" s="172" t="str">
        <f t="shared" si="7"/>
        <v/>
      </c>
      <c r="Z56" s="167"/>
      <c r="AA56" s="168"/>
      <c r="AB56" s="170" t="str">
        <f t="shared" si="8"/>
        <v/>
      </c>
      <c r="AC56" s="167"/>
      <c r="AD56" s="168"/>
      <c r="AE56" s="170" t="str">
        <f t="shared" si="9"/>
        <v/>
      </c>
      <c r="AF56" s="167"/>
      <c r="AG56" s="168"/>
      <c r="AH56" s="170" t="str">
        <f t="shared" si="10"/>
        <v/>
      </c>
      <c r="AI56" s="3">
        <f t="shared" si="31"/>
        <v>0</v>
      </c>
      <c r="AJ56" s="97">
        <f t="shared" si="32"/>
        <v>0</v>
      </c>
      <c r="AK56" s="172" t="str">
        <f t="shared" si="11"/>
        <v/>
      </c>
      <c r="AL56" s="167"/>
      <c r="AM56" s="168"/>
      <c r="AN56" s="170" t="str">
        <f t="shared" si="12"/>
        <v/>
      </c>
      <c r="AO56" s="167"/>
      <c r="AP56" s="168"/>
      <c r="AQ56" s="170" t="str">
        <f t="shared" si="13"/>
        <v/>
      </c>
      <c r="AR56" s="3">
        <f t="shared" si="33"/>
        <v>0</v>
      </c>
      <c r="AS56" s="97">
        <f t="shared" si="34"/>
        <v>0</v>
      </c>
      <c r="AT56" s="172" t="str">
        <f t="shared" si="14"/>
        <v/>
      </c>
      <c r="AU56" s="167"/>
      <c r="AV56" s="168"/>
      <c r="AW56" s="170">
        <f t="shared" si="81"/>
        <v>0</v>
      </c>
      <c r="AX56" s="167"/>
      <c r="AY56" s="168"/>
      <c r="AZ56" s="170" t="str">
        <f t="shared" si="15"/>
        <v/>
      </c>
      <c r="BA56" s="3">
        <f t="shared" si="36"/>
        <v>0</v>
      </c>
      <c r="BB56" s="97">
        <f t="shared" si="37"/>
        <v>0</v>
      </c>
      <c r="BC56" s="172" t="str">
        <f t="shared" si="16"/>
        <v/>
      </c>
      <c r="BD56" s="167"/>
      <c r="BE56" s="168"/>
      <c r="BF56" s="170" t="str">
        <f t="shared" si="17"/>
        <v/>
      </c>
      <c r="BG56" s="167"/>
      <c r="BH56" s="168"/>
      <c r="BI56" s="170" t="str">
        <f t="shared" si="18"/>
        <v/>
      </c>
      <c r="BJ56" s="167"/>
      <c r="BK56" s="168"/>
      <c r="BL56" s="170" t="str">
        <f t="shared" si="19"/>
        <v/>
      </c>
      <c r="BM56" s="3">
        <f t="shared" si="38"/>
        <v>0</v>
      </c>
      <c r="BN56" s="97">
        <f t="shared" si="39"/>
        <v>0</v>
      </c>
      <c r="BO56" s="172" t="str">
        <f t="shared" si="20"/>
        <v/>
      </c>
      <c r="BP56" s="167"/>
      <c r="BQ56" s="168"/>
      <c r="BR56" s="170" t="str">
        <f t="shared" si="70"/>
        <v/>
      </c>
      <c r="BS56" s="167"/>
      <c r="BT56" s="168"/>
      <c r="BU56" s="170" t="str">
        <f t="shared" si="71"/>
        <v/>
      </c>
      <c r="BV56" s="3">
        <f t="shared" si="40"/>
        <v>0</v>
      </c>
      <c r="BW56" s="97">
        <f t="shared" si="72"/>
        <v>0</v>
      </c>
      <c r="BX56" s="172" t="str">
        <f t="shared" si="73"/>
        <v/>
      </c>
      <c r="BY56" s="167">
        <v>194038</v>
      </c>
      <c r="BZ56" s="168">
        <v>1613</v>
      </c>
      <c r="CA56" s="170">
        <f t="shared" si="74"/>
        <v>120.29634221946684</v>
      </c>
      <c r="CB56" s="167">
        <v>0</v>
      </c>
      <c r="CC56" s="168">
        <v>0</v>
      </c>
      <c r="CD56" s="170" t="str">
        <f t="shared" si="75"/>
        <v/>
      </c>
      <c r="CE56" s="167"/>
      <c r="CF56" s="168"/>
      <c r="CG56" s="170" t="str">
        <f t="shared" si="76"/>
        <v/>
      </c>
      <c r="CH56" s="3">
        <f t="shared" si="77"/>
        <v>194038</v>
      </c>
      <c r="CI56" s="97">
        <f t="shared" si="78"/>
        <v>1613</v>
      </c>
      <c r="CJ56" s="172">
        <f t="shared" si="79"/>
        <v>120.29634221946684</v>
      </c>
    </row>
  </sheetData>
  <mergeCells count="57">
    <mergeCell ref="BY2:CA2"/>
    <mergeCell ref="CB2:CD2"/>
    <mergeCell ref="CE2:CG2"/>
    <mergeCell ref="CH2:CJ2"/>
    <mergeCell ref="BY3:CA3"/>
    <mergeCell ref="CB3:CD3"/>
    <mergeCell ref="CE3:CG3"/>
    <mergeCell ref="CH3:CJ3"/>
    <mergeCell ref="BP2:BR2"/>
    <mergeCell ref="BS2:BU2"/>
    <mergeCell ref="BV2:BX2"/>
    <mergeCell ref="BP3:BR3"/>
    <mergeCell ref="BS3:BU3"/>
    <mergeCell ref="BV3:BX3"/>
    <mergeCell ref="BM2:BO2"/>
    <mergeCell ref="BM3:BO3"/>
    <mergeCell ref="BD2:BF2"/>
    <mergeCell ref="BG2:BI2"/>
    <mergeCell ref="BJ2:BL2"/>
    <mergeCell ref="BD3:BF3"/>
    <mergeCell ref="BG3:BI3"/>
    <mergeCell ref="BJ3:BL3"/>
    <mergeCell ref="A2:D3"/>
    <mergeCell ref="AC2:AE2"/>
    <mergeCell ref="AC3:AE3"/>
    <mergeCell ref="AF2:AH2"/>
    <mergeCell ref="AI2:AK2"/>
    <mergeCell ref="Z3:AB3"/>
    <mergeCell ref="AF3:AH3"/>
    <mergeCell ref="AI3:AK3"/>
    <mergeCell ref="T2:V2"/>
    <mergeCell ref="T3:V3"/>
    <mergeCell ref="W2:Y2"/>
    <mergeCell ref="W3:Y3"/>
    <mergeCell ref="Z2:AB2"/>
    <mergeCell ref="K3:M3"/>
    <mergeCell ref="E2:G2"/>
    <mergeCell ref="H2:J2"/>
    <mergeCell ref="K2:M2"/>
    <mergeCell ref="N2:P2"/>
    <mergeCell ref="E3:G3"/>
    <mergeCell ref="H3:J3"/>
    <mergeCell ref="Q2:S2"/>
    <mergeCell ref="N3:P3"/>
    <mergeCell ref="Q3:S3"/>
    <mergeCell ref="AL2:AN2"/>
    <mergeCell ref="AO2:AQ2"/>
    <mergeCell ref="AR2:AT2"/>
    <mergeCell ref="AL3:AN3"/>
    <mergeCell ref="AO3:AQ3"/>
    <mergeCell ref="AR3:AT3"/>
    <mergeCell ref="AU2:AW2"/>
    <mergeCell ref="AX2:AZ2"/>
    <mergeCell ref="BA2:BC2"/>
    <mergeCell ref="AU3:AW3"/>
    <mergeCell ref="AX3:AZ3"/>
    <mergeCell ref="BA3:BC3"/>
  </mergeCells>
  <phoneticPr fontId="24" type="noConversion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FB719DA-2D4D-4477-91A1-A40A548102E7}">
            <xm:f>$A5='RDG Weekly Sales'!$D$1</xm:f>
            <x14:dxf>
              <fill>
                <patternFill>
                  <bgColor theme="4" tint="0.79998168889431442"/>
                </patternFill>
              </fill>
            </x14:dxf>
          </x14:cfRule>
          <xm:sqref>A5:CJ56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3BB7-D0B6-433C-AD2D-C1622F00D3F1}">
  <sheetPr>
    <tabColor rgb="FF00B0F0"/>
  </sheetPr>
  <dimension ref="B2:EJ56"/>
  <sheetViews>
    <sheetView showGridLines="0" zoomScale="70" zoomScaleNormal="70" workbookViewId="0">
      <pane xSplit="5" ySplit="4" topLeftCell="S5" activePane="bottomRight" state="frozen"/>
      <selection pane="bottomRight" activeCell="AH21" sqref="AH21"/>
      <selection pane="bottomLeft" activeCell="A5" sqref="A5"/>
      <selection pane="topRight" activeCell="F1" sqref="F1"/>
    </sheetView>
  </sheetViews>
  <sheetFormatPr defaultRowHeight="15"/>
  <cols>
    <col min="2" max="2" width="9.5703125" bestFit="1" customWidth="1"/>
    <col min="3" max="3" width="5.28515625" bestFit="1" customWidth="1"/>
    <col min="4" max="4" width="3.85546875" bestFit="1" customWidth="1"/>
    <col min="5" max="5" width="9.28515625" style="168" bestFit="1" customWidth="1"/>
    <col min="6" max="6" width="13" bestFit="1" customWidth="1"/>
    <col min="7" max="7" width="8.140625" bestFit="1" customWidth="1"/>
    <col min="8" max="8" width="9.28515625" style="170" bestFit="1" customWidth="1"/>
    <col min="9" max="9" width="15.42578125" bestFit="1" customWidth="1"/>
    <col min="10" max="10" width="8.85546875" style="168" bestFit="1" customWidth="1"/>
    <col min="11" max="11" width="9.28515625" style="170" bestFit="1" customWidth="1"/>
    <col min="12" max="12" width="10" bestFit="1" customWidth="1"/>
    <col min="13" max="13" width="7.7109375" bestFit="1" customWidth="1"/>
    <col min="14" max="14" width="9.28515625" style="169" bestFit="1" customWidth="1"/>
    <col min="15" max="15" width="12.42578125" style="167" bestFit="1" customWidth="1"/>
    <col min="16" max="16" width="8.85546875" style="168" bestFit="1" customWidth="1"/>
    <col min="17" max="17" width="9.28515625" style="170" bestFit="1" customWidth="1"/>
    <col min="18" max="18" width="15.42578125" bestFit="1" customWidth="1"/>
    <col min="19" max="19" width="8.140625" bestFit="1" customWidth="1"/>
    <col min="20" max="20" width="9.28515625" style="169" bestFit="1" customWidth="1"/>
    <col min="21" max="21" width="15.42578125" bestFit="1" customWidth="1"/>
    <col min="22" max="22" width="8.140625" bestFit="1" customWidth="1"/>
    <col min="23" max="23" width="9.28515625" style="171" bestFit="1" customWidth="1"/>
    <col min="24" max="24" width="12.42578125" bestFit="1" customWidth="1"/>
    <col min="25" max="25" width="7.7109375" bestFit="1" customWidth="1"/>
    <col min="26" max="26" width="9.28515625" style="169" bestFit="1" customWidth="1"/>
    <col min="27" max="27" width="12.42578125" bestFit="1" customWidth="1"/>
    <col min="28" max="28" width="7.7109375" bestFit="1" customWidth="1"/>
    <col min="29" max="29" width="9.28515625" style="169" bestFit="1" customWidth="1"/>
    <col min="30" max="30" width="13.5703125" bestFit="1" customWidth="1"/>
    <col min="31" max="31" width="7.7109375" bestFit="1" customWidth="1"/>
    <col min="32" max="32" width="9.28515625" style="169" bestFit="1" customWidth="1"/>
    <col min="33" max="33" width="13.5703125" bestFit="1" customWidth="1"/>
    <col min="34" max="34" width="7.7109375" bestFit="1" customWidth="1"/>
    <col min="35" max="35" width="9.28515625" style="169" bestFit="1" customWidth="1"/>
    <col min="36" max="36" width="13.5703125" bestFit="1" customWidth="1"/>
    <col min="37" max="37" width="8.140625" bestFit="1" customWidth="1"/>
    <col min="38" max="38" width="9.28515625" style="169" bestFit="1" customWidth="1"/>
    <col min="39" max="39" width="13.5703125" bestFit="1" customWidth="1"/>
    <col min="40" max="40" width="8.140625" bestFit="1" customWidth="1"/>
    <col min="41" max="41" width="9.28515625" style="169" bestFit="1" customWidth="1"/>
    <col min="42" max="42" width="13.5703125" bestFit="1" customWidth="1"/>
    <col min="43" max="43" width="8.140625" bestFit="1" customWidth="1"/>
    <col min="44" max="44" width="9.28515625" style="171" bestFit="1" customWidth="1"/>
    <col min="45" max="45" width="15.42578125" bestFit="1" customWidth="1"/>
    <col min="46" max="46" width="8.140625" bestFit="1" customWidth="1"/>
    <col min="47" max="47" width="9.28515625" style="171" bestFit="1" customWidth="1"/>
    <col min="48" max="48" width="13.5703125" bestFit="1" customWidth="1"/>
    <col min="49" max="49" width="8.140625" bestFit="1" customWidth="1"/>
    <col min="50" max="50" width="9.28515625" style="169" bestFit="1" customWidth="1"/>
    <col min="51" max="51" width="12.42578125" bestFit="1" customWidth="1"/>
    <col min="52" max="52" width="7.7109375" bestFit="1" customWidth="1"/>
    <col min="53" max="53" width="8.140625" style="169" bestFit="1" customWidth="1"/>
    <col min="54" max="54" width="12.42578125" bestFit="1" customWidth="1"/>
    <col min="55" max="55" width="7.7109375" bestFit="1" customWidth="1"/>
    <col min="56" max="56" width="9.28515625" style="169" bestFit="1" customWidth="1"/>
    <col min="57" max="57" width="13.5703125" bestFit="1" customWidth="1"/>
    <col min="58" max="58" width="8.140625" bestFit="1" customWidth="1"/>
    <col min="59" max="59" width="9.28515625" style="171" bestFit="1" customWidth="1"/>
    <col min="60" max="60" width="13.5703125" bestFit="1" customWidth="1"/>
    <col min="61" max="61" width="8.140625" bestFit="1" customWidth="1"/>
    <col min="62" max="62" width="9.28515625" style="169" bestFit="1" customWidth="1"/>
    <col min="63" max="63" width="12.42578125" bestFit="1" customWidth="1"/>
    <col min="64" max="64" width="7.7109375" bestFit="1" customWidth="1"/>
    <col min="65" max="65" width="9.28515625" style="169" bestFit="1" customWidth="1"/>
    <col min="66" max="66" width="12.42578125" bestFit="1" customWidth="1"/>
    <col min="67" max="67" width="7.7109375" bestFit="1" customWidth="1"/>
    <col min="68" max="68" width="9.28515625" style="169" bestFit="1" customWidth="1"/>
    <col min="69" max="69" width="13.5703125" bestFit="1" customWidth="1"/>
    <col min="70" max="70" width="8.140625" bestFit="1" customWidth="1"/>
    <col min="71" max="71" width="9.28515625" style="171" bestFit="1" customWidth="1"/>
    <col min="72" max="72" width="11.140625" bestFit="1" customWidth="1"/>
    <col min="73" max="73" width="8.140625" bestFit="1" customWidth="1"/>
    <col min="74" max="74" width="9.28515625" style="169" bestFit="1" customWidth="1"/>
    <col min="75" max="75" width="13" bestFit="1" customWidth="1"/>
    <col min="76" max="76" width="8.140625" bestFit="1" customWidth="1"/>
    <col min="77" max="77" width="9.28515625" style="169" bestFit="1" customWidth="1"/>
    <col min="78" max="78" width="15.42578125" bestFit="1" customWidth="1"/>
    <col min="79" max="79" width="8.140625" bestFit="1" customWidth="1"/>
    <col min="80" max="80" width="9.28515625" style="171" bestFit="1" customWidth="1"/>
    <col min="81" max="81" width="13.5703125" bestFit="1" customWidth="1"/>
    <col min="82" max="82" width="8.140625" bestFit="1" customWidth="1"/>
    <col min="83" max="83" width="9.28515625" style="169" bestFit="1" customWidth="1"/>
    <col min="84" max="84" width="15.42578125" bestFit="1" customWidth="1"/>
    <col min="85" max="85" width="8.140625" bestFit="1" customWidth="1"/>
    <col min="86" max="86" width="9.28515625" style="169" bestFit="1" customWidth="1"/>
    <col min="87" max="87" width="15.42578125" bestFit="1" customWidth="1"/>
    <col min="88" max="88" width="8.140625" bestFit="1" customWidth="1"/>
    <col min="89" max="89" width="9.28515625" style="171" bestFit="1" customWidth="1"/>
    <col min="90" max="90" width="6.7109375" bestFit="1" customWidth="1"/>
    <col min="91" max="91" width="7.7109375" bestFit="1" customWidth="1"/>
    <col min="92" max="92" width="7.28515625" bestFit="1" customWidth="1"/>
    <col min="93" max="93" width="13.5703125" bestFit="1" customWidth="1"/>
    <col min="94" max="94" width="8.140625" bestFit="1" customWidth="1"/>
    <col min="95" max="95" width="9.28515625" customWidth="1"/>
    <col min="96" max="96" width="13.5703125" bestFit="1" customWidth="1"/>
    <col min="97" max="97" width="8.140625" bestFit="1" customWidth="1"/>
    <col min="98" max="98" width="9.28515625" customWidth="1"/>
    <col min="99" max="99" width="11.140625" bestFit="1" customWidth="1"/>
    <col min="100" max="100" width="7.7109375" bestFit="1" customWidth="1"/>
    <col min="101" max="101" width="9.28515625" style="169" bestFit="1" customWidth="1"/>
    <col min="102" max="102" width="11.140625" bestFit="1" customWidth="1"/>
    <col min="103" max="103" width="8.140625" bestFit="1" customWidth="1"/>
    <col min="104" max="104" width="9.28515625" style="169" bestFit="1" customWidth="1"/>
    <col min="105" max="105" width="13.5703125" bestFit="1" customWidth="1"/>
    <col min="106" max="106" width="8.140625" bestFit="1" customWidth="1"/>
    <col min="107" max="107" width="9.28515625" style="171" bestFit="1" customWidth="1"/>
    <col min="108" max="108" width="11.140625" bestFit="1" customWidth="1"/>
    <col min="109" max="109" width="12" bestFit="1" customWidth="1"/>
    <col min="110" max="110" width="9.28515625" style="169" bestFit="1" customWidth="1"/>
    <col min="111" max="111" width="10" bestFit="1" customWidth="1"/>
    <col min="112" max="112" width="7.7109375" bestFit="1" customWidth="1"/>
    <col min="113" max="113" width="9.28515625" style="169" bestFit="1" customWidth="1"/>
    <col min="114" max="114" width="12.42578125" bestFit="1" customWidth="1"/>
    <col min="115" max="115" width="7.7109375" bestFit="1" customWidth="1"/>
    <col min="116" max="116" width="9.28515625" style="169" bestFit="1" customWidth="1"/>
    <col min="117" max="117" width="13.5703125" bestFit="1" customWidth="1"/>
    <col min="118" max="118" width="8.140625" bestFit="1" customWidth="1"/>
    <col min="119" max="119" width="9.28515625" style="171" bestFit="1" customWidth="1"/>
    <col min="120" max="120" width="11.140625" customWidth="1"/>
    <col min="121" max="121" width="8.140625" bestFit="1" customWidth="1"/>
    <col min="122" max="122" width="9.28515625" style="169" customWidth="1"/>
    <col min="123" max="123" width="10" bestFit="1" customWidth="1"/>
    <col min="124" max="124" width="7.7109375" bestFit="1" customWidth="1"/>
    <col min="125" max="125" width="9.28515625" style="169" bestFit="1" customWidth="1"/>
    <col min="126" max="126" width="13.5703125" bestFit="1" customWidth="1"/>
    <col min="127" max="127" width="8.140625" bestFit="1" customWidth="1"/>
    <col min="128" max="128" width="9.28515625" style="171" bestFit="1" customWidth="1"/>
    <col min="129" max="129" width="13.5703125" bestFit="1" customWidth="1"/>
    <col min="130" max="130" width="8.140625" bestFit="1" customWidth="1"/>
    <col min="131" max="131" width="9.28515625" style="169" bestFit="1" customWidth="1"/>
    <col min="132" max="132" width="12.42578125" bestFit="1" customWidth="1"/>
    <col min="133" max="133" width="7.7109375" bestFit="1" customWidth="1"/>
    <col min="134" max="134" width="9.28515625" style="169" bestFit="1" customWidth="1"/>
    <col min="135" max="135" width="6.7109375" bestFit="1" customWidth="1"/>
    <col min="136" max="136" width="7.7109375" bestFit="1" customWidth="1"/>
    <col min="137" max="137" width="7.28515625" style="169" bestFit="1" customWidth="1"/>
    <col min="138" max="138" width="13.5703125" bestFit="1" customWidth="1"/>
    <col min="139" max="139" width="8.140625" bestFit="1" customWidth="1"/>
    <col min="140" max="140" width="9.28515625" style="171" bestFit="1" customWidth="1"/>
  </cols>
  <sheetData>
    <row r="2" spans="2:140" s="174" customFormat="1">
      <c r="E2" s="175"/>
      <c r="F2" s="410" t="s">
        <v>195</v>
      </c>
      <c r="G2" s="410"/>
      <c r="H2" s="410"/>
      <c r="I2" s="410" t="s">
        <v>210</v>
      </c>
      <c r="J2" s="410"/>
      <c r="K2" s="410"/>
      <c r="L2" s="410" t="s">
        <v>195</v>
      </c>
      <c r="M2" s="410"/>
      <c r="N2" s="410"/>
      <c r="O2" s="410" t="s">
        <v>210</v>
      </c>
      <c r="P2" s="419"/>
      <c r="Q2" s="410"/>
      <c r="R2" s="410" t="s">
        <v>195</v>
      </c>
      <c r="S2" s="410"/>
      <c r="T2" s="410"/>
      <c r="U2" s="410" t="s">
        <v>210</v>
      </c>
      <c r="V2" s="410"/>
      <c r="W2" s="410"/>
      <c r="X2" s="410" t="s">
        <v>196</v>
      </c>
      <c r="Y2" s="410"/>
      <c r="Z2" s="411"/>
      <c r="AA2" s="410" t="s">
        <v>211</v>
      </c>
      <c r="AB2" s="410"/>
      <c r="AC2" s="411"/>
      <c r="AD2" s="410" t="s">
        <v>196</v>
      </c>
      <c r="AE2" s="410"/>
      <c r="AF2" s="411"/>
      <c r="AG2" s="410" t="s">
        <v>211</v>
      </c>
      <c r="AH2" s="410"/>
      <c r="AI2" s="411"/>
      <c r="AJ2" s="410" t="s">
        <v>196</v>
      </c>
      <c r="AK2" s="410"/>
      <c r="AL2" s="411"/>
      <c r="AM2" s="410" t="s">
        <v>211</v>
      </c>
      <c r="AN2" s="410"/>
      <c r="AO2" s="411"/>
      <c r="AP2" s="412" t="s">
        <v>195</v>
      </c>
      <c r="AQ2" s="410"/>
      <c r="AR2" s="413"/>
      <c r="AS2" s="412" t="s">
        <v>211</v>
      </c>
      <c r="AT2" s="410"/>
      <c r="AU2" s="413"/>
      <c r="AV2" s="410" t="s">
        <v>197</v>
      </c>
      <c r="AW2" s="410"/>
      <c r="AX2" s="411"/>
      <c r="AY2" s="410" t="s">
        <v>197</v>
      </c>
      <c r="AZ2" s="410"/>
      <c r="BA2" s="411"/>
      <c r="BB2" s="410" t="s">
        <v>197</v>
      </c>
      <c r="BC2" s="410"/>
      <c r="BD2" s="411"/>
      <c r="BE2" s="410" t="s">
        <v>197</v>
      </c>
      <c r="BF2" s="410"/>
      <c r="BG2" s="411"/>
      <c r="BH2" s="410" t="s">
        <v>198</v>
      </c>
      <c r="BI2" s="410"/>
      <c r="BJ2" s="411"/>
      <c r="BK2" s="410" t="s">
        <v>198</v>
      </c>
      <c r="BL2" s="410"/>
      <c r="BM2" s="411"/>
      <c r="BN2" s="410" t="s">
        <v>198</v>
      </c>
      <c r="BO2" s="410"/>
      <c r="BP2" s="411"/>
      <c r="BQ2" s="410" t="s">
        <v>198</v>
      </c>
      <c r="BR2" s="410"/>
      <c r="BS2" s="411"/>
      <c r="BT2" s="410" t="s">
        <v>199</v>
      </c>
      <c r="BU2" s="410"/>
      <c r="BV2" s="411"/>
      <c r="BW2" s="410" t="s">
        <v>199</v>
      </c>
      <c r="BX2" s="410"/>
      <c r="BY2" s="411"/>
      <c r="BZ2" s="410" t="s">
        <v>199</v>
      </c>
      <c r="CA2" s="410"/>
      <c r="CB2" s="411"/>
      <c r="CC2" s="410" t="s">
        <v>212</v>
      </c>
      <c r="CD2" s="410"/>
      <c r="CE2" s="411"/>
      <c r="CF2" s="410" t="s">
        <v>212</v>
      </c>
      <c r="CG2" s="410"/>
      <c r="CH2" s="411"/>
      <c r="CI2" s="410" t="s">
        <v>212</v>
      </c>
      <c r="CJ2" s="410"/>
      <c r="CK2" s="411"/>
      <c r="CL2" s="410" t="s">
        <v>213</v>
      </c>
      <c r="CM2" s="410"/>
      <c r="CN2" s="411"/>
      <c r="CO2" s="410" t="s">
        <v>213</v>
      </c>
      <c r="CP2" s="410"/>
      <c r="CQ2" s="411"/>
      <c r="CR2" s="412" t="s">
        <v>213</v>
      </c>
      <c r="CS2" s="410"/>
      <c r="CT2" s="413"/>
      <c r="CU2" s="410" t="s">
        <v>200</v>
      </c>
      <c r="CV2" s="410"/>
      <c r="CW2" s="411"/>
      <c r="CX2" s="410" t="s">
        <v>200</v>
      </c>
      <c r="CY2" s="410"/>
      <c r="CZ2" s="411"/>
      <c r="DA2" s="410" t="s">
        <v>200</v>
      </c>
      <c r="DB2" s="410"/>
      <c r="DC2" s="411"/>
      <c r="DD2" s="410" t="s">
        <v>201</v>
      </c>
      <c r="DE2" s="410"/>
      <c r="DF2" s="411"/>
      <c r="DG2" s="410" t="s">
        <v>201</v>
      </c>
      <c r="DH2" s="410"/>
      <c r="DI2" s="411"/>
      <c r="DJ2" s="410" t="s">
        <v>201</v>
      </c>
      <c r="DK2" s="410"/>
      <c r="DL2" s="411"/>
      <c r="DM2" s="410" t="s">
        <v>201</v>
      </c>
      <c r="DN2" s="410"/>
      <c r="DO2" s="411"/>
      <c r="DP2" s="410" t="s">
        <v>202</v>
      </c>
      <c r="DQ2" s="410"/>
      <c r="DR2" s="411"/>
      <c r="DS2" s="410" t="s">
        <v>202</v>
      </c>
      <c r="DT2" s="410"/>
      <c r="DU2" s="411"/>
      <c r="DV2" s="410" t="s">
        <v>202</v>
      </c>
      <c r="DW2" s="410"/>
      <c r="DX2" s="411"/>
      <c r="DY2" s="410" t="s">
        <v>203</v>
      </c>
      <c r="DZ2" s="410"/>
      <c r="EA2" s="411"/>
      <c r="EB2" s="410" t="s">
        <v>203</v>
      </c>
      <c r="EC2" s="410"/>
      <c r="ED2" s="411"/>
      <c r="EE2" s="410" t="s">
        <v>203</v>
      </c>
      <c r="EF2" s="410"/>
      <c r="EG2" s="411"/>
      <c r="EH2" s="410" t="s">
        <v>203</v>
      </c>
      <c r="EI2" s="410"/>
      <c r="EJ2" s="411"/>
    </row>
    <row r="3" spans="2:140" s="4" customFormat="1">
      <c r="E3" s="173"/>
      <c r="F3" s="414" t="s">
        <v>204</v>
      </c>
      <c r="G3" s="414"/>
      <c r="H3" s="415"/>
      <c r="I3" s="414" t="s">
        <v>204</v>
      </c>
      <c r="J3" s="414"/>
      <c r="K3" s="415"/>
      <c r="L3" s="414" t="s">
        <v>205</v>
      </c>
      <c r="M3" s="414"/>
      <c r="N3" s="415"/>
      <c r="O3" s="414" t="s">
        <v>205</v>
      </c>
      <c r="P3" s="414"/>
      <c r="Q3" s="415"/>
      <c r="R3" s="4" t="s">
        <v>107</v>
      </c>
      <c r="T3" s="176"/>
      <c r="W3" s="177"/>
      <c r="X3" s="414" t="s">
        <v>206</v>
      </c>
      <c r="Y3" s="414"/>
      <c r="Z3" s="415"/>
      <c r="AA3" s="414" t="s">
        <v>206</v>
      </c>
      <c r="AB3" s="414"/>
      <c r="AC3" s="415"/>
      <c r="AD3" s="414" t="s">
        <v>207</v>
      </c>
      <c r="AE3" s="414"/>
      <c r="AF3" s="415"/>
      <c r="AG3" s="414" t="s">
        <v>207</v>
      </c>
      <c r="AH3" s="414"/>
      <c r="AI3" s="415"/>
      <c r="AJ3" s="414" t="s">
        <v>208</v>
      </c>
      <c r="AK3" s="414"/>
      <c r="AL3" s="415"/>
      <c r="AM3" s="414" t="s">
        <v>208</v>
      </c>
      <c r="AN3" s="414"/>
      <c r="AO3" s="415"/>
      <c r="AP3" s="416" t="s">
        <v>107</v>
      </c>
      <c r="AQ3" s="414"/>
      <c r="AR3" s="417"/>
      <c r="AS3" s="416" t="s">
        <v>107</v>
      </c>
      <c r="AT3" s="414"/>
      <c r="AU3" s="417"/>
      <c r="AV3" s="414" t="s">
        <v>204</v>
      </c>
      <c r="AW3" s="414"/>
      <c r="AX3" s="415"/>
      <c r="AY3" s="414" t="s">
        <v>205</v>
      </c>
      <c r="AZ3" s="414"/>
      <c r="BA3" s="415"/>
      <c r="BB3" s="414" t="s">
        <v>207</v>
      </c>
      <c r="BC3" s="414"/>
      <c r="BD3" s="415"/>
      <c r="BE3" s="416" t="s">
        <v>107</v>
      </c>
      <c r="BF3" s="414"/>
      <c r="BG3" s="417"/>
      <c r="BH3" s="414" t="s">
        <v>204</v>
      </c>
      <c r="BI3" s="414"/>
      <c r="BJ3" s="415"/>
      <c r="BK3" s="414" t="s">
        <v>205</v>
      </c>
      <c r="BL3" s="414"/>
      <c r="BM3" s="415"/>
      <c r="BN3" s="414" t="s">
        <v>207</v>
      </c>
      <c r="BO3" s="414"/>
      <c r="BP3" s="415"/>
      <c r="BQ3" s="416" t="s">
        <v>107</v>
      </c>
      <c r="BR3" s="414"/>
      <c r="BS3" s="417"/>
      <c r="BT3" s="414" t="s">
        <v>205</v>
      </c>
      <c r="BU3" s="414"/>
      <c r="BV3" s="415"/>
      <c r="BW3" s="414" t="s">
        <v>204</v>
      </c>
      <c r="BX3" s="414"/>
      <c r="BY3" s="415"/>
      <c r="BZ3" s="416" t="s">
        <v>107</v>
      </c>
      <c r="CA3" s="414"/>
      <c r="CB3" s="417"/>
      <c r="CC3" s="414" t="s">
        <v>205</v>
      </c>
      <c r="CD3" s="414"/>
      <c r="CE3" s="415"/>
      <c r="CF3" s="414" t="s">
        <v>204</v>
      </c>
      <c r="CG3" s="414"/>
      <c r="CH3" s="415"/>
      <c r="CI3" s="416" t="s">
        <v>107</v>
      </c>
      <c r="CJ3" s="414"/>
      <c r="CK3" s="417"/>
      <c r="CL3" s="414" t="s">
        <v>205</v>
      </c>
      <c r="CM3" s="414"/>
      <c r="CN3" s="415"/>
      <c r="CO3" s="414" t="s">
        <v>204</v>
      </c>
      <c r="CP3" s="414"/>
      <c r="CQ3" s="415"/>
      <c r="CR3" s="416" t="s">
        <v>107</v>
      </c>
      <c r="CS3" s="414"/>
      <c r="CT3" s="417"/>
      <c r="CU3" s="414" t="s">
        <v>205</v>
      </c>
      <c r="CV3" s="414"/>
      <c r="CW3" s="415"/>
      <c r="CX3" s="414" t="s">
        <v>204</v>
      </c>
      <c r="CY3" s="414"/>
      <c r="CZ3" s="415"/>
      <c r="DA3" s="416" t="s">
        <v>107</v>
      </c>
      <c r="DB3" s="414"/>
      <c r="DC3" s="417"/>
      <c r="DD3" s="414" t="s">
        <v>204</v>
      </c>
      <c r="DE3" s="414"/>
      <c r="DF3" s="415"/>
      <c r="DG3" s="414" t="s">
        <v>205</v>
      </c>
      <c r="DH3" s="414"/>
      <c r="DI3" s="415"/>
      <c r="DJ3" s="414" t="s">
        <v>207</v>
      </c>
      <c r="DK3" s="414"/>
      <c r="DL3" s="415"/>
      <c r="DM3" s="416" t="s">
        <v>107</v>
      </c>
      <c r="DN3" s="414"/>
      <c r="DO3" s="417"/>
      <c r="DP3" s="414" t="s">
        <v>208</v>
      </c>
      <c r="DQ3" s="414"/>
      <c r="DR3" s="415"/>
      <c r="DS3" s="414" t="s">
        <v>207</v>
      </c>
      <c r="DT3" s="414"/>
      <c r="DU3" s="415"/>
      <c r="DV3" s="416" t="s">
        <v>107</v>
      </c>
      <c r="DW3" s="414"/>
      <c r="DX3" s="417"/>
      <c r="DY3" s="414" t="s">
        <v>204</v>
      </c>
      <c r="DZ3" s="414"/>
      <c r="EA3" s="415"/>
      <c r="EB3" s="414" t="s">
        <v>205</v>
      </c>
      <c r="EC3" s="414"/>
      <c r="ED3" s="415"/>
      <c r="EE3" s="414" t="s">
        <v>207</v>
      </c>
      <c r="EF3" s="414"/>
      <c r="EG3" s="415"/>
      <c r="EH3" s="416" t="s">
        <v>107</v>
      </c>
      <c r="EI3" s="414"/>
      <c r="EJ3" s="417"/>
    </row>
    <row r="4" spans="2:140">
      <c r="F4" t="s">
        <v>71</v>
      </c>
      <c r="G4" t="s">
        <v>63</v>
      </c>
      <c r="H4" s="170" t="s">
        <v>209</v>
      </c>
      <c r="I4" t="s">
        <v>71</v>
      </c>
      <c r="J4" s="168" t="s">
        <v>63</v>
      </c>
      <c r="K4" s="170" t="s">
        <v>209</v>
      </c>
      <c r="L4" t="s">
        <v>71</v>
      </c>
      <c r="M4" t="s">
        <v>63</v>
      </c>
      <c r="N4" s="169" t="s">
        <v>209</v>
      </c>
      <c r="O4" s="167" t="s">
        <v>71</v>
      </c>
      <c r="P4" s="168" t="s">
        <v>63</v>
      </c>
      <c r="Q4" s="170" t="s">
        <v>209</v>
      </c>
      <c r="R4" t="s">
        <v>71</v>
      </c>
      <c r="S4" t="s">
        <v>63</v>
      </c>
      <c r="T4" s="169" t="s">
        <v>209</v>
      </c>
      <c r="U4" t="s">
        <v>71</v>
      </c>
      <c r="V4" t="s">
        <v>63</v>
      </c>
      <c r="W4" s="171" t="s">
        <v>209</v>
      </c>
      <c r="X4" t="s">
        <v>71</v>
      </c>
      <c r="Y4" t="s">
        <v>63</v>
      </c>
      <c r="Z4" s="169" t="s">
        <v>209</v>
      </c>
      <c r="AA4" t="s">
        <v>71</v>
      </c>
      <c r="AB4" t="s">
        <v>63</v>
      </c>
      <c r="AC4" s="169" t="s">
        <v>209</v>
      </c>
      <c r="AD4" t="s">
        <v>71</v>
      </c>
      <c r="AE4" t="s">
        <v>63</v>
      </c>
      <c r="AF4" s="169" t="s">
        <v>209</v>
      </c>
      <c r="AG4" t="s">
        <v>71</v>
      </c>
      <c r="AH4" t="s">
        <v>63</v>
      </c>
      <c r="AI4" s="169" t="s">
        <v>209</v>
      </c>
      <c r="AJ4" t="s">
        <v>71</v>
      </c>
      <c r="AK4" t="s">
        <v>63</v>
      </c>
      <c r="AL4" s="169" t="s">
        <v>209</v>
      </c>
      <c r="AM4" t="s">
        <v>71</v>
      </c>
      <c r="AN4" t="s">
        <v>63</v>
      </c>
      <c r="AO4" s="169" t="s">
        <v>209</v>
      </c>
      <c r="AP4" t="s">
        <v>71</v>
      </c>
      <c r="AQ4" t="s">
        <v>63</v>
      </c>
      <c r="AR4" s="171" t="s">
        <v>209</v>
      </c>
      <c r="AS4" t="s">
        <v>71</v>
      </c>
      <c r="AT4" t="s">
        <v>63</v>
      </c>
      <c r="AU4" s="171" t="s">
        <v>209</v>
      </c>
      <c r="AV4" t="s">
        <v>71</v>
      </c>
      <c r="AW4" t="s">
        <v>63</v>
      </c>
      <c r="AX4" s="169" t="s">
        <v>209</v>
      </c>
      <c r="AY4" t="s">
        <v>71</v>
      </c>
      <c r="AZ4" t="s">
        <v>63</v>
      </c>
      <c r="BA4" s="169" t="s">
        <v>209</v>
      </c>
      <c r="BB4" t="s">
        <v>71</v>
      </c>
      <c r="BC4" t="s">
        <v>63</v>
      </c>
      <c r="BD4" s="169" t="s">
        <v>209</v>
      </c>
      <c r="BE4" t="s">
        <v>71</v>
      </c>
      <c r="BF4" t="s">
        <v>63</v>
      </c>
      <c r="BG4" s="171" t="s">
        <v>209</v>
      </c>
      <c r="BH4" t="s">
        <v>71</v>
      </c>
      <c r="BI4" t="s">
        <v>63</v>
      </c>
      <c r="BJ4" s="169" t="s">
        <v>209</v>
      </c>
      <c r="BK4" t="s">
        <v>71</v>
      </c>
      <c r="BL4" t="s">
        <v>63</v>
      </c>
      <c r="BM4" s="169" t="s">
        <v>209</v>
      </c>
      <c r="BN4" t="s">
        <v>71</v>
      </c>
      <c r="BO4" t="s">
        <v>63</v>
      </c>
      <c r="BP4" s="169" t="s">
        <v>209</v>
      </c>
      <c r="BQ4" t="s">
        <v>71</v>
      </c>
      <c r="BR4" t="s">
        <v>63</v>
      </c>
      <c r="BS4" s="171" t="s">
        <v>209</v>
      </c>
      <c r="BT4" t="s">
        <v>71</v>
      </c>
      <c r="BU4" t="s">
        <v>63</v>
      </c>
      <c r="BV4" s="169" t="s">
        <v>209</v>
      </c>
      <c r="BW4" t="s">
        <v>71</v>
      </c>
      <c r="BX4" t="s">
        <v>63</v>
      </c>
      <c r="BY4" s="169" t="s">
        <v>209</v>
      </c>
      <c r="BZ4" t="s">
        <v>71</v>
      </c>
      <c r="CA4" t="s">
        <v>63</v>
      </c>
      <c r="CB4" s="171" t="s">
        <v>209</v>
      </c>
      <c r="CC4" t="s">
        <v>71</v>
      </c>
      <c r="CD4" t="s">
        <v>63</v>
      </c>
      <c r="CE4" s="169" t="s">
        <v>209</v>
      </c>
      <c r="CF4" t="s">
        <v>71</v>
      </c>
      <c r="CG4" t="s">
        <v>63</v>
      </c>
      <c r="CH4" s="169" t="s">
        <v>209</v>
      </c>
      <c r="CI4" t="s">
        <v>71</v>
      </c>
      <c r="CJ4" t="s">
        <v>63</v>
      </c>
      <c r="CK4" s="171" t="s">
        <v>209</v>
      </c>
      <c r="CL4" t="s">
        <v>71</v>
      </c>
      <c r="CM4" t="s">
        <v>63</v>
      </c>
      <c r="CN4" s="169" t="s">
        <v>209</v>
      </c>
      <c r="CO4" t="s">
        <v>71</v>
      </c>
      <c r="CP4" t="s">
        <v>63</v>
      </c>
      <c r="CQ4" s="169" t="s">
        <v>209</v>
      </c>
      <c r="CR4" t="s">
        <v>71</v>
      </c>
      <c r="CS4" t="s">
        <v>63</v>
      </c>
      <c r="CT4" s="171" t="s">
        <v>209</v>
      </c>
      <c r="CU4" t="s">
        <v>71</v>
      </c>
      <c r="CV4" t="s">
        <v>63</v>
      </c>
      <c r="CW4" s="169" t="s">
        <v>209</v>
      </c>
      <c r="CX4" t="s">
        <v>71</v>
      </c>
      <c r="CY4" t="s">
        <v>63</v>
      </c>
      <c r="CZ4" s="169" t="s">
        <v>209</v>
      </c>
      <c r="DA4" t="s">
        <v>71</v>
      </c>
      <c r="DB4" t="s">
        <v>63</v>
      </c>
      <c r="DC4" s="171" t="s">
        <v>209</v>
      </c>
      <c r="DD4" t="s">
        <v>71</v>
      </c>
      <c r="DE4" t="s">
        <v>63</v>
      </c>
      <c r="DF4" s="169" t="s">
        <v>209</v>
      </c>
      <c r="DG4" t="s">
        <v>71</v>
      </c>
      <c r="DH4" t="s">
        <v>63</v>
      </c>
      <c r="DI4" s="169" t="s">
        <v>209</v>
      </c>
      <c r="DJ4" t="s">
        <v>71</v>
      </c>
      <c r="DK4" t="s">
        <v>63</v>
      </c>
      <c r="DL4" s="169" t="s">
        <v>209</v>
      </c>
      <c r="DM4" s="2" t="s">
        <v>71</v>
      </c>
      <c r="DN4" t="s">
        <v>63</v>
      </c>
      <c r="DO4" s="314" t="s">
        <v>209</v>
      </c>
      <c r="DP4" t="s">
        <v>71</v>
      </c>
      <c r="DQ4" t="s">
        <v>63</v>
      </c>
      <c r="DR4" s="169" t="s">
        <v>209</v>
      </c>
      <c r="DS4" t="s">
        <v>71</v>
      </c>
      <c r="DT4" t="s">
        <v>63</v>
      </c>
      <c r="DU4" s="169" t="s">
        <v>209</v>
      </c>
      <c r="DV4" t="s">
        <v>71</v>
      </c>
      <c r="DW4" t="s">
        <v>63</v>
      </c>
      <c r="DX4" s="171" t="s">
        <v>209</v>
      </c>
      <c r="DY4" t="s">
        <v>71</v>
      </c>
      <c r="DZ4" t="s">
        <v>63</v>
      </c>
      <c r="EA4" s="169" t="s">
        <v>209</v>
      </c>
      <c r="EB4" t="s">
        <v>71</v>
      </c>
      <c r="EC4" t="s">
        <v>63</v>
      </c>
      <c r="ED4" s="169" t="s">
        <v>209</v>
      </c>
      <c r="EE4" t="s">
        <v>71</v>
      </c>
      <c r="EF4" t="s">
        <v>63</v>
      </c>
      <c r="EG4" s="169" t="s">
        <v>209</v>
      </c>
      <c r="EH4" s="2" t="s">
        <v>71</v>
      </c>
      <c r="EI4" t="s">
        <v>63</v>
      </c>
      <c r="EJ4" s="314" t="s">
        <v>209</v>
      </c>
    </row>
    <row r="5" spans="2:140">
      <c r="B5" t="s">
        <v>122</v>
      </c>
      <c r="C5" t="s">
        <v>121</v>
      </c>
      <c r="D5">
        <f>VLOOKUP(B5,Dates!$B$2:$E$53,4,FALSE)</f>
        <v>1</v>
      </c>
      <c r="E5" s="168" t="b">
        <f>IF(D5&lt;='RDG Weekly Sales'!$F$1,TRUE,FALSE)</f>
        <v>1</v>
      </c>
      <c r="F5" s="303">
        <v>944575</v>
      </c>
      <c r="G5" s="168">
        <v>5033</v>
      </c>
      <c r="H5" s="170">
        <f>F5/G5</f>
        <v>187.67633618120405</v>
      </c>
      <c r="I5" s="167">
        <v>947713</v>
      </c>
      <c r="J5" s="168">
        <v>5033</v>
      </c>
      <c r="K5" s="170">
        <f>I5/J5</f>
        <v>188.29982118021061</v>
      </c>
      <c r="L5" s="303">
        <v>42462</v>
      </c>
      <c r="M5" s="168">
        <v>313</v>
      </c>
      <c r="N5" s="170">
        <f>L5/M5</f>
        <v>135.66134185303514</v>
      </c>
      <c r="O5" s="167">
        <v>36192</v>
      </c>
      <c r="P5" s="168">
        <v>313</v>
      </c>
      <c r="Q5" s="170">
        <f>O5/P5</f>
        <v>115.62939297124601</v>
      </c>
      <c r="R5" s="3">
        <f t="shared" ref="R5:R36" si="0">F5+L5</f>
        <v>987037</v>
      </c>
      <c r="S5" s="97">
        <f t="shared" ref="S5:S36" si="1">G5+M5</f>
        <v>5346</v>
      </c>
      <c r="T5" s="170">
        <f>R5/S5</f>
        <v>184.63093901982791</v>
      </c>
      <c r="U5" s="3">
        <f t="shared" ref="U5:U36" si="2">I5+O5</f>
        <v>983905</v>
      </c>
      <c r="V5" s="97">
        <f t="shared" ref="V5:V36" si="3">J5+P5</f>
        <v>5346</v>
      </c>
      <c r="W5" s="172">
        <f>U5/V5</f>
        <v>184.04508043396933</v>
      </c>
      <c r="X5" s="167">
        <v>36316</v>
      </c>
      <c r="Y5" s="168">
        <v>114</v>
      </c>
      <c r="Z5" s="170">
        <f>X5/Y5</f>
        <v>318.56140350877195</v>
      </c>
      <c r="AA5" s="167">
        <v>36316</v>
      </c>
      <c r="AB5" s="168">
        <v>114</v>
      </c>
      <c r="AC5" s="170">
        <f>AA5/AB5</f>
        <v>318.56140350877195</v>
      </c>
      <c r="AD5" s="167">
        <v>117411</v>
      </c>
      <c r="AE5" s="168">
        <v>418</v>
      </c>
      <c r="AF5" s="170">
        <f>AD5/AE5</f>
        <v>280.88755980861242</v>
      </c>
      <c r="AG5" s="167">
        <v>116456</v>
      </c>
      <c r="AH5" s="168">
        <v>418</v>
      </c>
      <c r="AI5" s="170">
        <f>AG5/AH5</f>
        <v>278.60287081339715</v>
      </c>
      <c r="AJ5" s="167">
        <v>480307.65</v>
      </c>
      <c r="AK5" s="168">
        <v>1333</v>
      </c>
      <c r="AL5" s="170">
        <f>AJ5/AK5</f>
        <v>360.32081770442613</v>
      </c>
      <c r="AM5" s="167">
        <v>488816</v>
      </c>
      <c r="AN5" s="168">
        <v>1333</v>
      </c>
      <c r="AO5" s="170">
        <f>AM5/AN5</f>
        <v>366.70367591897974</v>
      </c>
      <c r="AP5" s="167">
        <f t="shared" ref="AP5:AP36" si="4">SUM(X5,AD5,AJ5)</f>
        <v>634034.65</v>
      </c>
      <c r="AQ5" s="168">
        <f t="shared" ref="AQ5:AQ36" si="5">SUM(Y5,AE5,AK5)</f>
        <v>1865</v>
      </c>
      <c r="AR5" s="172">
        <f>AP5/AQ5</f>
        <v>339.96495978552281</v>
      </c>
      <c r="AS5" s="167">
        <f t="shared" ref="AS5:AS36" si="6">SUM(AA5,AG5,AM5)</f>
        <v>641588</v>
      </c>
      <c r="AT5" s="168">
        <f t="shared" ref="AT5:AT36" si="7">SUM(AB5,AH5,AN5)</f>
        <v>1865</v>
      </c>
      <c r="AU5" s="172">
        <f>AS5/AT5</f>
        <v>344.01501340482577</v>
      </c>
      <c r="AV5" s="167">
        <v>230582</v>
      </c>
      <c r="AW5" s="168">
        <v>2031</v>
      </c>
      <c r="AX5" s="170">
        <f>AV5/AW5</f>
        <v>113.53126538650911</v>
      </c>
      <c r="AY5" s="167">
        <v>23793.091984989896</v>
      </c>
      <c r="AZ5" s="168">
        <v>389</v>
      </c>
      <c r="BA5" s="170">
        <f>AY5/AZ5</f>
        <v>61.16476088686349</v>
      </c>
      <c r="BB5" s="167">
        <v>45911</v>
      </c>
      <c r="BC5" s="168">
        <v>239</v>
      </c>
      <c r="BD5" s="170">
        <f>BB5/BC5</f>
        <v>192.09623430962344</v>
      </c>
      <c r="BE5" s="3">
        <f>AV5+BB5+AY5</f>
        <v>300286.09198498988</v>
      </c>
      <c r="BF5" s="97">
        <f>AW5+BC5+AZ5</f>
        <v>2659</v>
      </c>
      <c r="BG5" s="172">
        <f>BE5/BF5</f>
        <v>112.93196389055656</v>
      </c>
      <c r="BH5" s="167">
        <v>230582</v>
      </c>
      <c r="BI5" s="168">
        <v>2031</v>
      </c>
      <c r="BJ5" s="170">
        <f>BH5/BI5</f>
        <v>113.53126538650911</v>
      </c>
      <c r="BK5" s="167">
        <v>26836</v>
      </c>
      <c r="BL5" s="168">
        <v>389</v>
      </c>
      <c r="BM5" s="170">
        <f>BK5/BL5</f>
        <v>68.987146529562978</v>
      </c>
      <c r="BN5" s="168">
        <v>45911</v>
      </c>
      <c r="BO5" s="168">
        <v>239</v>
      </c>
      <c r="BP5" s="170">
        <f>BN5/BO5</f>
        <v>192.09623430962344</v>
      </c>
      <c r="BQ5" s="3">
        <f>BH5+BN5+BK5</f>
        <v>303329</v>
      </c>
      <c r="BR5" s="97">
        <f>BI5+BO5+BL5</f>
        <v>2659</v>
      </c>
      <c r="BS5" s="172">
        <f>BQ5/BR5</f>
        <v>114.07634449040992</v>
      </c>
      <c r="BT5" s="303">
        <v>390000</v>
      </c>
      <c r="BU5" s="168">
        <v>1300</v>
      </c>
      <c r="BV5" s="170">
        <f>BT5/BU5</f>
        <v>300</v>
      </c>
      <c r="BW5" s="303">
        <v>1020605</v>
      </c>
      <c r="BX5" s="168">
        <v>4271</v>
      </c>
      <c r="BY5" s="170">
        <f>BW5/BX5</f>
        <v>238.9616014984781</v>
      </c>
      <c r="BZ5" s="3">
        <f>BW5+BT5</f>
        <v>1410605</v>
      </c>
      <c r="CA5" s="97">
        <f>BX5+BU5</f>
        <v>5571</v>
      </c>
      <c r="CB5" s="172">
        <f>BZ5/CA5</f>
        <v>253.20499012744571</v>
      </c>
      <c r="CC5" s="167">
        <v>70095</v>
      </c>
      <c r="CD5" s="168">
        <v>588</v>
      </c>
      <c r="CE5" s="170">
        <f>CC5/CD5</f>
        <v>119.20918367346938</v>
      </c>
      <c r="CF5" s="167">
        <v>759668.99999999988</v>
      </c>
      <c r="CG5" s="168">
        <v>3930</v>
      </c>
      <c r="CH5" s="170">
        <f>CF5/CG5</f>
        <v>193.29999999999998</v>
      </c>
      <c r="CI5" s="3">
        <f>CF5+CC5</f>
        <v>829763.99999999988</v>
      </c>
      <c r="CJ5" s="97">
        <f>CG5+CD5</f>
        <v>4518</v>
      </c>
      <c r="CK5" s="172">
        <f>CI5/CJ5</f>
        <v>183.65737051792826</v>
      </c>
      <c r="CL5" s="167"/>
      <c r="CM5" s="168"/>
      <c r="CN5" s="170">
        <v>0</v>
      </c>
      <c r="CO5" s="167"/>
      <c r="CP5" s="168"/>
      <c r="CQ5" s="170">
        <v>0</v>
      </c>
      <c r="CR5" s="3">
        <v>0</v>
      </c>
      <c r="CS5" s="97">
        <v>0</v>
      </c>
      <c r="CT5" s="172">
        <v>0</v>
      </c>
      <c r="CU5" s="167">
        <v>0</v>
      </c>
      <c r="CV5" s="168">
        <v>0</v>
      </c>
      <c r="CW5" s="170">
        <v>0</v>
      </c>
      <c r="CX5" s="303">
        <v>573593</v>
      </c>
      <c r="CY5" s="168">
        <v>2829</v>
      </c>
      <c r="CZ5" s="170">
        <v>202.75468363379287</v>
      </c>
      <c r="DA5" s="3">
        <f>CX5+CU5</f>
        <v>573593</v>
      </c>
      <c r="DB5" s="97">
        <f>CY5+CV5</f>
        <v>2829</v>
      </c>
      <c r="DC5" s="172">
        <f>DA5/DB5</f>
        <v>202.75468363379287</v>
      </c>
      <c r="DD5" s="303">
        <v>207795.80000000002</v>
      </c>
      <c r="DE5" s="168">
        <v>1611.6999999999998</v>
      </c>
      <c r="DF5" s="170">
        <f>DD5/DE5</f>
        <v>128.92957746478876</v>
      </c>
      <c r="DG5" s="303">
        <v>18000</v>
      </c>
      <c r="DH5" s="168">
        <v>180</v>
      </c>
      <c r="DI5" s="170">
        <f t="shared" ref="DI5:DI56" si="8">DG5/DH5</f>
        <v>100</v>
      </c>
      <c r="DJ5" s="167">
        <v>0</v>
      </c>
      <c r="DK5" s="168">
        <v>0</v>
      </c>
      <c r="DL5" s="170">
        <v>0</v>
      </c>
      <c r="DM5" s="3">
        <f t="shared" ref="DM5:DM56" si="9">DD5+DJ5+DG5</f>
        <v>225795.80000000002</v>
      </c>
      <c r="DN5" s="97">
        <f>DE5+DK5+DH5</f>
        <v>1791.6999999999998</v>
      </c>
      <c r="DO5" s="172">
        <f>DM5/DN5</f>
        <v>126.02321817268518</v>
      </c>
      <c r="DP5" s="303">
        <v>0</v>
      </c>
      <c r="DQ5" s="168">
        <v>0</v>
      </c>
      <c r="DR5" s="170">
        <f>IFERROR(DP5/DQ5,0)</f>
        <v>0</v>
      </c>
      <c r="DS5" s="303">
        <v>0</v>
      </c>
      <c r="DT5" s="168">
        <v>0</v>
      </c>
      <c r="DU5" s="170">
        <f>IFERROR(DS5/DT5,0)</f>
        <v>0</v>
      </c>
      <c r="DV5" s="3">
        <f>DS5+DP5</f>
        <v>0</v>
      </c>
      <c r="DW5" s="97">
        <f>DQ5+DT5</f>
        <v>0</v>
      </c>
      <c r="DX5" s="172">
        <f>IFERROR(DV5/DW5,0)</f>
        <v>0</v>
      </c>
      <c r="DY5" s="167">
        <v>0</v>
      </c>
      <c r="DZ5" s="168">
        <v>0</v>
      </c>
      <c r="EA5" s="170">
        <f>IFERROR(DY5/DZ5,0)</f>
        <v>0</v>
      </c>
      <c r="EB5" s="167">
        <v>0</v>
      </c>
      <c r="EC5" s="168">
        <v>0</v>
      </c>
      <c r="ED5" s="170">
        <f>IFERROR(EB5/EC5,0)</f>
        <v>0</v>
      </c>
      <c r="EE5" s="167">
        <v>0</v>
      </c>
      <c r="EF5" s="168">
        <v>0</v>
      </c>
      <c r="EG5" s="170">
        <f>IFERROR(EE5/EF5,0)</f>
        <v>0</v>
      </c>
      <c r="EH5" s="3">
        <f>DY5+EE5+EB5</f>
        <v>0</v>
      </c>
      <c r="EI5" s="97">
        <f>DZ5+EF5+EC5</f>
        <v>0</v>
      </c>
      <c r="EJ5" s="172">
        <f>IFERROR(EH5/EI5,0)</f>
        <v>0</v>
      </c>
    </row>
    <row r="6" spans="2:140">
      <c r="B6" t="s">
        <v>123</v>
      </c>
      <c r="C6" t="s">
        <v>121</v>
      </c>
      <c r="D6">
        <f>VLOOKUP(B6,Dates!$B$2:$E$53,4,FALSE)</f>
        <v>2</v>
      </c>
      <c r="E6" s="168" t="b">
        <f>IF(D6&lt;='RDG Weekly Sales'!$F$1,TRUE,FALSE)</f>
        <v>1</v>
      </c>
      <c r="F6" s="303">
        <v>629707</v>
      </c>
      <c r="G6" s="168">
        <v>3868</v>
      </c>
      <c r="H6" s="170">
        <f t="shared" ref="H6:H56" si="10">F6/G6</f>
        <v>162.79912099276112</v>
      </c>
      <c r="I6" s="167">
        <v>629707</v>
      </c>
      <c r="J6" s="168">
        <v>3868</v>
      </c>
      <c r="K6" s="170">
        <f t="shared" ref="K6:K56" si="11">I6/J6</f>
        <v>162.79912099276112</v>
      </c>
      <c r="L6" s="303">
        <v>37442</v>
      </c>
      <c r="M6" s="168">
        <v>276</v>
      </c>
      <c r="N6" s="170">
        <f t="shared" ref="N6:N56" si="12">L6/M6</f>
        <v>135.65942028985506</v>
      </c>
      <c r="O6" s="167">
        <v>48784</v>
      </c>
      <c r="P6" s="168">
        <v>276</v>
      </c>
      <c r="Q6" s="170">
        <f t="shared" ref="Q6:Q56" si="13">O6/P6</f>
        <v>176.75362318840581</v>
      </c>
      <c r="R6" s="3">
        <f t="shared" si="0"/>
        <v>667149</v>
      </c>
      <c r="S6" s="97">
        <f t="shared" si="1"/>
        <v>4144</v>
      </c>
      <c r="T6" s="170">
        <f t="shared" ref="T6:T56" si="14">R6/S6</f>
        <v>160.99155405405406</v>
      </c>
      <c r="U6" s="3">
        <f t="shared" si="2"/>
        <v>678491</v>
      </c>
      <c r="V6" s="97">
        <f t="shared" si="3"/>
        <v>4144</v>
      </c>
      <c r="W6" s="172">
        <f t="shared" ref="W6:W56" si="15">U6/V6</f>
        <v>163.72852316602317</v>
      </c>
      <c r="X6" s="167">
        <v>25216</v>
      </c>
      <c r="Y6" s="168">
        <v>82</v>
      </c>
      <c r="Z6" s="170">
        <f t="shared" ref="Z6:Z56" si="16">X6/Y6</f>
        <v>307.51219512195121</v>
      </c>
      <c r="AA6" s="167">
        <v>25216</v>
      </c>
      <c r="AB6" s="168">
        <v>82</v>
      </c>
      <c r="AC6" s="170">
        <f t="shared" ref="AC6:AC56" si="17">AA6/AB6</f>
        <v>307.51219512195121</v>
      </c>
      <c r="AD6" s="167">
        <v>54134</v>
      </c>
      <c r="AE6" s="168">
        <v>250</v>
      </c>
      <c r="AF6" s="170">
        <f t="shared" ref="AF6:AF56" si="18">AD6/AE6</f>
        <v>216.536</v>
      </c>
      <c r="AG6" s="167">
        <v>53460</v>
      </c>
      <c r="AH6" s="168">
        <v>250</v>
      </c>
      <c r="AI6" s="170">
        <f t="shared" ref="AI6:AI56" si="19">AG6/AH6</f>
        <v>213.84</v>
      </c>
      <c r="AJ6" s="167">
        <v>261364.94999999998</v>
      </c>
      <c r="AK6" s="168">
        <v>753</v>
      </c>
      <c r="AL6" s="170">
        <f t="shared" ref="AL6:AL56" si="20">AJ6/AK6</f>
        <v>347.0982071713147</v>
      </c>
      <c r="AM6" s="167">
        <v>271437</v>
      </c>
      <c r="AN6" s="168">
        <v>793</v>
      </c>
      <c r="AO6" s="170">
        <f t="shared" ref="AO6:AO56" si="21">AM6/AN6</f>
        <v>342.29129886506934</v>
      </c>
      <c r="AP6" s="167">
        <f t="shared" si="4"/>
        <v>340714.94999999995</v>
      </c>
      <c r="AQ6" s="168">
        <f t="shared" si="5"/>
        <v>1085</v>
      </c>
      <c r="AR6" s="172">
        <f t="shared" ref="AR6:AR56" si="22">AP6/AQ6</f>
        <v>314.02299539170502</v>
      </c>
      <c r="AS6" s="167">
        <f t="shared" si="6"/>
        <v>350113</v>
      </c>
      <c r="AT6" s="168">
        <f t="shared" si="7"/>
        <v>1125</v>
      </c>
      <c r="AU6" s="172">
        <f t="shared" ref="AU6:AU56" si="23">AS6/AT6</f>
        <v>311.21155555555555</v>
      </c>
      <c r="AV6" s="167">
        <v>162590</v>
      </c>
      <c r="AW6" s="168">
        <v>1486</v>
      </c>
      <c r="AX6" s="170">
        <f t="shared" ref="AX6:AX56" si="24">AV6/AW6</f>
        <v>109.41453566621803</v>
      </c>
      <c r="AY6" s="167">
        <v>21940.060205358001</v>
      </c>
      <c r="AZ6" s="168">
        <v>358</v>
      </c>
      <c r="BA6" s="170">
        <f t="shared" ref="BA6:BA56" si="25">AY6/AZ6</f>
        <v>61.285084372508379</v>
      </c>
      <c r="BB6" s="167">
        <v>27230</v>
      </c>
      <c r="BC6" s="168">
        <v>180</v>
      </c>
      <c r="BD6" s="170">
        <f t="shared" ref="BD6:BD56" si="26">BB6/BC6</f>
        <v>151.27777777777777</v>
      </c>
      <c r="BE6" s="3">
        <f t="shared" ref="BE6:BE56" si="27">AV6+BB6+AY6</f>
        <v>211760.06020535799</v>
      </c>
      <c r="BF6" s="97">
        <f t="shared" ref="BF6:BF56" si="28">AW6+BC6+AZ6</f>
        <v>2024</v>
      </c>
      <c r="BG6" s="172">
        <f t="shared" ref="BG6:BG56" si="29">BE6/BF6</f>
        <v>104.624535674584</v>
      </c>
      <c r="BH6" s="167">
        <v>162590</v>
      </c>
      <c r="BI6" s="168">
        <v>1486</v>
      </c>
      <c r="BJ6" s="170">
        <f t="shared" ref="BJ6:BJ56" si="30">BH6/BI6</f>
        <v>109.41453566621803</v>
      </c>
      <c r="BK6" s="167">
        <v>24902</v>
      </c>
      <c r="BL6" s="168">
        <v>358</v>
      </c>
      <c r="BM6" s="170">
        <f t="shared" ref="BM6:BM56" si="31">BK6/BL6</f>
        <v>69.558659217877093</v>
      </c>
      <c r="BN6" s="168">
        <v>27230</v>
      </c>
      <c r="BO6" s="168">
        <v>180</v>
      </c>
      <c r="BP6" s="170">
        <f t="shared" ref="BP6:BP56" si="32">BN6/BO6</f>
        <v>151.27777777777777</v>
      </c>
      <c r="BQ6" s="3">
        <f t="shared" ref="BQ6:BR56" si="33">BH6+BN6+BK6</f>
        <v>214722</v>
      </c>
      <c r="BR6" s="97">
        <f t="shared" si="33"/>
        <v>2024</v>
      </c>
      <c r="BS6" s="172">
        <f t="shared" ref="BS6:BS56" si="34">BQ6/BR6</f>
        <v>106.08794466403162</v>
      </c>
      <c r="BT6" s="303">
        <v>212824.33369704336</v>
      </c>
      <c r="BU6" s="168">
        <v>1300</v>
      </c>
      <c r="BV6" s="170">
        <f t="shared" ref="BV6:BV56" si="35">BT6/BU6</f>
        <v>163.7110259208026</v>
      </c>
      <c r="BW6" s="303">
        <v>456000</v>
      </c>
      <c r="BX6" s="168">
        <v>2400</v>
      </c>
      <c r="BY6" s="170">
        <f t="shared" ref="BY6:BY56" si="36">BW6/BX6</f>
        <v>190</v>
      </c>
      <c r="BZ6" s="3">
        <f t="shared" ref="BZ6:CA56" si="37">BW6+BT6</f>
        <v>668824.33369704336</v>
      </c>
      <c r="CA6" s="97">
        <f t="shared" si="37"/>
        <v>3700</v>
      </c>
      <c r="CB6" s="172">
        <f t="shared" ref="CB6:CB56" si="38">BZ6/CA6</f>
        <v>180.76333343163333</v>
      </c>
      <c r="CC6" s="167">
        <v>70272</v>
      </c>
      <c r="CD6" s="168">
        <v>462</v>
      </c>
      <c r="CE6" s="170">
        <f t="shared" ref="CE6:CE56" si="39">CC6/CD6</f>
        <v>152.10389610389609</v>
      </c>
      <c r="CF6" s="167">
        <v>294063</v>
      </c>
      <c r="CG6" s="168">
        <v>1970</v>
      </c>
      <c r="CH6" s="170">
        <f t="shared" ref="CH6:CH56" si="40">CF6/CG6</f>
        <v>149.27055837563452</v>
      </c>
      <c r="CI6" s="3">
        <f t="shared" ref="CI6:CI56" si="41">CF6+CC6</f>
        <v>364335</v>
      </c>
      <c r="CJ6" s="97">
        <f t="shared" ref="CJ6:CJ56" si="42">CG6+CD6</f>
        <v>2432</v>
      </c>
      <c r="CK6" s="172">
        <f t="shared" ref="CK6:CK56" si="43">CI6/CJ6</f>
        <v>149.80879934210526</v>
      </c>
      <c r="CL6" s="167"/>
      <c r="CM6" s="168"/>
      <c r="CN6" s="170">
        <v>0</v>
      </c>
      <c r="CO6" s="167"/>
      <c r="CP6" s="168"/>
      <c r="CQ6" s="170">
        <v>0</v>
      </c>
      <c r="CR6" s="3">
        <v>0</v>
      </c>
      <c r="CS6" s="97">
        <v>0</v>
      </c>
      <c r="CT6" s="172">
        <v>0</v>
      </c>
      <c r="CU6" s="167">
        <v>0</v>
      </c>
      <c r="CV6" s="168">
        <v>0</v>
      </c>
      <c r="CW6" s="170">
        <v>0</v>
      </c>
      <c r="CX6" s="303">
        <v>300846</v>
      </c>
      <c r="CY6" s="168">
        <v>1766</v>
      </c>
      <c r="CZ6" s="170">
        <v>170.35447338618346</v>
      </c>
      <c r="DA6" s="3">
        <f t="shared" ref="DA6:DA18" si="44">CX6+CU6</f>
        <v>300846</v>
      </c>
      <c r="DB6" s="97">
        <f t="shared" ref="DA6:DB56" si="45">CY6+CV6</f>
        <v>1766</v>
      </c>
      <c r="DC6" s="172">
        <f t="shared" ref="DC6:DC56" si="46">DA6/DB6</f>
        <v>170.35447338618346</v>
      </c>
      <c r="DD6" s="303">
        <v>207795.80000000002</v>
      </c>
      <c r="DE6" s="168">
        <v>1611.6999999999998</v>
      </c>
      <c r="DF6" s="170">
        <f t="shared" ref="DF6:DF56" si="47">DD6/DE6</f>
        <v>128.92957746478876</v>
      </c>
      <c r="DG6" s="303">
        <v>18000</v>
      </c>
      <c r="DH6" s="168">
        <v>180</v>
      </c>
      <c r="DI6" s="170">
        <f t="shared" si="8"/>
        <v>100</v>
      </c>
      <c r="DJ6" s="167">
        <v>0</v>
      </c>
      <c r="DK6" s="168">
        <v>0</v>
      </c>
      <c r="DL6" s="170">
        <v>0</v>
      </c>
      <c r="DM6" s="3">
        <f t="shared" si="9"/>
        <v>225795.80000000002</v>
      </c>
      <c r="DN6" s="97">
        <f t="shared" ref="DN6:DN56" si="48">DE6+DK6+DH6</f>
        <v>1791.6999999999998</v>
      </c>
      <c r="DO6" s="172">
        <f t="shared" ref="DO6:DO56" si="49">DM6/DN6</f>
        <v>126.02321817268518</v>
      </c>
      <c r="DP6" s="303">
        <v>0</v>
      </c>
      <c r="DQ6" s="168">
        <v>0</v>
      </c>
      <c r="DR6" s="170">
        <f t="shared" ref="DR6:DR56" si="50">IFERROR(DP6/DQ6,0)</f>
        <v>0</v>
      </c>
      <c r="DS6" s="303">
        <v>0</v>
      </c>
      <c r="DT6" s="168">
        <v>0</v>
      </c>
      <c r="DU6" s="170">
        <f t="shared" ref="DU6:DU56" si="51">IFERROR(DS6/DT6,0)</f>
        <v>0</v>
      </c>
      <c r="DV6" s="3">
        <f t="shared" ref="DV6:DV56" si="52">DS6+DP6</f>
        <v>0</v>
      </c>
      <c r="DW6" s="97">
        <f t="shared" ref="DW6:DW56" si="53">DQ6+DT6</f>
        <v>0</v>
      </c>
      <c r="DX6" s="172">
        <f t="shared" ref="DX6:DX56" si="54">IFERROR(DV6/DW6,0)</f>
        <v>0</v>
      </c>
      <c r="DY6" s="167">
        <v>0</v>
      </c>
      <c r="DZ6" s="168">
        <v>0</v>
      </c>
      <c r="EA6" s="170">
        <f t="shared" ref="EA6:EA56" si="55">IFERROR(DY6/DZ6,0)</f>
        <v>0</v>
      </c>
      <c r="EB6" s="167">
        <v>0</v>
      </c>
      <c r="EC6" s="168">
        <v>0</v>
      </c>
      <c r="ED6" s="170">
        <f t="shared" ref="ED6:ED56" si="56">IFERROR(EB6/EC6,0)</f>
        <v>0</v>
      </c>
      <c r="EE6" s="167">
        <v>0</v>
      </c>
      <c r="EF6" s="168">
        <v>0</v>
      </c>
      <c r="EG6" s="170">
        <f t="shared" ref="EG6:EG56" si="57">IFERROR(EE6/EF6,0)</f>
        <v>0</v>
      </c>
      <c r="EH6" s="3">
        <f t="shared" ref="EH6:EH56" si="58">DY6+EE6+EB6</f>
        <v>0</v>
      </c>
      <c r="EI6" s="97">
        <f t="shared" ref="EI6:EI56" si="59">DZ6+EF6+EC6</f>
        <v>0</v>
      </c>
      <c r="EJ6" s="172">
        <f t="shared" ref="EJ6:EJ56" si="60">IFERROR(EH6/EI6,0)</f>
        <v>0</v>
      </c>
    </row>
    <row r="7" spans="2:140">
      <c r="B7" t="s">
        <v>124</v>
      </c>
      <c r="C7" t="s">
        <v>121</v>
      </c>
      <c r="D7">
        <f>VLOOKUP(B7,Dates!$B$2:$E$53,4,FALSE)</f>
        <v>3</v>
      </c>
      <c r="E7" s="168" t="b">
        <f>IF(D7&lt;='RDG Weekly Sales'!$F$1,TRUE,FALSE)</f>
        <v>1</v>
      </c>
      <c r="F7" s="303">
        <v>742823</v>
      </c>
      <c r="G7" s="168">
        <v>4338</v>
      </c>
      <c r="H7" s="170">
        <f t="shared" si="10"/>
        <v>171.23628400184415</v>
      </c>
      <c r="I7" s="167">
        <v>756718</v>
      </c>
      <c r="J7" s="168">
        <v>4338</v>
      </c>
      <c r="K7" s="170">
        <f t="shared" si="11"/>
        <v>174.43937298294145</v>
      </c>
      <c r="L7" s="303">
        <v>47210</v>
      </c>
      <c r="M7" s="168">
        <v>348</v>
      </c>
      <c r="N7" s="170">
        <f t="shared" si="12"/>
        <v>135.66091954022988</v>
      </c>
      <c r="O7" s="167">
        <v>43618</v>
      </c>
      <c r="P7" s="168">
        <v>348</v>
      </c>
      <c r="Q7" s="170">
        <f t="shared" si="13"/>
        <v>125.33908045977012</v>
      </c>
      <c r="R7" s="3">
        <f t="shared" si="0"/>
        <v>790033</v>
      </c>
      <c r="S7" s="97">
        <f t="shared" si="1"/>
        <v>4686</v>
      </c>
      <c r="T7" s="170">
        <f t="shared" si="14"/>
        <v>168.59432351685874</v>
      </c>
      <c r="U7" s="3">
        <f t="shared" si="2"/>
        <v>800336</v>
      </c>
      <c r="V7" s="97">
        <f t="shared" si="3"/>
        <v>4686</v>
      </c>
      <c r="W7" s="172">
        <f t="shared" si="15"/>
        <v>170.79300042680325</v>
      </c>
      <c r="X7" s="167">
        <v>26351</v>
      </c>
      <c r="Y7" s="168">
        <v>89</v>
      </c>
      <c r="Z7" s="170">
        <f t="shared" si="16"/>
        <v>296.07865168539325</v>
      </c>
      <c r="AA7" s="167">
        <v>26351</v>
      </c>
      <c r="AB7" s="168">
        <v>89</v>
      </c>
      <c r="AC7" s="170">
        <f t="shared" si="17"/>
        <v>296.07865168539325</v>
      </c>
      <c r="AD7" s="167">
        <v>93205</v>
      </c>
      <c r="AE7" s="168">
        <v>365</v>
      </c>
      <c r="AF7" s="170">
        <f t="shared" si="18"/>
        <v>255.35616438356163</v>
      </c>
      <c r="AG7" s="167">
        <v>93205</v>
      </c>
      <c r="AH7" s="168">
        <v>365</v>
      </c>
      <c r="AI7" s="170">
        <f t="shared" si="19"/>
        <v>255.35616438356163</v>
      </c>
      <c r="AJ7" s="167">
        <v>242176.85</v>
      </c>
      <c r="AK7" s="168">
        <v>919</v>
      </c>
      <c r="AL7" s="170">
        <f t="shared" si="20"/>
        <v>263.5221436343852</v>
      </c>
      <c r="AM7" s="167">
        <v>329173</v>
      </c>
      <c r="AN7" s="168">
        <v>967</v>
      </c>
      <c r="AO7" s="170">
        <f t="shared" si="21"/>
        <v>340.40641158221302</v>
      </c>
      <c r="AP7" s="167">
        <f t="shared" si="4"/>
        <v>361732.85</v>
      </c>
      <c r="AQ7" s="168">
        <f t="shared" si="5"/>
        <v>1373</v>
      </c>
      <c r="AR7" s="172">
        <f t="shared" si="22"/>
        <v>263.46165331391114</v>
      </c>
      <c r="AS7" s="167">
        <f t="shared" si="6"/>
        <v>448729</v>
      </c>
      <c r="AT7" s="168">
        <f t="shared" si="7"/>
        <v>1421</v>
      </c>
      <c r="AU7" s="172">
        <f t="shared" si="23"/>
        <v>315.78395496129485</v>
      </c>
      <c r="AV7" s="167">
        <v>195866</v>
      </c>
      <c r="AW7" s="168">
        <v>1716</v>
      </c>
      <c r="AX7" s="170">
        <f t="shared" si="24"/>
        <v>114.14102564102564</v>
      </c>
      <c r="AY7" s="167">
        <v>19355.23786614617</v>
      </c>
      <c r="AZ7" s="168">
        <v>314</v>
      </c>
      <c r="BA7" s="170">
        <f t="shared" si="25"/>
        <v>61.640884924032385</v>
      </c>
      <c r="BB7" s="167">
        <v>41333</v>
      </c>
      <c r="BC7" s="168">
        <v>229</v>
      </c>
      <c r="BD7" s="170">
        <f t="shared" si="26"/>
        <v>180.49344978165939</v>
      </c>
      <c r="BE7" s="3">
        <f t="shared" si="27"/>
        <v>256554.23786614617</v>
      </c>
      <c r="BF7" s="97">
        <f t="shared" si="28"/>
        <v>2259</v>
      </c>
      <c r="BG7" s="172">
        <f t="shared" si="29"/>
        <v>113.56982641263664</v>
      </c>
      <c r="BH7" s="167">
        <v>195857.69999999998</v>
      </c>
      <c r="BI7" s="168">
        <v>1716</v>
      </c>
      <c r="BJ7" s="170">
        <f t="shared" si="30"/>
        <v>114.1361888111888</v>
      </c>
      <c r="BK7" s="167">
        <v>34920</v>
      </c>
      <c r="BL7" s="168">
        <v>314</v>
      </c>
      <c r="BM7" s="170">
        <f t="shared" si="31"/>
        <v>111.21019108280255</v>
      </c>
      <c r="BN7" s="168">
        <v>41333</v>
      </c>
      <c r="BO7" s="168">
        <v>229</v>
      </c>
      <c r="BP7" s="170">
        <f t="shared" si="32"/>
        <v>180.49344978165939</v>
      </c>
      <c r="BQ7" s="3">
        <f t="shared" si="33"/>
        <v>272110.69999999995</v>
      </c>
      <c r="BR7" s="97">
        <f t="shared" si="33"/>
        <v>2259</v>
      </c>
      <c r="BS7" s="172">
        <f t="shared" si="34"/>
        <v>120.45626383355464</v>
      </c>
      <c r="BT7" s="303">
        <v>212824.33369704336</v>
      </c>
      <c r="BU7" s="168">
        <v>1300</v>
      </c>
      <c r="BV7" s="170">
        <f t="shared" si="35"/>
        <v>163.7110259208026</v>
      </c>
      <c r="BW7" s="303">
        <v>484880</v>
      </c>
      <c r="BX7" s="168">
        <v>2552</v>
      </c>
      <c r="BY7" s="170">
        <f t="shared" si="36"/>
        <v>190</v>
      </c>
      <c r="BZ7" s="3">
        <f t="shared" si="37"/>
        <v>697704.33369704336</v>
      </c>
      <c r="CA7" s="97">
        <f t="shared" si="37"/>
        <v>3852</v>
      </c>
      <c r="CB7" s="172">
        <f t="shared" si="38"/>
        <v>181.12781248625217</v>
      </c>
      <c r="CC7" s="167">
        <v>99793</v>
      </c>
      <c r="CD7" s="168">
        <v>625</v>
      </c>
      <c r="CE7" s="170">
        <f t="shared" si="39"/>
        <v>159.6688</v>
      </c>
      <c r="CF7" s="167">
        <v>395929</v>
      </c>
      <c r="CG7" s="168">
        <v>2352</v>
      </c>
      <c r="CH7" s="170">
        <f t="shared" si="40"/>
        <v>168.33715986394557</v>
      </c>
      <c r="CI7" s="3">
        <f t="shared" si="41"/>
        <v>495722</v>
      </c>
      <c r="CJ7" s="97">
        <f t="shared" si="42"/>
        <v>2977</v>
      </c>
      <c r="CK7" s="172">
        <f t="shared" si="43"/>
        <v>166.51729929459188</v>
      </c>
      <c r="CL7" s="167"/>
      <c r="CM7" s="168"/>
      <c r="CN7" s="170">
        <v>0</v>
      </c>
      <c r="CO7" s="167"/>
      <c r="CP7" s="168"/>
      <c r="CQ7" s="170">
        <v>0</v>
      </c>
      <c r="CR7" s="3">
        <v>0</v>
      </c>
      <c r="CS7" s="97">
        <v>0</v>
      </c>
      <c r="CT7" s="172">
        <v>0</v>
      </c>
      <c r="CU7" s="167">
        <v>0</v>
      </c>
      <c r="CV7" s="168">
        <v>0</v>
      </c>
      <c r="CW7" s="170">
        <v>0</v>
      </c>
      <c r="CX7" s="303">
        <v>353744</v>
      </c>
      <c r="CY7" s="168">
        <v>2049</v>
      </c>
      <c r="CZ7" s="170">
        <v>172.64226451927769</v>
      </c>
      <c r="DA7" s="3">
        <f t="shared" si="44"/>
        <v>353744</v>
      </c>
      <c r="DB7" s="97">
        <f t="shared" si="45"/>
        <v>2049</v>
      </c>
      <c r="DC7" s="172">
        <f t="shared" si="46"/>
        <v>172.64226451927769</v>
      </c>
      <c r="DD7" s="303">
        <v>207795.80000000002</v>
      </c>
      <c r="DE7" s="168">
        <v>1611.6999999999998</v>
      </c>
      <c r="DF7" s="170">
        <f t="shared" si="47"/>
        <v>128.92957746478876</v>
      </c>
      <c r="DG7" s="303">
        <v>18000</v>
      </c>
      <c r="DH7" s="168">
        <v>180</v>
      </c>
      <c r="DI7" s="170">
        <f t="shared" si="8"/>
        <v>100</v>
      </c>
      <c r="DJ7" s="167">
        <v>0</v>
      </c>
      <c r="DK7" s="168">
        <v>0</v>
      </c>
      <c r="DL7" s="170">
        <v>0</v>
      </c>
      <c r="DM7" s="3">
        <f t="shared" si="9"/>
        <v>225795.80000000002</v>
      </c>
      <c r="DN7" s="97">
        <f t="shared" si="48"/>
        <v>1791.6999999999998</v>
      </c>
      <c r="DO7" s="172">
        <f t="shared" si="49"/>
        <v>126.02321817268518</v>
      </c>
      <c r="DP7" s="303">
        <v>0</v>
      </c>
      <c r="DQ7" s="168">
        <v>0</v>
      </c>
      <c r="DR7" s="170">
        <f t="shared" si="50"/>
        <v>0</v>
      </c>
      <c r="DS7" s="303">
        <v>0</v>
      </c>
      <c r="DT7" s="168">
        <v>0</v>
      </c>
      <c r="DU7" s="170">
        <f t="shared" si="51"/>
        <v>0</v>
      </c>
      <c r="DV7" s="3">
        <f t="shared" si="52"/>
        <v>0</v>
      </c>
      <c r="DW7" s="97">
        <f t="shared" si="53"/>
        <v>0</v>
      </c>
      <c r="DX7" s="172">
        <f t="shared" si="54"/>
        <v>0</v>
      </c>
      <c r="DY7" s="167">
        <v>0</v>
      </c>
      <c r="DZ7" s="168">
        <v>0</v>
      </c>
      <c r="EA7" s="170">
        <f t="shared" si="55"/>
        <v>0</v>
      </c>
      <c r="EB7" s="167">
        <v>0</v>
      </c>
      <c r="EC7" s="168">
        <v>0</v>
      </c>
      <c r="ED7" s="170">
        <f t="shared" si="56"/>
        <v>0</v>
      </c>
      <c r="EE7" s="167">
        <v>0</v>
      </c>
      <c r="EF7" s="168">
        <v>0</v>
      </c>
      <c r="EG7" s="170">
        <f t="shared" si="57"/>
        <v>0</v>
      </c>
      <c r="EH7" s="3">
        <f t="shared" si="58"/>
        <v>0</v>
      </c>
      <c r="EI7" s="97">
        <f t="shared" si="59"/>
        <v>0</v>
      </c>
      <c r="EJ7" s="172">
        <f t="shared" si="60"/>
        <v>0</v>
      </c>
    </row>
    <row r="8" spans="2:140">
      <c r="B8" t="s">
        <v>125</v>
      </c>
      <c r="C8" t="s">
        <v>121</v>
      </c>
      <c r="D8">
        <f>VLOOKUP(B8,Dates!$B$2:$E$53,4,FALSE)</f>
        <v>4</v>
      </c>
      <c r="E8" s="168" t="b">
        <f>IF(D8&lt;='RDG Weekly Sales'!$F$1,TRUE,FALSE)</f>
        <v>1</v>
      </c>
      <c r="F8" s="303">
        <v>704105</v>
      </c>
      <c r="G8" s="168">
        <v>4085</v>
      </c>
      <c r="H8" s="170">
        <f t="shared" si="10"/>
        <v>172.36352509179926</v>
      </c>
      <c r="I8" s="167">
        <v>704105</v>
      </c>
      <c r="J8" s="168">
        <v>4085</v>
      </c>
      <c r="K8" s="170">
        <f t="shared" si="11"/>
        <v>172.36352509179926</v>
      </c>
      <c r="L8" s="303">
        <v>40969</v>
      </c>
      <c r="M8" s="168">
        <v>302</v>
      </c>
      <c r="N8" s="170">
        <f t="shared" si="12"/>
        <v>135.65894039735099</v>
      </c>
      <c r="O8" s="167">
        <v>39489</v>
      </c>
      <c r="P8" s="168">
        <v>302</v>
      </c>
      <c r="Q8" s="170">
        <f t="shared" si="13"/>
        <v>130.75827814569536</v>
      </c>
      <c r="R8" s="3">
        <f t="shared" si="0"/>
        <v>745074</v>
      </c>
      <c r="S8" s="97">
        <f t="shared" si="1"/>
        <v>4387</v>
      </c>
      <c r="T8" s="170">
        <f t="shared" si="14"/>
        <v>169.83679051743789</v>
      </c>
      <c r="U8" s="3">
        <f t="shared" si="2"/>
        <v>743594</v>
      </c>
      <c r="V8" s="97">
        <f t="shared" si="3"/>
        <v>4387</v>
      </c>
      <c r="W8" s="172">
        <f t="shared" si="15"/>
        <v>169.49943013448825</v>
      </c>
      <c r="X8" s="167">
        <v>23905</v>
      </c>
      <c r="Y8" s="168">
        <v>87</v>
      </c>
      <c r="Z8" s="170">
        <f t="shared" si="16"/>
        <v>274.77011494252872</v>
      </c>
      <c r="AA8" s="167">
        <v>23905</v>
      </c>
      <c r="AB8" s="168">
        <v>87</v>
      </c>
      <c r="AC8" s="170">
        <f t="shared" si="17"/>
        <v>274.77011494252872</v>
      </c>
      <c r="AD8" s="167">
        <v>83792</v>
      </c>
      <c r="AE8" s="168">
        <v>374</v>
      </c>
      <c r="AF8" s="170">
        <f t="shared" si="18"/>
        <v>224.04278074866309</v>
      </c>
      <c r="AG8" s="167">
        <v>83792</v>
      </c>
      <c r="AH8" s="168">
        <v>374</v>
      </c>
      <c r="AI8" s="170">
        <f t="shared" si="19"/>
        <v>224.04278074866309</v>
      </c>
      <c r="AJ8" s="167">
        <v>249999.14999999997</v>
      </c>
      <c r="AK8" s="168">
        <v>782</v>
      </c>
      <c r="AL8" s="170">
        <f t="shared" si="20"/>
        <v>319.69200767263425</v>
      </c>
      <c r="AM8" s="167">
        <v>260115</v>
      </c>
      <c r="AN8" s="168">
        <v>823</v>
      </c>
      <c r="AO8" s="170">
        <f t="shared" si="21"/>
        <v>316.05710814094778</v>
      </c>
      <c r="AP8" s="167">
        <f t="shared" si="4"/>
        <v>357696.14999999997</v>
      </c>
      <c r="AQ8" s="168">
        <f t="shared" si="5"/>
        <v>1243</v>
      </c>
      <c r="AR8" s="172">
        <f t="shared" si="22"/>
        <v>287.76842316975058</v>
      </c>
      <c r="AS8" s="167">
        <f t="shared" si="6"/>
        <v>367812</v>
      </c>
      <c r="AT8" s="168">
        <f t="shared" si="7"/>
        <v>1284</v>
      </c>
      <c r="AU8" s="172">
        <f t="shared" si="23"/>
        <v>286.45794392523362</v>
      </c>
      <c r="AV8" s="167">
        <v>171925</v>
      </c>
      <c r="AW8" s="168">
        <v>1517</v>
      </c>
      <c r="AX8" s="170">
        <f t="shared" si="24"/>
        <v>113.33223467369808</v>
      </c>
      <c r="AY8" s="167">
        <v>24307.430482055228</v>
      </c>
      <c r="AZ8" s="168">
        <v>395</v>
      </c>
      <c r="BA8" s="170">
        <f t="shared" si="25"/>
        <v>61.537798688747415</v>
      </c>
      <c r="BB8" s="167">
        <v>29954</v>
      </c>
      <c r="BC8" s="168">
        <v>205</v>
      </c>
      <c r="BD8" s="170">
        <f t="shared" si="26"/>
        <v>146.11707317073171</v>
      </c>
      <c r="BE8" s="3">
        <f t="shared" si="27"/>
        <v>226186.43048205524</v>
      </c>
      <c r="BF8" s="97">
        <f t="shared" si="28"/>
        <v>2117</v>
      </c>
      <c r="BG8" s="172">
        <f t="shared" si="29"/>
        <v>106.84290528202892</v>
      </c>
      <c r="BH8" s="167">
        <v>171925</v>
      </c>
      <c r="BI8" s="168">
        <v>1517</v>
      </c>
      <c r="BJ8" s="170">
        <f t="shared" si="30"/>
        <v>113.33223467369808</v>
      </c>
      <c r="BK8" s="167">
        <v>32775</v>
      </c>
      <c r="BL8" s="168">
        <v>395</v>
      </c>
      <c r="BM8" s="170">
        <f t="shared" si="31"/>
        <v>82.974683544303801</v>
      </c>
      <c r="BN8" s="168">
        <v>29954</v>
      </c>
      <c r="BO8" s="168">
        <v>205</v>
      </c>
      <c r="BP8" s="170">
        <f t="shared" si="32"/>
        <v>146.11707317073171</v>
      </c>
      <c r="BQ8" s="3">
        <f t="shared" si="33"/>
        <v>234654</v>
      </c>
      <c r="BR8" s="97">
        <f t="shared" si="33"/>
        <v>2117</v>
      </c>
      <c r="BS8" s="172">
        <f t="shared" si="34"/>
        <v>110.84270193670288</v>
      </c>
      <c r="BT8" s="303">
        <v>131114.51440008084</v>
      </c>
      <c r="BU8" s="168">
        <v>776</v>
      </c>
      <c r="BV8" s="170">
        <f t="shared" si="35"/>
        <v>168.96200309288767</v>
      </c>
      <c r="BW8" s="303">
        <v>466042</v>
      </c>
      <c r="BX8" s="168">
        <v>2469</v>
      </c>
      <c r="BY8" s="170">
        <f t="shared" si="36"/>
        <v>188.7573916565411</v>
      </c>
      <c r="BZ8" s="3">
        <f t="shared" si="37"/>
        <v>597156.51440008078</v>
      </c>
      <c r="CA8" s="97">
        <f t="shared" si="37"/>
        <v>3245</v>
      </c>
      <c r="CB8" s="172">
        <f t="shared" si="38"/>
        <v>184.02357916797558</v>
      </c>
      <c r="CC8" s="167">
        <v>92348</v>
      </c>
      <c r="CD8" s="168">
        <v>546</v>
      </c>
      <c r="CE8" s="170">
        <f t="shared" si="39"/>
        <v>169.13553113553112</v>
      </c>
      <c r="CF8" s="167">
        <v>436042</v>
      </c>
      <c r="CG8" s="168">
        <v>2269</v>
      </c>
      <c r="CH8" s="170">
        <f t="shared" si="40"/>
        <v>192.17364477743499</v>
      </c>
      <c r="CI8" s="3">
        <f t="shared" si="41"/>
        <v>528390</v>
      </c>
      <c r="CJ8" s="97">
        <f t="shared" si="42"/>
        <v>2815</v>
      </c>
      <c r="CK8" s="172">
        <f t="shared" si="43"/>
        <v>187.70515097690941</v>
      </c>
      <c r="CL8" s="167"/>
      <c r="CM8" s="168"/>
      <c r="CN8" s="170">
        <v>0</v>
      </c>
      <c r="CO8" s="167"/>
      <c r="CP8" s="168"/>
      <c r="CQ8" s="170">
        <v>0</v>
      </c>
      <c r="CR8" s="3">
        <v>0</v>
      </c>
      <c r="CS8" s="97">
        <v>0</v>
      </c>
      <c r="CT8" s="172">
        <v>0</v>
      </c>
      <c r="CU8" s="167">
        <v>0</v>
      </c>
      <c r="CV8" s="168">
        <v>0</v>
      </c>
      <c r="CW8" s="170">
        <v>0</v>
      </c>
      <c r="CX8" s="303">
        <v>356999</v>
      </c>
      <c r="CY8" s="168">
        <v>2001</v>
      </c>
      <c r="CZ8" s="170">
        <v>178.41029485257371</v>
      </c>
      <c r="DA8" s="3">
        <f t="shared" si="44"/>
        <v>356999</v>
      </c>
      <c r="DB8" s="97">
        <f t="shared" si="45"/>
        <v>2001</v>
      </c>
      <c r="DC8" s="172">
        <f t="shared" si="46"/>
        <v>178.41029485257371</v>
      </c>
      <c r="DD8" s="303">
        <v>207795.80000000002</v>
      </c>
      <c r="DE8" s="168">
        <v>1611.6999999999998</v>
      </c>
      <c r="DF8" s="170">
        <f t="shared" si="47"/>
        <v>128.92957746478876</v>
      </c>
      <c r="DG8" s="303">
        <v>18000</v>
      </c>
      <c r="DH8" s="168">
        <v>180</v>
      </c>
      <c r="DI8" s="170">
        <f t="shared" si="8"/>
        <v>100</v>
      </c>
      <c r="DJ8" s="167">
        <v>0</v>
      </c>
      <c r="DK8" s="168">
        <v>0</v>
      </c>
      <c r="DL8" s="170">
        <v>0</v>
      </c>
      <c r="DM8" s="3">
        <f t="shared" si="9"/>
        <v>225795.80000000002</v>
      </c>
      <c r="DN8" s="97">
        <f t="shared" si="48"/>
        <v>1791.6999999999998</v>
      </c>
      <c r="DO8" s="172">
        <f t="shared" si="49"/>
        <v>126.02321817268518</v>
      </c>
      <c r="DP8" s="303">
        <v>0</v>
      </c>
      <c r="DQ8" s="168">
        <v>0</v>
      </c>
      <c r="DR8" s="170">
        <f t="shared" si="50"/>
        <v>0</v>
      </c>
      <c r="DS8" s="303">
        <v>0</v>
      </c>
      <c r="DT8" s="168">
        <v>0</v>
      </c>
      <c r="DU8" s="170">
        <f t="shared" si="51"/>
        <v>0</v>
      </c>
      <c r="DV8" s="3">
        <f t="shared" si="52"/>
        <v>0</v>
      </c>
      <c r="DW8" s="97">
        <f t="shared" si="53"/>
        <v>0</v>
      </c>
      <c r="DX8" s="172">
        <f t="shared" si="54"/>
        <v>0</v>
      </c>
      <c r="DY8" s="167">
        <v>0</v>
      </c>
      <c r="DZ8" s="168">
        <v>0</v>
      </c>
      <c r="EA8" s="170">
        <f t="shared" si="55"/>
        <v>0</v>
      </c>
      <c r="EB8" s="167">
        <v>0</v>
      </c>
      <c r="EC8" s="168">
        <v>0</v>
      </c>
      <c r="ED8" s="170">
        <f t="shared" si="56"/>
        <v>0</v>
      </c>
      <c r="EE8" s="167">
        <v>0</v>
      </c>
      <c r="EF8" s="168">
        <v>0</v>
      </c>
      <c r="EG8" s="170">
        <f t="shared" si="57"/>
        <v>0</v>
      </c>
      <c r="EH8" s="3">
        <f t="shared" si="58"/>
        <v>0</v>
      </c>
      <c r="EI8" s="97">
        <f t="shared" si="59"/>
        <v>0</v>
      </c>
      <c r="EJ8" s="172">
        <f t="shared" si="60"/>
        <v>0</v>
      </c>
    </row>
    <row r="9" spans="2:140">
      <c r="B9" t="s">
        <v>128</v>
      </c>
      <c r="C9" t="s">
        <v>127</v>
      </c>
      <c r="D9">
        <f>VLOOKUP(B9,Dates!$B$2:$E$53,4,FALSE)</f>
        <v>5</v>
      </c>
      <c r="E9" s="168" t="b">
        <f>IF(D9&lt;='RDG Weekly Sales'!$F$1,TRUE,FALSE)</f>
        <v>1</v>
      </c>
      <c r="F9" s="303">
        <v>762340</v>
      </c>
      <c r="G9" s="168">
        <v>4484</v>
      </c>
      <c r="H9" s="170">
        <f t="shared" si="10"/>
        <v>170.01338090990188</v>
      </c>
      <c r="I9" s="167">
        <v>788629</v>
      </c>
      <c r="J9" s="168">
        <v>4484</v>
      </c>
      <c r="K9" s="170">
        <f t="shared" si="11"/>
        <v>175.87622658340769</v>
      </c>
      <c r="L9" s="303">
        <v>45173</v>
      </c>
      <c r="M9" s="168">
        <v>305</v>
      </c>
      <c r="N9" s="170">
        <f t="shared" si="12"/>
        <v>148.10819672131149</v>
      </c>
      <c r="O9" s="167">
        <v>36848</v>
      </c>
      <c r="P9" s="168">
        <v>305</v>
      </c>
      <c r="Q9" s="170">
        <f t="shared" si="13"/>
        <v>120.81311475409836</v>
      </c>
      <c r="R9" s="3">
        <f t="shared" si="0"/>
        <v>807513</v>
      </c>
      <c r="S9" s="97">
        <f t="shared" si="1"/>
        <v>4789</v>
      </c>
      <c r="T9" s="170">
        <f t="shared" si="14"/>
        <v>168.61829191898099</v>
      </c>
      <c r="U9" s="3">
        <f t="shared" si="2"/>
        <v>825477</v>
      </c>
      <c r="V9" s="97">
        <f t="shared" si="3"/>
        <v>4789</v>
      </c>
      <c r="W9" s="172">
        <f t="shared" si="15"/>
        <v>172.36938818124869</v>
      </c>
      <c r="X9" s="167">
        <v>22746.345894093858</v>
      </c>
      <c r="Y9" s="168">
        <v>80</v>
      </c>
      <c r="Z9" s="170">
        <f t="shared" si="16"/>
        <v>284.3293236761732</v>
      </c>
      <c r="AA9" s="167">
        <v>21401</v>
      </c>
      <c r="AB9" s="168">
        <v>80</v>
      </c>
      <c r="AC9" s="170">
        <f t="shared" si="17"/>
        <v>267.51249999999999</v>
      </c>
      <c r="AD9" s="167">
        <v>119208.53328501154</v>
      </c>
      <c r="AE9" s="168">
        <v>445</v>
      </c>
      <c r="AF9" s="170">
        <f t="shared" si="18"/>
        <v>267.88434446070011</v>
      </c>
      <c r="AG9" s="167">
        <v>133823</v>
      </c>
      <c r="AH9" s="168">
        <v>445</v>
      </c>
      <c r="AI9" s="170">
        <f t="shared" si="19"/>
        <v>300.72584269662923</v>
      </c>
      <c r="AJ9" s="167">
        <v>282505.92544592178</v>
      </c>
      <c r="AK9" s="168">
        <v>949.05</v>
      </c>
      <c r="AL9" s="170">
        <f t="shared" si="20"/>
        <v>297.67233069482302</v>
      </c>
      <c r="AM9" s="167">
        <v>357729</v>
      </c>
      <c r="AN9" s="168">
        <v>999</v>
      </c>
      <c r="AO9" s="170">
        <f t="shared" si="21"/>
        <v>358.08708708708707</v>
      </c>
      <c r="AP9" s="167">
        <f t="shared" si="4"/>
        <v>424460.80462502717</v>
      </c>
      <c r="AQ9" s="168">
        <f t="shared" si="5"/>
        <v>1474.05</v>
      </c>
      <c r="AR9" s="172">
        <f t="shared" si="22"/>
        <v>287.95549989825798</v>
      </c>
      <c r="AS9" s="167">
        <f t="shared" si="6"/>
        <v>512953</v>
      </c>
      <c r="AT9" s="168">
        <f t="shared" si="7"/>
        <v>1524</v>
      </c>
      <c r="AU9" s="172">
        <f t="shared" si="23"/>
        <v>336.58333333333331</v>
      </c>
      <c r="AV9" s="167">
        <v>172569.86807220336</v>
      </c>
      <c r="AW9" s="168">
        <v>1497</v>
      </c>
      <c r="AX9" s="170">
        <f t="shared" si="24"/>
        <v>115.27713298076377</v>
      </c>
      <c r="AY9" s="167">
        <v>20549.839340319322</v>
      </c>
      <c r="AZ9" s="168">
        <v>295</v>
      </c>
      <c r="BA9" s="170">
        <f t="shared" si="25"/>
        <v>69.660472340065496</v>
      </c>
      <c r="BB9" s="167">
        <v>29569.899816326055</v>
      </c>
      <c r="BC9" s="168">
        <v>185</v>
      </c>
      <c r="BD9" s="170">
        <f t="shared" si="26"/>
        <v>159.83729630446516</v>
      </c>
      <c r="BE9" s="3">
        <f t="shared" si="27"/>
        <v>222689.60722884873</v>
      </c>
      <c r="BF9" s="97">
        <f t="shared" si="28"/>
        <v>1977</v>
      </c>
      <c r="BG9" s="172">
        <f t="shared" si="29"/>
        <v>112.64016551787999</v>
      </c>
      <c r="BH9" s="167">
        <v>168144</v>
      </c>
      <c r="BI9" s="168">
        <v>1497</v>
      </c>
      <c r="BJ9" s="170">
        <f t="shared" si="30"/>
        <v>112.32064128256513</v>
      </c>
      <c r="BK9" s="167">
        <v>25923</v>
      </c>
      <c r="BL9" s="168">
        <v>295</v>
      </c>
      <c r="BM9" s="170">
        <f t="shared" si="31"/>
        <v>87.874576271186442</v>
      </c>
      <c r="BN9" s="168">
        <v>30475</v>
      </c>
      <c r="BO9" s="168">
        <v>185</v>
      </c>
      <c r="BP9" s="170">
        <f t="shared" si="32"/>
        <v>164.72972972972974</v>
      </c>
      <c r="BQ9" s="3">
        <f t="shared" si="33"/>
        <v>224542</v>
      </c>
      <c r="BR9" s="97">
        <f t="shared" si="33"/>
        <v>1977</v>
      </c>
      <c r="BS9" s="172">
        <f t="shared" si="34"/>
        <v>113.57713707637835</v>
      </c>
      <c r="BT9" s="303">
        <v>182985.48128829419</v>
      </c>
      <c r="BU9" s="168">
        <v>965</v>
      </c>
      <c r="BV9" s="170">
        <f t="shared" si="35"/>
        <v>189.62226040237741</v>
      </c>
      <c r="BW9" s="303">
        <v>420869.79402806668</v>
      </c>
      <c r="BX9" s="168">
        <v>2637</v>
      </c>
      <c r="BY9" s="170">
        <f t="shared" si="36"/>
        <v>159.60174214185312</v>
      </c>
      <c r="BZ9" s="3">
        <f t="shared" si="37"/>
        <v>603855.27531636087</v>
      </c>
      <c r="CA9" s="97">
        <f t="shared" si="37"/>
        <v>3602</v>
      </c>
      <c r="CB9" s="172">
        <f t="shared" si="38"/>
        <v>167.64444067639113</v>
      </c>
      <c r="CC9" s="167">
        <v>139122</v>
      </c>
      <c r="CD9" s="168">
        <v>735</v>
      </c>
      <c r="CE9" s="170">
        <f t="shared" si="39"/>
        <v>189.28163265306122</v>
      </c>
      <c r="CF9" s="167">
        <v>382895</v>
      </c>
      <c r="CG9" s="168">
        <v>2497</v>
      </c>
      <c r="CH9" s="170">
        <f t="shared" si="40"/>
        <v>153.342010412495</v>
      </c>
      <c r="CI9" s="3">
        <f t="shared" si="41"/>
        <v>522017</v>
      </c>
      <c r="CJ9" s="97">
        <f t="shared" si="42"/>
        <v>3232</v>
      </c>
      <c r="CK9" s="172">
        <f t="shared" si="43"/>
        <v>161.5151608910891</v>
      </c>
      <c r="CL9" s="167"/>
      <c r="CM9" s="168"/>
      <c r="CN9" s="170">
        <v>0</v>
      </c>
      <c r="CO9" s="167"/>
      <c r="CP9" s="168"/>
      <c r="CQ9" s="170">
        <v>0</v>
      </c>
      <c r="CR9" s="3">
        <v>0</v>
      </c>
      <c r="CS9" s="97">
        <v>0</v>
      </c>
      <c r="CT9" s="172">
        <v>0</v>
      </c>
      <c r="CU9" s="167">
        <v>7659</v>
      </c>
      <c r="CV9" s="168">
        <v>63</v>
      </c>
      <c r="CW9" s="170">
        <v>121.57142857142857</v>
      </c>
      <c r="CX9" s="303">
        <v>405671</v>
      </c>
      <c r="CY9" s="168">
        <v>2123</v>
      </c>
      <c r="CZ9" s="170">
        <v>191.08384361752238</v>
      </c>
      <c r="DA9" s="3">
        <f t="shared" si="44"/>
        <v>413330</v>
      </c>
      <c r="DB9" s="97">
        <f t="shared" si="45"/>
        <v>2186</v>
      </c>
      <c r="DC9" s="172">
        <f t="shared" si="46"/>
        <v>189.08051235132663</v>
      </c>
      <c r="DD9" s="303">
        <v>207795.80000000002</v>
      </c>
      <c r="DE9" s="168">
        <v>1611.6999999999998</v>
      </c>
      <c r="DF9" s="170">
        <f t="shared" si="47"/>
        <v>128.92957746478876</v>
      </c>
      <c r="DG9" s="303">
        <v>18000</v>
      </c>
      <c r="DH9" s="168">
        <v>180</v>
      </c>
      <c r="DI9" s="170">
        <f t="shared" si="8"/>
        <v>100</v>
      </c>
      <c r="DJ9" s="167">
        <v>0</v>
      </c>
      <c r="DK9" s="168">
        <v>0</v>
      </c>
      <c r="DL9" s="170">
        <v>0</v>
      </c>
      <c r="DM9" s="3">
        <f t="shared" si="9"/>
        <v>225795.80000000002</v>
      </c>
      <c r="DN9" s="97">
        <f t="shared" si="48"/>
        <v>1791.6999999999998</v>
      </c>
      <c r="DO9" s="172">
        <f t="shared" si="49"/>
        <v>126.02321817268518</v>
      </c>
      <c r="DP9" s="303">
        <v>0</v>
      </c>
      <c r="DQ9" s="168">
        <v>0</v>
      </c>
      <c r="DR9" s="170">
        <f t="shared" si="50"/>
        <v>0</v>
      </c>
      <c r="DS9" s="303">
        <v>0</v>
      </c>
      <c r="DT9" s="168">
        <v>0</v>
      </c>
      <c r="DU9" s="170">
        <f t="shared" si="51"/>
        <v>0</v>
      </c>
      <c r="DV9" s="3">
        <f t="shared" si="52"/>
        <v>0</v>
      </c>
      <c r="DW9" s="97">
        <f t="shared" si="53"/>
        <v>0</v>
      </c>
      <c r="DX9" s="172">
        <f t="shared" si="54"/>
        <v>0</v>
      </c>
      <c r="DY9" s="167">
        <v>0</v>
      </c>
      <c r="DZ9" s="168">
        <v>0</v>
      </c>
      <c r="EA9" s="170">
        <f t="shared" si="55"/>
        <v>0</v>
      </c>
      <c r="EB9" s="167">
        <v>0</v>
      </c>
      <c r="EC9" s="168">
        <v>0</v>
      </c>
      <c r="ED9" s="170">
        <f t="shared" si="56"/>
        <v>0</v>
      </c>
      <c r="EE9" s="167">
        <v>0</v>
      </c>
      <c r="EF9" s="168">
        <v>0</v>
      </c>
      <c r="EG9" s="170">
        <f t="shared" si="57"/>
        <v>0</v>
      </c>
      <c r="EH9" s="3">
        <f t="shared" si="58"/>
        <v>0</v>
      </c>
      <c r="EI9" s="97">
        <f t="shared" si="59"/>
        <v>0</v>
      </c>
      <c r="EJ9" s="172">
        <f t="shared" si="60"/>
        <v>0</v>
      </c>
    </row>
    <row r="10" spans="2:140">
      <c r="B10" t="s">
        <v>129</v>
      </c>
      <c r="C10" t="s">
        <v>127</v>
      </c>
      <c r="D10">
        <f>VLOOKUP(B10,Dates!$B$2:$E$53,4,FALSE)</f>
        <v>6</v>
      </c>
      <c r="E10" s="168" t="b">
        <f>IF(D10&lt;='RDG Weekly Sales'!$F$1,TRUE,FALSE)</f>
        <v>1</v>
      </c>
      <c r="F10" s="303">
        <v>645752</v>
      </c>
      <c r="G10" s="168">
        <v>3787</v>
      </c>
      <c r="H10" s="170">
        <f t="shared" si="10"/>
        <v>170.51808819646158</v>
      </c>
      <c r="I10" s="167">
        <v>631908</v>
      </c>
      <c r="J10" s="168">
        <v>3787</v>
      </c>
      <c r="K10" s="170">
        <f t="shared" si="11"/>
        <v>166.86242408238712</v>
      </c>
      <c r="L10" s="303">
        <v>38212</v>
      </c>
      <c r="M10" s="168">
        <v>258</v>
      </c>
      <c r="N10" s="170">
        <f t="shared" si="12"/>
        <v>148.10852713178295</v>
      </c>
      <c r="O10" s="167">
        <v>34427</v>
      </c>
      <c r="P10" s="168">
        <v>258</v>
      </c>
      <c r="Q10" s="170">
        <f t="shared" si="13"/>
        <v>133.43798449612405</v>
      </c>
      <c r="R10" s="3">
        <f t="shared" si="0"/>
        <v>683964</v>
      </c>
      <c r="S10" s="97">
        <f t="shared" si="1"/>
        <v>4045</v>
      </c>
      <c r="T10" s="170">
        <f t="shared" si="14"/>
        <v>169.08875154511742</v>
      </c>
      <c r="U10" s="3">
        <f t="shared" si="2"/>
        <v>666335</v>
      </c>
      <c r="V10" s="97">
        <f t="shared" si="3"/>
        <v>4045</v>
      </c>
      <c r="W10" s="172">
        <f t="shared" si="15"/>
        <v>164.73053152039554</v>
      </c>
      <c r="X10" s="167">
        <v>22724.164958919431</v>
      </c>
      <c r="Y10" s="168">
        <v>80</v>
      </c>
      <c r="Z10" s="170">
        <f t="shared" si="16"/>
        <v>284.0520619864929</v>
      </c>
      <c r="AA10" s="167">
        <v>22329</v>
      </c>
      <c r="AB10" s="168">
        <v>80</v>
      </c>
      <c r="AC10" s="170">
        <f t="shared" si="17"/>
        <v>279.11250000000001</v>
      </c>
      <c r="AD10" s="167">
        <v>110587.16649859653</v>
      </c>
      <c r="AE10" s="168">
        <v>460</v>
      </c>
      <c r="AF10" s="170">
        <f t="shared" si="18"/>
        <v>240.40688369260116</v>
      </c>
      <c r="AG10" s="167">
        <v>118085</v>
      </c>
      <c r="AH10" s="168">
        <v>460</v>
      </c>
      <c r="AI10" s="170">
        <f t="shared" si="19"/>
        <v>256.70652173913044</v>
      </c>
      <c r="AJ10" s="167">
        <v>240457.08434848755</v>
      </c>
      <c r="AK10" s="168">
        <v>744.8</v>
      </c>
      <c r="AL10" s="170">
        <f t="shared" si="20"/>
        <v>322.8478576107513</v>
      </c>
      <c r="AM10" s="167">
        <v>256638</v>
      </c>
      <c r="AN10" s="168">
        <v>784</v>
      </c>
      <c r="AO10" s="170">
        <f t="shared" si="21"/>
        <v>327.34438775510205</v>
      </c>
      <c r="AP10" s="167">
        <f t="shared" si="4"/>
        <v>373768.4158060035</v>
      </c>
      <c r="AQ10" s="168">
        <f t="shared" si="5"/>
        <v>1284.8</v>
      </c>
      <c r="AR10" s="172">
        <f t="shared" si="22"/>
        <v>290.91564119396287</v>
      </c>
      <c r="AS10" s="167">
        <f t="shared" si="6"/>
        <v>397052</v>
      </c>
      <c r="AT10" s="168">
        <f t="shared" si="7"/>
        <v>1324</v>
      </c>
      <c r="AU10" s="172">
        <f t="shared" si="23"/>
        <v>299.88821752265864</v>
      </c>
      <c r="AV10" s="167">
        <v>174494.8794928095</v>
      </c>
      <c r="AW10" s="168">
        <v>1507</v>
      </c>
      <c r="AX10" s="170">
        <f t="shared" si="24"/>
        <v>115.78956834293929</v>
      </c>
      <c r="AY10" s="167">
        <v>21093.908843685414</v>
      </c>
      <c r="AZ10" s="168">
        <v>304</v>
      </c>
      <c r="BA10" s="170">
        <f t="shared" si="25"/>
        <v>69.387858038438864</v>
      </c>
      <c r="BB10" s="167">
        <v>23534.089822817979</v>
      </c>
      <c r="BC10" s="168">
        <v>198</v>
      </c>
      <c r="BD10" s="170">
        <f t="shared" si="26"/>
        <v>118.85903950918171</v>
      </c>
      <c r="BE10" s="3">
        <f t="shared" si="27"/>
        <v>219122.87815931288</v>
      </c>
      <c r="BF10" s="97">
        <f t="shared" si="28"/>
        <v>2009</v>
      </c>
      <c r="BG10" s="172">
        <f t="shared" si="29"/>
        <v>109.07062128387898</v>
      </c>
      <c r="BH10" s="167">
        <v>169065</v>
      </c>
      <c r="BI10" s="168">
        <v>1507</v>
      </c>
      <c r="BJ10" s="170">
        <f t="shared" si="30"/>
        <v>112.18646317186463</v>
      </c>
      <c r="BK10" s="167">
        <v>37263</v>
      </c>
      <c r="BL10" s="168">
        <v>304</v>
      </c>
      <c r="BM10" s="170">
        <f t="shared" si="31"/>
        <v>122.57565789473684</v>
      </c>
      <c r="BN10" s="168">
        <v>32418</v>
      </c>
      <c r="BO10" s="168">
        <v>198</v>
      </c>
      <c r="BP10" s="170">
        <f t="shared" si="32"/>
        <v>163.72727272727272</v>
      </c>
      <c r="BQ10" s="3">
        <f t="shared" si="33"/>
        <v>238746</v>
      </c>
      <c r="BR10" s="97">
        <f t="shared" si="33"/>
        <v>2009</v>
      </c>
      <c r="BS10" s="172">
        <f t="shared" si="34"/>
        <v>118.83822797411648</v>
      </c>
      <c r="BT10" s="303">
        <v>168273.98111743017</v>
      </c>
      <c r="BU10" s="168">
        <v>927</v>
      </c>
      <c r="BV10" s="170">
        <f t="shared" si="35"/>
        <v>181.52533022376502</v>
      </c>
      <c r="BW10" s="303">
        <v>440478.25939811737</v>
      </c>
      <c r="BX10" s="168">
        <v>2920</v>
      </c>
      <c r="BY10" s="170">
        <f t="shared" si="36"/>
        <v>150.84871897195799</v>
      </c>
      <c r="BZ10" s="3">
        <f t="shared" si="37"/>
        <v>608752.24051554757</v>
      </c>
      <c r="CA10" s="97">
        <f t="shared" si="37"/>
        <v>3847</v>
      </c>
      <c r="CB10" s="172">
        <f t="shared" si="38"/>
        <v>158.24076956473812</v>
      </c>
      <c r="CC10" s="167">
        <v>143055</v>
      </c>
      <c r="CD10" s="168">
        <v>927</v>
      </c>
      <c r="CE10" s="170">
        <f t="shared" si="39"/>
        <v>154.32038834951456</v>
      </c>
      <c r="CF10" s="167">
        <v>433344</v>
      </c>
      <c r="CG10" s="168">
        <v>2720</v>
      </c>
      <c r="CH10" s="170">
        <f t="shared" si="40"/>
        <v>159.31764705882352</v>
      </c>
      <c r="CI10" s="3">
        <f t="shared" si="41"/>
        <v>576399</v>
      </c>
      <c r="CJ10" s="97">
        <f t="shared" si="42"/>
        <v>3647</v>
      </c>
      <c r="CK10" s="172">
        <f t="shared" si="43"/>
        <v>158.04743624897176</v>
      </c>
      <c r="CL10" s="167">
        <v>0</v>
      </c>
      <c r="CM10" s="168">
        <v>0</v>
      </c>
      <c r="CN10" s="170">
        <v>0</v>
      </c>
      <c r="CO10" s="167">
        <v>115533</v>
      </c>
      <c r="CP10" s="168">
        <v>746</v>
      </c>
      <c r="CQ10" s="170">
        <v>154.86997319034853</v>
      </c>
      <c r="CR10" s="3">
        <v>115533</v>
      </c>
      <c r="CS10" s="97">
        <v>746</v>
      </c>
      <c r="CT10" s="172">
        <v>154.86997319034853</v>
      </c>
      <c r="CU10" s="167">
        <v>0</v>
      </c>
      <c r="CV10" s="168">
        <v>0</v>
      </c>
      <c r="CW10" s="170">
        <v>0</v>
      </c>
      <c r="CX10" s="303">
        <v>360060</v>
      </c>
      <c r="CY10" s="168">
        <v>1718</v>
      </c>
      <c r="CZ10" s="170">
        <v>209.58090803259603</v>
      </c>
      <c r="DA10" s="3">
        <f t="shared" si="44"/>
        <v>360060</v>
      </c>
      <c r="DB10" s="97">
        <f t="shared" si="45"/>
        <v>1718</v>
      </c>
      <c r="DC10" s="172">
        <f t="shared" si="46"/>
        <v>209.58090803259603</v>
      </c>
      <c r="DD10" s="303">
        <v>207795.80000000002</v>
      </c>
      <c r="DE10" s="168">
        <v>1611.6999999999998</v>
      </c>
      <c r="DF10" s="170">
        <f t="shared" si="47"/>
        <v>128.92957746478876</v>
      </c>
      <c r="DG10" s="303">
        <v>18000</v>
      </c>
      <c r="DH10" s="168">
        <v>180</v>
      </c>
      <c r="DI10" s="170">
        <f t="shared" si="8"/>
        <v>100</v>
      </c>
      <c r="DJ10" s="167">
        <v>0</v>
      </c>
      <c r="DK10" s="168">
        <v>0</v>
      </c>
      <c r="DL10" s="170">
        <v>0</v>
      </c>
      <c r="DM10" s="3">
        <f t="shared" si="9"/>
        <v>225795.80000000002</v>
      </c>
      <c r="DN10" s="97">
        <f t="shared" si="48"/>
        <v>1791.6999999999998</v>
      </c>
      <c r="DO10" s="172">
        <f t="shared" si="49"/>
        <v>126.02321817268518</v>
      </c>
      <c r="DP10" s="303">
        <v>0</v>
      </c>
      <c r="DQ10" s="168">
        <v>0</v>
      </c>
      <c r="DR10" s="170">
        <f t="shared" si="50"/>
        <v>0</v>
      </c>
      <c r="DS10" s="303">
        <v>0</v>
      </c>
      <c r="DT10" s="168">
        <v>0</v>
      </c>
      <c r="DU10" s="170">
        <f t="shared" si="51"/>
        <v>0</v>
      </c>
      <c r="DV10" s="3">
        <f t="shared" si="52"/>
        <v>0</v>
      </c>
      <c r="DW10" s="97">
        <f t="shared" si="53"/>
        <v>0</v>
      </c>
      <c r="DX10" s="172">
        <f t="shared" si="54"/>
        <v>0</v>
      </c>
      <c r="DY10" s="167">
        <v>0</v>
      </c>
      <c r="DZ10" s="168">
        <v>0</v>
      </c>
      <c r="EA10" s="170">
        <f t="shared" si="55"/>
        <v>0</v>
      </c>
      <c r="EB10" s="167">
        <v>0</v>
      </c>
      <c r="EC10" s="168">
        <v>0</v>
      </c>
      <c r="ED10" s="170">
        <f t="shared" si="56"/>
        <v>0</v>
      </c>
      <c r="EE10" s="167">
        <v>0</v>
      </c>
      <c r="EF10" s="168">
        <v>0</v>
      </c>
      <c r="EG10" s="170">
        <f t="shared" si="57"/>
        <v>0</v>
      </c>
      <c r="EH10" s="3">
        <f t="shared" si="58"/>
        <v>0</v>
      </c>
      <c r="EI10" s="97">
        <f t="shared" si="59"/>
        <v>0</v>
      </c>
      <c r="EJ10" s="172">
        <f t="shared" si="60"/>
        <v>0</v>
      </c>
    </row>
    <row r="11" spans="2:140">
      <c r="B11" t="s">
        <v>130</v>
      </c>
      <c r="C11" t="s">
        <v>127</v>
      </c>
      <c r="D11">
        <f>VLOOKUP(B11,Dates!$B$2:$E$53,4,FALSE)</f>
        <v>7</v>
      </c>
      <c r="E11" s="168" t="b">
        <f>IF(D11&lt;='RDG Weekly Sales'!$F$1,TRUE,FALSE)</f>
        <v>1</v>
      </c>
      <c r="F11" s="303">
        <v>690617</v>
      </c>
      <c r="G11" s="168">
        <v>4117</v>
      </c>
      <c r="H11" s="170">
        <f t="shared" si="10"/>
        <v>167.74763177070682</v>
      </c>
      <c r="I11" s="167">
        <v>724371</v>
      </c>
      <c r="J11" s="168">
        <v>4117</v>
      </c>
      <c r="K11" s="170">
        <f t="shared" si="11"/>
        <v>175.94632013602137</v>
      </c>
      <c r="L11" s="303">
        <v>49172</v>
      </c>
      <c r="M11" s="168">
        <v>332</v>
      </c>
      <c r="N11" s="170">
        <f t="shared" si="12"/>
        <v>148.10843373493975</v>
      </c>
      <c r="O11" s="167">
        <v>42526</v>
      </c>
      <c r="P11" s="168">
        <v>332</v>
      </c>
      <c r="Q11" s="170">
        <f t="shared" si="13"/>
        <v>128.09036144578315</v>
      </c>
      <c r="R11" s="3">
        <f t="shared" si="0"/>
        <v>739789</v>
      </c>
      <c r="S11" s="97">
        <f t="shared" si="1"/>
        <v>4449</v>
      </c>
      <c r="T11" s="170">
        <f t="shared" si="14"/>
        <v>166.28208586199145</v>
      </c>
      <c r="U11" s="3">
        <f t="shared" si="2"/>
        <v>766897</v>
      </c>
      <c r="V11" s="97">
        <f t="shared" si="3"/>
        <v>4449</v>
      </c>
      <c r="W11" s="172">
        <f t="shared" si="15"/>
        <v>172.37514048100698</v>
      </c>
      <c r="X11" s="167">
        <v>32795.770684389383</v>
      </c>
      <c r="Y11" s="168">
        <v>116</v>
      </c>
      <c r="Z11" s="170">
        <f t="shared" si="16"/>
        <v>282.72216107232225</v>
      </c>
      <c r="AA11" s="167">
        <v>35047</v>
      </c>
      <c r="AB11" s="168">
        <v>116</v>
      </c>
      <c r="AC11" s="170">
        <f t="shared" si="17"/>
        <v>302.12931034482756</v>
      </c>
      <c r="AD11" s="167">
        <v>83640.716798564652</v>
      </c>
      <c r="AE11" s="168">
        <v>322</v>
      </c>
      <c r="AF11" s="170">
        <f t="shared" si="18"/>
        <v>259.75377887752995</v>
      </c>
      <c r="AG11" s="167">
        <v>68556</v>
      </c>
      <c r="AH11" s="168">
        <v>322</v>
      </c>
      <c r="AI11" s="170">
        <f t="shared" si="19"/>
        <v>212.90683229813664</v>
      </c>
      <c r="AJ11" s="167">
        <v>240218.04189980804</v>
      </c>
      <c r="AK11" s="168">
        <v>876.85</v>
      </c>
      <c r="AL11" s="170">
        <f t="shared" si="20"/>
        <v>273.95568443839659</v>
      </c>
      <c r="AM11" s="167">
        <v>279856.23</v>
      </c>
      <c r="AN11" s="168">
        <v>923</v>
      </c>
      <c r="AO11" s="170">
        <f t="shared" si="21"/>
        <v>303.20284940411699</v>
      </c>
      <c r="AP11" s="167">
        <f t="shared" si="4"/>
        <v>356654.52938276209</v>
      </c>
      <c r="AQ11" s="168">
        <f t="shared" si="5"/>
        <v>1314.85</v>
      </c>
      <c r="AR11" s="172">
        <f t="shared" si="22"/>
        <v>271.25111562745724</v>
      </c>
      <c r="AS11" s="167">
        <f t="shared" si="6"/>
        <v>383459.23</v>
      </c>
      <c r="AT11" s="168">
        <f t="shared" si="7"/>
        <v>1361</v>
      </c>
      <c r="AU11" s="172">
        <f t="shared" si="23"/>
        <v>281.74814842027916</v>
      </c>
      <c r="AV11" s="167">
        <v>232733.02501028584</v>
      </c>
      <c r="AW11" s="168">
        <v>2030</v>
      </c>
      <c r="AX11" s="170">
        <f t="shared" si="24"/>
        <v>114.64681034989451</v>
      </c>
      <c r="AY11" s="167">
        <v>25090.559006248714</v>
      </c>
      <c r="AZ11" s="168">
        <v>362</v>
      </c>
      <c r="BA11" s="170">
        <f t="shared" si="25"/>
        <v>69.310936481350041</v>
      </c>
      <c r="BB11" s="167">
        <v>24046.608422035635</v>
      </c>
      <c r="BC11" s="168">
        <v>161</v>
      </c>
      <c r="BD11" s="170">
        <f t="shared" si="26"/>
        <v>149.35781628593563</v>
      </c>
      <c r="BE11" s="3">
        <f t="shared" si="27"/>
        <v>281870.1924385702</v>
      </c>
      <c r="BF11" s="97">
        <f t="shared" si="28"/>
        <v>2553</v>
      </c>
      <c r="BG11" s="172">
        <f t="shared" si="29"/>
        <v>110.40743926305139</v>
      </c>
      <c r="BH11" s="167">
        <v>248021</v>
      </c>
      <c r="BI11" s="168">
        <v>2030</v>
      </c>
      <c r="BJ11" s="170">
        <f t="shared" si="30"/>
        <v>122.17783251231528</v>
      </c>
      <c r="BK11" s="167">
        <v>36202</v>
      </c>
      <c r="BL11" s="168">
        <v>362</v>
      </c>
      <c r="BM11" s="170">
        <f t="shared" si="31"/>
        <v>100.00552486187846</v>
      </c>
      <c r="BN11" s="168">
        <v>24918</v>
      </c>
      <c r="BO11" s="168">
        <v>161</v>
      </c>
      <c r="BP11" s="170">
        <f t="shared" si="32"/>
        <v>154.77018633540374</v>
      </c>
      <c r="BQ11" s="3">
        <f t="shared" si="33"/>
        <v>309141</v>
      </c>
      <c r="BR11" s="97">
        <f t="shared" si="33"/>
        <v>2553</v>
      </c>
      <c r="BS11" s="172">
        <f t="shared" si="34"/>
        <v>121.08930669800235</v>
      </c>
      <c r="BT11" s="303">
        <v>200069.65972768338</v>
      </c>
      <c r="BU11" s="168">
        <v>1091</v>
      </c>
      <c r="BV11" s="170">
        <f t="shared" si="35"/>
        <v>183.38190625818825</v>
      </c>
      <c r="BW11" s="303">
        <v>497949.77098322526</v>
      </c>
      <c r="BX11" s="168">
        <v>3120</v>
      </c>
      <c r="BY11" s="170">
        <f t="shared" si="36"/>
        <v>159.59928557154655</v>
      </c>
      <c r="BZ11" s="3">
        <f t="shared" si="37"/>
        <v>698019.43071090861</v>
      </c>
      <c r="CA11" s="97">
        <f t="shared" si="37"/>
        <v>4211</v>
      </c>
      <c r="CB11" s="172">
        <f t="shared" si="38"/>
        <v>165.76096668508873</v>
      </c>
      <c r="CC11" s="167">
        <v>195861</v>
      </c>
      <c r="CD11" s="168">
        <v>1091</v>
      </c>
      <c r="CE11" s="170">
        <f t="shared" si="39"/>
        <v>179.52428964252979</v>
      </c>
      <c r="CF11" s="167">
        <v>568593</v>
      </c>
      <c r="CG11" s="168">
        <v>3120</v>
      </c>
      <c r="CH11" s="170">
        <f t="shared" si="40"/>
        <v>182.24134615384617</v>
      </c>
      <c r="CI11" s="3">
        <f t="shared" si="41"/>
        <v>764454</v>
      </c>
      <c r="CJ11" s="97">
        <f t="shared" si="42"/>
        <v>4211</v>
      </c>
      <c r="CK11" s="172">
        <f t="shared" si="43"/>
        <v>181.53740204227026</v>
      </c>
      <c r="CL11" s="167">
        <v>0</v>
      </c>
      <c r="CM11" s="168">
        <v>0</v>
      </c>
      <c r="CN11" s="170">
        <v>0</v>
      </c>
      <c r="CO11" s="167">
        <v>278796</v>
      </c>
      <c r="CP11" s="168">
        <v>1656</v>
      </c>
      <c r="CQ11" s="170">
        <v>168.35507246376812</v>
      </c>
      <c r="CR11" s="3">
        <v>278796</v>
      </c>
      <c r="CS11" s="97">
        <v>1656</v>
      </c>
      <c r="CT11" s="172">
        <v>168.35507246376812</v>
      </c>
      <c r="CU11" s="167">
        <v>0</v>
      </c>
      <c r="CV11" s="168">
        <v>0</v>
      </c>
      <c r="CW11" s="170">
        <v>0</v>
      </c>
      <c r="CX11" s="303">
        <v>435490</v>
      </c>
      <c r="CY11" s="168">
        <v>2548</v>
      </c>
      <c r="CZ11" s="170">
        <v>170.914442700157</v>
      </c>
      <c r="DA11" s="3">
        <f t="shared" si="44"/>
        <v>435490</v>
      </c>
      <c r="DB11" s="97">
        <f t="shared" si="45"/>
        <v>2548</v>
      </c>
      <c r="DC11" s="172">
        <f t="shared" si="46"/>
        <v>170.914442700157</v>
      </c>
      <c r="DD11" s="303">
        <v>207795.80000000002</v>
      </c>
      <c r="DE11" s="168">
        <v>1611.6999999999998</v>
      </c>
      <c r="DF11" s="170">
        <f t="shared" si="47"/>
        <v>128.92957746478876</v>
      </c>
      <c r="DG11" s="303">
        <v>18000</v>
      </c>
      <c r="DH11" s="168">
        <v>180</v>
      </c>
      <c r="DI11" s="170">
        <f t="shared" si="8"/>
        <v>100</v>
      </c>
      <c r="DJ11" s="167">
        <v>0</v>
      </c>
      <c r="DK11" s="168">
        <v>0</v>
      </c>
      <c r="DL11" s="170">
        <v>0</v>
      </c>
      <c r="DM11" s="3">
        <f t="shared" si="9"/>
        <v>225795.80000000002</v>
      </c>
      <c r="DN11" s="97">
        <f t="shared" si="48"/>
        <v>1791.6999999999998</v>
      </c>
      <c r="DO11" s="172">
        <f t="shared" si="49"/>
        <v>126.02321817268518</v>
      </c>
      <c r="DP11" s="303">
        <v>0</v>
      </c>
      <c r="DQ11" s="168">
        <v>0</v>
      </c>
      <c r="DR11" s="170">
        <f t="shared" si="50"/>
        <v>0</v>
      </c>
      <c r="DS11" s="303">
        <v>0</v>
      </c>
      <c r="DT11" s="168">
        <v>0</v>
      </c>
      <c r="DU11" s="170">
        <f t="shared" si="51"/>
        <v>0</v>
      </c>
      <c r="DV11" s="3">
        <f t="shared" si="52"/>
        <v>0</v>
      </c>
      <c r="DW11" s="97">
        <f t="shared" si="53"/>
        <v>0</v>
      </c>
      <c r="DX11" s="172">
        <f t="shared" si="54"/>
        <v>0</v>
      </c>
      <c r="DY11" s="167">
        <v>0</v>
      </c>
      <c r="DZ11" s="168">
        <v>0</v>
      </c>
      <c r="EA11" s="170">
        <f t="shared" si="55"/>
        <v>0</v>
      </c>
      <c r="EB11" s="167">
        <v>0</v>
      </c>
      <c r="EC11" s="168">
        <v>0</v>
      </c>
      <c r="ED11" s="170">
        <f t="shared" si="56"/>
        <v>0</v>
      </c>
      <c r="EE11" s="167">
        <v>0</v>
      </c>
      <c r="EF11" s="168">
        <v>0</v>
      </c>
      <c r="EG11" s="170">
        <f t="shared" si="57"/>
        <v>0</v>
      </c>
      <c r="EH11" s="3">
        <f t="shared" si="58"/>
        <v>0</v>
      </c>
      <c r="EI11" s="97">
        <f t="shared" si="59"/>
        <v>0</v>
      </c>
      <c r="EJ11" s="172">
        <f t="shared" si="60"/>
        <v>0</v>
      </c>
    </row>
    <row r="12" spans="2:140">
      <c r="B12" t="s">
        <v>131</v>
      </c>
      <c r="C12" t="s">
        <v>127</v>
      </c>
      <c r="D12">
        <f>VLOOKUP(B12,Dates!$B$2:$E$53,4,FALSE)</f>
        <v>8</v>
      </c>
      <c r="E12" s="168" t="b">
        <f>IF(D12&lt;='RDG Weekly Sales'!$F$1,TRUE,FALSE)</f>
        <v>1</v>
      </c>
      <c r="F12" s="303">
        <v>731699</v>
      </c>
      <c r="G12" s="168">
        <v>4677</v>
      </c>
      <c r="H12" s="170">
        <f t="shared" si="10"/>
        <v>156.44622621338465</v>
      </c>
      <c r="I12" s="167">
        <v>731699</v>
      </c>
      <c r="J12" s="168">
        <v>4677</v>
      </c>
      <c r="K12" s="170">
        <f t="shared" si="11"/>
        <v>156.44622621338465</v>
      </c>
      <c r="L12" s="303">
        <v>48283</v>
      </c>
      <c r="M12" s="168">
        <v>326</v>
      </c>
      <c r="N12" s="170">
        <f t="shared" si="12"/>
        <v>148.10736196319019</v>
      </c>
      <c r="O12" s="167">
        <v>67038</v>
      </c>
      <c r="P12" s="168">
        <v>326</v>
      </c>
      <c r="Q12" s="170">
        <f t="shared" si="13"/>
        <v>205.63803680981596</v>
      </c>
      <c r="R12" s="3">
        <f t="shared" si="0"/>
        <v>779982</v>
      </c>
      <c r="S12" s="97">
        <f t="shared" si="1"/>
        <v>5003</v>
      </c>
      <c r="T12" s="170">
        <f t="shared" si="14"/>
        <v>155.90285828502897</v>
      </c>
      <c r="U12" s="3">
        <f t="shared" si="2"/>
        <v>798737</v>
      </c>
      <c r="V12" s="97">
        <f t="shared" si="3"/>
        <v>5003</v>
      </c>
      <c r="W12" s="172">
        <f t="shared" si="15"/>
        <v>159.65160903457925</v>
      </c>
      <c r="X12" s="167">
        <v>27267.718462597324</v>
      </c>
      <c r="Y12" s="168">
        <v>96</v>
      </c>
      <c r="Z12" s="170">
        <f t="shared" si="16"/>
        <v>284.03873398538877</v>
      </c>
      <c r="AA12" s="167">
        <v>26757</v>
      </c>
      <c r="AB12" s="168">
        <v>96</v>
      </c>
      <c r="AC12" s="170">
        <f t="shared" si="17"/>
        <v>278.71875</v>
      </c>
      <c r="AD12" s="167">
        <v>101805.58341782729</v>
      </c>
      <c r="AE12" s="168">
        <v>416</v>
      </c>
      <c r="AF12" s="170">
        <f t="shared" si="18"/>
        <v>244.72496013900792</v>
      </c>
      <c r="AG12" s="167">
        <v>94778</v>
      </c>
      <c r="AH12" s="168">
        <v>416</v>
      </c>
      <c r="AI12" s="170">
        <f t="shared" si="19"/>
        <v>227.83173076923077</v>
      </c>
      <c r="AJ12" s="167">
        <v>273051.48031250911</v>
      </c>
      <c r="AK12" s="168">
        <v>858.8</v>
      </c>
      <c r="AL12" s="170">
        <f t="shared" si="20"/>
        <v>317.94536599034598</v>
      </c>
      <c r="AM12" s="167">
        <v>293240</v>
      </c>
      <c r="AN12" s="168">
        <v>904</v>
      </c>
      <c r="AO12" s="170">
        <f t="shared" si="21"/>
        <v>324.3805309734513</v>
      </c>
      <c r="AP12" s="167">
        <f t="shared" si="4"/>
        <v>402124.78219293372</v>
      </c>
      <c r="AQ12" s="168">
        <f t="shared" si="5"/>
        <v>1370.8</v>
      </c>
      <c r="AR12" s="172">
        <f t="shared" si="22"/>
        <v>293.35043930036016</v>
      </c>
      <c r="AS12" s="167">
        <f t="shared" si="6"/>
        <v>414775</v>
      </c>
      <c r="AT12" s="168">
        <f t="shared" si="7"/>
        <v>1416</v>
      </c>
      <c r="AU12" s="172">
        <f t="shared" si="23"/>
        <v>292.920197740113</v>
      </c>
      <c r="AV12" s="167">
        <v>196128.22742470133</v>
      </c>
      <c r="AW12" s="168">
        <v>1709</v>
      </c>
      <c r="AX12" s="170">
        <f t="shared" si="24"/>
        <v>114.76198210924595</v>
      </c>
      <c r="AY12" s="167">
        <v>22446.420869743884</v>
      </c>
      <c r="AZ12" s="168">
        <v>324</v>
      </c>
      <c r="BA12" s="170">
        <f t="shared" si="25"/>
        <v>69.279076758468776</v>
      </c>
      <c r="BB12" s="167">
        <v>39022.401938820323</v>
      </c>
      <c r="BC12" s="168">
        <v>283</v>
      </c>
      <c r="BD12" s="170">
        <f t="shared" si="26"/>
        <v>137.88834607357003</v>
      </c>
      <c r="BE12" s="3">
        <f t="shared" si="27"/>
        <v>257597.05023326553</v>
      </c>
      <c r="BF12" s="97">
        <f t="shared" si="28"/>
        <v>2316</v>
      </c>
      <c r="BG12" s="172">
        <f t="shared" si="29"/>
        <v>111.22497851177268</v>
      </c>
      <c r="BH12" s="167">
        <v>190696</v>
      </c>
      <c r="BI12" s="168">
        <v>1709</v>
      </c>
      <c r="BJ12" s="170">
        <f t="shared" si="30"/>
        <v>111.58338209479227</v>
      </c>
      <c r="BK12" s="167">
        <v>29931</v>
      </c>
      <c r="BL12" s="168">
        <v>324</v>
      </c>
      <c r="BM12" s="170">
        <f t="shared" si="31"/>
        <v>92.379629629629633</v>
      </c>
      <c r="BN12" s="168">
        <v>42947</v>
      </c>
      <c r="BO12" s="168">
        <v>283</v>
      </c>
      <c r="BP12" s="170">
        <f t="shared" si="32"/>
        <v>151.75618374558303</v>
      </c>
      <c r="BQ12" s="3">
        <f t="shared" si="33"/>
        <v>263574</v>
      </c>
      <c r="BR12" s="97">
        <f t="shared" si="33"/>
        <v>2316</v>
      </c>
      <c r="BS12" s="172">
        <f t="shared" si="34"/>
        <v>113.80569948186529</v>
      </c>
      <c r="BT12" s="303">
        <v>183464.03736558775</v>
      </c>
      <c r="BU12" s="168">
        <v>998</v>
      </c>
      <c r="BV12" s="170">
        <f t="shared" si="35"/>
        <v>183.83170076712199</v>
      </c>
      <c r="BW12" s="303">
        <v>467171.38284986163</v>
      </c>
      <c r="BX12" s="168">
        <v>2917</v>
      </c>
      <c r="BY12" s="170">
        <f t="shared" si="36"/>
        <v>160.1547421494212</v>
      </c>
      <c r="BZ12" s="3">
        <f t="shared" si="37"/>
        <v>650635.42021544941</v>
      </c>
      <c r="CA12" s="97">
        <f t="shared" si="37"/>
        <v>3915</v>
      </c>
      <c r="CB12" s="172">
        <f t="shared" si="38"/>
        <v>166.19040107674314</v>
      </c>
      <c r="CC12" s="167">
        <v>178099</v>
      </c>
      <c r="CD12" s="168">
        <v>998</v>
      </c>
      <c r="CE12" s="170">
        <f t="shared" si="39"/>
        <v>178.45591182364728</v>
      </c>
      <c r="CF12" s="167">
        <v>445465</v>
      </c>
      <c r="CG12" s="168">
        <v>2917</v>
      </c>
      <c r="CH12" s="170">
        <f t="shared" si="40"/>
        <v>152.71340418237915</v>
      </c>
      <c r="CI12" s="3">
        <f t="shared" si="41"/>
        <v>623564</v>
      </c>
      <c r="CJ12" s="97">
        <f t="shared" si="42"/>
        <v>3915</v>
      </c>
      <c r="CK12" s="172">
        <f t="shared" si="43"/>
        <v>159.27560664112389</v>
      </c>
      <c r="CL12" s="167">
        <v>0</v>
      </c>
      <c r="CM12" s="168">
        <v>0</v>
      </c>
      <c r="CN12" s="170">
        <v>0</v>
      </c>
      <c r="CO12" s="167">
        <v>289042</v>
      </c>
      <c r="CP12" s="168">
        <v>1731</v>
      </c>
      <c r="CQ12" s="170">
        <v>166.97978047371461</v>
      </c>
      <c r="CR12" s="3">
        <v>289042</v>
      </c>
      <c r="CS12" s="97">
        <v>1731</v>
      </c>
      <c r="CT12" s="172">
        <v>166.97978047371461</v>
      </c>
      <c r="CU12" s="167">
        <v>0</v>
      </c>
      <c r="CV12" s="168">
        <v>0</v>
      </c>
      <c r="CW12" s="170">
        <v>0</v>
      </c>
      <c r="CX12" s="303">
        <v>388063</v>
      </c>
      <c r="CY12" s="168">
        <v>2135</v>
      </c>
      <c r="CZ12" s="170">
        <v>181.76252927400469</v>
      </c>
      <c r="DA12" s="3">
        <f t="shared" si="44"/>
        <v>388063</v>
      </c>
      <c r="DB12" s="97">
        <f t="shared" si="45"/>
        <v>2135</v>
      </c>
      <c r="DC12" s="172">
        <f t="shared" si="46"/>
        <v>181.76252927400469</v>
      </c>
      <c r="DD12" s="303">
        <v>207795.80000000002</v>
      </c>
      <c r="DE12" s="168">
        <v>1611.6999999999998</v>
      </c>
      <c r="DF12" s="170">
        <f t="shared" si="47"/>
        <v>128.92957746478876</v>
      </c>
      <c r="DG12" s="303">
        <v>18000</v>
      </c>
      <c r="DH12" s="168">
        <v>180</v>
      </c>
      <c r="DI12" s="170">
        <f t="shared" si="8"/>
        <v>100</v>
      </c>
      <c r="DJ12" s="167">
        <v>0</v>
      </c>
      <c r="DK12" s="168">
        <v>0</v>
      </c>
      <c r="DL12" s="170">
        <v>0</v>
      </c>
      <c r="DM12" s="3">
        <f t="shared" si="9"/>
        <v>225795.80000000002</v>
      </c>
      <c r="DN12" s="97">
        <f t="shared" si="48"/>
        <v>1791.6999999999998</v>
      </c>
      <c r="DO12" s="172">
        <f t="shared" si="49"/>
        <v>126.02321817268518</v>
      </c>
      <c r="DP12" s="303">
        <v>0</v>
      </c>
      <c r="DQ12" s="168">
        <v>0</v>
      </c>
      <c r="DR12" s="170">
        <f t="shared" si="50"/>
        <v>0</v>
      </c>
      <c r="DS12" s="303">
        <v>0</v>
      </c>
      <c r="DT12" s="168">
        <v>0</v>
      </c>
      <c r="DU12" s="170">
        <f t="shared" si="51"/>
        <v>0</v>
      </c>
      <c r="DV12" s="3">
        <f t="shared" si="52"/>
        <v>0</v>
      </c>
      <c r="DW12" s="97">
        <f t="shared" si="53"/>
        <v>0</v>
      </c>
      <c r="DX12" s="172">
        <f t="shared" si="54"/>
        <v>0</v>
      </c>
      <c r="DY12" s="167">
        <v>0</v>
      </c>
      <c r="DZ12" s="168">
        <v>0</v>
      </c>
      <c r="EA12" s="170">
        <f t="shared" si="55"/>
        <v>0</v>
      </c>
      <c r="EB12" s="167">
        <v>0</v>
      </c>
      <c r="EC12" s="168">
        <v>0</v>
      </c>
      <c r="ED12" s="170">
        <f t="shared" si="56"/>
        <v>0</v>
      </c>
      <c r="EE12" s="167">
        <v>0</v>
      </c>
      <c r="EF12" s="168">
        <v>0</v>
      </c>
      <c r="EG12" s="170">
        <f t="shared" si="57"/>
        <v>0</v>
      </c>
      <c r="EH12" s="3">
        <f t="shared" si="58"/>
        <v>0</v>
      </c>
      <c r="EI12" s="97">
        <f t="shared" si="59"/>
        <v>0</v>
      </c>
      <c r="EJ12" s="172">
        <f t="shared" si="60"/>
        <v>0</v>
      </c>
    </row>
    <row r="13" spans="2:140">
      <c r="B13" t="s">
        <v>134</v>
      </c>
      <c r="C13" t="s">
        <v>133</v>
      </c>
      <c r="D13">
        <f>VLOOKUP(B13,Dates!$B$2:$E$53,4,FALSE)</f>
        <v>9</v>
      </c>
      <c r="E13" s="168" t="b">
        <f>IF(D13&lt;='RDG Weekly Sales'!$F$1,TRUE,FALSE)</f>
        <v>1</v>
      </c>
      <c r="F13" s="303">
        <v>764081</v>
      </c>
      <c r="G13" s="168">
        <v>4316</v>
      </c>
      <c r="H13" s="170">
        <f t="shared" si="10"/>
        <v>177.03452270620946</v>
      </c>
      <c r="I13" s="167">
        <v>764081</v>
      </c>
      <c r="J13" s="168">
        <v>4316</v>
      </c>
      <c r="K13" s="170">
        <f t="shared" si="11"/>
        <v>177.03452270620946</v>
      </c>
      <c r="L13" s="303">
        <v>35789</v>
      </c>
      <c r="M13" s="168">
        <v>274</v>
      </c>
      <c r="N13" s="170">
        <f t="shared" si="12"/>
        <v>130.61678832116789</v>
      </c>
      <c r="O13" s="167">
        <v>36036</v>
      </c>
      <c r="P13" s="168">
        <v>274</v>
      </c>
      <c r="Q13" s="170">
        <f t="shared" si="13"/>
        <v>131.51824817518249</v>
      </c>
      <c r="R13" s="3">
        <f t="shared" si="0"/>
        <v>799870</v>
      </c>
      <c r="S13" s="97">
        <f t="shared" si="1"/>
        <v>4590</v>
      </c>
      <c r="T13" s="170">
        <f t="shared" si="14"/>
        <v>174.2636165577342</v>
      </c>
      <c r="U13" s="3">
        <f t="shared" si="2"/>
        <v>800117</v>
      </c>
      <c r="V13" s="97">
        <f t="shared" si="3"/>
        <v>4590</v>
      </c>
      <c r="W13" s="172">
        <f t="shared" si="15"/>
        <v>174.31742919389978</v>
      </c>
      <c r="X13" s="167">
        <v>33406.320160043302</v>
      </c>
      <c r="Y13" s="168">
        <v>96</v>
      </c>
      <c r="Z13" s="170">
        <f t="shared" si="16"/>
        <v>347.98250166711773</v>
      </c>
      <c r="AA13" s="167">
        <v>30189</v>
      </c>
      <c r="AB13" s="168">
        <v>96</v>
      </c>
      <c r="AC13" s="170">
        <f t="shared" si="17"/>
        <v>314.46875</v>
      </c>
      <c r="AD13" s="167">
        <v>99433.918719741268</v>
      </c>
      <c r="AE13" s="168">
        <v>503</v>
      </c>
      <c r="AF13" s="170">
        <f t="shared" si="18"/>
        <v>197.68174695773612</v>
      </c>
      <c r="AG13" s="167">
        <v>92857</v>
      </c>
      <c r="AH13" s="168">
        <v>503</v>
      </c>
      <c r="AI13" s="170">
        <f t="shared" si="19"/>
        <v>184.60636182902584</v>
      </c>
      <c r="AJ13" s="167">
        <v>300014.59234651766</v>
      </c>
      <c r="AK13" s="168">
        <v>912.94999999999993</v>
      </c>
      <c r="AL13" s="170">
        <f t="shared" si="20"/>
        <v>328.62105520183763</v>
      </c>
      <c r="AM13" s="167">
        <v>343034</v>
      </c>
      <c r="AN13" s="168">
        <v>961</v>
      </c>
      <c r="AO13" s="170">
        <f t="shared" si="21"/>
        <v>356.95525494276797</v>
      </c>
      <c r="AP13" s="167">
        <f t="shared" si="4"/>
        <v>432854.83122630219</v>
      </c>
      <c r="AQ13" s="168">
        <f t="shared" si="5"/>
        <v>1511.9499999999998</v>
      </c>
      <c r="AR13" s="172">
        <f t="shared" si="22"/>
        <v>286.28911751466796</v>
      </c>
      <c r="AS13" s="167">
        <f t="shared" si="6"/>
        <v>466080</v>
      </c>
      <c r="AT13" s="168">
        <f t="shared" si="7"/>
        <v>1560</v>
      </c>
      <c r="AU13" s="172">
        <f t="shared" si="23"/>
        <v>298.76923076923077</v>
      </c>
      <c r="AV13" s="167">
        <v>176552.23079736941</v>
      </c>
      <c r="AW13" s="168">
        <v>1553</v>
      </c>
      <c r="AX13" s="170">
        <f t="shared" si="24"/>
        <v>113.68463026231127</v>
      </c>
      <c r="AY13" s="167">
        <v>29675.174515886691</v>
      </c>
      <c r="AZ13" s="168">
        <v>434</v>
      </c>
      <c r="BA13" s="170">
        <f t="shared" si="25"/>
        <v>68.37597814720435</v>
      </c>
      <c r="BB13" s="167">
        <v>31791.914538431425</v>
      </c>
      <c r="BC13" s="168">
        <v>200</v>
      </c>
      <c r="BD13" s="170">
        <f t="shared" si="26"/>
        <v>158.95957269215714</v>
      </c>
      <c r="BE13" s="3">
        <f t="shared" si="27"/>
        <v>238019.31985168753</v>
      </c>
      <c r="BF13" s="97">
        <f t="shared" si="28"/>
        <v>2187</v>
      </c>
      <c r="BG13" s="172">
        <f t="shared" si="29"/>
        <v>108.83370820836193</v>
      </c>
      <c r="BH13" s="167">
        <v>181924.08</v>
      </c>
      <c r="BI13" s="168">
        <v>1553</v>
      </c>
      <c r="BJ13" s="170">
        <f t="shared" si="30"/>
        <v>117.14364455891821</v>
      </c>
      <c r="BK13" s="167">
        <v>24850</v>
      </c>
      <c r="BL13" s="168">
        <v>434</v>
      </c>
      <c r="BM13" s="170">
        <f t="shared" si="31"/>
        <v>57.258064516129032</v>
      </c>
      <c r="BN13" s="168">
        <v>34773</v>
      </c>
      <c r="BO13" s="168">
        <v>200</v>
      </c>
      <c r="BP13" s="170">
        <f t="shared" si="32"/>
        <v>173.86500000000001</v>
      </c>
      <c r="BQ13" s="3">
        <f t="shared" si="33"/>
        <v>241547.08</v>
      </c>
      <c r="BR13" s="97">
        <f t="shared" si="33"/>
        <v>2187</v>
      </c>
      <c r="BS13" s="172">
        <f t="shared" si="34"/>
        <v>110.44676726108824</v>
      </c>
      <c r="BT13" s="303">
        <v>209797.64614383536</v>
      </c>
      <c r="BU13" s="168">
        <v>1055</v>
      </c>
      <c r="BV13" s="170">
        <f t="shared" si="35"/>
        <v>198.86032809842214</v>
      </c>
      <c r="BW13" s="303">
        <v>517729.63919745863</v>
      </c>
      <c r="BX13" s="168">
        <v>3169</v>
      </c>
      <c r="BY13" s="170">
        <f t="shared" si="36"/>
        <v>163.37319002759818</v>
      </c>
      <c r="BZ13" s="3">
        <f t="shared" si="37"/>
        <v>727527.28534129402</v>
      </c>
      <c r="CA13" s="97">
        <f t="shared" si="37"/>
        <v>4224</v>
      </c>
      <c r="CB13" s="172">
        <f t="shared" si="38"/>
        <v>172.23657323420787</v>
      </c>
      <c r="CC13" s="167">
        <v>262975</v>
      </c>
      <c r="CD13" s="168">
        <v>1055</v>
      </c>
      <c r="CE13" s="170">
        <f t="shared" si="39"/>
        <v>249.26540284360189</v>
      </c>
      <c r="CF13" s="167">
        <v>527406</v>
      </c>
      <c r="CG13" s="168">
        <v>3169</v>
      </c>
      <c r="CH13" s="170">
        <f t="shared" si="40"/>
        <v>166.42663300725781</v>
      </c>
      <c r="CI13" s="3">
        <f t="shared" si="41"/>
        <v>790381</v>
      </c>
      <c r="CJ13" s="97">
        <f t="shared" si="42"/>
        <v>4224</v>
      </c>
      <c r="CK13" s="172">
        <f t="shared" si="43"/>
        <v>187.1167140151515</v>
      </c>
      <c r="CL13" s="167">
        <v>0</v>
      </c>
      <c r="CM13" s="168">
        <v>0</v>
      </c>
      <c r="CN13" s="170">
        <v>0</v>
      </c>
      <c r="CO13" s="167">
        <v>306374</v>
      </c>
      <c r="CP13" s="168">
        <v>1844</v>
      </c>
      <c r="CQ13" s="170">
        <v>166.14642082429501</v>
      </c>
      <c r="CR13" s="3">
        <v>306374</v>
      </c>
      <c r="CS13" s="97">
        <v>1844</v>
      </c>
      <c r="CT13" s="172">
        <v>166.14642082429501</v>
      </c>
      <c r="CU13" s="309">
        <v>0</v>
      </c>
      <c r="CV13" s="310">
        <v>0</v>
      </c>
      <c r="CW13" s="170">
        <v>0</v>
      </c>
      <c r="CX13" s="309">
        <v>407097</v>
      </c>
      <c r="CY13" s="310">
        <v>2185</v>
      </c>
      <c r="CZ13" s="170">
        <v>186.31441647597254</v>
      </c>
      <c r="DA13" s="315">
        <f t="shared" si="44"/>
        <v>407097</v>
      </c>
      <c r="DB13" s="97">
        <f t="shared" si="45"/>
        <v>2185</v>
      </c>
      <c r="DC13" s="172">
        <f t="shared" si="46"/>
        <v>186.31441647597254</v>
      </c>
      <c r="DD13" s="303">
        <v>207795.80000000002</v>
      </c>
      <c r="DE13" s="168">
        <v>1611.6999999999998</v>
      </c>
      <c r="DF13" s="170">
        <f t="shared" si="47"/>
        <v>128.92957746478876</v>
      </c>
      <c r="DG13" s="303">
        <v>22000</v>
      </c>
      <c r="DH13" s="168">
        <v>220</v>
      </c>
      <c r="DI13" s="170">
        <f t="shared" si="8"/>
        <v>100</v>
      </c>
      <c r="DJ13" s="167">
        <v>0</v>
      </c>
      <c r="DK13" s="168">
        <v>0</v>
      </c>
      <c r="DL13" s="170">
        <v>0</v>
      </c>
      <c r="DM13" s="3">
        <f t="shared" si="9"/>
        <v>229795.80000000002</v>
      </c>
      <c r="DN13" s="97">
        <f t="shared" si="48"/>
        <v>1831.6999999999998</v>
      </c>
      <c r="DO13" s="172">
        <f t="shared" si="49"/>
        <v>125.45493257629526</v>
      </c>
      <c r="DP13" s="303">
        <v>227644.509656298</v>
      </c>
      <c r="DQ13" s="168">
        <v>825</v>
      </c>
      <c r="DR13" s="170">
        <f t="shared" si="50"/>
        <v>275.93273897733093</v>
      </c>
      <c r="DS13" s="303">
        <v>0</v>
      </c>
      <c r="DT13" s="168">
        <v>0</v>
      </c>
      <c r="DU13" s="170">
        <f t="shared" si="51"/>
        <v>0</v>
      </c>
      <c r="DV13" s="3">
        <f t="shared" si="52"/>
        <v>227644.509656298</v>
      </c>
      <c r="DW13" s="97">
        <f t="shared" si="53"/>
        <v>825</v>
      </c>
      <c r="DX13" s="172">
        <f t="shared" si="54"/>
        <v>275.93273897733093</v>
      </c>
      <c r="DY13" s="167">
        <v>0</v>
      </c>
      <c r="DZ13" s="168">
        <v>0</v>
      </c>
      <c r="EA13" s="170">
        <f t="shared" si="55"/>
        <v>0</v>
      </c>
      <c r="EB13" s="167">
        <v>0</v>
      </c>
      <c r="EC13" s="168">
        <v>0</v>
      </c>
      <c r="ED13" s="170">
        <f t="shared" si="56"/>
        <v>0</v>
      </c>
      <c r="EE13" s="167">
        <v>0</v>
      </c>
      <c r="EF13" s="168">
        <v>0</v>
      </c>
      <c r="EG13" s="170">
        <f t="shared" si="57"/>
        <v>0</v>
      </c>
      <c r="EH13" s="3">
        <f t="shared" si="58"/>
        <v>0</v>
      </c>
      <c r="EI13" s="97">
        <f t="shared" si="59"/>
        <v>0</v>
      </c>
      <c r="EJ13" s="172">
        <f t="shared" si="60"/>
        <v>0</v>
      </c>
    </row>
    <row r="14" spans="2:140">
      <c r="B14" t="s">
        <v>135</v>
      </c>
      <c r="C14" t="s">
        <v>133</v>
      </c>
      <c r="D14">
        <f>VLOOKUP(B14,Dates!$B$2:$E$53,4,FALSE)</f>
        <v>10</v>
      </c>
      <c r="E14" s="168" t="b">
        <f>IF(D14&lt;='RDG Weekly Sales'!$F$1,TRUE,FALSE)</f>
        <v>1</v>
      </c>
      <c r="F14" s="303">
        <v>712712</v>
      </c>
      <c r="G14" s="168">
        <v>4360</v>
      </c>
      <c r="H14" s="170">
        <f t="shared" si="10"/>
        <v>163.46605504587157</v>
      </c>
      <c r="I14" s="167">
        <v>712712</v>
      </c>
      <c r="J14" s="168">
        <v>4360</v>
      </c>
      <c r="K14" s="170">
        <f t="shared" si="11"/>
        <v>163.46605504587157</v>
      </c>
      <c r="L14" s="303">
        <v>36834</v>
      </c>
      <c r="M14" s="168">
        <v>282</v>
      </c>
      <c r="N14" s="170">
        <f t="shared" si="12"/>
        <v>130.61702127659575</v>
      </c>
      <c r="O14" s="167">
        <v>39585</v>
      </c>
      <c r="P14" s="168">
        <v>282</v>
      </c>
      <c r="Q14" s="170">
        <f t="shared" si="13"/>
        <v>140.37234042553192</v>
      </c>
      <c r="R14" s="3">
        <f t="shared" si="0"/>
        <v>749546</v>
      </c>
      <c r="S14" s="97">
        <f t="shared" si="1"/>
        <v>4642</v>
      </c>
      <c r="T14" s="170">
        <f t="shared" si="14"/>
        <v>161.47048685911244</v>
      </c>
      <c r="U14" s="3">
        <f t="shared" si="2"/>
        <v>752297</v>
      </c>
      <c r="V14" s="97">
        <f t="shared" si="3"/>
        <v>4642</v>
      </c>
      <c r="W14" s="172">
        <f t="shared" si="15"/>
        <v>162.06311934510987</v>
      </c>
      <c r="X14" s="167">
        <v>34100.173955179656</v>
      </c>
      <c r="Y14" s="168">
        <v>96</v>
      </c>
      <c r="Z14" s="170">
        <f t="shared" si="16"/>
        <v>355.21014536645475</v>
      </c>
      <c r="AA14" s="167">
        <v>26559</v>
      </c>
      <c r="AB14" s="168">
        <v>96</v>
      </c>
      <c r="AC14" s="170">
        <f t="shared" si="17"/>
        <v>276.65625</v>
      </c>
      <c r="AD14" s="167">
        <v>58494.647130404177</v>
      </c>
      <c r="AE14" s="168">
        <v>285</v>
      </c>
      <c r="AF14" s="170">
        <f t="shared" si="18"/>
        <v>205.24437589615502</v>
      </c>
      <c r="AG14" s="167">
        <v>58218</v>
      </c>
      <c r="AH14" s="168">
        <v>285</v>
      </c>
      <c r="AI14" s="170">
        <f t="shared" si="19"/>
        <v>204.27368421052631</v>
      </c>
      <c r="AJ14" s="167">
        <v>293098.1707525794</v>
      </c>
      <c r="AK14" s="168">
        <v>867.34999999999991</v>
      </c>
      <c r="AL14" s="170">
        <f t="shared" si="20"/>
        <v>337.92375713677228</v>
      </c>
      <c r="AM14" s="167">
        <v>310186</v>
      </c>
      <c r="AN14" s="168">
        <v>913</v>
      </c>
      <c r="AO14" s="170">
        <f t="shared" si="21"/>
        <v>339.74370208105148</v>
      </c>
      <c r="AP14" s="167">
        <f t="shared" si="4"/>
        <v>385692.99183816323</v>
      </c>
      <c r="AQ14" s="168">
        <f t="shared" si="5"/>
        <v>1248.3499999999999</v>
      </c>
      <c r="AR14" s="172">
        <f t="shared" si="22"/>
        <v>308.9622236056901</v>
      </c>
      <c r="AS14" s="167">
        <f t="shared" si="6"/>
        <v>394963</v>
      </c>
      <c r="AT14" s="168">
        <f t="shared" si="7"/>
        <v>1294</v>
      </c>
      <c r="AU14" s="172">
        <f t="shared" si="23"/>
        <v>305.22642967542504</v>
      </c>
      <c r="AV14" s="167">
        <v>200030.71674365713</v>
      </c>
      <c r="AW14" s="168">
        <v>1765</v>
      </c>
      <c r="AX14" s="170">
        <f t="shared" si="24"/>
        <v>113.33185084626466</v>
      </c>
      <c r="AY14" s="167">
        <v>20791.119498944638</v>
      </c>
      <c r="AZ14" s="168">
        <v>303</v>
      </c>
      <c r="BA14" s="170">
        <f t="shared" si="25"/>
        <v>68.617556102127523</v>
      </c>
      <c r="BB14" s="167">
        <v>28522.300980196407</v>
      </c>
      <c r="BC14" s="168">
        <v>176</v>
      </c>
      <c r="BD14" s="170">
        <f t="shared" si="26"/>
        <v>162.0585282965705</v>
      </c>
      <c r="BE14" s="3">
        <f t="shared" si="27"/>
        <v>249344.13722279816</v>
      </c>
      <c r="BF14" s="97">
        <f t="shared" si="28"/>
        <v>2244</v>
      </c>
      <c r="BG14" s="172">
        <f t="shared" si="29"/>
        <v>111.1159256786088</v>
      </c>
      <c r="BH14" s="167">
        <v>203467</v>
      </c>
      <c r="BI14" s="168">
        <v>1765</v>
      </c>
      <c r="BJ14" s="170">
        <f t="shared" si="30"/>
        <v>115.27875354107648</v>
      </c>
      <c r="BK14" s="167">
        <v>28814</v>
      </c>
      <c r="BL14" s="168">
        <v>303</v>
      </c>
      <c r="BM14" s="170">
        <f t="shared" si="31"/>
        <v>95.095709570957098</v>
      </c>
      <c r="BN14" s="168">
        <v>34552</v>
      </c>
      <c r="BO14" s="168">
        <v>176</v>
      </c>
      <c r="BP14" s="170">
        <f t="shared" si="32"/>
        <v>196.31818181818181</v>
      </c>
      <c r="BQ14" s="3">
        <f t="shared" si="33"/>
        <v>266833</v>
      </c>
      <c r="BR14" s="97">
        <f t="shared" si="33"/>
        <v>2244</v>
      </c>
      <c r="BS14" s="172">
        <f t="shared" si="34"/>
        <v>118.90953654188948</v>
      </c>
      <c r="BT14" s="303">
        <v>212741.92899154534</v>
      </c>
      <c r="BU14" s="168">
        <v>1057</v>
      </c>
      <c r="BV14" s="170">
        <f t="shared" si="35"/>
        <v>201.26956385198235</v>
      </c>
      <c r="BW14" s="303">
        <v>482745.83537638444</v>
      </c>
      <c r="BX14" s="168">
        <v>2908</v>
      </c>
      <c r="BY14" s="170">
        <f t="shared" si="36"/>
        <v>166.00613321058611</v>
      </c>
      <c r="BZ14" s="3">
        <f t="shared" si="37"/>
        <v>695487.76436792978</v>
      </c>
      <c r="CA14" s="97">
        <f t="shared" si="37"/>
        <v>3965</v>
      </c>
      <c r="CB14" s="172">
        <f t="shared" si="38"/>
        <v>175.40675015584608</v>
      </c>
      <c r="CC14" s="167">
        <v>235432</v>
      </c>
      <c r="CD14" s="168">
        <v>1097</v>
      </c>
      <c r="CE14" s="170">
        <f t="shared" si="39"/>
        <v>214.6144029170465</v>
      </c>
      <c r="CF14" s="167">
        <v>433224</v>
      </c>
      <c r="CG14" s="168">
        <v>2908</v>
      </c>
      <c r="CH14" s="170">
        <f t="shared" si="40"/>
        <v>148.97661623108667</v>
      </c>
      <c r="CI14" s="3">
        <f t="shared" si="41"/>
        <v>668656</v>
      </c>
      <c r="CJ14" s="97">
        <f t="shared" si="42"/>
        <v>4005</v>
      </c>
      <c r="CK14" s="172">
        <f t="shared" si="43"/>
        <v>166.95530586766543</v>
      </c>
      <c r="CL14" s="167">
        <v>0</v>
      </c>
      <c r="CM14" s="168">
        <v>0</v>
      </c>
      <c r="CN14" s="170">
        <v>0</v>
      </c>
      <c r="CO14" s="167">
        <v>323932</v>
      </c>
      <c r="CP14" s="168">
        <v>1992</v>
      </c>
      <c r="CQ14" s="170">
        <v>162.61646586345381</v>
      </c>
      <c r="CR14" s="3">
        <v>323932</v>
      </c>
      <c r="CS14" s="97">
        <v>1992</v>
      </c>
      <c r="CT14" s="172">
        <v>162.61646586345381</v>
      </c>
      <c r="CU14" s="309">
        <v>45580</v>
      </c>
      <c r="CV14" s="310">
        <v>368</v>
      </c>
      <c r="CW14" s="170">
        <v>123.85869565217391</v>
      </c>
      <c r="CX14" s="309">
        <v>335893</v>
      </c>
      <c r="CY14" s="310">
        <v>2135</v>
      </c>
      <c r="CZ14" s="170">
        <v>157.32693208430914</v>
      </c>
      <c r="DA14" s="315">
        <f t="shared" si="44"/>
        <v>381473</v>
      </c>
      <c r="DB14" s="97">
        <f t="shared" si="45"/>
        <v>2503</v>
      </c>
      <c r="DC14" s="172">
        <f t="shared" si="46"/>
        <v>152.40631242508988</v>
      </c>
      <c r="DD14" s="303">
        <v>207795.80000000002</v>
      </c>
      <c r="DE14" s="168">
        <v>1611.6999999999998</v>
      </c>
      <c r="DF14" s="170">
        <f t="shared" si="47"/>
        <v>128.92957746478876</v>
      </c>
      <c r="DG14" s="303">
        <v>22000</v>
      </c>
      <c r="DH14" s="168">
        <v>220</v>
      </c>
      <c r="DI14" s="170">
        <f t="shared" si="8"/>
        <v>100</v>
      </c>
      <c r="DJ14" s="167">
        <v>0</v>
      </c>
      <c r="DK14" s="168">
        <v>0</v>
      </c>
      <c r="DL14" s="170">
        <v>0</v>
      </c>
      <c r="DM14" s="3">
        <f t="shared" si="9"/>
        <v>229795.80000000002</v>
      </c>
      <c r="DN14" s="97">
        <f t="shared" si="48"/>
        <v>1831.6999999999998</v>
      </c>
      <c r="DO14" s="172">
        <f t="shared" si="49"/>
        <v>125.45493257629526</v>
      </c>
      <c r="DP14" s="303">
        <v>227644.509656298</v>
      </c>
      <c r="DQ14" s="168">
        <v>825</v>
      </c>
      <c r="DR14" s="170">
        <f t="shared" si="50"/>
        <v>275.93273897733093</v>
      </c>
      <c r="DS14" s="303">
        <v>0</v>
      </c>
      <c r="DT14" s="168">
        <v>0</v>
      </c>
      <c r="DU14" s="170">
        <f t="shared" si="51"/>
        <v>0</v>
      </c>
      <c r="DV14" s="3">
        <f t="shared" si="52"/>
        <v>227644.509656298</v>
      </c>
      <c r="DW14" s="97">
        <f t="shared" si="53"/>
        <v>825</v>
      </c>
      <c r="DX14" s="172">
        <f t="shared" si="54"/>
        <v>275.93273897733093</v>
      </c>
      <c r="DY14" s="167">
        <v>0</v>
      </c>
      <c r="DZ14" s="168">
        <v>0</v>
      </c>
      <c r="EA14" s="170">
        <f t="shared" si="55"/>
        <v>0</v>
      </c>
      <c r="EB14" s="167">
        <v>0</v>
      </c>
      <c r="EC14" s="168">
        <v>0</v>
      </c>
      <c r="ED14" s="170">
        <f t="shared" si="56"/>
        <v>0</v>
      </c>
      <c r="EE14" s="167">
        <v>0</v>
      </c>
      <c r="EF14" s="168">
        <v>0</v>
      </c>
      <c r="EG14" s="170">
        <f t="shared" si="57"/>
        <v>0</v>
      </c>
      <c r="EH14" s="3">
        <f t="shared" si="58"/>
        <v>0</v>
      </c>
      <c r="EI14" s="97">
        <f t="shared" si="59"/>
        <v>0</v>
      </c>
      <c r="EJ14" s="172">
        <f t="shared" si="60"/>
        <v>0</v>
      </c>
    </row>
    <row r="15" spans="2:140">
      <c r="B15" t="s">
        <v>136</v>
      </c>
      <c r="C15" t="s">
        <v>133</v>
      </c>
      <c r="D15">
        <f>VLOOKUP(B15,Dates!$B$2:$E$53,4,FALSE)</f>
        <v>11</v>
      </c>
      <c r="E15" s="168" t="b">
        <f>IF(D15&lt;='RDG Weekly Sales'!$F$1,TRUE,FALSE)</f>
        <v>1</v>
      </c>
      <c r="F15" s="303">
        <v>715226</v>
      </c>
      <c r="G15" s="168">
        <v>4489</v>
      </c>
      <c r="H15" s="170">
        <f t="shared" si="10"/>
        <v>159.32858097571841</v>
      </c>
      <c r="I15" s="167">
        <v>769769</v>
      </c>
      <c r="J15" s="168">
        <v>4239</v>
      </c>
      <c r="K15" s="170">
        <f t="shared" si="11"/>
        <v>181.5921207832036</v>
      </c>
      <c r="L15" s="303">
        <v>34744</v>
      </c>
      <c r="M15" s="168">
        <v>266</v>
      </c>
      <c r="N15" s="170">
        <f t="shared" si="12"/>
        <v>130.61654135338347</v>
      </c>
      <c r="O15" s="167">
        <v>33654</v>
      </c>
      <c r="P15" s="168">
        <v>266</v>
      </c>
      <c r="Q15" s="170">
        <f t="shared" si="13"/>
        <v>126.5187969924812</v>
      </c>
      <c r="R15" s="3">
        <f t="shared" si="0"/>
        <v>749970</v>
      </c>
      <c r="S15" s="97">
        <f t="shared" si="1"/>
        <v>4755</v>
      </c>
      <c r="T15" s="170">
        <f t="shared" si="14"/>
        <v>157.72239747634069</v>
      </c>
      <c r="U15" s="3">
        <f t="shared" si="2"/>
        <v>803423</v>
      </c>
      <c r="V15" s="97">
        <f t="shared" si="3"/>
        <v>4505</v>
      </c>
      <c r="W15" s="172">
        <f t="shared" si="15"/>
        <v>178.34028856825748</v>
      </c>
      <c r="X15" s="167">
        <v>32895.7720763631</v>
      </c>
      <c r="Y15" s="168">
        <v>93</v>
      </c>
      <c r="Z15" s="170">
        <f t="shared" si="16"/>
        <v>353.71797931573224</v>
      </c>
      <c r="AA15" s="167">
        <v>57480</v>
      </c>
      <c r="AB15" s="168">
        <v>93</v>
      </c>
      <c r="AC15" s="170">
        <f t="shared" si="17"/>
        <v>618.06451612903231</v>
      </c>
      <c r="AD15" s="167">
        <v>56523.307529303915</v>
      </c>
      <c r="AE15" s="168">
        <v>297</v>
      </c>
      <c r="AF15" s="170">
        <f t="shared" si="18"/>
        <v>190.31416676533306</v>
      </c>
      <c r="AG15" s="167">
        <v>53897</v>
      </c>
      <c r="AH15" s="168">
        <v>297</v>
      </c>
      <c r="AI15" s="170">
        <f t="shared" si="19"/>
        <v>181.47138047138048</v>
      </c>
      <c r="AJ15" s="167">
        <v>265837.84541131312</v>
      </c>
      <c r="AK15" s="168">
        <v>844.55</v>
      </c>
      <c r="AL15" s="170">
        <f t="shared" si="20"/>
        <v>314.76862875059277</v>
      </c>
      <c r="AM15" s="167">
        <v>259721</v>
      </c>
      <c r="AN15" s="168">
        <v>889</v>
      </c>
      <c r="AO15" s="170">
        <f t="shared" si="21"/>
        <v>292.14960629921262</v>
      </c>
      <c r="AP15" s="167">
        <f t="shared" si="4"/>
        <v>355256.92501698015</v>
      </c>
      <c r="AQ15" s="168">
        <f t="shared" si="5"/>
        <v>1234.55</v>
      </c>
      <c r="AR15" s="172">
        <f t="shared" si="22"/>
        <v>287.7622818168403</v>
      </c>
      <c r="AS15" s="167">
        <f t="shared" si="6"/>
        <v>371098</v>
      </c>
      <c r="AT15" s="168">
        <f t="shared" si="7"/>
        <v>1279</v>
      </c>
      <c r="AU15" s="172">
        <f t="shared" si="23"/>
        <v>290.14698983580922</v>
      </c>
      <c r="AV15" s="167">
        <v>178506.84456409884</v>
      </c>
      <c r="AW15" s="168">
        <v>1571</v>
      </c>
      <c r="AX15" s="170">
        <f t="shared" si="24"/>
        <v>113.62625370089042</v>
      </c>
      <c r="AY15" s="167">
        <v>21185.922173897492</v>
      </c>
      <c r="AZ15" s="168">
        <v>306</v>
      </c>
      <c r="BA15" s="170">
        <f t="shared" si="25"/>
        <v>69.235039783978735</v>
      </c>
      <c r="BB15" s="167">
        <v>38444.983094270588</v>
      </c>
      <c r="BC15" s="168">
        <v>227</v>
      </c>
      <c r="BD15" s="170">
        <f t="shared" si="26"/>
        <v>169.3611590055973</v>
      </c>
      <c r="BE15" s="3">
        <f t="shared" si="27"/>
        <v>238137.74983226694</v>
      </c>
      <c r="BF15" s="97">
        <f t="shared" si="28"/>
        <v>2104</v>
      </c>
      <c r="BG15" s="172">
        <f t="shared" si="29"/>
        <v>113.18334117503181</v>
      </c>
      <c r="BH15" s="167">
        <v>175507</v>
      </c>
      <c r="BI15" s="168">
        <v>1571</v>
      </c>
      <c r="BJ15" s="170">
        <f t="shared" si="30"/>
        <v>111.71674092934437</v>
      </c>
      <c r="BK15" s="167">
        <v>42778</v>
      </c>
      <c r="BL15" s="168">
        <v>306</v>
      </c>
      <c r="BM15" s="170">
        <f t="shared" si="31"/>
        <v>139.79738562091504</v>
      </c>
      <c r="BN15" s="168">
        <v>40673</v>
      </c>
      <c r="BO15" s="168">
        <v>227</v>
      </c>
      <c r="BP15" s="170">
        <f t="shared" si="32"/>
        <v>179.17621145374449</v>
      </c>
      <c r="BQ15" s="3">
        <f t="shared" si="33"/>
        <v>258958</v>
      </c>
      <c r="BR15" s="97">
        <f t="shared" si="33"/>
        <v>2104</v>
      </c>
      <c r="BS15" s="172">
        <f t="shared" si="34"/>
        <v>123.07889733840304</v>
      </c>
      <c r="BT15" s="303">
        <v>246487.23434872867</v>
      </c>
      <c r="BU15" s="168">
        <v>1249</v>
      </c>
      <c r="BV15" s="170">
        <f t="shared" si="35"/>
        <v>197.34766561147211</v>
      </c>
      <c r="BW15" s="303">
        <v>498232.79894884536</v>
      </c>
      <c r="BX15" s="168">
        <v>3003</v>
      </c>
      <c r="BY15" s="170">
        <f t="shared" si="36"/>
        <v>165.91168796165346</v>
      </c>
      <c r="BZ15" s="3">
        <f t="shared" si="37"/>
        <v>744720.03329757403</v>
      </c>
      <c r="CA15" s="97">
        <f t="shared" si="37"/>
        <v>4252</v>
      </c>
      <c r="CB15" s="172">
        <f t="shared" si="38"/>
        <v>175.14582156575119</v>
      </c>
      <c r="CC15" s="167">
        <v>230721</v>
      </c>
      <c r="CD15" s="168">
        <v>1249</v>
      </c>
      <c r="CE15" s="170">
        <f t="shared" si="39"/>
        <v>184.72457966373099</v>
      </c>
      <c r="CF15" s="167">
        <v>517080</v>
      </c>
      <c r="CG15" s="168">
        <v>3003</v>
      </c>
      <c r="CH15" s="170">
        <f t="shared" si="40"/>
        <v>172.1878121878122</v>
      </c>
      <c r="CI15" s="3">
        <f t="shared" si="41"/>
        <v>747801</v>
      </c>
      <c r="CJ15" s="97">
        <f t="shared" si="42"/>
        <v>4252</v>
      </c>
      <c r="CK15" s="172">
        <f t="shared" si="43"/>
        <v>175.87041392285983</v>
      </c>
      <c r="CL15" s="167">
        <v>0</v>
      </c>
      <c r="CM15" s="168">
        <v>0</v>
      </c>
      <c r="CN15" s="170">
        <v>0</v>
      </c>
      <c r="CO15" s="167">
        <v>313517</v>
      </c>
      <c r="CP15" s="168">
        <v>1916</v>
      </c>
      <c r="CQ15" s="170">
        <v>163.63100208768267</v>
      </c>
      <c r="CR15" s="3">
        <v>313517</v>
      </c>
      <c r="CS15" s="97">
        <v>1916</v>
      </c>
      <c r="CT15" s="172">
        <v>163.63100208768267</v>
      </c>
      <c r="CU15" s="309">
        <v>33976</v>
      </c>
      <c r="CV15" s="310">
        <v>279</v>
      </c>
      <c r="CW15" s="170">
        <v>121.77777777777777</v>
      </c>
      <c r="CX15" s="309">
        <v>313129</v>
      </c>
      <c r="CY15" s="310">
        <v>1953</v>
      </c>
      <c r="CZ15" s="170">
        <v>160.33230926779314</v>
      </c>
      <c r="DA15" s="315">
        <f t="shared" si="44"/>
        <v>347105</v>
      </c>
      <c r="DB15" s="97">
        <f t="shared" si="45"/>
        <v>2232</v>
      </c>
      <c r="DC15" s="172">
        <f t="shared" si="46"/>
        <v>155.51299283154123</v>
      </c>
      <c r="DD15" s="303">
        <v>207795.80000000002</v>
      </c>
      <c r="DE15" s="168">
        <v>1611.6999999999998</v>
      </c>
      <c r="DF15" s="170">
        <f t="shared" si="47"/>
        <v>128.92957746478876</v>
      </c>
      <c r="DG15" s="303">
        <v>22000</v>
      </c>
      <c r="DH15" s="168">
        <v>220</v>
      </c>
      <c r="DI15" s="170">
        <f t="shared" si="8"/>
        <v>100</v>
      </c>
      <c r="DJ15" s="167">
        <v>0</v>
      </c>
      <c r="DK15" s="168">
        <v>0</v>
      </c>
      <c r="DL15" s="170">
        <v>0</v>
      </c>
      <c r="DM15" s="3">
        <f t="shared" si="9"/>
        <v>229795.80000000002</v>
      </c>
      <c r="DN15" s="97">
        <f t="shared" si="48"/>
        <v>1831.6999999999998</v>
      </c>
      <c r="DO15" s="172">
        <f t="shared" si="49"/>
        <v>125.45493257629526</v>
      </c>
      <c r="DP15" s="303">
        <v>227644.509656298</v>
      </c>
      <c r="DQ15" s="168">
        <v>825</v>
      </c>
      <c r="DR15" s="170">
        <f t="shared" si="50"/>
        <v>275.93273897733093</v>
      </c>
      <c r="DS15" s="303">
        <v>24000</v>
      </c>
      <c r="DT15" s="168">
        <v>120</v>
      </c>
      <c r="DU15" s="170">
        <f t="shared" si="51"/>
        <v>200</v>
      </c>
      <c r="DV15" s="3">
        <f t="shared" si="52"/>
        <v>251644.509656298</v>
      </c>
      <c r="DW15" s="97">
        <f t="shared" si="53"/>
        <v>945</v>
      </c>
      <c r="DX15" s="172">
        <f t="shared" si="54"/>
        <v>266.29048640878096</v>
      </c>
      <c r="DY15" s="167">
        <v>0</v>
      </c>
      <c r="DZ15" s="168">
        <v>0</v>
      </c>
      <c r="EA15" s="170">
        <f t="shared" si="55"/>
        <v>0</v>
      </c>
      <c r="EB15" s="167">
        <v>0</v>
      </c>
      <c r="EC15" s="168">
        <v>0</v>
      </c>
      <c r="ED15" s="170">
        <f t="shared" si="56"/>
        <v>0</v>
      </c>
      <c r="EE15" s="167">
        <v>0</v>
      </c>
      <c r="EF15" s="168">
        <v>0</v>
      </c>
      <c r="EG15" s="170">
        <f t="shared" si="57"/>
        <v>0</v>
      </c>
      <c r="EH15" s="3">
        <f t="shared" si="58"/>
        <v>0</v>
      </c>
      <c r="EI15" s="97">
        <f t="shared" si="59"/>
        <v>0</v>
      </c>
      <c r="EJ15" s="172">
        <f t="shared" si="60"/>
        <v>0</v>
      </c>
    </row>
    <row r="16" spans="2:140">
      <c r="B16" t="s">
        <v>137</v>
      </c>
      <c r="C16" t="s">
        <v>133</v>
      </c>
      <c r="D16">
        <f>VLOOKUP(B16,Dates!$B$2:$E$53,4,FALSE)</f>
        <v>12</v>
      </c>
      <c r="E16" s="168" t="b">
        <f>IF(D16&lt;='RDG Weekly Sales'!$F$1,TRUE,FALSE)</f>
        <v>1</v>
      </c>
      <c r="F16" s="303">
        <v>709392</v>
      </c>
      <c r="G16" s="168">
        <v>4450</v>
      </c>
      <c r="H16" s="170">
        <f t="shared" si="10"/>
        <v>159.41393258426967</v>
      </c>
      <c r="I16" s="167">
        <v>709392</v>
      </c>
      <c r="J16" s="168">
        <v>4450</v>
      </c>
      <c r="K16" s="170">
        <f t="shared" si="11"/>
        <v>159.41393258426967</v>
      </c>
      <c r="L16" s="303">
        <v>35920</v>
      </c>
      <c r="M16" s="168">
        <v>275</v>
      </c>
      <c r="N16" s="170">
        <f t="shared" si="12"/>
        <v>130.61818181818182</v>
      </c>
      <c r="O16" s="167">
        <v>36603</v>
      </c>
      <c r="P16" s="168">
        <v>275</v>
      </c>
      <c r="Q16" s="170">
        <f t="shared" si="13"/>
        <v>133.10181818181817</v>
      </c>
      <c r="R16" s="3">
        <f t="shared" si="0"/>
        <v>745312</v>
      </c>
      <c r="S16" s="97">
        <f t="shared" si="1"/>
        <v>4725</v>
      </c>
      <c r="T16" s="170">
        <f t="shared" si="14"/>
        <v>157.73798941798941</v>
      </c>
      <c r="U16" s="3">
        <f t="shared" si="2"/>
        <v>745995</v>
      </c>
      <c r="V16" s="97">
        <f t="shared" si="3"/>
        <v>4725</v>
      </c>
      <c r="W16" s="172">
        <f t="shared" si="15"/>
        <v>157.88253968253969</v>
      </c>
      <c r="X16" s="167">
        <v>31617.771510366776</v>
      </c>
      <c r="Y16" s="168">
        <v>89</v>
      </c>
      <c r="Z16" s="170">
        <f t="shared" si="16"/>
        <v>355.25585966704244</v>
      </c>
      <c r="AA16" s="167">
        <v>23100</v>
      </c>
      <c r="AB16" s="168">
        <v>89</v>
      </c>
      <c r="AC16" s="170">
        <f t="shared" si="17"/>
        <v>259.55056179775283</v>
      </c>
      <c r="AD16" s="167">
        <v>61967.200528151618</v>
      </c>
      <c r="AE16" s="168">
        <v>304</v>
      </c>
      <c r="AF16" s="170">
        <f t="shared" si="18"/>
        <v>203.83947542155138</v>
      </c>
      <c r="AG16" s="167">
        <v>66434</v>
      </c>
      <c r="AH16" s="168">
        <v>304</v>
      </c>
      <c r="AI16" s="170">
        <f t="shared" si="19"/>
        <v>218.53289473684211</v>
      </c>
      <c r="AJ16" s="167">
        <v>319254.03258114215</v>
      </c>
      <c r="AK16" s="168">
        <v>1182.75</v>
      </c>
      <c r="AL16" s="170">
        <f t="shared" si="20"/>
        <v>269.92520192867653</v>
      </c>
      <c r="AM16" s="167">
        <v>319504</v>
      </c>
      <c r="AN16" s="168">
        <v>1245</v>
      </c>
      <c r="AO16" s="170">
        <f t="shared" si="21"/>
        <v>256.62971887550202</v>
      </c>
      <c r="AP16" s="167">
        <f t="shared" si="4"/>
        <v>412839.00461966055</v>
      </c>
      <c r="AQ16" s="168">
        <f t="shared" si="5"/>
        <v>1575.75</v>
      </c>
      <c r="AR16" s="172">
        <f t="shared" si="22"/>
        <v>261.99524329345428</v>
      </c>
      <c r="AS16" s="167">
        <f t="shared" si="6"/>
        <v>409038</v>
      </c>
      <c r="AT16" s="168">
        <f t="shared" si="7"/>
        <v>1638</v>
      </c>
      <c r="AU16" s="172">
        <f t="shared" si="23"/>
        <v>249.71794871794873</v>
      </c>
      <c r="AV16" s="167">
        <v>187528.95874222979</v>
      </c>
      <c r="AW16" s="168">
        <v>1653</v>
      </c>
      <c r="AX16" s="170">
        <f t="shared" si="24"/>
        <v>113.44764594206279</v>
      </c>
      <c r="AY16" s="167">
        <v>36131.743906739517</v>
      </c>
      <c r="AZ16" s="168">
        <v>527</v>
      </c>
      <c r="BA16" s="170">
        <f t="shared" si="25"/>
        <v>68.5611838837562</v>
      </c>
      <c r="BB16" s="167">
        <v>34172.012342120157</v>
      </c>
      <c r="BC16" s="168">
        <v>217</v>
      </c>
      <c r="BD16" s="170">
        <f t="shared" si="26"/>
        <v>157.47471125400995</v>
      </c>
      <c r="BE16" s="3">
        <f t="shared" si="27"/>
        <v>257832.71499108948</v>
      </c>
      <c r="BF16" s="97">
        <f t="shared" si="28"/>
        <v>2397</v>
      </c>
      <c r="BG16" s="172">
        <f t="shared" si="29"/>
        <v>107.56475385527304</v>
      </c>
      <c r="BH16" s="167">
        <v>187075</v>
      </c>
      <c r="BI16" s="168">
        <v>1653</v>
      </c>
      <c r="BJ16" s="170">
        <f t="shared" si="30"/>
        <v>113.17301875378101</v>
      </c>
      <c r="BK16" s="167">
        <v>38468</v>
      </c>
      <c r="BL16" s="168">
        <v>527</v>
      </c>
      <c r="BM16" s="170">
        <f t="shared" si="31"/>
        <v>72.994307400379512</v>
      </c>
      <c r="BN16" s="168">
        <v>28048</v>
      </c>
      <c r="BO16" s="168">
        <v>217</v>
      </c>
      <c r="BP16" s="170">
        <f t="shared" si="32"/>
        <v>129.25345622119815</v>
      </c>
      <c r="BQ16" s="3">
        <f t="shared" si="33"/>
        <v>253591</v>
      </c>
      <c r="BR16" s="97">
        <f t="shared" si="33"/>
        <v>2397</v>
      </c>
      <c r="BS16" s="172">
        <f t="shared" si="34"/>
        <v>105.79516061743847</v>
      </c>
      <c r="BT16" s="303">
        <v>256364.74880628887</v>
      </c>
      <c r="BU16" s="168">
        <v>1298</v>
      </c>
      <c r="BV16" s="170">
        <f t="shared" si="35"/>
        <v>197.50751063658618</v>
      </c>
      <c r="BW16" s="303">
        <v>551005.71212903783</v>
      </c>
      <c r="BX16" s="168">
        <v>3393</v>
      </c>
      <c r="BY16" s="170">
        <f t="shared" si="36"/>
        <v>162.39484589715232</v>
      </c>
      <c r="BZ16" s="3">
        <f t="shared" si="37"/>
        <v>807370.46093532676</v>
      </c>
      <c r="CA16" s="97">
        <f t="shared" si="37"/>
        <v>4691</v>
      </c>
      <c r="CB16" s="172">
        <f t="shared" si="38"/>
        <v>172.11052247608757</v>
      </c>
      <c r="CC16" s="167">
        <v>244344</v>
      </c>
      <c r="CD16" s="168">
        <v>1298</v>
      </c>
      <c r="CE16" s="170">
        <f t="shared" si="39"/>
        <v>188.24653312788905</v>
      </c>
      <c r="CF16" s="167">
        <v>564333</v>
      </c>
      <c r="CG16" s="168">
        <v>3393</v>
      </c>
      <c r="CH16" s="170">
        <f t="shared" si="40"/>
        <v>166.32272325375774</v>
      </c>
      <c r="CI16" s="3">
        <f t="shared" si="41"/>
        <v>808677</v>
      </c>
      <c r="CJ16" s="97">
        <f t="shared" si="42"/>
        <v>4691</v>
      </c>
      <c r="CK16" s="172">
        <f t="shared" si="43"/>
        <v>172.38904284800682</v>
      </c>
      <c r="CL16" s="167">
        <v>0</v>
      </c>
      <c r="CM16" s="168">
        <v>0</v>
      </c>
      <c r="CN16" s="170">
        <v>0</v>
      </c>
      <c r="CO16" s="167">
        <v>347807</v>
      </c>
      <c r="CP16" s="168">
        <v>2075</v>
      </c>
      <c r="CQ16" s="170">
        <v>167.61783132530121</v>
      </c>
      <c r="CR16" s="3">
        <v>347807</v>
      </c>
      <c r="CS16" s="97">
        <v>2075</v>
      </c>
      <c r="CT16" s="172">
        <v>167.61783132530121</v>
      </c>
      <c r="CU16" s="309">
        <v>27536</v>
      </c>
      <c r="CV16" s="310">
        <v>315</v>
      </c>
      <c r="CW16" s="170">
        <v>87.415873015873018</v>
      </c>
      <c r="CX16" s="309">
        <v>362916</v>
      </c>
      <c r="CY16" s="310">
        <v>1855</v>
      </c>
      <c r="CZ16" s="170">
        <v>195.64204851752021</v>
      </c>
      <c r="DA16" s="315">
        <f t="shared" si="44"/>
        <v>390452</v>
      </c>
      <c r="DB16" s="97">
        <f t="shared" si="45"/>
        <v>2170</v>
      </c>
      <c r="DC16" s="172">
        <f t="shared" si="46"/>
        <v>179.93179723502305</v>
      </c>
      <c r="DD16" s="303">
        <v>207795.80000000002</v>
      </c>
      <c r="DE16" s="168">
        <v>1611.6999999999998</v>
      </c>
      <c r="DF16" s="170">
        <f t="shared" si="47"/>
        <v>128.92957746478876</v>
      </c>
      <c r="DG16" s="303">
        <v>22000</v>
      </c>
      <c r="DH16" s="168">
        <v>220</v>
      </c>
      <c r="DI16" s="170">
        <f t="shared" si="8"/>
        <v>100</v>
      </c>
      <c r="DJ16" s="167">
        <v>0</v>
      </c>
      <c r="DK16" s="168">
        <v>0</v>
      </c>
      <c r="DL16" s="170">
        <v>0</v>
      </c>
      <c r="DM16" s="3">
        <f t="shared" si="9"/>
        <v>229795.80000000002</v>
      </c>
      <c r="DN16" s="97">
        <f t="shared" si="48"/>
        <v>1831.6999999999998</v>
      </c>
      <c r="DO16" s="172">
        <f t="shared" si="49"/>
        <v>125.45493257629526</v>
      </c>
      <c r="DP16" s="303">
        <v>227644.509656298</v>
      </c>
      <c r="DQ16" s="168">
        <v>825</v>
      </c>
      <c r="DR16" s="170">
        <f t="shared" si="50"/>
        <v>275.93273897733093</v>
      </c>
      <c r="DS16" s="303">
        <v>24000</v>
      </c>
      <c r="DT16" s="168">
        <v>120</v>
      </c>
      <c r="DU16" s="170">
        <f t="shared" si="51"/>
        <v>200</v>
      </c>
      <c r="DV16" s="3">
        <f t="shared" si="52"/>
        <v>251644.509656298</v>
      </c>
      <c r="DW16" s="97">
        <f t="shared" si="53"/>
        <v>945</v>
      </c>
      <c r="DX16" s="172">
        <f t="shared" si="54"/>
        <v>266.29048640878096</v>
      </c>
      <c r="DY16" s="167">
        <v>0</v>
      </c>
      <c r="DZ16" s="168">
        <v>0</v>
      </c>
      <c r="EA16" s="170">
        <f t="shared" si="55"/>
        <v>0</v>
      </c>
      <c r="EB16" s="167">
        <v>0</v>
      </c>
      <c r="EC16" s="168">
        <v>0</v>
      </c>
      <c r="ED16" s="170">
        <f t="shared" si="56"/>
        <v>0</v>
      </c>
      <c r="EE16" s="167">
        <v>0</v>
      </c>
      <c r="EF16" s="168">
        <v>0</v>
      </c>
      <c r="EG16" s="170">
        <f t="shared" si="57"/>
        <v>0</v>
      </c>
      <c r="EH16" s="3">
        <f t="shared" si="58"/>
        <v>0</v>
      </c>
      <c r="EI16" s="97">
        <f t="shared" si="59"/>
        <v>0</v>
      </c>
      <c r="EJ16" s="172">
        <f t="shared" si="60"/>
        <v>0</v>
      </c>
    </row>
    <row r="17" spans="2:140">
      <c r="B17" t="s">
        <v>138</v>
      </c>
      <c r="C17" t="s">
        <v>133</v>
      </c>
      <c r="D17">
        <f>VLOOKUP(B17,Dates!$B$2:$E$53,4,FALSE)</f>
        <v>13</v>
      </c>
      <c r="E17" s="168" t="b">
        <f>IF(D17&lt;='RDG Weekly Sales'!$F$1,TRUE,FALSE)</f>
        <v>1</v>
      </c>
      <c r="F17" s="303">
        <v>737781</v>
      </c>
      <c r="G17" s="168">
        <v>4694</v>
      </c>
      <c r="H17" s="170">
        <f t="shared" si="10"/>
        <v>157.17533020877715</v>
      </c>
      <c r="I17" s="167">
        <v>737781</v>
      </c>
      <c r="J17" s="168">
        <v>4694</v>
      </c>
      <c r="K17" s="170">
        <f t="shared" si="11"/>
        <v>157.17533020877715</v>
      </c>
      <c r="L17" s="303">
        <v>46500</v>
      </c>
      <c r="M17" s="168">
        <v>356</v>
      </c>
      <c r="N17" s="170">
        <f t="shared" si="12"/>
        <v>130.61797752808988</v>
      </c>
      <c r="O17" s="167">
        <v>43909</v>
      </c>
      <c r="P17" s="168">
        <v>356</v>
      </c>
      <c r="Q17" s="170">
        <f t="shared" si="13"/>
        <v>123.33988764044943</v>
      </c>
      <c r="R17" s="3">
        <f t="shared" si="0"/>
        <v>784281</v>
      </c>
      <c r="S17" s="97">
        <f t="shared" si="1"/>
        <v>5050</v>
      </c>
      <c r="T17" s="170">
        <f t="shared" si="14"/>
        <v>155.30316831683169</v>
      </c>
      <c r="U17" s="3">
        <f t="shared" si="2"/>
        <v>781690</v>
      </c>
      <c r="V17" s="97">
        <f t="shared" si="3"/>
        <v>5050</v>
      </c>
      <c r="W17" s="172">
        <f t="shared" si="15"/>
        <v>154.79009900990098</v>
      </c>
      <c r="X17" s="167">
        <v>37953.962298047154</v>
      </c>
      <c r="Y17" s="168">
        <v>122</v>
      </c>
      <c r="Z17" s="170">
        <f t="shared" si="16"/>
        <v>311.09805162333731</v>
      </c>
      <c r="AA17" s="167">
        <v>36241</v>
      </c>
      <c r="AB17" s="168">
        <v>122</v>
      </c>
      <c r="AC17" s="170">
        <f t="shared" si="17"/>
        <v>297.05737704918033</v>
      </c>
      <c r="AD17" s="167">
        <v>60147.926092399008</v>
      </c>
      <c r="AE17" s="168">
        <v>298</v>
      </c>
      <c r="AF17" s="170">
        <f t="shared" si="18"/>
        <v>201.83867816241278</v>
      </c>
      <c r="AG17" s="167">
        <v>65161</v>
      </c>
      <c r="AH17" s="168">
        <v>298</v>
      </c>
      <c r="AI17" s="170">
        <f t="shared" si="19"/>
        <v>218.66107382550337</v>
      </c>
      <c r="AJ17" s="167">
        <v>284384.00890844769</v>
      </c>
      <c r="AK17" s="168">
        <v>961.40000000000009</v>
      </c>
      <c r="AL17" s="170">
        <f t="shared" si="20"/>
        <v>295.80196474770923</v>
      </c>
      <c r="AM17" s="167">
        <v>366750</v>
      </c>
      <c r="AN17" s="168">
        <v>1012</v>
      </c>
      <c r="AO17" s="170">
        <f t="shared" si="21"/>
        <v>362.401185770751</v>
      </c>
      <c r="AP17" s="167">
        <f t="shared" si="4"/>
        <v>382485.89729889389</v>
      </c>
      <c r="AQ17" s="168">
        <f t="shared" si="5"/>
        <v>1381.4</v>
      </c>
      <c r="AR17" s="172">
        <f t="shared" si="22"/>
        <v>276.88279810257268</v>
      </c>
      <c r="AS17" s="167">
        <f t="shared" si="6"/>
        <v>468152</v>
      </c>
      <c r="AT17" s="168">
        <f t="shared" si="7"/>
        <v>1432</v>
      </c>
      <c r="AU17" s="172">
        <f t="shared" si="23"/>
        <v>326.92178770949721</v>
      </c>
      <c r="AV17" s="167">
        <v>191829.24915264486</v>
      </c>
      <c r="AW17" s="168">
        <v>1682</v>
      </c>
      <c r="AX17" s="170">
        <f t="shared" si="24"/>
        <v>114.0483050848067</v>
      </c>
      <c r="AY17" s="167">
        <v>20468.730705739858</v>
      </c>
      <c r="AZ17" s="168">
        <v>301</v>
      </c>
      <c r="BA17" s="170">
        <f t="shared" si="25"/>
        <v>68.00242759382013</v>
      </c>
      <c r="BB17" s="167">
        <v>47528.789044981415</v>
      </c>
      <c r="BC17" s="168">
        <v>320</v>
      </c>
      <c r="BD17" s="170">
        <f t="shared" si="26"/>
        <v>148.52746576556692</v>
      </c>
      <c r="BE17" s="3">
        <f t="shared" si="27"/>
        <v>259826.76890336612</v>
      </c>
      <c r="BF17" s="97">
        <f t="shared" si="28"/>
        <v>2303</v>
      </c>
      <c r="BG17" s="172">
        <f t="shared" si="29"/>
        <v>112.82100256333743</v>
      </c>
      <c r="BH17" s="167">
        <v>186738</v>
      </c>
      <c r="BI17" s="168">
        <v>1682</v>
      </c>
      <c r="BJ17" s="170">
        <f t="shared" si="30"/>
        <v>111.02140309155767</v>
      </c>
      <c r="BK17" s="167">
        <v>45625</v>
      </c>
      <c r="BL17" s="168">
        <v>301</v>
      </c>
      <c r="BM17" s="170">
        <f t="shared" si="31"/>
        <v>151.57807308970101</v>
      </c>
      <c r="BN17" s="168">
        <v>53939</v>
      </c>
      <c r="BO17" s="168">
        <v>320</v>
      </c>
      <c r="BP17" s="170">
        <f t="shared" si="32"/>
        <v>168.55937499999999</v>
      </c>
      <c r="BQ17" s="3">
        <f t="shared" si="33"/>
        <v>286302</v>
      </c>
      <c r="BR17" s="97">
        <f t="shared" si="33"/>
        <v>2303</v>
      </c>
      <c r="BS17" s="172">
        <f t="shared" si="34"/>
        <v>124.31697785497178</v>
      </c>
      <c r="BT17" s="303">
        <v>230460.32984715866</v>
      </c>
      <c r="BU17" s="168">
        <v>1200</v>
      </c>
      <c r="BV17" s="170">
        <f t="shared" si="35"/>
        <v>192.05027487263223</v>
      </c>
      <c r="BW17" s="303">
        <v>495275.42768336216</v>
      </c>
      <c r="BX17" s="168">
        <v>3076</v>
      </c>
      <c r="BY17" s="170">
        <f t="shared" si="36"/>
        <v>161.01281784244543</v>
      </c>
      <c r="BZ17" s="3">
        <f t="shared" si="37"/>
        <v>725735.75753052079</v>
      </c>
      <c r="CA17" s="97">
        <f t="shared" si="37"/>
        <v>4276</v>
      </c>
      <c r="CB17" s="172">
        <f t="shared" si="38"/>
        <v>169.72304900152497</v>
      </c>
      <c r="CC17" s="167">
        <v>220814</v>
      </c>
      <c r="CD17" s="168">
        <v>1200</v>
      </c>
      <c r="CE17" s="170">
        <f t="shared" si="39"/>
        <v>184.01166666666666</v>
      </c>
      <c r="CF17" s="167">
        <v>488873</v>
      </c>
      <c r="CG17" s="168">
        <v>3076</v>
      </c>
      <c r="CH17" s="170">
        <f t="shared" si="40"/>
        <v>158.93140442132639</v>
      </c>
      <c r="CI17" s="3">
        <f t="shared" si="41"/>
        <v>709687</v>
      </c>
      <c r="CJ17" s="97">
        <f t="shared" si="42"/>
        <v>4276</v>
      </c>
      <c r="CK17" s="172">
        <f t="shared" si="43"/>
        <v>165.96983161833489</v>
      </c>
      <c r="CL17" s="167">
        <v>0</v>
      </c>
      <c r="CM17" s="168">
        <v>0</v>
      </c>
      <c r="CN17" s="170">
        <v>0</v>
      </c>
      <c r="CO17" s="167">
        <v>304162</v>
      </c>
      <c r="CP17" s="168">
        <v>1807</v>
      </c>
      <c r="CQ17" s="170">
        <v>168.32429441062536</v>
      </c>
      <c r="CR17" s="3">
        <v>304162</v>
      </c>
      <c r="CS17" s="97">
        <v>1807</v>
      </c>
      <c r="CT17" s="172">
        <v>168.32429441062536</v>
      </c>
      <c r="CU17" s="309">
        <v>40404</v>
      </c>
      <c r="CV17" s="310">
        <v>364</v>
      </c>
      <c r="CW17" s="170">
        <v>111</v>
      </c>
      <c r="CX17" s="309">
        <v>325035</v>
      </c>
      <c r="CY17" s="310">
        <v>2019</v>
      </c>
      <c r="CZ17" s="170">
        <v>160.98811292719168</v>
      </c>
      <c r="DA17" s="315">
        <f t="shared" si="44"/>
        <v>365439</v>
      </c>
      <c r="DB17" s="97">
        <f t="shared" si="45"/>
        <v>2383</v>
      </c>
      <c r="DC17" s="172">
        <f t="shared" si="46"/>
        <v>153.35249685270668</v>
      </c>
      <c r="DD17" s="303">
        <v>207795.80000000002</v>
      </c>
      <c r="DE17" s="168">
        <v>1611.6999999999998</v>
      </c>
      <c r="DF17" s="170">
        <f t="shared" si="47"/>
        <v>128.92957746478876</v>
      </c>
      <c r="DG17" s="303">
        <v>22000</v>
      </c>
      <c r="DH17" s="168">
        <v>220</v>
      </c>
      <c r="DI17" s="170">
        <f t="shared" si="8"/>
        <v>100</v>
      </c>
      <c r="DJ17" s="167">
        <v>0</v>
      </c>
      <c r="DK17" s="168">
        <v>0</v>
      </c>
      <c r="DL17" s="170">
        <v>0</v>
      </c>
      <c r="DM17" s="3">
        <f t="shared" si="9"/>
        <v>229795.80000000002</v>
      </c>
      <c r="DN17" s="97">
        <f t="shared" si="48"/>
        <v>1831.6999999999998</v>
      </c>
      <c r="DO17" s="172">
        <f t="shared" si="49"/>
        <v>125.45493257629526</v>
      </c>
      <c r="DP17" s="303">
        <v>227644.509656298</v>
      </c>
      <c r="DQ17" s="168">
        <v>825</v>
      </c>
      <c r="DR17" s="170">
        <f t="shared" si="50"/>
        <v>275.93273897733093</v>
      </c>
      <c r="DS17" s="303">
        <v>24000</v>
      </c>
      <c r="DT17" s="168">
        <v>120</v>
      </c>
      <c r="DU17" s="170">
        <f t="shared" si="51"/>
        <v>200</v>
      </c>
      <c r="DV17" s="3">
        <f t="shared" si="52"/>
        <v>251644.509656298</v>
      </c>
      <c r="DW17" s="97">
        <f t="shared" si="53"/>
        <v>945</v>
      </c>
      <c r="DX17" s="172">
        <f t="shared" si="54"/>
        <v>266.29048640878096</v>
      </c>
      <c r="DY17" s="167">
        <v>0</v>
      </c>
      <c r="DZ17" s="168">
        <v>0</v>
      </c>
      <c r="EA17" s="170">
        <f t="shared" si="55"/>
        <v>0</v>
      </c>
      <c r="EB17" s="167">
        <v>0</v>
      </c>
      <c r="EC17" s="168">
        <v>0</v>
      </c>
      <c r="ED17" s="170">
        <f t="shared" si="56"/>
        <v>0</v>
      </c>
      <c r="EE17" s="167">
        <v>0</v>
      </c>
      <c r="EF17" s="168">
        <v>0</v>
      </c>
      <c r="EG17" s="170">
        <f t="shared" si="57"/>
        <v>0</v>
      </c>
      <c r="EH17" s="3">
        <f t="shared" si="58"/>
        <v>0</v>
      </c>
      <c r="EI17" s="97">
        <f t="shared" si="59"/>
        <v>0</v>
      </c>
      <c r="EJ17" s="172">
        <f t="shared" si="60"/>
        <v>0</v>
      </c>
    </row>
    <row r="18" spans="2:140">
      <c r="B18" t="s">
        <v>141</v>
      </c>
      <c r="C18" t="s">
        <v>140</v>
      </c>
      <c r="D18">
        <f>VLOOKUP(B18,Dates!$B$2:$E$53,4,FALSE)</f>
        <v>14</v>
      </c>
      <c r="E18" s="168" t="b">
        <f>IF(D18&lt;='RDG Weekly Sales'!$F$1,TRUE,FALSE)</f>
        <v>1</v>
      </c>
      <c r="F18" s="303">
        <v>667932</v>
      </c>
      <c r="G18" s="168">
        <v>4377</v>
      </c>
      <c r="H18" s="170">
        <f t="shared" si="10"/>
        <v>152.60041124057574</v>
      </c>
      <c r="I18" s="167">
        <v>704341</v>
      </c>
      <c r="J18" s="168">
        <v>3882</v>
      </c>
      <c r="K18" s="170">
        <f t="shared" si="11"/>
        <v>181.43766099948479</v>
      </c>
      <c r="L18" s="303">
        <v>40165</v>
      </c>
      <c r="M18" s="168">
        <v>277</v>
      </c>
      <c r="N18" s="170">
        <f t="shared" si="12"/>
        <v>145</v>
      </c>
      <c r="O18" s="167">
        <v>32912</v>
      </c>
      <c r="P18" s="168">
        <v>277</v>
      </c>
      <c r="Q18" s="170">
        <f t="shared" si="13"/>
        <v>118.81588447653429</v>
      </c>
      <c r="R18" s="3">
        <f t="shared" si="0"/>
        <v>708097</v>
      </c>
      <c r="S18" s="97">
        <f t="shared" si="1"/>
        <v>4654</v>
      </c>
      <c r="T18" s="170">
        <f t="shared" si="14"/>
        <v>152.14804469273744</v>
      </c>
      <c r="U18" s="3">
        <f t="shared" si="2"/>
        <v>737253</v>
      </c>
      <c r="V18" s="97">
        <f t="shared" si="3"/>
        <v>4159</v>
      </c>
      <c r="W18" s="172">
        <f t="shared" si="15"/>
        <v>177.26689107958643</v>
      </c>
      <c r="X18" s="167">
        <v>17587.713177551723</v>
      </c>
      <c r="Y18" s="168">
        <v>75</v>
      </c>
      <c r="Z18" s="170">
        <f t="shared" si="16"/>
        <v>234.50284236735629</v>
      </c>
      <c r="AA18" s="167">
        <v>24579</v>
      </c>
      <c r="AB18" s="168">
        <v>75</v>
      </c>
      <c r="AC18" s="170">
        <f t="shared" si="17"/>
        <v>327.72</v>
      </c>
      <c r="AD18" s="167">
        <v>72257.389002322321</v>
      </c>
      <c r="AE18" s="168">
        <v>308</v>
      </c>
      <c r="AF18" s="170">
        <f t="shared" si="18"/>
        <v>234.60191234520235</v>
      </c>
      <c r="AG18" s="167">
        <v>56842</v>
      </c>
      <c r="AH18" s="168">
        <v>308</v>
      </c>
      <c r="AI18" s="170">
        <f t="shared" si="19"/>
        <v>184.55194805194805</v>
      </c>
      <c r="AJ18" s="167">
        <v>258528.38370372058</v>
      </c>
      <c r="AK18" s="168">
        <v>848.34999999999991</v>
      </c>
      <c r="AL18" s="170">
        <f t="shared" si="20"/>
        <v>304.74259881383932</v>
      </c>
      <c r="AM18" s="167">
        <v>278647</v>
      </c>
      <c r="AN18" s="168">
        <v>893</v>
      </c>
      <c r="AO18" s="170">
        <f t="shared" si="21"/>
        <v>312.03471444568868</v>
      </c>
      <c r="AP18" s="167">
        <f t="shared" si="4"/>
        <v>348373.48588359461</v>
      </c>
      <c r="AQ18" s="168">
        <f t="shared" si="5"/>
        <v>1231.3499999999999</v>
      </c>
      <c r="AR18" s="172">
        <f t="shared" si="22"/>
        <v>282.91995442692541</v>
      </c>
      <c r="AS18" s="167">
        <f t="shared" si="6"/>
        <v>360068</v>
      </c>
      <c r="AT18" s="168">
        <f t="shared" si="7"/>
        <v>1276</v>
      </c>
      <c r="AU18" s="172">
        <f t="shared" si="23"/>
        <v>282.1849529780564</v>
      </c>
      <c r="AV18" s="167">
        <v>165782.00972208299</v>
      </c>
      <c r="AW18" s="168">
        <v>1511</v>
      </c>
      <c r="AX18" s="170">
        <f t="shared" si="24"/>
        <v>109.71675031243083</v>
      </c>
      <c r="AY18" s="167">
        <v>19610.415852425172</v>
      </c>
      <c r="AZ18" s="168">
        <v>307</v>
      </c>
      <c r="BA18" s="170">
        <f t="shared" si="25"/>
        <v>63.877576066531503</v>
      </c>
      <c r="BB18" s="167">
        <v>30856.221034951646</v>
      </c>
      <c r="BC18" s="168">
        <v>237</v>
      </c>
      <c r="BD18" s="170">
        <f t="shared" si="26"/>
        <v>130.19502546393099</v>
      </c>
      <c r="BE18" s="3">
        <f t="shared" si="27"/>
        <v>216248.64660945983</v>
      </c>
      <c r="BF18" s="97">
        <f t="shared" si="28"/>
        <v>2055</v>
      </c>
      <c r="BG18" s="172">
        <f t="shared" si="29"/>
        <v>105.23048496810698</v>
      </c>
      <c r="BH18" s="167">
        <v>158277</v>
      </c>
      <c r="BI18" s="168">
        <v>1511</v>
      </c>
      <c r="BJ18" s="170">
        <f t="shared" si="30"/>
        <v>104.74983454665784</v>
      </c>
      <c r="BK18" s="167">
        <v>24790</v>
      </c>
      <c r="BL18" s="168">
        <v>307</v>
      </c>
      <c r="BM18" s="170">
        <f t="shared" si="31"/>
        <v>80.749185667752442</v>
      </c>
      <c r="BN18" s="168">
        <v>25364</v>
      </c>
      <c r="BO18" s="168">
        <v>237</v>
      </c>
      <c r="BP18" s="170">
        <f t="shared" si="32"/>
        <v>107.0210970464135</v>
      </c>
      <c r="BQ18" s="3">
        <f t="shared" si="33"/>
        <v>208431</v>
      </c>
      <c r="BR18" s="97">
        <f t="shared" si="33"/>
        <v>2055</v>
      </c>
      <c r="BS18" s="172">
        <f t="shared" si="34"/>
        <v>101.42627737226277</v>
      </c>
      <c r="BT18" s="303">
        <v>218243.4308881429</v>
      </c>
      <c r="BU18" s="168">
        <v>1120</v>
      </c>
      <c r="BV18" s="170">
        <f t="shared" si="35"/>
        <v>194.8602061501276</v>
      </c>
      <c r="BW18" s="303">
        <v>481364.65856845764</v>
      </c>
      <c r="BX18" s="168">
        <v>3071</v>
      </c>
      <c r="BY18" s="170">
        <f t="shared" si="36"/>
        <v>156.7452486383776</v>
      </c>
      <c r="BZ18" s="3">
        <f t="shared" si="37"/>
        <v>699608.0894566006</v>
      </c>
      <c r="CA18" s="97">
        <f t="shared" si="37"/>
        <v>4191</v>
      </c>
      <c r="CB18" s="172">
        <f t="shared" si="38"/>
        <v>166.93106405550003</v>
      </c>
      <c r="CC18" s="167">
        <v>223876</v>
      </c>
      <c r="CD18" s="168">
        <v>1120</v>
      </c>
      <c r="CE18" s="170">
        <f t="shared" si="39"/>
        <v>199.88928571428571</v>
      </c>
      <c r="CF18" s="167">
        <v>483601</v>
      </c>
      <c r="CG18" s="168">
        <v>3071</v>
      </c>
      <c r="CH18" s="170">
        <f t="shared" si="40"/>
        <v>157.47346141322046</v>
      </c>
      <c r="CI18" s="3">
        <f t="shared" si="41"/>
        <v>707477</v>
      </c>
      <c r="CJ18" s="97">
        <f t="shared" si="42"/>
        <v>4191</v>
      </c>
      <c r="CK18" s="172">
        <f t="shared" si="43"/>
        <v>168.80863755666905</v>
      </c>
      <c r="CL18" s="167">
        <v>0</v>
      </c>
      <c r="CM18" s="168">
        <v>0</v>
      </c>
      <c r="CN18" s="170">
        <v>0</v>
      </c>
      <c r="CO18" s="167">
        <v>354037</v>
      </c>
      <c r="CP18" s="168">
        <v>1735</v>
      </c>
      <c r="CQ18" s="170">
        <v>204.05590778097982</v>
      </c>
      <c r="CR18" s="3">
        <v>354037</v>
      </c>
      <c r="CS18" s="97">
        <v>1735</v>
      </c>
      <c r="CT18" s="172">
        <v>204.05590778097982</v>
      </c>
      <c r="CU18" s="309">
        <v>32634</v>
      </c>
      <c r="CV18" s="310">
        <v>405</v>
      </c>
      <c r="CW18" s="170">
        <v>80.577777777777783</v>
      </c>
      <c r="CX18" s="309">
        <v>330710</v>
      </c>
      <c r="CY18" s="310">
        <v>2093</v>
      </c>
      <c r="CZ18" s="170">
        <v>158.00764452938367</v>
      </c>
      <c r="DA18" s="315">
        <f t="shared" si="44"/>
        <v>363344</v>
      </c>
      <c r="DB18" s="97">
        <f t="shared" si="45"/>
        <v>2498</v>
      </c>
      <c r="DC18" s="172">
        <f t="shared" si="46"/>
        <v>145.45396317053644</v>
      </c>
      <c r="DD18" s="303">
        <v>197718.39999999999</v>
      </c>
      <c r="DE18" s="168">
        <v>1780.4</v>
      </c>
      <c r="DF18" s="170">
        <f t="shared" si="47"/>
        <v>111.05279712424174</v>
      </c>
      <c r="DG18" s="303">
        <v>54690</v>
      </c>
      <c r="DH18" s="168">
        <v>660</v>
      </c>
      <c r="DI18" s="170">
        <f t="shared" si="8"/>
        <v>82.86363636363636</v>
      </c>
      <c r="DJ18" s="167">
        <v>0</v>
      </c>
      <c r="DK18" s="168">
        <v>0</v>
      </c>
      <c r="DL18" s="170">
        <v>0</v>
      </c>
      <c r="DM18" s="3">
        <f t="shared" si="9"/>
        <v>252408.4</v>
      </c>
      <c r="DN18" s="97">
        <f t="shared" si="48"/>
        <v>2440.4</v>
      </c>
      <c r="DO18" s="172">
        <f t="shared" si="49"/>
        <v>103.42910998197016</v>
      </c>
      <c r="DP18" s="303">
        <v>199813.04789845698</v>
      </c>
      <c r="DQ18" s="168">
        <v>825</v>
      </c>
      <c r="DR18" s="170">
        <f t="shared" si="50"/>
        <v>242.19763381631148</v>
      </c>
      <c r="DS18" s="303">
        <v>24000</v>
      </c>
      <c r="DT18" s="168">
        <v>120</v>
      </c>
      <c r="DU18" s="170">
        <f t="shared" si="51"/>
        <v>200</v>
      </c>
      <c r="DV18" s="3">
        <f t="shared" si="52"/>
        <v>223813.04789845698</v>
      </c>
      <c r="DW18" s="97">
        <f t="shared" si="53"/>
        <v>945</v>
      </c>
      <c r="DX18" s="172">
        <f t="shared" si="54"/>
        <v>236.8392041253513</v>
      </c>
      <c r="DY18" s="167">
        <v>0</v>
      </c>
      <c r="DZ18" s="168">
        <v>0</v>
      </c>
      <c r="EA18" s="170">
        <f t="shared" si="55"/>
        <v>0</v>
      </c>
      <c r="EB18" s="167">
        <v>0</v>
      </c>
      <c r="EC18" s="168">
        <v>0</v>
      </c>
      <c r="ED18" s="170">
        <f t="shared" si="56"/>
        <v>0</v>
      </c>
      <c r="EE18" s="167">
        <v>0</v>
      </c>
      <c r="EF18" s="168">
        <v>0</v>
      </c>
      <c r="EG18" s="170">
        <f t="shared" si="57"/>
        <v>0</v>
      </c>
      <c r="EH18" s="3">
        <f t="shared" si="58"/>
        <v>0</v>
      </c>
      <c r="EI18" s="97">
        <f t="shared" si="59"/>
        <v>0</v>
      </c>
      <c r="EJ18" s="172">
        <f t="shared" si="60"/>
        <v>0</v>
      </c>
    </row>
    <row r="19" spans="2:140">
      <c r="B19" t="s">
        <v>142</v>
      </c>
      <c r="C19" t="s">
        <v>140</v>
      </c>
      <c r="D19">
        <f>VLOOKUP(B19,Dates!$B$2:$E$53,4,FALSE)</f>
        <v>15</v>
      </c>
      <c r="E19" s="168" t="b">
        <f>IF(D19&lt;='RDG Weekly Sales'!$F$1,TRUE,FALSE)</f>
        <v>1</v>
      </c>
      <c r="F19" s="303">
        <v>642994</v>
      </c>
      <c r="G19" s="168">
        <v>4212</v>
      </c>
      <c r="H19" s="170">
        <f t="shared" si="10"/>
        <v>152.65764482431149</v>
      </c>
      <c r="I19" s="167">
        <v>659995</v>
      </c>
      <c r="J19" s="168">
        <v>4212</v>
      </c>
      <c r="K19" s="170">
        <f t="shared" si="11"/>
        <v>156.69396961063629</v>
      </c>
      <c r="L19" s="303">
        <v>35105</v>
      </c>
      <c r="M19" s="168">
        <v>295</v>
      </c>
      <c r="N19" s="170">
        <f t="shared" si="12"/>
        <v>119</v>
      </c>
      <c r="O19" s="167">
        <v>42713</v>
      </c>
      <c r="P19" s="168">
        <v>295</v>
      </c>
      <c r="Q19" s="170">
        <f t="shared" si="13"/>
        <v>144.78983050847458</v>
      </c>
      <c r="R19" s="3">
        <f t="shared" si="0"/>
        <v>678099</v>
      </c>
      <c r="S19" s="97">
        <f t="shared" si="1"/>
        <v>4507</v>
      </c>
      <c r="T19" s="170">
        <f t="shared" si="14"/>
        <v>150.45462613712004</v>
      </c>
      <c r="U19" s="3">
        <f t="shared" si="2"/>
        <v>702708</v>
      </c>
      <c r="V19" s="97">
        <f t="shared" si="3"/>
        <v>4507</v>
      </c>
      <c r="W19" s="172">
        <f t="shared" si="15"/>
        <v>155.91479920124252</v>
      </c>
      <c r="X19" s="167">
        <v>21940.619391616296</v>
      </c>
      <c r="Y19" s="168">
        <v>81</v>
      </c>
      <c r="Z19" s="170">
        <f t="shared" si="16"/>
        <v>270.87184434094195</v>
      </c>
      <c r="AA19" s="167">
        <v>22717</v>
      </c>
      <c r="AB19" s="168">
        <v>81</v>
      </c>
      <c r="AC19" s="170">
        <f t="shared" si="17"/>
        <v>280.45679012345681</v>
      </c>
      <c r="AD19" s="167">
        <v>57044.943865153975</v>
      </c>
      <c r="AE19" s="168">
        <v>235</v>
      </c>
      <c r="AF19" s="170">
        <f t="shared" si="18"/>
        <v>242.74444197937862</v>
      </c>
      <c r="AG19" s="167">
        <v>84758</v>
      </c>
      <c r="AH19" s="168">
        <v>235</v>
      </c>
      <c r="AI19" s="170">
        <f t="shared" si="19"/>
        <v>360.6723404255319</v>
      </c>
      <c r="AJ19" s="167">
        <v>261476.6906746811</v>
      </c>
      <c r="AK19" s="168">
        <v>915.8</v>
      </c>
      <c r="AL19" s="170">
        <f t="shared" si="20"/>
        <v>285.51724249255415</v>
      </c>
      <c r="AM19" s="167">
        <v>251244</v>
      </c>
      <c r="AN19" s="168">
        <v>964</v>
      </c>
      <c r="AO19" s="170">
        <f t="shared" si="21"/>
        <v>260.62655601659753</v>
      </c>
      <c r="AP19" s="167">
        <f t="shared" si="4"/>
        <v>340462.25393145136</v>
      </c>
      <c r="AQ19" s="168">
        <f t="shared" si="5"/>
        <v>1231.8</v>
      </c>
      <c r="AR19" s="172">
        <f t="shared" si="22"/>
        <v>276.39410125949939</v>
      </c>
      <c r="AS19" s="167">
        <f t="shared" si="6"/>
        <v>358719</v>
      </c>
      <c r="AT19" s="168">
        <f t="shared" si="7"/>
        <v>1280</v>
      </c>
      <c r="AU19" s="172">
        <f t="shared" si="23"/>
        <v>280.24921875000001</v>
      </c>
      <c r="AV19" s="167">
        <v>165107.26010370289</v>
      </c>
      <c r="AW19" s="168">
        <v>1511</v>
      </c>
      <c r="AX19" s="170">
        <f t="shared" si="24"/>
        <v>109.27019199450886</v>
      </c>
      <c r="AY19" s="167">
        <v>23474.790289282104</v>
      </c>
      <c r="AZ19" s="168">
        <v>365</v>
      </c>
      <c r="BA19" s="170">
        <f t="shared" si="25"/>
        <v>64.314493943238645</v>
      </c>
      <c r="BB19" s="167">
        <v>30254.733973373171</v>
      </c>
      <c r="BC19" s="168">
        <v>234</v>
      </c>
      <c r="BD19" s="170">
        <f t="shared" si="26"/>
        <v>129.29373492894518</v>
      </c>
      <c r="BE19" s="3">
        <f t="shared" si="27"/>
        <v>218836.78436635816</v>
      </c>
      <c r="BF19" s="97">
        <f t="shared" si="28"/>
        <v>2110</v>
      </c>
      <c r="BG19" s="172">
        <f t="shared" si="29"/>
        <v>103.71411581343989</v>
      </c>
      <c r="BH19" s="167">
        <v>163527</v>
      </c>
      <c r="BI19" s="168">
        <v>1511</v>
      </c>
      <c r="BJ19" s="170">
        <f t="shared" si="30"/>
        <v>108.22435473196559</v>
      </c>
      <c r="BK19" s="167">
        <v>34502</v>
      </c>
      <c r="BL19" s="168">
        <v>365</v>
      </c>
      <c r="BM19" s="170">
        <f t="shared" si="31"/>
        <v>94.526027397260279</v>
      </c>
      <c r="BN19" s="168">
        <v>22967</v>
      </c>
      <c r="BO19" s="168">
        <v>234</v>
      </c>
      <c r="BP19" s="170">
        <f t="shared" si="32"/>
        <v>98.149572649572647</v>
      </c>
      <c r="BQ19" s="3">
        <f t="shared" si="33"/>
        <v>220996</v>
      </c>
      <c r="BR19" s="97">
        <f t="shared" si="33"/>
        <v>2110</v>
      </c>
      <c r="BS19" s="172">
        <f t="shared" si="34"/>
        <v>104.73744075829384</v>
      </c>
      <c r="BT19" s="303">
        <v>232938.24828221434</v>
      </c>
      <c r="BU19" s="168">
        <v>1236</v>
      </c>
      <c r="BV19" s="170">
        <f t="shared" si="35"/>
        <v>188.46136592412162</v>
      </c>
      <c r="BW19" s="303">
        <v>479980.40903369751</v>
      </c>
      <c r="BX19" s="168">
        <v>3067</v>
      </c>
      <c r="BY19" s="170">
        <f t="shared" si="36"/>
        <v>156.49834008271844</v>
      </c>
      <c r="BZ19" s="3">
        <f t="shared" si="37"/>
        <v>712918.65731591184</v>
      </c>
      <c r="CA19" s="97">
        <f t="shared" si="37"/>
        <v>4303</v>
      </c>
      <c r="CB19" s="172">
        <f t="shared" si="38"/>
        <v>165.679446273742</v>
      </c>
      <c r="CC19" s="167">
        <v>217548</v>
      </c>
      <c r="CD19" s="168">
        <v>1236</v>
      </c>
      <c r="CE19" s="170">
        <f t="shared" si="39"/>
        <v>176.00970873786409</v>
      </c>
      <c r="CF19" s="167">
        <v>510567</v>
      </c>
      <c r="CG19" s="168">
        <v>3067</v>
      </c>
      <c r="CH19" s="170">
        <f t="shared" si="40"/>
        <v>166.47114444082166</v>
      </c>
      <c r="CI19" s="3">
        <f t="shared" si="41"/>
        <v>728115</v>
      </c>
      <c r="CJ19" s="97">
        <f t="shared" si="42"/>
        <v>4303</v>
      </c>
      <c r="CK19" s="172">
        <f t="shared" si="43"/>
        <v>169.2110155705322</v>
      </c>
      <c r="CL19" s="167">
        <v>0</v>
      </c>
      <c r="CM19" s="168">
        <v>0</v>
      </c>
      <c r="CN19" s="170">
        <v>0</v>
      </c>
      <c r="CO19" s="167">
        <v>383383</v>
      </c>
      <c r="CP19" s="168">
        <v>2232</v>
      </c>
      <c r="CQ19" s="170">
        <v>171.76657706093189</v>
      </c>
      <c r="CR19" s="3">
        <v>383383</v>
      </c>
      <c r="CS19" s="97">
        <v>2232</v>
      </c>
      <c r="CT19" s="172">
        <v>171.76657706093189</v>
      </c>
      <c r="CU19" s="309">
        <v>34853</v>
      </c>
      <c r="CV19" s="310">
        <v>345</v>
      </c>
      <c r="CW19" s="170">
        <v>101.0231884057971</v>
      </c>
      <c r="CX19" s="309">
        <v>300787</v>
      </c>
      <c r="CY19" s="310">
        <v>1878</v>
      </c>
      <c r="CZ19" s="170">
        <v>160.16347177848775</v>
      </c>
      <c r="DA19" s="3">
        <f t="shared" si="45"/>
        <v>335640</v>
      </c>
      <c r="DB19" s="97">
        <f t="shared" si="45"/>
        <v>2223</v>
      </c>
      <c r="DC19" s="172">
        <f t="shared" si="46"/>
        <v>150.9851551956815</v>
      </c>
      <c r="DD19" s="303">
        <v>197718.39999999999</v>
      </c>
      <c r="DE19" s="168">
        <v>1780.4</v>
      </c>
      <c r="DF19" s="170">
        <f t="shared" si="47"/>
        <v>111.05279712424174</v>
      </c>
      <c r="DG19" s="303">
        <v>54690</v>
      </c>
      <c r="DH19" s="168">
        <v>660</v>
      </c>
      <c r="DI19" s="170">
        <f t="shared" si="8"/>
        <v>82.86363636363636</v>
      </c>
      <c r="DJ19" s="167">
        <v>0</v>
      </c>
      <c r="DK19" s="168">
        <v>0</v>
      </c>
      <c r="DL19" s="170">
        <v>0</v>
      </c>
      <c r="DM19" s="3">
        <f t="shared" si="9"/>
        <v>252408.4</v>
      </c>
      <c r="DN19" s="97">
        <f t="shared" si="48"/>
        <v>2440.4</v>
      </c>
      <c r="DO19" s="172">
        <f t="shared" si="49"/>
        <v>103.42910998197016</v>
      </c>
      <c r="DP19" s="303">
        <v>199813.04789845698</v>
      </c>
      <c r="DQ19" s="168">
        <v>825</v>
      </c>
      <c r="DR19" s="170">
        <f t="shared" si="50"/>
        <v>242.19763381631148</v>
      </c>
      <c r="DS19" s="303">
        <v>24000</v>
      </c>
      <c r="DT19" s="168">
        <v>120</v>
      </c>
      <c r="DU19" s="170">
        <f t="shared" si="51"/>
        <v>200</v>
      </c>
      <c r="DV19" s="3">
        <f t="shared" si="52"/>
        <v>223813.04789845698</v>
      </c>
      <c r="DW19" s="97">
        <f t="shared" si="53"/>
        <v>945</v>
      </c>
      <c r="DX19" s="172">
        <f t="shared" si="54"/>
        <v>236.8392041253513</v>
      </c>
      <c r="DY19" s="167">
        <v>0</v>
      </c>
      <c r="DZ19" s="168">
        <v>0</v>
      </c>
      <c r="EA19" s="170">
        <f t="shared" si="55"/>
        <v>0</v>
      </c>
      <c r="EB19" s="167">
        <v>0</v>
      </c>
      <c r="EC19" s="168">
        <v>0</v>
      </c>
      <c r="ED19" s="170">
        <f t="shared" si="56"/>
        <v>0</v>
      </c>
      <c r="EE19" s="167">
        <v>0</v>
      </c>
      <c r="EF19" s="168">
        <v>0</v>
      </c>
      <c r="EG19" s="170">
        <f t="shared" si="57"/>
        <v>0</v>
      </c>
      <c r="EH19" s="3">
        <f t="shared" si="58"/>
        <v>0</v>
      </c>
      <c r="EI19" s="97">
        <f t="shared" si="59"/>
        <v>0</v>
      </c>
      <c r="EJ19" s="172">
        <f t="shared" si="60"/>
        <v>0</v>
      </c>
    </row>
    <row r="20" spans="2:140">
      <c r="B20" t="s">
        <v>143</v>
      </c>
      <c r="C20" t="s">
        <v>140</v>
      </c>
      <c r="D20">
        <f>VLOOKUP(B20,Dates!$B$2:$E$53,4,FALSE)</f>
        <v>16</v>
      </c>
      <c r="E20" s="168" t="b">
        <f>IF(D20&lt;='RDG Weekly Sales'!$F$1,TRUE,FALSE)</f>
        <v>1</v>
      </c>
      <c r="F20" s="303">
        <v>706347</v>
      </c>
      <c r="G20" s="168">
        <v>4624</v>
      </c>
      <c r="H20" s="170">
        <f t="shared" si="10"/>
        <v>152.75670415224914</v>
      </c>
      <c r="I20" s="167">
        <v>743115</v>
      </c>
      <c r="J20" s="168">
        <v>4624</v>
      </c>
      <c r="K20" s="170">
        <f t="shared" si="11"/>
        <v>160.70826124567475</v>
      </c>
      <c r="L20" s="303">
        <v>58905</v>
      </c>
      <c r="M20" s="168">
        <v>495</v>
      </c>
      <c r="N20" s="170">
        <f t="shared" si="12"/>
        <v>119</v>
      </c>
      <c r="O20" s="167">
        <v>66751</v>
      </c>
      <c r="P20" s="168">
        <v>495</v>
      </c>
      <c r="Q20" s="170">
        <f t="shared" si="13"/>
        <v>134.85050505050506</v>
      </c>
      <c r="R20" s="3">
        <f t="shared" si="0"/>
        <v>765252</v>
      </c>
      <c r="S20" s="97">
        <f t="shared" si="1"/>
        <v>5119</v>
      </c>
      <c r="T20" s="170">
        <f t="shared" si="14"/>
        <v>149.49247899980466</v>
      </c>
      <c r="U20" s="3">
        <f t="shared" si="2"/>
        <v>809866</v>
      </c>
      <c r="V20" s="97">
        <f t="shared" si="3"/>
        <v>5119</v>
      </c>
      <c r="W20" s="172">
        <f t="shared" si="15"/>
        <v>158.20785309630787</v>
      </c>
      <c r="X20" s="167">
        <v>22211.964629711536</v>
      </c>
      <c r="Y20" s="168">
        <v>96</v>
      </c>
      <c r="Z20" s="170">
        <f t="shared" si="16"/>
        <v>231.37463155949516</v>
      </c>
      <c r="AA20" s="167">
        <v>27370.75</v>
      </c>
      <c r="AB20" s="168">
        <v>96</v>
      </c>
      <c r="AC20" s="170">
        <f t="shared" si="17"/>
        <v>285.11197916666669</v>
      </c>
      <c r="AD20" s="167">
        <v>66370.166476747196</v>
      </c>
      <c r="AE20" s="168">
        <v>279</v>
      </c>
      <c r="AF20" s="170">
        <f t="shared" si="18"/>
        <v>237.88590135034838</v>
      </c>
      <c r="AG20" s="167">
        <v>61023</v>
      </c>
      <c r="AH20" s="168">
        <v>279</v>
      </c>
      <c r="AI20" s="170">
        <f t="shared" si="19"/>
        <v>218.72043010752688</v>
      </c>
      <c r="AJ20" s="167">
        <v>240807.63179107811</v>
      </c>
      <c r="AK20" s="168">
        <v>806.55</v>
      </c>
      <c r="AL20" s="170">
        <f t="shared" si="20"/>
        <v>298.56503848624158</v>
      </c>
      <c r="AM20" s="167">
        <v>256416</v>
      </c>
      <c r="AN20" s="168">
        <v>849</v>
      </c>
      <c r="AO20" s="170">
        <f t="shared" si="21"/>
        <v>302.02120141342755</v>
      </c>
      <c r="AP20" s="167">
        <f t="shared" si="4"/>
        <v>329389.76289753686</v>
      </c>
      <c r="AQ20" s="168">
        <f t="shared" si="5"/>
        <v>1181.55</v>
      </c>
      <c r="AR20" s="172">
        <f t="shared" si="22"/>
        <v>278.77767584743503</v>
      </c>
      <c r="AS20" s="167">
        <f t="shared" si="6"/>
        <v>344809.75</v>
      </c>
      <c r="AT20" s="168">
        <f t="shared" si="7"/>
        <v>1224</v>
      </c>
      <c r="AU20" s="172">
        <f t="shared" si="23"/>
        <v>281.70731209150324</v>
      </c>
      <c r="AV20" s="167">
        <v>183898.94797179065</v>
      </c>
      <c r="AW20" s="168">
        <v>1684</v>
      </c>
      <c r="AX20" s="170">
        <f t="shared" si="24"/>
        <v>109.20365081460253</v>
      </c>
      <c r="AY20" s="167">
        <v>32010.539271654365</v>
      </c>
      <c r="AZ20" s="168">
        <v>501</v>
      </c>
      <c r="BA20" s="170">
        <f t="shared" si="25"/>
        <v>63.893291959389948</v>
      </c>
      <c r="BB20" s="167">
        <v>28384.159526724987</v>
      </c>
      <c r="BC20" s="168">
        <v>213</v>
      </c>
      <c r="BD20" s="170">
        <f t="shared" si="26"/>
        <v>133.25896491420181</v>
      </c>
      <c r="BE20" s="3">
        <f t="shared" si="27"/>
        <v>244293.64677016999</v>
      </c>
      <c r="BF20" s="97">
        <f t="shared" si="28"/>
        <v>2398</v>
      </c>
      <c r="BG20" s="172">
        <f t="shared" si="29"/>
        <v>101.87391441625104</v>
      </c>
      <c r="BH20" s="167">
        <v>180175</v>
      </c>
      <c r="BI20" s="168">
        <v>1684</v>
      </c>
      <c r="BJ20" s="170">
        <f t="shared" si="30"/>
        <v>106.99228028503563</v>
      </c>
      <c r="BK20" s="167">
        <v>35030</v>
      </c>
      <c r="BL20" s="168">
        <v>501</v>
      </c>
      <c r="BM20" s="170">
        <f t="shared" si="31"/>
        <v>69.920159680638719</v>
      </c>
      <c r="BN20" s="168">
        <v>39040</v>
      </c>
      <c r="BO20" s="168">
        <v>213</v>
      </c>
      <c r="BP20" s="170">
        <f t="shared" si="32"/>
        <v>183.28638497652582</v>
      </c>
      <c r="BQ20" s="3">
        <f t="shared" si="33"/>
        <v>254245</v>
      </c>
      <c r="BR20" s="97">
        <f t="shared" si="33"/>
        <v>2398</v>
      </c>
      <c r="BS20" s="172">
        <f t="shared" si="34"/>
        <v>106.02376980817348</v>
      </c>
      <c r="BT20" s="303">
        <v>247426.56171362387</v>
      </c>
      <c r="BU20" s="168">
        <v>1293</v>
      </c>
      <c r="BV20" s="170">
        <f t="shared" si="35"/>
        <v>191.35851640651498</v>
      </c>
      <c r="BW20" s="303">
        <v>489544.44511959411</v>
      </c>
      <c r="BX20" s="168">
        <v>3149</v>
      </c>
      <c r="BY20" s="170">
        <f t="shared" si="36"/>
        <v>155.46028743080157</v>
      </c>
      <c r="BZ20" s="3">
        <f t="shared" si="37"/>
        <v>736971.00683321804</v>
      </c>
      <c r="CA20" s="97">
        <f t="shared" si="37"/>
        <v>4442</v>
      </c>
      <c r="CB20" s="172">
        <f t="shared" si="38"/>
        <v>165.90972688726205</v>
      </c>
      <c r="CC20" s="167">
        <v>239808</v>
      </c>
      <c r="CD20" s="168">
        <v>1339</v>
      </c>
      <c r="CE20" s="170">
        <f t="shared" si="39"/>
        <v>179.09484690067214</v>
      </c>
      <c r="CF20" s="167">
        <v>496859</v>
      </c>
      <c r="CG20" s="168">
        <v>3149</v>
      </c>
      <c r="CH20" s="170">
        <f t="shared" si="40"/>
        <v>157.78310574785647</v>
      </c>
      <c r="CI20" s="3">
        <f t="shared" si="41"/>
        <v>736667</v>
      </c>
      <c r="CJ20" s="97">
        <f t="shared" si="42"/>
        <v>4488</v>
      </c>
      <c r="CK20" s="172">
        <f t="shared" si="43"/>
        <v>164.14148841354725</v>
      </c>
      <c r="CL20" s="167">
        <v>0</v>
      </c>
      <c r="CM20" s="168">
        <v>0</v>
      </c>
      <c r="CN20" s="170">
        <v>0</v>
      </c>
      <c r="CO20" s="167">
        <v>418048</v>
      </c>
      <c r="CP20" s="168">
        <v>2555</v>
      </c>
      <c r="CQ20" s="170">
        <v>163.61956947162426</v>
      </c>
      <c r="CR20" s="3">
        <v>418048</v>
      </c>
      <c r="CS20" s="97">
        <v>2555</v>
      </c>
      <c r="CT20" s="172">
        <v>163.61956947162426</v>
      </c>
      <c r="CU20" s="309">
        <v>35542.566981082782</v>
      </c>
      <c r="CV20" s="310">
        <v>405</v>
      </c>
      <c r="CW20" s="170">
        <v>87.759424644648846</v>
      </c>
      <c r="CX20" s="309">
        <v>315660.21220526088</v>
      </c>
      <c r="CY20" s="310">
        <v>1985.5</v>
      </c>
      <c r="CZ20" s="170">
        <v>158.98273090166754</v>
      </c>
      <c r="DA20" s="3">
        <f t="shared" si="45"/>
        <v>351202.77918634366</v>
      </c>
      <c r="DB20" s="97">
        <f t="shared" si="45"/>
        <v>2390.5</v>
      </c>
      <c r="DC20" s="172">
        <f t="shared" si="46"/>
        <v>146.9160339620764</v>
      </c>
      <c r="DD20" s="303">
        <v>197718.39999999999</v>
      </c>
      <c r="DE20" s="168">
        <v>1780.4</v>
      </c>
      <c r="DF20" s="170">
        <f t="shared" si="47"/>
        <v>111.05279712424174</v>
      </c>
      <c r="DG20" s="303">
        <v>54690</v>
      </c>
      <c r="DH20" s="168">
        <v>660</v>
      </c>
      <c r="DI20" s="170">
        <f t="shared" si="8"/>
        <v>82.86363636363636</v>
      </c>
      <c r="DJ20" s="167">
        <v>0</v>
      </c>
      <c r="DK20" s="168">
        <v>0</v>
      </c>
      <c r="DL20" s="170">
        <v>0</v>
      </c>
      <c r="DM20" s="3">
        <f t="shared" si="9"/>
        <v>252408.4</v>
      </c>
      <c r="DN20" s="97">
        <f t="shared" si="48"/>
        <v>2440.4</v>
      </c>
      <c r="DO20" s="172">
        <f t="shared" si="49"/>
        <v>103.42910998197016</v>
      </c>
      <c r="DP20" s="303">
        <v>199813.04789845698</v>
      </c>
      <c r="DQ20" s="168">
        <v>825</v>
      </c>
      <c r="DR20" s="170">
        <f t="shared" si="50"/>
        <v>242.19763381631148</v>
      </c>
      <c r="DS20" s="303">
        <v>24000</v>
      </c>
      <c r="DT20" s="168">
        <v>120</v>
      </c>
      <c r="DU20" s="170">
        <f t="shared" si="51"/>
        <v>200</v>
      </c>
      <c r="DV20" s="3">
        <f t="shared" si="52"/>
        <v>223813.04789845698</v>
      </c>
      <c r="DW20" s="97">
        <f t="shared" si="53"/>
        <v>945</v>
      </c>
      <c r="DX20" s="172">
        <f t="shared" si="54"/>
        <v>236.8392041253513</v>
      </c>
      <c r="DY20" s="167">
        <v>0</v>
      </c>
      <c r="DZ20" s="168">
        <v>0</v>
      </c>
      <c r="EA20" s="170">
        <f t="shared" si="55"/>
        <v>0</v>
      </c>
      <c r="EB20" s="167">
        <v>0</v>
      </c>
      <c r="EC20" s="168">
        <v>0</v>
      </c>
      <c r="ED20" s="170">
        <f t="shared" si="56"/>
        <v>0</v>
      </c>
      <c r="EE20" s="167">
        <v>0</v>
      </c>
      <c r="EF20" s="168">
        <v>0</v>
      </c>
      <c r="EG20" s="170">
        <f t="shared" si="57"/>
        <v>0</v>
      </c>
      <c r="EH20" s="3">
        <f t="shared" si="58"/>
        <v>0</v>
      </c>
      <c r="EI20" s="97">
        <f t="shared" si="59"/>
        <v>0</v>
      </c>
      <c r="EJ20" s="172">
        <f t="shared" si="60"/>
        <v>0</v>
      </c>
    </row>
    <row r="21" spans="2:140">
      <c r="B21" t="s">
        <v>144</v>
      </c>
      <c r="C21" t="s">
        <v>140</v>
      </c>
      <c r="D21">
        <f>VLOOKUP(B21,Dates!$B$2:$E$53,4,FALSE)</f>
        <v>17</v>
      </c>
      <c r="E21" s="168" t="b">
        <f>IF(D21&lt;='RDG Weekly Sales'!$F$1,TRUE,FALSE)</f>
        <v>1</v>
      </c>
      <c r="F21" s="303">
        <v>651126</v>
      </c>
      <c r="G21" s="168">
        <v>4270</v>
      </c>
      <c r="H21" s="170">
        <f t="shared" si="10"/>
        <v>152.48852459016393</v>
      </c>
      <c r="I21" s="167">
        <v>646535</v>
      </c>
      <c r="J21" s="168">
        <v>4270</v>
      </c>
      <c r="K21" s="170">
        <f t="shared" si="11"/>
        <v>151.41334894613584</v>
      </c>
      <c r="L21" s="303">
        <v>35938</v>
      </c>
      <c r="M21" s="168">
        <v>302</v>
      </c>
      <c r="N21" s="170">
        <f t="shared" si="12"/>
        <v>119</v>
      </c>
      <c r="O21" s="167">
        <v>44400</v>
      </c>
      <c r="P21" s="168">
        <v>302</v>
      </c>
      <c r="Q21" s="170">
        <f t="shared" si="13"/>
        <v>147.01986754966887</v>
      </c>
      <c r="R21" s="3">
        <f t="shared" si="0"/>
        <v>687064</v>
      </c>
      <c r="S21" s="97">
        <f t="shared" si="1"/>
        <v>4572</v>
      </c>
      <c r="T21" s="170">
        <f t="shared" si="14"/>
        <v>150.27646544181977</v>
      </c>
      <c r="U21" s="3">
        <f t="shared" si="2"/>
        <v>690935</v>
      </c>
      <c r="V21" s="97">
        <f t="shared" si="3"/>
        <v>4572</v>
      </c>
      <c r="W21" s="172">
        <f t="shared" si="15"/>
        <v>151.12314085739283</v>
      </c>
      <c r="X21" s="167">
        <v>23196.702801120446</v>
      </c>
      <c r="Y21" s="168">
        <v>101</v>
      </c>
      <c r="Z21" s="170">
        <f t="shared" si="16"/>
        <v>229.67032476356877</v>
      </c>
      <c r="AA21" s="167">
        <v>31905</v>
      </c>
      <c r="AB21" s="168">
        <v>101</v>
      </c>
      <c r="AC21" s="170">
        <f t="shared" si="17"/>
        <v>315.89108910891088</v>
      </c>
      <c r="AD21" s="167">
        <v>59178.500655776486</v>
      </c>
      <c r="AE21" s="168">
        <v>228</v>
      </c>
      <c r="AF21" s="170">
        <f t="shared" si="18"/>
        <v>259.55482743761615</v>
      </c>
      <c r="AG21" s="167">
        <v>52226</v>
      </c>
      <c r="AH21" s="168">
        <v>228</v>
      </c>
      <c r="AI21" s="170">
        <f t="shared" si="19"/>
        <v>229.06140350877192</v>
      </c>
      <c r="AJ21" s="167">
        <v>208694.5938305202</v>
      </c>
      <c r="AK21" s="168">
        <v>699.2</v>
      </c>
      <c r="AL21" s="170">
        <f t="shared" si="20"/>
        <v>298.47624975760897</v>
      </c>
      <c r="AM21" s="167">
        <v>250214</v>
      </c>
      <c r="AN21" s="168">
        <v>736</v>
      </c>
      <c r="AO21" s="170">
        <f t="shared" si="21"/>
        <v>339.9646739130435</v>
      </c>
      <c r="AP21" s="167">
        <f t="shared" si="4"/>
        <v>291069.79728741711</v>
      </c>
      <c r="AQ21" s="168">
        <f t="shared" si="5"/>
        <v>1028.2</v>
      </c>
      <c r="AR21" s="172">
        <f t="shared" si="22"/>
        <v>283.08675091170699</v>
      </c>
      <c r="AS21" s="167">
        <f t="shared" si="6"/>
        <v>334345</v>
      </c>
      <c r="AT21" s="168">
        <f t="shared" si="7"/>
        <v>1065</v>
      </c>
      <c r="AU21" s="172">
        <f t="shared" si="23"/>
        <v>313.93896713615021</v>
      </c>
      <c r="AV21" s="167">
        <v>187363.78220242349</v>
      </c>
      <c r="AW21" s="168">
        <v>1717</v>
      </c>
      <c r="AX21" s="170">
        <f t="shared" si="24"/>
        <v>109.12276191172015</v>
      </c>
      <c r="AY21" s="167">
        <v>22419.277643115653</v>
      </c>
      <c r="AZ21" s="168">
        <v>351</v>
      </c>
      <c r="BA21" s="170">
        <f t="shared" si="25"/>
        <v>63.872585877822374</v>
      </c>
      <c r="BB21" s="167">
        <v>21649.885464950188</v>
      </c>
      <c r="BC21" s="168">
        <v>161</v>
      </c>
      <c r="BD21" s="170">
        <f t="shared" si="26"/>
        <v>134.47133829161606</v>
      </c>
      <c r="BE21" s="3">
        <f t="shared" si="27"/>
        <v>231432.94531048933</v>
      </c>
      <c r="BF21" s="97">
        <f t="shared" si="28"/>
        <v>2229</v>
      </c>
      <c r="BG21" s="172">
        <f t="shared" si="29"/>
        <v>103.82814953364259</v>
      </c>
      <c r="BH21" s="167">
        <v>200172</v>
      </c>
      <c r="BI21" s="168">
        <v>1717</v>
      </c>
      <c r="BJ21" s="170">
        <f t="shared" si="30"/>
        <v>116.58241118229471</v>
      </c>
      <c r="BK21" s="167">
        <v>37200</v>
      </c>
      <c r="BL21" s="168">
        <v>351</v>
      </c>
      <c r="BM21" s="170">
        <f t="shared" si="31"/>
        <v>105.98290598290598</v>
      </c>
      <c r="BN21" s="167">
        <v>23772</v>
      </c>
      <c r="BO21" s="168">
        <v>161</v>
      </c>
      <c r="BP21" s="170">
        <f t="shared" si="32"/>
        <v>147.65217391304347</v>
      </c>
      <c r="BQ21" s="3">
        <f t="shared" si="33"/>
        <v>261144</v>
      </c>
      <c r="BR21" s="97">
        <f t="shared" si="33"/>
        <v>2229</v>
      </c>
      <c r="BS21" s="172">
        <f t="shared" si="34"/>
        <v>117.15746971736205</v>
      </c>
      <c r="BT21" s="303">
        <v>260257.60226580288</v>
      </c>
      <c r="BU21" s="168">
        <v>1379</v>
      </c>
      <c r="BV21" s="170">
        <f t="shared" si="35"/>
        <v>188.72922571849375</v>
      </c>
      <c r="BW21" s="303">
        <v>516928.86551105871</v>
      </c>
      <c r="BX21" s="168">
        <v>3290</v>
      </c>
      <c r="BY21" s="170">
        <f t="shared" si="36"/>
        <v>157.12123571764704</v>
      </c>
      <c r="BZ21" s="3">
        <f t="shared" si="37"/>
        <v>777186.46777686162</v>
      </c>
      <c r="CA21" s="97">
        <f t="shared" si="37"/>
        <v>4669</v>
      </c>
      <c r="CB21" s="172">
        <f t="shared" si="38"/>
        <v>166.45672901624795</v>
      </c>
      <c r="CC21" s="167">
        <v>211648</v>
      </c>
      <c r="CD21" s="168">
        <v>1379</v>
      </c>
      <c r="CE21" s="170">
        <f t="shared" si="39"/>
        <v>153.47933284989122</v>
      </c>
      <c r="CF21" s="167">
        <v>531909</v>
      </c>
      <c r="CG21" s="168">
        <v>3290</v>
      </c>
      <c r="CH21" s="170">
        <f t="shared" si="40"/>
        <v>161.67446808510638</v>
      </c>
      <c r="CI21" s="3">
        <f t="shared" si="41"/>
        <v>743557</v>
      </c>
      <c r="CJ21" s="97">
        <f t="shared" si="42"/>
        <v>4669</v>
      </c>
      <c r="CK21" s="172">
        <f t="shared" si="43"/>
        <v>159.25401584921823</v>
      </c>
      <c r="CL21" s="167">
        <v>0</v>
      </c>
      <c r="CM21" s="168">
        <v>0</v>
      </c>
      <c r="CN21" s="170">
        <v>0</v>
      </c>
      <c r="CO21" s="167">
        <v>322224</v>
      </c>
      <c r="CP21" s="168">
        <v>1945</v>
      </c>
      <c r="CQ21" s="170">
        <v>165.66786632390745</v>
      </c>
      <c r="CR21" s="3">
        <v>322224</v>
      </c>
      <c r="CS21" s="97">
        <v>1945</v>
      </c>
      <c r="CT21" s="172">
        <v>165.66786632390745</v>
      </c>
      <c r="CU21" s="309">
        <v>35542.566981082782</v>
      </c>
      <c r="CV21" s="310">
        <v>405</v>
      </c>
      <c r="CW21" s="170">
        <v>87.759424644648846</v>
      </c>
      <c r="CX21" s="309">
        <v>315660.21220526088</v>
      </c>
      <c r="CY21" s="310">
        <v>1985.5</v>
      </c>
      <c r="CZ21" s="170">
        <v>158.98273090166754</v>
      </c>
      <c r="DA21" s="3">
        <f t="shared" si="45"/>
        <v>351202.77918634366</v>
      </c>
      <c r="DB21" s="97">
        <f t="shared" si="45"/>
        <v>2390.5</v>
      </c>
      <c r="DC21" s="172">
        <f t="shared" si="46"/>
        <v>146.9160339620764</v>
      </c>
      <c r="DD21" s="303">
        <v>197718.39999999999</v>
      </c>
      <c r="DE21" s="168">
        <v>1780.4</v>
      </c>
      <c r="DF21" s="170">
        <f t="shared" si="47"/>
        <v>111.05279712424174</v>
      </c>
      <c r="DG21" s="303">
        <v>54690</v>
      </c>
      <c r="DH21" s="168">
        <v>660</v>
      </c>
      <c r="DI21" s="170">
        <f t="shared" si="8"/>
        <v>82.86363636363636</v>
      </c>
      <c r="DJ21" s="167">
        <v>0</v>
      </c>
      <c r="DK21" s="168">
        <v>0</v>
      </c>
      <c r="DL21" s="170">
        <v>0</v>
      </c>
      <c r="DM21" s="3">
        <f t="shared" si="9"/>
        <v>252408.4</v>
      </c>
      <c r="DN21" s="97">
        <f t="shared" si="48"/>
        <v>2440.4</v>
      </c>
      <c r="DO21" s="172">
        <f t="shared" si="49"/>
        <v>103.42910998197016</v>
      </c>
      <c r="DP21" s="303">
        <v>199813.04789845698</v>
      </c>
      <c r="DQ21" s="168">
        <v>825</v>
      </c>
      <c r="DR21" s="170">
        <f t="shared" si="50"/>
        <v>242.19763381631148</v>
      </c>
      <c r="DS21" s="303">
        <v>24000</v>
      </c>
      <c r="DT21" s="168">
        <v>120</v>
      </c>
      <c r="DU21" s="170">
        <f t="shared" si="51"/>
        <v>200</v>
      </c>
      <c r="DV21" s="3">
        <f t="shared" si="52"/>
        <v>223813.04789845698</v>
      </c>
      <c r="DW21" s="97">
        <f t="shared" si="53"/>
        <v>945</v>
      </c>
      <c r="DX21" s="172">
        <f t="shared" si="54"/>
        <v>236.8392041253513</v>
      </c>
      <c r="DY21" s="167">
        <v>0</v>
      </c>
      <c r="DZ21" s="168">
        <v>0</v>
      </c>
      <c r="EA21" s="170">
        <f t="shared" si="55"/>
        <v>0</v>
      </c>
      <c r="EB21" s="167">
        <v>0</v>
      </c>
      <c r="EC21" s="168">
        <v>0</v>
      </c>
      <c r="ED21" s="170">
        <f t="shared" si="56"/>
        <v>0</v>
      </c>
      <c r="EE21" s="167">
        <v>0</v>
      </c>
      <c r="EF21" s="168">
        <v>0</v>
      </c>
      <c r="EG21" s="170">
        <f t="shared" si="57"/>
        <v>0</v>
      </c>
      <c r="EH21" s="3">
        <f t="shared" si="58"/>
        <v>0</v>
      </c>
      <c r="EI21" s="97">
        <f t="shared" si="59"/>
        <v>0</v>
      </c>
      <c r="EJ21" s="172">
        <f t="shared" si="60"/>
        <v>0</v>
      </c>
    </row>
    <row r="22" spans="2:140">
      <c r="B22" t="s">
        <v>147</v>
      </c>
      <c r="C22" t="s">
        <v>146</v>
      </c>
      <c r="D22">
        <f>VLOOKUP(B22,Dates!$B$2:$E$53,4,FALSE)</f>
        <v>18</v>
      </c>
      <c r="E22" s="168" t="b">
        <f>IF(D22&lt;='RDG Weekly Sales'!$F$1,TRUE,FALSE)</f>
        <v>1</v>
      </c>
      <c r="F22" s="303">
        <v>1048290</v>
      </c>
      <c r="G22" s="168">
        <v>4340</v>
      </c>
      <c r="H22" s="170">
        <f t="shared" si="10"/>
        <v>241.54147465437788</v>
      </c>
      <c r="I22" s="167">
        <v>1048290</v>
      </c>
      <c r="J22" s="168">
        <v>4340</v>
      </c>
      <c r="K22" s="170">
        <f t="shared" si="11"/>
        <v>241.54147465437788</v>
      </c>
      <c r="L22" s="303">
        <v>41705</v>
      </c>
      <c r="M22" s="168">
        <v>234</v>
      </c>
      <c r="N22" s="170">
        <f t="shared" si="12"/>
        <v>178.22649572649573</v>
      </c>
      <c r="O22" s="167">
        <v>33511</v>
      </c>
      <c r="P22" s="168">
        <v>234</v>
      </c>
      <c r="Q22" s="170">
        <f t="shared" si="13"/>
        <v>143.2094017094017</v>
      </c>
      <c r="R22" s="3">
        <f t="shared" si="0"/>
        <v>1089995</v>
      </c>
      <c r="S22" s="97">
        <f t="shared" si="1"/>
        <v>4574</v>
      </c>
      <c r="T22" s="170">
        <f t="shared" si="14"/>
        <v>238.30236117184083</v>
      </c>
      <c r="U22" s="3">
        <f t="shared" si="2"/>
        <v>1081801</v>
      </c>
      <c r="V22" s="97">
        <f t="shared" si="3"/>
        <v>4574</v>
      </c>
      <c r="W22" s="172">
        <f t="shared" si="15"/>
        <v>236.510931351115</v>
      </c>
      <c r="X22" s="167">
        <v>48581</v>
      </c>
      <c r="Y22" s="168">
        <v>89</v>
      </c>
      <c r="Z22" s="170">
        <f t="shared" si="16"/>
        <v>545.85393258426961</v>
      </c>
      <c r="AA22" s="167">
        <v>33097</v>
      </c>
      <c r="AB22" s="168">
        <v>89</v>
      </c>
      <c r="AC22" s="170">
        <f t="shared" si="17"/>
        <v>371.87640449438203</v>
      </c>
      <c r="AD22" s="167">
        <v>175467.10659154059</v>
      </c>
      <c r="AE22" s="168">
        <v>519</v>
      </c>
      <c r="AF22" s="170">
        <f t="shared" si="18"/>
        <v>338.08691058100305</v>
      </c>
      <c r="AG22" s="167">
        <v>130881</v>
      </c>
      <c r="AH22" s="168">
        <v>519</v>
      </c>
      <c r="AI22" s="170">
        <f t="shared" si="19"/>
        <v>252.17919075144508</v>
      </c>
      <c r="AJ22" s="167">
        <v>546161.82431192661</v>
      </c>
      <c r="AK22" s="168">
        <v>1072.55</v>
      </c>
      <c r="AL22" s="170">
        <f t="shared" si="20"/>
        <v>509.21805446079588</v>
      </c>
      <c r="AM22" s="167">
        <v>627286</v>
      </c>
      <c r="AN22" s="168">
        <v>1234</v>
      </c>
      <c r="AO22" s="170">
        <f t="shared" si="21"/>
        <v>508.33549432739062</v>
      </c>
      <c r="AP22" s="167">
        <f t="shared" si="4"/>
        <v>770209.93090346723</v>
      </c>
      <c r="AQ22" s="168">
        <f t="shared" si="5"/>
        <v>1680.55</v>
      </c>
      <c r="AR22" s="172">
        <f t="shared" si="22"/>
        <v>458.30825081280966</v>
      </c>
      <c r="AS22" s="167">
        <f t="shared" si="6"/>
        <v>791264</v>
      </c>
      <c r="AT22" s="168">
        <f t="shared" si="7"/>
        <v>1842</v>
      </c>
      <c r="AU22" s="172">
        <f t="shared" si="23"/>
        <v>429.56786102062978</v>
      </c>
      <c r="AV22" s="167">
        <v>199529.65704992597</v>
      </c>
      <c r="AW22" s="168">
        <v>1873</v>
      </c>
      <c r="AX22" s="170">
        <f t="shared" si="24"/>
        <v>106.52944850503255</v>
      </c>
      <c r="AY22" s="167">
        <v>21859.864458730943</v>
      </c>
      <c r="AZ22" s="168">
        <v>317</v>
      </c>
      <c r="BA22" s="170">
        <f t="shared" si="25"/>
        <v>68.958562961296352</v>
      </c>
      <c r="BB22" s="167">
        <v>37480.446561994337</v>
      </c>
      <c r="BC22" s="168">
        <v>276</v>
      </c>
      <c r="BD22" s="170">
        <f t="shared" si="26"/>
        <v>135.79871942751572</v>
      </c>
      <c r="BE22" s="3">
        <f t="shared" si="27"/>
        <v>258869.96807065126</v>
      </c>
      <c r="BF22" s="97">
        <f t="shared" si="28"/>
        <v>2466</v>
      </c>
      <c r="BG22" s="172">
        <f t="shared" si="29"/>
        <v>104.97565615192671</v>
      </c>
      <c r="BH22" s="167">
        <v>200853</v>
      </c>
      <c r="BI22" s="168">
        <v>1873</v>
      </c>
      <c r="BJ22" s="170">
        <f t="shared" si="30"/>
        <v>107.23598505072077</v>
      </c>
      <c r="BK22" s="167">
        <v>35261</v>
      </c>
      <c r="BL22" s="168">
        <v>317</v>
      </c>
      <c r="BM22" s="170">
        <f t="shared" si="31"/>
        <v>111.23343848580441</v>
      </c>
      <c r="BN22" s="167">
        <v>31247</v>
      </c>
      <c r="BO22" s="168">
        <v>276</v>
      </c>
      <c r="BP22" s="170">
        <f t="shared" si="32"/>
        <v>113.21376811594203</v>
      </c>
      <c r="BQ22" s="3">
        <f t="shared" si="33"/>
        <v>267361</v>
      </c>
      <c r="BR22" s="97">
        <f t="shared" si="33"/>
        <v>2466</v>
      </c>
      <c r="BS22" s="172">
        <f t="shared" si="34"/>
        <v>108.41889699918897</v>
      </c>
      <c r="BT22" s="303">
        <v>299979</v>
      </c>
      <c r="BU22" s="168">
        <v>1383</v>
      </c>
      <c r="BV22" s="170">
        <f t="shared" si="35"/>
        <v>216.90455531453361</v>
      </c>
      <c r="BW22" s="303">
        <v>901991</v>
      </c>
      <c r="BX22" s="168">
        <v>3549</v>
      </c>
      <c r="BY22" s="170">
        <f t="shared" si="36"/>
        <v>254.15356438433361</v>
      </c>
      <c r="BZ22" s="3">
        <f t="shared" si="37"/>
        <v>1201970</v>
      </c>
      <c r="CA22" s="97">
        <f t="shared" si="37"/>
        <v>4932</v>
      </c>
      <c r="CB22" s="172">
        <f t="shared" si="38"/>
        <v>243.70843471208434</v>
      </c>
      <c r="CC22" s="167">
        <v>219327</v>
      </c>
      <c r="CD22" s="168">
        <v>1383</v>
      </c>
      <c r="CE22" s="170">
        <f t="shared" si="39"/>
        <v>158.58785249457699</v>
      </c>
      <c r="CF22" s="167">
        <v>901991</v>
      </c>
      <c r="CG22" s="168">
        <v>3549</v>
      </c>
      <c r="CH22" s="170">
        <f t="shared" si="40"/>
        <v>254.15356438433361</v>
      </c>
      <c r="CI22" s="3">
        <f t="shared" si="41"/>
        <v>1121318</v>
      </c>
      <c r="CJ22" s="97">
        <f t="shared" si="42"/>
        <v>4932</v>
      </c>
      <c r="CK22" s="172">
        <f t="shared" si="43"/>
        <v>227.35563665855636</v>
      </c>
      <c r="CL22" s="167">
        <v>0</v>
      </c>
      <c r="CM22" s="168">
        <v>0</v>
      </c>
      <c r="CN22" s="170">
        <v>0</v>
      </c>
      <c r="CO22" s="167">
        <v>402046</v>
      </c>
      <c r="CP22" s="168">
        <v>2167</v>
      </c>
      <c r="CQ22" s="170">
        <v>185.5311490539917</v>
      </c>
      <c r="CR22" s="3">
        <v>402046</v>
      </c>
      <c r="CS22" s="97">
        <v>2167</v>
      </c>
      <c r="CT22" s="172">
        <v>185.5311490539917</v>
      </c>
      <c r="CU22" s="309">
        <v>35542.566981082782</v>
      </c>
      <c r="CV22" s="310">
        <v>405</v>
      </c>
      <c r="CW22" s="170">
        <v>87.759424644648846</v>
      </c>
      <c r="CX22" s="309">
        <v>315660.21220526088</v>
      </c>
      <c r="CY22" s="310">
        <v>1985.5</v>
      </c>
      <c r="CZ22" s="170">
        <v>158.98273090166754</v>
      </c>
      <c r="DA22" s="3">
        <f t="shared" si="45"/>
        <v>351202.77918634366</v>
      </c>
      <c r="DB22" s="97">
        <f t="shared" si="45"/>
        <v>2390.5</v>
      </c>
      <c r="DC22" s="172">
        <f t="shared" si="46"/>
        <v>146.9160339620764</v>
      </c>
      <c r="DD22" s="303">
        <v>197718.39999999999</v>
      </c>
      <c r="DE22" s="168">
        <v>1780.4</v>
      </c>
      <c r="DF22" s="170">
        <f t="shared" si="47"/>
        <v>111.05279712424174</v>
      </c>
      <c r="DG22" s="303">
        <v>54690</v>
      </c>
      <c r="DH22" s="168">
        <v>660</v>
      </c>
      <c r="DI22" s="170">
        <f t="shared" si="8"/>
        <v>82.86363636363636</v>
      </c>
      <c r="DJ22" s="167">
        <v>0</v>
      </c>
      <c r="DK22" s="168">
        <v>0</v>
      </c>
      <c r="DL22" s="170">
        <v>0</v>
      </c>
      <c r="DM22" s="3">
        <f t="shared" si="9"/>
        <v>252408.4</v>
      </c>
      <c r="DN22" s="97">
        <f t="shared" si="48"/>
        <v>2440.4</v>
      </c>
      <c r="DO22" s="172">
        <f t="shared" si="49"/>
        <v>103.42910998197016</v>
      </c>
      <c r="DP22" s="303">
        <v>350236.01706544368</v>
      </c>
      <c r="DQ22" s="168">
        <v>1310</v>
      </c>
      <c r="DR22" s="170">
        <f t="shared" si="50"/>
        <v>267.35573821789592</v>
      </c>
      <c r="DS22" s="303">
        <v>80000</v>
      </c>
      <c r="DT22" s="168">
        <v>400</v>
      </c>
      <c r="DU22" s="170">
        <f t="shared" si="51"/>
        <v>200</v>
      </c>
      <c r="DV22" s="3">
        <f t="shared" si="52"/>
        <v>430236.01706544368</v>
      </c>
      <c r="DW22" s="97">
        <f t="shared" si="53"/>
        <v>1710</v>
      </c>
      <c r="DX22" s="172">
        <f t="shared" si="54"/>
        <v>251.60000997979162</v>
      </c>
      <c r="DY22" s="167">
        <v>0</v>
      </c>
      <c r="DZ22" s="168">
        <v>0</v>
      </c>
      <c r="EA22" s="170">
        <f t="shared" si="55"/>
        <v>0</v>
      </c>
      <c r="EB22" s="167">
        <v>0</v>
      </c>
      <c r="EC22" s="168">
        <v>0</v>
      </c>
      <c r="ED22" s="170">
        <f t="shared" si="56"/>
        <v>0</v>
      </c>
      <c r="EE22" s="167">
        <v>0</v>
      </c>
      <c r="EF22" s="168">
        <v>0</v>
      </c>
      <c r="EG22" s="170">
        <f t="shared" si="57"/>
        <v>0</v>
      </c>
      <c r="EH22" s="3">
        <f t="shared" si="58"/>
        <v>0</v>
      </c>
      <c r="EI22" s="97">
        <f t="shared" si="59"/>
        <v>0</v>
      </c>
      <c r="EJ22" s="172">
        <f t="shared" si="60"/>
        <v>0</v>
      </c>
    </row>
    <row r="23" spans="2:140">
      <c r="B23" t="s">
        <v>148</v>
      </c>
      <c r="C23" t="s">
        <v>146</v>
      </c>
      <c r="D23">
        <f>VLOOKUP(B23,Dates!$B$2:$E$53,4,FALSE)</f>
        <v>19</v>
      </c>
      <c r="E23" s="168" t="b">
        <f>IF(D23&lt;='RDG Weekly Sales'!$F$1,TRUE,FALSE)</f>
        <v>1</v>
      </c>
      <c r="F23" s="303">
        <v>608823</v>
      </c>
      <c r="G23" s="168">
        <v>3993</v>
      </c>
      <c r="H23" s="170">
        <f t="shared" si="10"/>
        <v>152.47257700976709</v>
      </c>
      <c r="I23" s="167">
        <v>608822</v>
      </c>
      <c r="J23" s="168">
        <v>3993</v>
      </c>
      <c r="K23" s="170">
        <f t="shared" si="11"/>
        <v>152.47232657150013</v>
      </c>
      <c r="L23" s="303">
        <v>65026</v>
      </c>
      <c r="M23" s="168">
        <v>510</v>
      </c>
      <c r="N23" s="170">
        <f t="shared" si="12"/>
        <v>127.50196078431372</v>
      </c>
      <c r="O23" s="167">
        <v>62193</v>
      </c>
      <c r="P23" s="168">
        <v>510</v>
      </c>
      <c r="Q23" s="170">
        <f t="shared" si="13"/>
        <v>121.94705882352942</v>
      </c>
      <c r="R23" s="3">
        <f t="shared" si="0"/>
        <v>673849</v>
      </c>
      <c r="S23" s="97">
        <f t="shared" si="1"/>
        <v>4503</v>
      </c>
      <c r="T23" s="170">
        <f t="shared" si="14"/>
        <v>149.64445924938929</v>
      </c>
      <c r="U23" s="3">
        <f t="shared" si="2"/>
        <v>671015</v>
      </c>
      <c r="V23" s="97">
        <f t="shared" si="3"/>
        <v>4503</v>
      </c>
      <c r="W23" s="172">
        <f t="shared" si="15"/>
        <v>149.01510104374861</v>
      </c>
      <c r="X23" s="167">
        <v>27577.224089635853</v>
      </c>
      <c r="Y23" s="168">
        <v>95</v>
      </c>
      <c r="Z23" s="170">
        <f t="shared" si="16"/>
        <v>290.28656936458793</v>
      </c>
      <c r="AA23" s="167">
        <v>21155</v>
      </c>
      <c r="AB23" s="168">
        <v>95</v>
      </c>
      <c r="AC23" s="170">
        <f t="shared" si="17"/>
        <v>222.68421052631578</v>
      </c>
      <c r="AD23" s="167">
        <v>52506.381524776574</v>
      </c>
      <c r="AE23" s="168">
        <v>247</v>
      </c>
      <c r="AF23" s="170">
        <f t="shared" si="18"/>
        <v>212.57644342014808</v>
      </c>
      <c r="AG23" s="167">
        <v>36461</v>
      </c>
      <c r="AH23" s="168">
        <v>247</v>
      </c>
      <c r="AI23" s="170">
        <f t="shared" si="19"/>
        <v>147.61538461538461</v>
      </c>
      <c r="AJ23" s="167">
        <v>207645.69623115577</v>
      </c>
      <c r="AK23" s="168">
        <v>676.4</v>
      </c>
      <c r="AL23" s="170">
        <f t="shared" si="20"/>
        <v>306.98654085031899</v>
      </c>
      <c r="AM23" s="167">
        <v>195867</v>
      </c>
      <c r="AN23" s="168">
        <v>712</v>
      </c>
      <c r="AO23" s="170">
        <f t="shared" si="21"/>
        <v>275.09410112359552</v>
      </c>
      <c r="AP23" s="167">
        <f t="shared" si="4"/>
        <v>287729.30184556823</v>
      </c>
      <c r="AQ23" s="168">
        <f t="shared" si="5"/>
        <v>1018.4</v>
      </c>
      <c r="AR23" s="172">
        <f t="shared" si="22"/>
        <v>282.53073629769074</v>
      </c>
      <c r="AS23" s="167">
        <f t="shared" si="6"/>
        <v>253483</v>
      </c>
      <c r="AT23" s="168">
        <f t="shared" si="7"/>
        <v>1054</v>
      </c>
      <c r="AU23" s="172">
        <f t="shared" si="23"/>
        <v>240.49620493358634</v>
      </c>
      <c r="AV23" s="167">
        <v>197820.29545504283</v>
      </c>
      <c r="AW23" s="168">
        <v>1867</v>
      </c>
      <c r="AX23" s="170">
        <f t="shared" si="24"/>
        <v>105.95623752278674</v>
      </c>
      <c r="AY23" s="167">
        <v>33664.091180950672</v>
      </c>
      <c r="AZ23" s="168">
        <v>466</v>
      </c>
      <c r="BA23" s="170">
        <f t="shared" si="25"/>
        <v>72.240539014915612</v>
      </c>
      <c r="BB23" s="167">
        <v>28605.574213677293</v>
      </c>
      <c r="BC23" s="168">
        <v>208</v>
      </c>
      <c r="BD23" s="170">
        <f t="shared" si="26"/>
        <v>137.52679910421776</v>
      </c>
      <c r="BE23" s="3">
        <f t="shared" si="27"/>
        <v>260089.96084967078</v>
      </c>
      <c r="BF23" s="97">
        <f t="shared" si="28"/>
        <v>2541</v>
      </c>
      <c r="BG23" s="172">
        <f t="shared" si="29"/>
        <v>102.35732422261739</v>
      </c>
      <c r="BH23" s="167">
        <v>159299</v>
      </c>
      <c r="BI23" s="168">
        <v>1518</v>
      </c>
      <c r="BJ23" s="170">
        <f t="shared" si="30"/>
        <v>104.94005270092227</v>
      </c>
      <c r="BK23" s="167">
        <v>53712</v>
      </c>
      <c r="BL23" s="168">
        <v>325</v>
      </c>
      <c r="BM23" s="170">
        <f t="shared" si="31"/>
        <v>165.2676923076923</v>
      </c>
      <c r="BN23" s="167">
        <v>24955</v>
      </c>
      <c r="BO23" s="168">
        <v>208</v>
      </c>
      <c r="BP23" s="170">
        <f t="shared" si="32"/>
        <v>119.97596153846153</v>
      </c>
      <c r="BQ23" s="3">
        <f t="shared" si="33"/>
        <v>237966</v>
      </c>
      <c r="BR23" s="97">
        <f t="shared" si="33"/>
        <v>2051</v>
      </c>
      <c r="BS23" s="172">
        <f t="shared" si="34"/>
        <v>116.0243783520234</v>
      </c>
      <c r="BT23" s="303">
        <v>185839</v>
      </c>
      <c r="BU23" s="168">
        <v>1458</v>
      </c>
      <c r="BV23" s="170">
        <f t="shared" si="35"/>
        <v>127.46159122085048</v>
      </c>
      <c r="BW23" s="303">
        <v>552997</v>
      </c>
      <c r="BX23" s="168">
        <v>3258</v>
      </c>
      <c r="BY23" s="170">
        <f t="shared" si="36"/>
        <v>169.73511356660529</v>
      </c>
      <c r="BZ23" s="3">
        <f t="shared" si="37"/>
        <v>738836</v>
      </c>
      <c r="CA23" s="97">
        <f t="shared" si="37"/>
        <v>4716</v>
      </c>
      <c r="CB23" s="172">
        <f t="shared" si="38"/>
        <v>156.66581849024598</v>
      </c>
      <c r="CC23" s="167">
        <v>185838</v>
      </c>
      <c r="CD23" s="168">
        <v>1458</v>
      </c>
      <c r="CE23" s="170">
        <f t="shared" si="39"/>
        <v>127.46090534979425</v>
      </c>
      <c r="CF23" s="167">
        <v>552981</v>
      </c>
      <c r="CG23" s="168">
        <v>3258</v>
      </c>
      <c r="CH23" s="170">
        <f t="shared" si="40"/>
        <v>169.73020257826889</v>
      </c>
      <c r="CI23" s="3">
        <f t="shared" si="41"/>
        <v>738819</v>
      </c>
      <c r="CJ23" s="97">
        <f t="shared" si="42"/>
        <v>4716</v>
      </c>
      <c r="CK23" s="172">
        <f t="shared" si="43"/>
        <v>156.66221374045801</v>
      </c>
      <c r="CL23" s="167">
        <v>0</v>
      </c>
      <c r="CM23" s="168">
        <v>0</v>
      </c>
      <c r="CN23" s="170">
        <v>0</v>
      </c>
      <c r="CO23" s="167">
        <v>367729</v>
      </c>
      <c r="CP23" s="168">
        <v>2376</v>
      </c>
      <c r="CQ23" s="170">
        <v>154.76809764309763</v>
      </c>
      <c r="CR23" s="3">
        <v>367729</v>
      </c>
      <c r="CS23" s="97">
        <v>2376</v>
      </c>
      <c r="CT23" s="172">
        <v>154.76809764309763</v>
      </c>
      <c r="CU23" s="309">
        <v>35542.566981082782</v>
      </c>
      <c r="CV23" s="310">
        <v>405</v>
      </c>
      <c r="CW23" s="170">
        <v>87.759424644648846</v>
      </c>
      <c r="CX23" s="309">
        <v>315660.21220526088</v>
      </c>
      <c r="CY23" s="310">
        <v>1985.5</v>
      </c>
      <c r="CZ23" s="170">
        <v>158.98273090166754</v>
      </c>
      <c r="DA23" s="3">
        <f t="shared" si="45"/>
        <v>351202.77918634366</v>
      </c>
      <c r="DB23" s="97">
        <f t="shared" si="45"/>
        <v>2390.5</v>
      </c>
      <c r="DC23" s="172">
        <f t="shared" si="46"/>
        <v>146.9160339620764</v>
      </c>
      <c r="DD23" s="303">
        <v>197718.39999999999</v>
      </c>
      <c r="DE23" s="168">
        <v>1780.4</v>
      </c>
      <c r="DF23" s="170">
        <f t="shared" si="47"/>
        <v>111.05279712424174</v>
      </c>
      <c r="DG23" s="303">
        <v>54690</v>
      </c>
      <c r="DH23" s="168">
        <v>660</v>
      </c>
      <c r="DI23" s="170">
        <f t="shared" si="8"/>
        <v>82.86363636363636</v>
      </c>
      <c r="DJ23" s="167">
        <v>0</v>
      </c>
      <c r="DK23" s="168">
        <v>0</v>
      </c>
      <c r="DL23" s="170">
        <v>0</v>
      </c>
      <c r="DM23" s="3">
        <f t="shared" si="9"/>
        <v>252408.4</v>
      </c>
      <c r="DN23" s="97">
        <f t="shared" si="48"/>
        <v>2440.4</v>
      </c>
      <c r="DO23" s="172">
        <f t="shared" si="49"/>
        <v>103.42910998197016</v>
      </c>
      <c r="DP23" s="303">
        <v>242566.20828994198</v>
      </c>
      <c r="DQ23" s="168">
        <v>825</v>
      </c>
      <c r="DR23" s="170">
        <f t="shared" si="50"/>
        <v>294.01964641205086</v>
      </c>
      <c r="DS23" s="303">
        <v>48000</v>
      </c>
      <c r="DT23" s="168">
        <v>240</v>
      </c>
      <c r="DU23" s="170">
        <f t="shared" si="51"/>
        <v>200</v>
      </c>
      <c r="DV23" s="3">
        <f t="shared" si="52"/>
        <v>290566.20828994201</v>
      </c>
      <c r="DW23" s="97">
        <f t="shared" si="53"/>
        <v>1065</v>
      </c>
      <c r="DX23" s="172">
        <f t="shared" si="54"/>
        <v>272.83212046003945</v>
      </c>
      <c r="DY23" s="167">
        <v>0</v>
      </c>
      <c r="DZ23" s="168">
        <v>0</v>
      </c>
      <c r="EA23" s="170">
        <f t="shared" si="55"/>
        <v>0</v>
      </c>
      <c r="EB23" s="167">
        <v>0</v>
      </c>
      <c r="EC23" s="168">
        <v>0</v>
      </c>
      <c r="ED23" s="170">
        <f t="shared" si="56"/>
        <v>0</v>
      </c>
      <c r="EE23" s="167">
        <v>0</v>
      </c>
      <c r="EF23" s="168">
        <v>0</v>
      </c>
      <c r="EG23" s="170">
        <f t="shared" si="57"/>
        <v>0</v>
      </c>
      <c r="EH23" s="3">
        <f t="shared" si="58"/>
        <v>0</v>
      </c>
      <c r="EI23" s="97">
        <f t="shared" si="59"/>
        <v>0</v>
      </c>
      <c r="EJ23" s="172">
        <f t="shared" si="60"/>
        <v>0</v>
      </c>
    </row>
    <row r="24" spans="2:140">
      <c r="B24" t="s">
        <v>149</v>
      </c>
      <c r="C24" t="s">
        <v>146</v>
      </c>
      <c r="D24">
        <f>VLOOKUP(B24,Dates!$B$2:$E$53,4,FALSE)</f>
        <v>20</v>
      </c>
      <c r="E24" s="168" t="b">
        <f>IF(D24&lt;='RDG Weekly Sales'!$F$1,TRUE,FALSE)</f>
        <v>1</v>
      </c>
      <c r="F24" s="303">
        <v>695468</v>
      </c>
      <c r="G24" s="168">
        <v>3908</v>
      </c>
      <c r="H24" s="170">
        <f t="shared" si="10"/>
        <v>177.96008188331626</v>
      </c>
      <c r="I24" s="167">
        <v>695468</v>
      </c>
      <c r="J24" s="168">
        <v>3908</v>
      </c>
      <c r="K24" s="170">
        <f t="shared" si="11"/>
        <v>177.96008188331626</v>
      </c>
      <c r="L24" s="303">
        <v>36593</v>
      </c>
      <c r="M24" s="168">
        <v>287</v>
      </c>
      <c r="N24" s="170">
        <f t="shared" si="12"/>
        <v>127.50174216027875</v>
      </c>
      <c r="O24" s="167">
        <v>36728</v>
      </c>
      <c r="P24" s="168">
        <v>287</v>
      </c>
      <c r="Q24" s="170">
        <f t="shared" si="13"/>
        <v>127.97212543554006</v>
      </c>
      <c r="R24" s="3">
        <f t="shared" si="0"/>
        <v>732061</v>
      </c>
      <c r="S24" s="97">
        <f t="shared" si="1"/>
        <v>4195</v>
      </c>
      <c r="T24" s="170">
        <f t="shared" si="14"/>
        <v>174.50798569725865</v>
      </c>
      <c r="U24" s="3">
        <f t="shared" si="2"/>
        <v>732196</v>
      </c>
      <c r="V24" s="97">
        <f t="shared" si="3"/>
        <v>4195</v>
      </c>
      <c r="W24" s="172">
        <f t="shared" si="15"/>
        <v>174.54016686531585</v>
      </c>
      <c r="X24" s="167">
        <v>21694.900280112044</v>
      </c>
      <c r="Y24" s="168">
        <v>68</v>
      </c>
      <c r="Z24" s="170">
        <f t="shared" si="16"/>
        <v>319.04265117811832</v>
      </c>
      <c r="AA24" s="167">
        <v>17561</v>
      </c>
      <c r="AB24" s="168">
        <v>68</v>
      </c>
      <c r="AC24" s="170">
        <f t="shared" si="17"/>
        <v>258.25</v>
      </c>
      <c r="AD24" s="167">
        <v>59799.343896560065</v>
      </c>
      <c r="AE24" s="168">
        <v>256</v>
      </c>
      <c r="AF24" s="170">
        <f t="shared" si="18"/>
        <v>233.59118709593776</v>
      </c>
      <c r="AG24" s="167">
        <v>62700</v>
      </c>
      <c r="AH24" s="168">
        <v>256</v>
      </c>
      <c r="AI24" s="170">
        <f t="shared" si="19"/>
        <v>244.921875</v>
      </c>
      <c r="AJ24" s="167">
        <v>257028.04644332774</v>
      </c>
      <c r="AK24" s="168">
        <v>869.25</v>
      </c>
      <c r="AL24" s="170">
        <f t="shared" si="20"/>
        <v>295.68944083212853</v>
      </c>
      <c r="AM24" s="167">
        <v>293529</v>
      </c>
      <c r="AN24" s="168">
        <v>915</v>
      </c>
      <c r="AO24" s="170">
        <f t="shared" si="21"/>
        <v>320.79672131147544</v>
      </c>
      <c r="AP24" s="167">
        <f t="shared" si="4"/>
        <v>338522.29061999987</v>
      </c>
      <c r="AQ24" s="168">
        <f t="shared" si="5"/>
        <v>1193.25</v>
      </c>
      <c r="AR24" s="172">
        <f t="shared" si="22"/>
        <v>283.69770846008788</v>
      </c>
      <c r="AS24" s="167">
        <f t="shared" si="6"/>
        <v>373790</v>
      </c>
      <c r="AT24" s="168">
        <f t="shared" si="7"/>
        <v>1239</v>
      </c>
      <c r="AU24" s="172">
        <f t="shared" si="23"/>
        <v>301.68684422921712</v>
      </c>
      <c r="AV24" s="167">
        <v>178840.76015927375</v>
      </c>
      <c r="AW24" s="168">
        <v>1677</v>
      </c>
      <c r="AX24" s="170">
        <f t="shared" si="24"/>
        <v>106.64326783498733</v>
      </c>
      <c r="AY24" s="167">
        <v>24717.997121544733</v>
      </c>
      <c r="AZ24" s="168">
        <v>348</v>
      </c>
      <c r="BA24" s="170">
        <f t="shared" si="25"/>
        <v>71.028727360760726</v>
      </c>
      <c r="BB24" s="167">
        <v>29371.425919150639</v>
      </c>
      <c r="BC24" s="168">
        <v>217</v>
      </c>
      <c r="BD24" s="170">
        <f t="shared" si="26"/>
        <v>135.35219317580939</v>
      </c>
      <c r="BE24" s="3">
        <f t="shared" si="27"/>
        <v>232930.18319996912</v>
      </c>
      <c r="BF24" s="97">
        <f t="shared" si="28"/>
        <v>2242</v>
      </c>
      <c r="BG24" s="172">
        <f t="shared" si="29"/>
        <v>103.89392649418784</v>
      </c>
      <c r="BH24" s="167">
        <v>175583</v>
      </c>
      <c r="BI24" s="168">
        <v>1677</v>
      </c>
      <c r="BJ24" s="170">
        <f t="shared" si="30"/>
        <v>104.70065593321408</v>
      </c>
      <c r="BK24" s="167">
        <v>32826</v>
      </c>
      <c r="BL24" s="168">
        <v>348</v>
      </c>
      <c r="BM24" s="170">
        <f t="shared" si="31"/>
        <v>94.327586206896555</v>
      </c>
      <c r="BN24" s="167">
        <v>41983</v>
      </c>
      <c r="BO24" s="168">
        <v>217</v>
      </c>
      <c r="BP24" s="170">
        <f t="shared" si="32"/>
        <v>193.4700460829493</v>
      </c>
      <c r="BQ24" s="3">
        <f t="shared" si="33"/>
        <v>250392</v>
      </c>
      <c r="BR24" s="97">
        <f t="shared" si="33"/>
        <v>2242</v>
      </c>
      <c r="BS24" s="172">
        <f t="shared" si="34"/>
        <v>111.68242640499554</v>
      </c>
      <c r="BT24" s="303">
        <v>198405</v>
      </c>
      <c r="BU24" s="168">
        <v>1338</v>
      </c>
      <c r="BV24" s="170">
        <f t="shared" si="35"/>
        <v>148.2847533632287</v>
      </c>
      <c r="BW24" s="303">
        <v>521269</v>
      </c>
      <c r="BX24" s="168">
        <v>3314</v>
      </c>
      <c r="BY24" s="170">
        <f t="shared" si="36"/>
        <v>157.29299939649971</v>
      </c>
      <c r="BZ24" s="3">
        <f t="shared" si="37"/>
        <v>719674</v>
      </c>
      <c r="CA24" s="97">
        <f t="shared" si="37"/>
        <v>4652</v>
      </c>
      <c r="CB24" s="172">
        <f t="shared" si="38"/>
        <v>154.70206362854685</v>
      </c>
      <c r="CC24" s="167">
        <v>224479</v>
      </c>
      <c r="CD24" s="168">
        <v>1403</v>
      </c>
      <c r="CE24" s="170">
        <f t="shared" si="39"/>
        <v>159.9992872416251</v>
      </c>
      <c r="CF24" s="167">
        <v>521268</v>
      </c>
      <c r="CG24" s="168">
        <v>3314</v>
      </c>
      <c r="CH24" s="170">
        <f t="shared" si="40"/>
        <v>157.29269764634881</v>
      </c>
      <c r="CI24" s="3">
        <f t="shared" si="41"/>
        <v>745747</v>
      </c>
      <c r="CJ24" s="97">
        <f t="shared" si="42"/>
        <v>4717</v>
      </c>
      <c r="CK24" s="172">
        <f t="shared" si="43"/>
        <v>158.09773160907358</v>
      </c>
      <c r="CL24" s="167">
        <v>0</v>
      </c>
      <c r="CM24" s="168">
        <v>0</v>
      </c>
      <c r="CN24" s="170">
        <v>0</v>
      </c>
      <c r="CO24" s="167">
        <v>320965</v>
      </c>
      <c r="CP24" s="168">
        <v>1829</v>
      </c>
      <c r="CQ24" s="170">
        <v>175.48660470202296</v>
      </c>
      <c r="CR24" s="3">
        <v>320965</v>
      </c>
      <c r="CS24" s="97">
        <v>1829</v>
      </c>
      <c r="CT24" s="172">
        <v>175.48660470202296</v>
      </c>
      <c r="CU24" s="309">
        <v>35542.566981082782</v>
      </c>
      <c r="CV24" s="310">
        <v>405</v>
      </c>
      <c r="CW24" s="170">
        <v>87.759424644648846</v>
      </c>
      <c r="CX24" s="309">
        <v>315660.21220526088</v>
      </c>
      <c r="CY24" s="310">
        <v>1985.5</v>
      </c>
      <c r="CZ24" s="170">
        <v>158.98273090166754</v>
      </c>
      <c r="DA24" s="3">
        <f t="shared" si="45"/>
        <v>351202.77918634366</v>
      </c>
      <c r="DB24" s="97">
        <f t="shared" si="45"/>
        <v>2390.5</v>
      </c>
      <c r="DC24" s="172">
        <f t="shared" si="46"/>
        <v>146.9160339620764</v>
      </c>
      <c r="DD24" s="303">
        <v>197718.39999999999</v>
      </c>
      <c r="DE24" s="168">
        <v>1780.4</v>
      </c>
      <c r="DF24" s="170">
        <f t="shared" si="47"/>
        <v>111.05279712424174</v>
      </c>
      <c r="DG24" s="303">
        <v>54690</v>
      </c>
      <c r="DH24" s="168">
        <v>660</v>
      </c>
      <c r="DI24" s="170">
        <f t="shared" si="8"/>
        <v>82.86363636363636</v>
      </c>
      <c r="DJ24" s="167">
        <v>0</v>
      </c>
      <c r="DK24" s="168">
        <v>0</v>
      </c>
      <c r="DL24" s="170">
        <v>0</v>
      </c>
      <c r="DM24" s="3">
        <f t="shared" si="9"/>
        <v>252408.4</v>
      </c>
      <c r="DN24" s="97">
        <f t="shared" si="48"/>
        <v>2440.4</v>
      </c>
      <c r="DO24" s="172">
        <f t="shared" si="49"/>
        <v>103.42910998197016</v>
      </c>
      <c r="DP24" s="303">
        <v>242566.20828994198</v>
      </c>
      <c r="DQ24" s="168">
        <v>825</v>
      </c>
      <c r="DR24" s="170">
        <f t="shared" si="50"/>
        <v>294.01964641205086</v>
      </c>
      <c r="DS24" s="303">
        <v>48000</v>
      </c>
      <c r="DT24" s="168">
        <v>240</v>
      </c>
      <c r="DU24" s="170">
        <f t="shared" si="51"/>
        <v>200</v>
      </c>
      <c r="DV24" s="3">
        <f t="shared" si="52"/>
        <v>290566.20828994201</v>
      </c>
      <c r="DW24" s="97">
        <f t="shared" si="53"/>
        <v>1065</v>
      </c>
      <c r="DX24" s="172">
        <f t="shared" si="54"/>
        <v>272.83212046003945</v>
      </c>
      <c r="DY24" s="167">
        <v>0</v>
      </c>
      <c r="DZ24" s="168">
        <v>0</v>
      </c>
      <c r="EA24" s="170">
        <f t="shared" si="55"/>
        <v>0</v>
      </c>
      <c r="EB24" s="167">
        <v>0</v>
      </c>
      <c r="EC24" s="168">
        <v>0</v>
      </c>
      <c r="ED24" s="170">
        <f t="shared" si="56"/>
        <v>0</v>
      </c>
      <c r="EE24" s="167">
        <v>0</v>
      </c>
      <c r="EF24" s="168">
        <v>0</v>
      </c>
      <c r="EG24" s="170">
        <f t="shared" si="57"/>
        <v>0</v>
      </c>
      <c r="EH24" s="3">
        <f t="shared" si="58"/>
        <v>0</v>
      </c>
      <c r="EI24" s="97">
        <f t="shared" si="59"/>
        <v>0</v>
      </c>
      <c r="EJ24" s="172">
        <f t="shared" si="60"/>
        <v>0</v>
      </c>
    </row>
    <row r="25" spans="2:140">
      <c r="B25" t="s">
        <v>150</v>
      </c>
      <c r="C25" t="s">
        <v>146</v>
      </c>
      <c r="D25">
        <f>VLOOKUP(B25,Dates!$B$2:$E$53,4,FALSE)</f>
        <v>21</v>
      </c>
      <c r="E25" s="168" t="b">
        <f>IF(D25&lt;='RDG Weekly Sales'!$F$1,TRUE,FALSE)</f>
        <v>1</v>
      </c>
      <c r="F25" s="303">
        <v>723046</v>
      </c>
      <c r="G25" s="168">
        <v>4127</v>
      </c>
      <c r="H25" s="170">
        <f t="shared" si="10"/>
        <v>175.19893385025443</v>
      </c>
      <c r="I25" s="167">
        <v>723045</v>
      </c>
      <c r="J25" s="168">
        <v>4127</v>
      </c>
      <c r="K25" s="170">
        <f t="shared" si="11"/>
        <v>175.19869154349405</v>
      </c>
      <c r="L25" s="303">
        <v>38888</v>
      </c>
      <c r="M25" s="168">
        <v>305</v>
      </c>
      <c r="N25" s="170">
        <f t="shared" si="12"/>
        <v>127.5016393442623</v>
      </c>
      <c r="O25" s="167">
        <v>37910</v>
      </c>
      <c r="P25" s="168">
        <v>305</v>
      </c>
      <c r="Q25" s="170">
        <f t="shared" si="13"/>
        <v>124.29508196721312</v>
      </c>
      <c r="R25" s="3">
        <f t="shared" si="0"/>
        <v>761934</v>
      </c>
      <c r="S25" s="97">
        <f t="shared" si="1"/>
        <v>4432</v>
      </c>
      <c r="T25" s="170">
        <f t="shared" si="14"/>
        <v>171.91651624548737</v>
      </c>
      <c r="U25" s="3">
        <f t="shared" si="2"/>
        <v>760955</v>
      </c>
      <c r="V25" s="97">
        <f t="shared" si="3"/>
        <v>4432</v>
      </c>
      <c r="W25" s="172">
        <f t="shared" si="15"/>
        <v>171.69562274368232</v>
      </c>
      <c r="X25" s="167">
        <v>25034.76862745098</v>
      </c>
      <c r="Y25" s="168">
        <v>83</v>
      </c>
      <c r="Z25" s="170">
        <f t="shared" si="16"/>
        <v>301.62371840302387</v>
      </c>
      <c r="AA25" s="167">
        <v>21363</v>
      </c>
      <c r="AB25" s="168">
        <v>83</v>
      </c>
      <c r="AC25" s="170">
        <f t="shared" si="17"/>
        <v>257.3855421686747</v>
      </c>
      <c r="AD25" s="167">
        <v>61108.453886393683</v>
      </c>
      <c r="AE25" s="168">
        <v>339</v>
      </c>
      <c r="AF25" s="170">
        <f t="shared" si="18"/>
        <v>180.26092591856545</v>
      </c>
      <c r="AG25" s="167">
        <v>67751</v>
      </c>
      <c r="AH25" s="168">
        <v>339</v>
      </c>
      <c r="AI25" s="170">
        <f t="shared" si="19"/>
        <v>199.85545722713863</v>
      </c>
      <c r="AJ25" s="167">
        <v>239437.97218592966</v>
      </c>
      <c r="AK25" s="168">
        <v>908.19999999999993</v>
      </c>
      <c r="AL25" s="170">
        <f t="shared" si="20"/>
        <v>263.64013673852639</v>
      </c>
      <c r="AM25" s="167">
        <v>247507</v>
      </c>
      <c r="AN25" s="168">
        <v>956</v>
      </c>
      <c r="AO25" s="170">
        <f t="shared" si="21"/>
        <v>258.89853556485355</v>
      </c>
      <c r="AP25" s="167">
        <f t="shared" si="4"/>
        <v>325581.19469977432</v>
      </c>
      <c r="AQ25" s="168">
        <f t="shared" si="5"/>
        <v>1330.1999999999998</v>
      </c>
      <c r="AR25" s="172">
        <f t="shared" si="22"/>
        <v>244.76108457357867</v>
      </c>
      <c r="AS25" s="167">
        <f t="shared" si="6"/>
        <v>336621</v>
      </c>
      <c r="AT25" s="168">
        <f t="shared" si="7"/>
        <v>1378</v>
      </c>
      <c r="AU25" s="172">
        <f t="shared" si="23"/>
        <v>244.28229317851958</v>
      </c>
      <c r="AV25" s="167">
        <v>182827.99059157143</v>
      </c>
      <c r="AW25" s="168">
        <v>1716</v>
      </c>
      <c r="AX25" s="170">
        <f t="shared" si="24"/>
        <v>106.54311806035631</v>
      </c>
      <c r="AY25" s="167">
        <v>28578.773184445141</v>
      </c>
      <c r="AZ25" s="168">
        <v>405</v>
      </c>
      <c r="BA25" s="170">
        <f t="shared" si="25"/>
        <v>70.564872060358368</v>
      </c>
      <c r="BB25" s="167">
        <v>39743.553305177731</v>
      </c>
      <c r="BC25" s="168">
        <v>292</v>
      </c>
      <c r="BD25" s="170">
        <f t="shared" si="26"/>
        <v>136.10805926430729</v>
      </c>
      <c r="BE25" s="3">
        <f t="shared" si="27"/>
        <v>251150.31708119428</v>
      </c>
      <c r="BF25" s="97">
        <f t="shared" si="28"/>
        <v>2413</v>
      </c>
      <c r="BG25" s="172">
        <f t="shared" si="29"/>
        <v>104.08218693791723</v>
      </c>
      <c r="BH25" s="167">
        <v>186664</v>
      </c>
      <c r="BI25" s="168">
        <v>1716</v>
      </c>
      <c r="BJ25" s="170">
        <f t="shared" si="30"/>
        <v>108.77855477855478</v>
      </c>
      <c r="BK25" s="167">
        <v>32725</v>
      </c>
      <c r="BL25" s="168">
        <v>405</v>
      </c>
      <c r="BM25" s="170">
        <f t="shared" si="31"/>
        <v>80.802469135802468</v>
      </c>
      <c r="BN25" s="167">
        <v>37013</v>
      </c>
      <c r="BO25" s="168">
        <v>292</v>
      </c>
      <c r="BP25" s="170">
        <f t="shared" si="32"/>
        <v>126.75684931506849</v>
      </c>
      <c r="BQ25" s="3">
        <f t="shared" si="33"/>
        <v>256402</v>
      </c>
      <c r="BR25" s="97">
        <f t="shared" si="33"/>
        <v>2413</v>
      </c>
      <c r="BS25" s="172">
        <f t="shared" si="34"/>
        <v>106.25859925404062</v>
      </c>
      <c r="BT25" s="303">
        <v>198875</v>
      </c>
      <c r="BU25" s="168">
        <v>1163</v>
      </c>
      <c r="BV25" s="170">
        <f t="shared" si="35"/>
        <v>171.00171969045573</v>
      </c>
      <c r="BW25" s="303">
        <v>513789</v>
      </c>
      <c r="BX25" s="168">
        <v>3237</v>
      </c>
      <c r="BY25" s="170">
        <f t="shared" si="36"/>
        <v>158.72381835032436</v>
      </c>
      <c r="BZ25" s="3">
        <f t="shared" si="37"/>
        <v>712664</v>
      </c>
      <c r="CA25" s="97">
        <f t="shared" si="37"/>
        <v>4400</v>
      </c>
      <c r="CB25" s="172">
        <f t="shared" si="38"/>
        <v>161.96909090909091</v>
      </c>
      <c r="CC25" s="167">
        <v>204007</v>
      </c>
      <c r="CD25" s="168">
        <v>1238</v>
      </c>
      <c r="CE25" s="170">
        <f t="shared" si="39"/>
        <v>164.78756058158319</v>
      </c>
      <c r="CF25" s="167">
        <v>513789</v>
      </c>
      <c r="CG25" s="168">
        <v>3237</v>
      </c>
      <c r="CH25" s="170">
        <f t="shared" si="40"/>
        <v>158.72381835032436</v>
      </c>
      <c r="CI25" s="3">
        <f t="shared" si="41"/>
        <v>717796</v>
      </c>
      <c r="CJ25" s="97">
        <f t="shared" si="42"/>
        <v>4475</v>
      </c>
      <c r="CK25" s="172">
        <f t="shared" si="43"/>
        <v>160.4013407821229</v>
      </c>
      <c r="CL25" s="167">
        <v>0</v>
      </c>
      <c r="CM25" s="168"/>
      <c r="CN25" s="170">
        <v>0</v>
      </c>
      <c r="CO25" s="167">
        <v>340810</v>
      </c>
      <c r="CP25" s="168">
        <v>2109</v>
      </c>
      <c r="CQ25" s="170">
        <v>161.59791370317686</v>
      </c>
      <c r="CR25" s="3">
        <v>340810</v>
      </c>
      <c r="CS25" s="97">
        <v>2109</v>
      </c>
      <c r="CT25" s="172">
        <v>161.59791370317686</v>
      </c>
      <c r="CU25" s="309">
        <v>35542.566981082782</v>
      </c>
      <c r="CV25" s="310">
        <v>405</v>
      </c>
      <c r="CW25" s="170">
        <v>87.759424644648846</v>
      </c>
      <c r="CX25" s="309">
        <v>315660.21220526088</v>
      </c>
      <c r="CY25" s="310">
        <v>1985.5</v>
      </c>
      <c r="CZ25" s="170">
        <v>158.98273090166754</v>
      </c>
      <c r="DA25" s="3">
        <f t="shared" si="45"/>
        <v>351202.77918634366</v>
      </c>
      <c r="DB25" s="97">
        <f t="shared" si="45"/>
        <v>2390.5</v>
      </c>
      <c r="DC25" s="172">
        <f t="shared" si="46"/>
        <v>146.9160339620764</v>
      </c>
      <c r="DD25" s="303">
        <v>197718.39999999999</v>
      </c>
      <c r="DE25" s="168">
        <v>1780.4</v>
      </c>
      <c r="DF25" s="170">
        <f t="shared" si="47"/>
        <v>111.05279712424174</v>
      </c>
      <c r="DG25" s="303">
        <v>54690</v>
      </c>
      <c r="DH25" s="168">
        <v>660</v>
      </c>
      <c r="DI25" s="170">
        <f t="shared" si="8"/>
        <v>82.86363636363636</v>
      </c>
      <c r="DJ25" s="167">
        <v>0</v>
      </c>
      <c r="DK25" s="168">
        <v>0</v>
      </c>
      <c r="DL25" s="170">
        <v>0</v>
      </c>
      <c r="DM25" s="3">
        <f t="shared" si="9"/>
        <v>252408.4</v>
      </c>
      <c r="DN25" s="97">
        <f t="shared" si="48"/>
        <v>2440.4</v>
      </c>
      <c r="DO25" s="172">
        <f t="shared" si="49"/>
        <v>103.42910998197016</v>
      </c>
      <c r="DP25" s="303">
        <v>242566.20828994198</v>
      </c>
      <c r="DQ25" s="168">
        <v>825</v>
      </c>
      <c r="DR25" s="170">
        <f t="shared" si="50"/>
        <v>294.01964641205086</v>
      </c>
      <c r="DS25" s="303">
        <v>89000</v>
      </c>
      <c r="DT25" s="168">
        <v>445</v>
      </c>
      <c r="DU25" s="170">
        <f t="shared" si="51"/>
        <v>200</v>
      </c>
      <c r="DV25" s="3">
        <f t="shared" si="52"/>
        <v>331566.20828994201</v>
      </c>
      <c r="DW25" s="97">
        <f t="shared" si="53"/>
        <v>1270</v>
      </c>
      <c r="DX25" s="172">
        <f t="shared" si="54"/>
        <v>261.07575455900945</v>
      </c>
      <c r="DY25" s="167">
        <v>0</v>
      </c>
      <c r="DZ25" s="168">
        <v>0</v>
      </c>
      <c r="EA25" s="170">
        <f t="shared" si="55"/>
        <v>0</v>
      </c>
      <c r="EB25" s="167">
        <v>0</v>
      </c>
      <c r="EC25" s="168">
        <v>0</v>
      </c>
      <c r="ED25" s="170">
        <f t="shared" si="56"/>
        <v>0</v>
      </c>
      <c r="EE25" s="167">
        <v>0</v>
      </c>
      <c r="EF25" s="168">
        <v>0</v>
      </c>
      <c r="EG25" s="170">
        <f t="shared" si="57"/>
        <v>0</v>
      </c>
      <c r="EH25" s="3">
        <f t="shared" si="58"/>
        <v>0</v>
      </c>
      <c r="EI25" s="97">
        <f t="shared" si="59"/>
        <v>0</v>
      </c>
      <c r="EJ25" s="172">
        <f t="shared" si="60"/>
        <v>0</v>
      </c>
    </row>
    <row r="26" spans="2:140">
      <c r="B26" t="s">
        <v>153</v>
      </c>
      <c r="C26" t="s">
        <v>152</v>
      </c>
      <c r="D26">
        <f>VLOOKUP(B26,Dates!$B$2:$E$53,4,FALSE)</f>
        <v>22</v>
      </c>
      <c r="E26" s="168" t="b">
        <f>IF(D26&lt;='RDG Weekly Sales'!$F$1,TRUE,FALSE)</f>
        <v>1</v>
      </c>
      <c r="F26" s="303">
        <v>534908</v>
      </c>
      <c r="G26" s="168">
        <v>3551</v>
      </c>
      <c r="H26" s="170">
        <f t="shared" si="10"/>
        <v>150.63587721768516</v>
      </c>
      <c r="I26" s="167">
        <v>537456</v>
      </c>
      <c r="J26" s="168">
        <v>3551</v>
      </c>
      <c r="K26" s="170">
        <f t="shared" si="11"/>
        <v>151.35342157138834</v>
      </c>
      <c r="L26" s="303">
        <v>39072</v>
      </c>
      <c r="M26" s="168">
        <v>308</v>
      </c>
      <c r="N26" s="170">
        <f t="shared" si="12"/>
        <v>126.85714285714286</v>
      </c>
      <c r="O26" s="167">
        <v>35519</v>
      </c>
      <c r="P26" s="168">
        <v>308</v>
      </c>
      <c r="Q26" s="170">
        <f t="shared" si="13"/>
        <v>115.32142857142857</v>
      </c>
      <c r="R26" s="3">
        <f t="shared" si="0"/>
        <v>573980</v>
      </c>
      <c r="S26" s="97">
        <f t="shared" si="1"/>
        <v>3859</v>
      </c>
      <c r="T26" s="170">
        <f t="shared" si="14"/>
        <v>148.73801502980047</v>
      </c>
      <c r="U26" s="3">
        <f t="shared" si="2"/>
        <v>572975</v>
      </c>
      <c r="V26" s="97">
        <f t="shared" si="3"/>
        <v>3859</v>
      </c>
      <c r="W26" s="172">
        <f t="shared" si="15"/>
        <v>148.47758486654573</v>
      </c>
      <c r="X26" s="167">
        <v>22981.991973304474</v>
      </c>
      <c r="Y26" s="168">
        <v>89</v>
      </c>
      <c r="Z26" s="170">
        <f t="shared" si="16"/>
        <v>258.22462891353342</v>
      </c>
      <c r="AA26" s="167">
        <v>20198</v>
      </c>
      <c r="AB26" s="168">
        <v>89</v>
      </c>
      <c r="AC26" s="170">
        <f t="shared" si="17"/>
        <v>226.9438202247191</v>
      </c>
      <c r="AD26" s="167">
        <v>49246.323797173514</v>
      </c>
      <c r="AE26" s="168">
        <v>256</v>
      </c>
      <c r="AF26" s="170">
        <f t="shared" si="18"/>
        <v>192.36845233270904</v>
      </c>
      <c r="AG26" s="167">
        <v>55219</v>
      </c>
      <c r="AH26" s="168">
        <v>256</v>
      </c>
      <c r="AI26" s="170">
        <f t="shared" si="19"/>
        <v>215.69921875</v>
      </c>
      <c r="AJ26" s="167">
        <v>222896.03516224481</v>
      </c>
      <c r="AK26" s="168">
        <v>824.6</v>
      </c>
      <c r="AL26" s="170">
        <f t="shared" si="20"/>
        <v>270.30807077643078</v>
      </c>
      <c r="AM26" s="167">
        <v>250401</v>
      </c>
      <c r="AN26" s="168">
        <v>868</v>
      </c>
      <c r="AO26" s="170">
        <f t="shared" si="21"/>
        <v>288.48041474654377</v>
      </c>
      <c r="AP26" s="167">
        <f t="shared" si="4"/>
        <v>295124.35093272279</v>
      </c>
      <c r="AQ26" s="168">
        <f t="shared" si="5"/>
        <v>1169.5999999999999</v>
      </c>
      <c r="AR26" s="172">
        <f t="shared" si="22"/>
        <v>252.3293014130667</v>
      </c>
      <c r="AS26" s="167">
        <f t="shared" si="6"/>
        <v>325818</v>
      </c>
      <c r="AT26" s="168">
        <f t="shared" si="7"/>
        <v>1213</v>
      </c>
      <c r="AU26" s="172">
        <f t="shared" si="23"/>
        <v>268.6051112943116</v>
      </c>
      <c r="AV26" s="167">
        <v>150676.76587034753</v>
      </c>
      <c r="AW26" s="168">
        <v>1362</v>
      </c>
      <c r="AX26" s="170">
        <f t="shared" si="24"/>
        <v>110.62904983138586</v>
      </c>
      <c r="AY26" s="167">
        <v>16535.605001309246</v>
      </c>
      <c r="AZ26" s="168">
        <v>260</v>
      </c>
      <c r="BA26" s="170">
        <f t="shared" si="25"/>
        <v>63.598480774266335</v>
      </c>
      <c r="BB26" s="167">
        <v>30339.116008367393</v>
      </c>
      <c r="BC26" s="168">
        <v>208</v>
      </c>
      <c r="BD26" s="170">
        <f t="shared" si="26"/>
        <v>145.86113465561246</v>
      </c>
      <c r="BE26" s="3">
        <f t="shared" si="27"/>
        <v>197551.48688002417</v>
      </c>
      <c r="BF26" s="97">
        <f t="shared" si="28"/>
        <v>1830</v>
      </c>
      <c r="BG26" s="172">
        <f t="shared" si="29"/>
        <v>107.95163217487659</v>
      </c>
      <c r="BH26" s="167">
        <v>149972</v>
      </c>
      <c r="BI26" s="168">
        <v>1362</v>
      </c>
      <c r="BJ26" s="170">
        <f t="shared" si="30"/>
        <v>110.11160058737151</v>
      </c>
      <c r="BK26" s="167">
        <v>19844</v>
      </c>
      <c r="BL26" s="168">
        <v>260</v>
      </c>
      <c r="BM26" s="170">
        <f t="shared" si="31"/>
        <v>76.323076923076925</v>
      </c>
      <c r="BN26" s="167">
        <v>26397</v>
      </c>
      <c r="BO26" s="168">
        <v>208</v>
      </c>
      <c r="BP26" s="170">
        <f t="shared" si="32"/>
        <v>126.90865384615384</v>
      </c>
      <c r="BQ26" s="3">
        <f t="shared" si="33"/>
        <v>196213</v>
      </c>
      <c r="BR26" s="97">
        <f t="shared" si="33"/>
        <v>1830</v>
      </c>
      <c r="BS26" s="172">
        <f t="shared" si="34"/>
        <v>107.22021857923497</v>
      </c>
      <c r="BT26" s="303">
        <v>158492.32532065181</v>
      </c>
      <c r="BU26" s="168">
        <v>889</v>
      </c>
      <c r="BV26" s="170">
        <f t="shared" si="35"/>
        <v>178.28158078813476</v>
      </c>
      <c r="BW26" s="303">
        <v>451305.72697585396</v>
      </c>
      <c r="BX26" s="168">
        <v>2922</v>
      </c>
      <c r="BY26" s="170">
        <f t="shared" si="36"/>
        <v>154.45096747975836</v>
      </c>
      <c r="BZ26" s="3">
        <f t="shared" si="37"/>
        <v>609798.05229650578</v>
      </c>
      <c r="CA26" s="97">
        <f t="shared" si="37"/>
        <v>3811</v>
      </c>
      <c r="CB26" s="172">
        <f t="shared" si="38"/>
        <v>160.00998485870002</v>
      </c>
      <c r="CC26" s="167">
        <v>92485</v>
      </c>
      <c r="CD26" s="168">
        <v>889</v>
      </c>
      <c r="CE26" s="170">
        <f t="shared" si="39"/>
        <v>104.03262092238471</v>
      </c>
      <c r="CF26" s="167">
        <v>571312</v>
      </c>
      <c r="CG26" s="168">
        <v>2922</v>
      </c>
      <c r="CH26" s="170">
        <f t="shared" si="40"/>
        <v>195.52087611225187</v>
      </c>
      <c r="CI26" s="3">
        <f t="shared" si="41"/>
        <v>663797</v>
      </c>
      <c r="CJ26" s="97">
        <f t="shared" si="42"/>
        <v>3811</v>
      </c>
      <c r="CK26" s="172">
        <f t="shared" si="43"/>
        <v>174.17921805300446</v>
      </c>
      <c r="CL26" s="167">
        <v>0</v>
      </c>
      <c r="CM26" s="168"/>
      <c r="CN26" s="170">
        <v>0</v>
      </c>
      <c r="CO26" s="167">
        <v>276779</v>
      </c>
      <c r="CP26" s="168">
        <v>1633</v>
      </c>
      <c r="CQ26" s="170">
        <v>169.49112063686468</v>
      </c>
      <c r="CR26" s="3">
        <v>276779</v>
      </c>
      <c r="CS26" s="97">
        <v>1633</v>
      </c>
      <c r="CT26" s="172">
        <v>169.49112063686468</v>
      </c>
      <c r="CU26" s="309">
        <v>35542.566981082782</v>
      </c>
      <c r="CV26" s="310">
        <v>405</v>
      </c>
      <c r="CW26" s="170">
        <v>87.759424644648846</v>
      </c>
      <c r="CX26" s="309">
        <v>275000.96684131597</v>
      </c>
      <c r="CY26" s="310">
        <v>1729</v>
      </c>
      <c r="CZ26" s="170">
        <v>159.05203403199303</v>
      </c>
      <c r="DA26" s="3">
        <f t="shared" si="45"/>
        <v>310543.53382239875</v>
      </c>
      <c r="DB26" s="97">
        <f t="shared" si="45"/>
        <v>2134</v>
      </c>
      <c r="DC26" s="172">
        <f t="shared" si="46"/>
        <v>145.52180591490099</v>
      </c>
      <c r="DD26" s="303">
        <v>179423.17799999999</v>
      </c>
      <c r="DE26" s="168">
        <v>1622.143</v>
      </c>
      <c r="DF26" s="170">
        <f t="shared" si="47"/>
        <v>110.60873054964944</v>
      </c>
      <c r="DG26" s="303">
        <v>64700</v>
      </c>
      <c r="DH26" s="168">
        <v>800</v>
      </c>
      <c r="DI26" s="170">
        <f t="shared" si="8"/>
        <v>80.875</v>
      </c>
      <c r="DJ26" s="167">
        <v>0</v>
      </c>
      <c r="DK26" s="168">
        <v>0</v>
      </c>
      <c r="DL26" s="170">
        <v>0</v>
      </c>
      <c r="DM26" s="3">
        <f t="shared" si="9"/>
        <v>244123.17799999999</v>
      </c>
      <c r="DN26" s="97">
        <f t="shared" si="48"/>
        <v>2422.143</v>
      </c>
      <c r="DO26" s="172">
        <f t="shared" si="49"/>
        <v>100.78809467483958</v>
      </c>
      <c r="DP26" s="303">
        <v>228244.29347218803</v>
      </c>
      <c r="DQ26" s="168">
        <v>825</v>
      </c>
      <c r="DR26" s="170">
        <f t="shared" si="50"/>
        <v>276.6597496632582</v>
      </c>
      <c r="DS26" s="303">
        <v>89000</v>
      </c>
      <c r="DT26" s="168">
        <v>445</v>
      </c>
      <c r="DU26" s="170">
        <f t="shared" si="51"/>
        <v>200</v>
      </c>
      <c r="DV26" s="3">
        <f t="shared" si="52"/>
        <v>317244.29347218806</v>
      </c>
      <c r="DW26" s="97">
        <f t="shared" si="53"/>
        <v>1270</v>
      </c>
      <c r="DX26" s="172">
        <f t="shared" si="54"/>
        <v>249.79865627731343</v>
      </c>
      <c r="DY26" s="167">
        <v>0</v>
      </c>
      <c r="DZ26" s="168">
        <v>0</v>
      </c>
      <c r="EA26" s="170">
        <f t="shared" si="55"/>
        <v>0</v>
      </c>
      <c r="EB26" s="167">
        <v>0</v>
      </c>
      <c r="EC26" s="168">
        <v>0</v>
      </c>
      <c r="ED26" s="170">
        <f t="shared" si="56"/>
        <v>0</v>
      </c>
      <c r="EE26" s="167">
        <v>0</v>
      </c>
      <c r="EF26" s="168">
        <v>0</v>
      </c>
      <c r="EG26" s="170">
        <f t="shared" si="57"/>
        <v>0</v>
      </c>
      <c r="EH26" s="3">
        <f t="shared" si="58"/>
        <v>0</v>
      </c>
      <c r="EI26" s="97">
        <f t="shared" si="59"/>
        <v>0</v>
      </c>
      <c r="EJ26" s="172">
        <f t="shared" si="60"/>
        <v>0</v>
      </c>
    </row>
    <row r="27" spans="2:140">
      <c r="B27" t="s">
        <v>154</v>
      </c>
      <c r="C27" t="s">
        <v>152</v>
      </c>
      <c r="D27">
        <f>VLOOKUP(B27,Dates!$B$2:$E$53,4,FALSE)</f>
        <v>23</v>
      </c>
      <c r="E27" s="168" t="b">
        <f>IF(D27&lt;='RDG Weekly Sales'!$F$1,TRUE,FALSE)</f>
        <v>1</v>
      </c>
      <c r="F27" s="303">
        <v>497221</v>
      </c>
      <c r="G27" s="168">
        <v>3308</v>
      </c>
      <c r="H27" s="170">
        <f t="shared" si="10"/>
        <v>150.30864570737606</v>
      </c>
      <c r="I27" s="167">
        <v>492749</v>
      </c>
      <c r="J27" s="168">
        <v>3308</v>
      </c>
      <c r="K27" s="170">
        <f t="shared" si="11"/>
        <v>148.95677146311971</v>
      </c>
      <c r="L27" s="303">
        <v>42750</v>
      </c>
      <c r="M27" s="168">
        <v>337</v>
      </c>
      <c r="N27" s="170">
        <f t="shared" si="12"/>
        <v>126.85459940652819</v>
      </c>
      <c r="O27" s="167">
        <v>45828</v>
      </c>
      <c r="P27" s="168">
        <v>337</v>
      </c>
      <c r="Q27" s="170">
        <f t="shared" si="13"/>
        <v>135.98813056379822</v>
      </c>
      <c r="R27" s="3">
        <f t="shared" si="0"/>
        <v>539971</v>
      </c>
      <c r="S27" s="97">
        <f t="shared" si="1"/>
        <v>3645</v>
      </c>
      <c r="T27" s="170">
        <f t="shared" si="14"/>
        <v>148.14019204389575</v>
      </c>
      <c r="U27" s="3">
        <f t="shared" si="2"/>
        <v>538577</v>
      </c>
      <c r="V27" s="97">
        <f t="shared" si="3"/>
        <v>3645</v>
      </c>
      <c r="W27" s="172">
        <f t="shared" si="15"/>
        <v>147.75775034293554</v>
      </c>
      <c r="X27" s="167">
        <v>20915.051106933999</v>
      </c>
      <c r="Y27" s="168">
        <v>81</v>
      </c>
      <c r="Z27" s="170">
        <f t="shared" si="16"/>
        <v>258.21050749301236</v>
      </c>
      <c r="AA27" s="167">
        <v>20874</v>
      </c>
      <c r="AB27" s="168">
        <v>81</v>
      </c>
      <c r="AC27" s="170">
        <f t="shared" si="17"/>
        <v>257.7037037037037</v>
      </c>
      <c r="AD27" s="167">
        <v>35805.003301019933</v>
      </c>
      <c r="AE27" s="168">
        <v>178</v>
      </c>
      <c r="AF27" s="170">
        <f t="shared" si="18"/>
        <v>201.15170393831423</v>
      </c>
      <c r="AG27" s="167">
        <v>36646</v>
      </c>
      <c r="AH27" s="168">
        <v>178</v>
      </c>
      <c r="AI27" s="170">
        <f t="shared" si="19"/>
        <v>205.87640449438203</v>
      </c>
      <c r="AJ27" s="167">
        <v>171082.36293946131</v>
      </c>
      <c r="AK27" s="168">
        <v>589</v>
      </c>
      <c r="AL27" s="170">
        <f t="shared" si="20"/>
        <v>290.46241585647084</v>
      </c>
      <c r="AM27" s="167">
        <v>169541</v>
      </c>
      <c r="AN27" s="168">
        <v>620</v>
      </c>
      <c r="AO27" s="170">
        <f t="shared" si="21"/>
        <v>273.4532258064516</v>
      </c>
      <c r="AP27" s="167">
        <f t="shared" si="4"/>
        <v>227802.41734741523</v>
      </c>
      <c r="AQ27" s="168">
        <f t="shared" si="5"/>
        <v>848</v>
      </c>
      <c r="AR27" s="172">
        <f t="shared" si="22"/>
        <v>268.63492611723495</v>
      </c>
      <c r="AS27" s="167">
        <f t="shared" si="6"/>
        <v>227061</v>
      </c>
      <c r="AT27" s="168">
        <f t="shared" si="7"/>
        <v>879</v>
      </c>
      <c r="AU27" s="172">
        <f t="shared" si="23"/>
        <v>258.31740614334473</v>
      </c>
      <c r="AV27" s="167">
        <v>155674.58579269532</v>
      </c>
      <c r="AW27" s="168">
        <v>1403</v>
      </c>
      <c r="AX27" s="170">
        <f t="shared" si="24"/>
        <v>110.95836478452981</v>
      </c>
      <c r="AY27" s="167">
        <v>16205.35716156062</v>
      </c>
      <c r="AZ27" s="168">
        <v>255</v>
      </c>
      <c r="BA27" s="170">
        <f t="shared" si="25"/>
        <v>63.550420241414194</v>
      </c>
      <c r="BB27" s="167">
        <v>24081.052335725552</v>
      </c>
      <c r="BC27" s="168">
        <v>171</v>
      </c>
      <c r="BD27" s="170">
        <f t="shared" si="26"/>
        <v>140.82486746038333</v>
      </c>
      <c r="BE27" s="3">
        <f t="shared" si="27"/>
        <v>195960.99528998148</v>
      </c>
      <c r="BF27" s="97">
        <f t="shared" si="28"/>
        <v>1829</v>
      </c>
      <c r="BG27" s="172">
        <f t="shared" si="29"/>
        <v>107.14105811371323</v>
      </c>
      <c r="BH27" s="167">
        <v>159081</v>
      </c>
      <c r="BI27" s="168">
        <v>1403</v>
      </c>
      <c r="BJ27" s="170">
        <f t="shared" si="30"/>
        <v>113.3863150392017</v>
      </c>
      <c r="BK27" s="167">
        <v>18567</v>
      </c>
      <c r="BL27" s="168">
        <v>255</v>
      </c>
      <c r="BM27" s="170">
        <f t="shared" si="31"/>
        <v>72.811764705882354</v>
      </c>
      <c r="BN27" s="167">
        <v>21683</v>
      </c>
      <c r="BO27" s="168">
        <v>183</v>
      </c>
      <c r="BP27" s="170">
        <f t="shared" si="32"/>
        <v>118.48633879781421</v>
      </c>
      <c r="BQ27" s="3">
        <f t="shared" si="33"/>
        <v>199331</v>
      </c>
      <c r="BR27" s="97">
        <f t="shared" si="33"/>
        <v>1841</v>
      </c>
      <c r="BS27" s="172">
        <f t="shared" si="34"/>
        <v>108.27322107550245</v>
      </c>
      <c r="BT27" s="303">
        <v>185568.16095120247</v>
      </c>
      <c r="BU27" s="168">
        <v>1017</v>
      </c>
      <c r="BV27" s="170">
        <f t="shared" si="35"/>
        <v>182.46623495693458</v>
      </c>
      <c r="BW27" s="303">
        <v>366265.74159352272</v>
      </c>
      <c r="BX27" s="168">
        <v>2425</v>
      </c>
      <c r="BY27" s="170">
        <f t="shared" si="36"/>
        <v>151.0374192138238</v>
      </c>
      <c r="BZ27" s="3">
        <f t="shared" si="37"/>
        <v>551833.90254472522</v>
      </c>
      <c r="CA27" s="97">
        <f t="shared" si="37"/>
        <v>3442</v>
      </c>
      <c r="CB27" s="172">
        <f t="shared" si="38"/>
        <v>160.32362072769473</v>
      </c>
      <c r="CC27" s="167">
        <v>138096</v>
      </c>
      <c r="CD27" s="168">
        <v>1017</v>
      </c>
      <c r="CE27" s="170">
        <f t="shared" si="39"/>
        <v>135.78761061946904</v>
      </c>
      <c r="CF27" s="167">
        <v>395301</v>
      </c>
      <c r="CG27" s="168">
        <v>2425</v>
      </c>
      <c r="CH27" s="170">
        <f t="shared" si="40"/>
        <v>163.01072164948454</v>
      </c>
      <c r="CI27" s="3">
        <f t="shared" si="41"/>
        <v>533397</v>
      </c>
      <c r="CJ27" s="97">
        <f t="shared" si="42"/>
        <v>3442</v>
      </c>
      <c r="CK27" s="172">
        <f t="shared" si="43"/>
        <v>154.96717024985475</v>
      </c>
      <c r="CL27" s="167">
        <v>0</v>
      </c>
      <c r="CM27" s="168"/>
      <c r="CN27" s="170">
        <v>0</v>
      </c>
      <c r="CO27" s="167">
        <v>313099</v>
      </c>
      <c r="CP27" s="168">
        <v>1915</v>
      </c>
      <c r="CQ27" s="170">
        <v>163.4981723237598</v>
      </c>
      <c r="CR27" s="3">
        <v>313099</v>
      </c>
      <c r="CS27" s="97">
        <v>1915</v>
      </c>
      <c r="CT27" s="172">
        <v>163.4981723237598</v>
      </c>
      <c r="CU27" s="309">
        <v>35542.566981082782</v>
      </c>
      <c r="CV27" s="310">
        <v>405</v>
      </c>
      <c r="CW27" s="170">
        <v>87.759424644648846</v>
      </c>
      <c r="CX27" s="309">
        <v>288132.11175057176</v>
      </c>
      <c r="CY27" s="310">
        <v>1816</v>
      </c>
      <c r="CZ27" s="170">
        <v>158.66305713137211</v>
      </c>
      <c r="DA27" s="3">
        <f t="shared" si="45"/>
        <v>323674.67873165454</v>
      </c>
      <c r="DB27" s="97">
        <f t="shared" si="45"/>
        <v>2221</v>
      </c>
      <c r="DC27" s="172">
        <f t="shared" si="46"/>
        <v>145.73375899669273</v>
      </c>
      <c r="DD27" s="303">
        <v>179423.17799999999</v>
      </c>
      <c r="DE27" s="168">
        <v>1622.143</v>
      </c>
      <c r="DF27" s="170">
        <f t="shared" si="47"/>
        <v>110.60873054964944</v>
      </c>
      <c r="DG27" s="303">
        <v>64700</v>
      </c>
      <c r="DH27" s="168">
        <v>800</v>
      </c>
      <c r="DI27" s="170">
        <f t="shared" si="8"/>
        <v>80.875</v>
      </c>
      <c r="DJ27" s="167">
        <v>0</v>
      </c>
      <c r="DK27" s="168">
        <v>0</v>
      </c>
      <c r="DL27" s="170">
        <v>0</v>
      </c>
      <c r="DM27" s="3">
        <f t="shared" si="9"/>
        <v>244123.17799999999</v>
      </c>
      <c r="DN27" s="97">
        <f t="shared" si="48"/>
        <v>2422.143</v>
      </c>
      <c r="DO27" s="172">
        <f t="shared" si="49"/>
        <v>100.78809467483958</v>
      </c>
      <c r="DP27" s="303">
        <v>228244.29347218803</v>
      </c>
      <c r="DQ27" s="168">
        <v>825</v>
      </c>
      <c r="DR27" s="170">
        <f t="shared" si="50"/>
        <v>276.6597496632582</v>
      </c>
      <c r="DS27" s="303">
        <v>89000</v>
      </c>
      <c r="DT27" s="168">
        <v>445</v>
      </c>
      <c r="DU27" s="170">
        <f t="shared" si="51"/>
        <v>200</v>
      </c>
      <c r="DV27" s="3">
        <f t="shared" si="52"/>
        <v>317244.29347218806</v>
      </c>
      <c r="DW27" s="97">
        <f t="shared" si="53"/>
        <v>1270</v>
      </c>
      <c r="DX27" s="172">
        <f t="shared" si="54"/>
        <v>249.79865627731343</v>
      </c>
      <c r="DY27" s="167">
        <v>0</v>
      </c>
      <c r="DZ27" s="168">
        <v>0</v>
      </c>
      <c r="EA27" s="170">
        <f t="shared" si="55"/>
        <v>0</v>
      </c>
      <c r="EB27" s="167">
        <v>0</v>
      </c>
      <c r="EC27" s="168">
        <v>0</v>
      </c>
      <c r="ED27" s="170">
        <f t="shared" si="56"/>
        <v>0</v>
      </c>
      <c r="EE27" s="167">
        <v>0</v>
      </c>
      <c r="EF27" s="168">
        <v>0</v>
      </c>
      <c r="EG27" s="170">
        <f t="shared" si="57"/>
        <v>0</v>
      </c>
      <c r="EH27" s="3">
        <f t="shared" si="58"/>
        <v>0</v>
      </c>
      <c r="EI27" s="97">
        <f t="shared" si="59"/>
        <v>0</v>
      </c>
      <c r="EJ27" s="172">
        <f t="shared" si="60"/>
        <v>0</v>
      </c>
    </row>
    <row r="28" spans="2:140">
      <c r="B28" t="s">
        <v>155</v>
      </c>
      <c r="C28" t="s">
        <v>152</v>
      </c>
      <c r="D28">
        <f>VLOOKUP(B28,Dates!$B$2:$E$53,4,FALSE)</f>
        <v>24</v>
      </c>
      <c r="E28" s="168" t="b">
        <f>IF(D28&lt;='RDG Weekly Sales'!$F$1,TRUE,FALSE)</f>
        <v>1</v>
      </c>
      <c r="F28" s="303">
        <v>502190</v>
      </c>
      <c r="G28" s="168">
        <v>3347</v>
      </c>
      <c r="H28" s="170">
        <f t="shared" si="10"/>
        <v>150.04182850313714</v>
      </c>
      <c r="I28" s="192">
        <v>503014</v>
      </c>
      <c r="J28" s="168">
        <v>3347</v>
      </c>
      <c r="K28" s="170">
        <f t="shared" si="11"/>
        <v>150.28801912160142</v>
      </c>
      <c r="L28" s="303">
        <v>54041</v>
      </c>
      <c r="M28" s="168">
        <v>426</v>
      </c>
      <c r="N28" s="170">
        <f t="shared" si="12"/>
        <v>126.85680751173709</v>
      </c>
      <c r="O28" s="191">
        <v>82630</v>
      </c>
      <c r="P28" s="168">
        <v>526</v>
      </c>
      <c r="Q28" s="170">
        <f t="shared" si="13"/>
        <v>157.09125475285171</v>
      </c>
      <c r="R28" s="3">
        <f t="shared" si="0"/>
        <v>556231</v>
      </c>
      <c r="S28" s="97">
        <f t="shared" si="1"/>
        <v>3773</v>
      </c>
      <c r="T28" s="170">
        <f t="shared" si="14"/>
        <v>147.42406573018818</v>
      </c>
      <c r="U28" s="3">
        <f t="shared" si="2"/>
        <v>585644</v>
      </c>
      <c r="V28" s="97">
        <f t="shared" si="3"/>
        <v>3873</v>
      </c>
      <c r="W28" s="172">
        <f t="shared" si="15"/>
        <v>151.21198037696877</v>
      </c>
      <c r="X28" s="167">
        <v>17361.658022898155</v>
      </c>
      <c r="Y28" s="168">
        <v>64</v>
      </c>
      <c r="Z28" s="170">
        <f t="shared" si="16"/>
        <v>271.27590660778367</v>
      </c>
      <c r="AA28" s="191">
        <v>16628</v>
      </c>
      <c r="AB28" s="168">
        <v>64</v>
      </c>
      <c r="AC28" s="170">
        <f t="shared" si="17"/>
        <v>259.8125</v>
      </c>
      <c r="AD28" s="167">
        <v>30385.545849720751</v>
      </c>
      <c r="AE28" s="168">
        <v>166</v>
      </c>
      <c r="AF28" s="170">
        <f t="shared" si="18"/>
        <v>183.04545692602861</v>
      </c>
      <c r="AG28" s="303">
        <v>29488</v>
      </c>
      <c r="AH28" s="168">
        <v>166</v>
      </c>
      <c r="AI28" s="170">
        <f t="shared" si="19"/>
        <v>177.63855421686748</v>
      </c>
      <c r="AJ28" s="167">
        <v>163294.90754619573</v>
      </c>
      <c r="AK28" s="168">
        <v>583.29999999999995</v>
      </c>
      <c r="AL28" s="170">
        <f t="shared" si="20"/>
        <v>279.95012437201393</v>
      </c>
      <c r="AM28" s="303">
        <v>178956</v>
      </c>
      <c r="AN28" s="168">
        <v>614</v>
      </c>
      <c r="AO28" s="170">
        <f t="shared" si="21"/>
        <v>291.45928338762212</v>
      </c>
      <c r="AP28" s="167">
        <f t="shared" si="4"/>
        <v>211042.11141881463</v>
      </c>
      <c r="AQ28" s="168">
        <f t="shared" si="5"/>
        <v>813.3</v>
      </c>
      <c r="AR28" s="172">
        <f t="shared" si="22"/>
        <v>259.48864062315829</v>
      </c>
      <c r="AS28" s="167">
        <f t="shared" si="6"/>
        <v>225072</v>
      </c>
      <c r="AT28" s="168">
        <f t="shared" si="7"/>
        <v>844</v>
      </c>
      <c r="AU28" s="172">
        <f t="shared" si="23"/>
        <v>266.67298578199052</v>
      </c>
      <c r="AV28" s="167">
        <v>186945.82313434908</v>
      </c>
      <c r="AW28" s="168">
        <v>1694</v>
      </c>
      <c r="AX28" s="170">
        <f t="shared" si="24"/>
        <v>110.35762876880111</v>
      </c>
      <c r="AY28" s="167">
        <v>29236.380911233304</v>
      </c>
      <c r="AZ28" s="168">
        <v>459</v>
      </c>
      <c r="BA28" s="170">
        <f t="shared" si="25"/>
        <v>63.695818978721796</v>
      </c>
      <c r="BB28" s="167">
        <v>30227.854050011265</v>
      </c>
      <c r="BC28" s="168">
        <v>224</v>
      </c>
      <c r="BD28" s="170">
        <f t="shared" si="26"/>
        <v>134.94577700897887</v>
      </c>
      <c r="BE28" s="3">
        <f t="shared" si="27"/>
        <v>246410.05809559365</v>
      </c>
      <c r="BF28" s="97">
        <f t="shared" si="28"/>
        <v>2377</v>
      </c>
      <c r="BG28" s="172">
        <f t="shared" si="29"/>
        <v>103.66430715001836</v>
      </c>
      <c r="BH28" s="191">
        <v>189637</v>
      </c>
      <c r="BI28" s="168">
        <v>1694</v>
      </c>
      <c r="BJ28" s="170">
        <f t="shared" si="30"/>
        <v>111.94628099173553</v>
      </c>
      <c r="BK28" s="167">
        <v>29550</v>
      </c>
      <c r="BL28" s="168">
        <v>459</v>
      </c>
      <c r="BM28" s="170">
        <f t="shared" si="31"/>
        <v>64.379084967320267</v>
      </c>
      <c r="BN28" s="191">
        <v>29118</v>
      </c>
      <c r="BO28" s="168">
        <v>224</v>
      </c>
      <c r="BP28" s="170">
        <f t="shared" si="32"/>
        <v>129.99107142857142</v>
      </c>
      <c r="BQ28" s="3">
        <f t="shared" si="33"/>
        <v>248305</v>
      </c>
      <c r="BR28" s="97">
        <f t="shared" si="33"/>
        <v>2377</v>
      </c>
      <c r="BS28" s="172">
        <f t="shared" si="34"/>
        <v>104.46150610012621</v>
      </c>
      <c r="BT28" s="303">
        <v>211094.76697451004</v>
      </c>
      <c r="BU28" s="168">
        <v>1163</v>
      </c>
      <c r="BV28" s="170">
        <f t="shared" si="35"/>
        <v>181.50882800903702</v>
      </c>
      <c r="BW28" s="303">
        <v>385961.18079768121</v>
      </c>
      <c r="BX28" s="168">
        <v>2549</v>
      </c>
      <c r="BY28" s="170">
        <f t="shared" si="36"/>
        <v>151.4167049029742</v>
      </c>
      <c r="BZ28" s="3">
        <f t="shared" si="37"/>
        <v>597055.94777219126</v>
      </c>
      <c r="CA28" s="97">
        <f t="shared" si="37"/>
        <v>3712</v>
      </c>
      <c r="CB28" s="172">
        <f t="shared" si="38"/>
        <v>160.84481351621531</v>
      </c>
      <c r="CC28" s="191">
        <v>152640</v>
      </c>
      <c r="CD28" s="168">
        <v>1163</v>
      </c>
      <c r="CE28" s="170">
        <f t="shared" si="39"/>
        <v>131.24677558039554</v>
      </c>
      <c r="CF28" s="191">
        <v>402740</v>
      </c>
      <c r="CG28" s="168">
        <v>2549</v>
      </c>
      <c r="CH28" s="170">
        <f t="shared" si="40"/>
        <v>157.99921537857983</v>
      </c>
      <c r="CI28" s="3">
        <f t="shared" si="41"/>
        <v>555380</v>
      </c>
      <c r="CJ28" s="97">
        <f t="shared" si="42"/>
        <v>3712</v>
      </c>
      <c r="CK28" s="172">
        <f t="shared" si="43"/>
        <v>149.61745689655172</v>
      </c>
      <c r="CL28" s="167">
        <v>0</v>
      </c>
      <c r="CM28" s="168"/>
      <c r="CN28" s="170">
        <v>0</v>
      </c>
      <c r="CO28" s="191">
        <v>310110</v>
      </c>
      <c r="CP28" s="168">
        <v>1969</v>
      </c>
      <c r="CQ28" s="170">
        <v>157.49619095987811</v>
      </c>
      <c r="CR28" s="3">
        <v>310110</v>
      </c>
      <c r="CS28" s="97">
        <v>1969</v>
      </c>
      <c r="CT28" s="172">
        <v>157.49619095987811</v>
      </c>
      <c r="CU28" s="309">
        <v>35542.566981082782</v>
      </c>
      <c r="CV28" s="310">
        <v>405</v>
      </c>
      <c r="CW28" s="170">
        <v>87.759424644648846</v>
      </c>
      <c r="CX28" s="309">
        <v>295390.93345419894</v>
      </c>
      <c r="CY28" s="310">
        <v>1867</v>
      </c>
      <c r="CZ28" s="170">
        <v>158.21688990583766</v>
      </c>
      <c r="DA28" s="3">
        <f t="shared" si="45"/>
        <v>330933.50043528172</v>
      </c>
      <c r="DB28" s="97">
        <f t="shared" si="45"/>
        <v>2272</v>
      </c>
      <c r="DC28" s="172">
        <f t="shared" si="46"/>
        <v>145.65735054369793</v>
      </c>
      <c r="DD28" s="303">
        <v>179423.17799999999</v>
      </c>
      <c r="DE28" s="168">
        <v>1622.143</v>
      </c>
      <c r="DF28" s="170">
        <f t="shared" si="47"/>
        <v>110.60873054964944</v>
      </c>
      <c r="DG28" s="303">
        <v>64700</v>
      </c>
      <c r="DH28" s="168">
        <v>800</v>
      </c>
      <c r="DI28" s="170">
        <f t="shared" si="8"/>
        <v>80.875</v>
      </c>
      <c r="DJ28" s="167">
        <v>0</v>
      </c>
      <c r="DK28" s="168">
        <v>0</v>
      </c>
      <c r="DL28" s="170">
        <v>0</v>
      </c>
      <c r="DM28" s="3">
        <f t="shared" si="9"/>
        <v>244123.17799999999</v>
      </c>
      <c r="DN28" s="97">
        <f t="shared" si="48"/>
        <v>2422.143</v>
      </c>
      <c r="DO28" s="172">
        <f t="shared" si="49"/>
        <v>100.78809467483958</v>
      </c>
      <c r="DP28" s="303">
        <v>228244.29347218803</v>
      </c>
      <c r="DQ28" s="168">
        <v>825</v>
      </c>
      <c r="DR28" s="170">
        <f t="shared" si="50"/>
        <v>276.6597496632582</v>
      </c>
      <c r="DS28" s="303">
        <v>89000</v>
      </c>
      <c r="DT28" s="168">
        <v>445</v>
      </c>
      <c r="DU28" s="170">
        <f t="shared" si="51"/>
        <v>200</v>
      </c>
      <c r="DV28" s="3">
        <f t="shared" si="52"/>
        <v>317244.29347218806</v>
      </c>
      <c r="DW28" s="97">
        <f t="shared" si="53"/>
        <v>1270</v>
      </c>
      <c r="DX28" s="172">
        <f t="shared" si="54"/>
        <v>249.79865627731343</v>
      </c>
      <c r="DY28" s="167">
        <v>0</v>
      </c>
      <c r="DZ28" s="168">
        <v>0</v>
      </c>
      <c r="EA28" s="170">
        <f t="shared" si="55"/>
        <v>0</v>
      </c>
      <c r="EB28" s="167">
        <v>0</v>
      </c>
      <c r="EC28" s="168">
        <v>0</v>
      </c>
      <c r="ED28" s="170">
        <f t="shared" si="56"/>
        <v>0</v>
      </c>
      <c r="EE28" s="167">
        <v>0</v>
      </c>
      <c r="EF28" s="168">
        <v>0</v>
      </c>
      <c r="EG28" s="170">
        <f t="shared" si="57"/>
        <v>0</v>
      </c>
      <c r="EH28" s="3">
        <f t="shared" si="58"/>
        <v>0</v>
      </c>
      <c r="EI28" s="97">
        <f t="shared" si="59"/>
        <v>0</v>
      </c>
      <c r="EJ28" s="172">
        <f t="shared" si="60"/>
        <v>0</v>
      </c>
    </row>
    <row r="29" spans="2:140">
      <c r="B29" t="s">
        <v>156</v>
      </c>
      <c r="C29" t="s">
        <v>152</v>
      </c>
      <c r="D29">
        <f>VLOOKUP(B29,Dates!$B$2:$E$53,4,FALSE)</f>
        <v>25</v>
      </c>
      <c r="E29" s="168" t="b">
        <f>IF(D29&lt;='RDG Weekly Sales'!$F$1,TRUE,FALSE)</f>
        <v>1</v>
      </c>
      <c r="F29" s="303">
        <v>703694</v>
      </c>
      <c r="G29" s="168">
        <v>4646</v>
      </c>
      <c r="H29" s="170">
        <f t="shared" si="10"/>
        <v>151.46233318984073</v>
      </c>
      <c r="I29" s="167">
        <v>561259</v>
      </c>
      <c r="J29" s="168">
        <v>2872</v>
      </c>
      <c r="K29" s="170">
        <f t="shared" si="11"/>
        <v>195.42444289693594</v>
      </c>
      <c r="L29" s="303">
        <v>37676</v>
      </c>
      <c r="M29" s="168">
        <v>297</v>
      </c>
      <c r="N29" s="170">
        <f t="shared" si="12"/>
        <v>126.85521885521885</v>
      </c>
      <c r="O29" s="167">
        <v>40847</v>
      </c>
      <c r="P29" s="168">
        <v>297</v>
      </c>
      <c r="Q29" s="170">
        <f t="shared" si="13"/>
        <v>137.53198653198652</v>
      </c>
      <c r="R29" s="3">
        <f t="shared" si="0"/>
        <v>741370</v>
      </c>
      <c r="S29" s="97">
        <f t="shared" si="1"/>
        <v>4943</v>
      </c>
      <c r="T29" s="170">
        <f t="shared" si="14"/>
        <v>149.98381549666195</v>
      </c>
      <c r="U29" s="3">
        <f t="shared" si="2"/>
        <v>602106</v>
      </c>
      <c r="V29" s="97">
        <f t="shared" si="3"/>
        <v>3169</v>
      </c>
      <c r="W29" s="172">
        <f t="shared" si="15"/>
        <v>189.99873777216789</v>
      </c>
      <c r="X29" s="167">
        <v>19524.6195669097</v>
      </c>
      <c r="Y29" s="168">
        <v>71</v>
      </c>
      <c r="Z29" s="170">
        <f t="shared" si="16"/>
        <v>274.99464178746058</v>
      </c>
      <c r="AA29" s="167">
        <v>21082</v>
      </c>
      <c r="AB29" s="168">
        <f>12+6+11+20+22</f>
        <v>71</v>
      </c>
      <c r="AC29" s="170">
        <f t="shared" si="17"/>
        <v>296.92957746478874</v>
      </c>
      <c r="AD29" s="167">
        <v>59624.699747851162</v>
      </c>
      <c r="AE29" s="168">
        <v>304</v>
      </c>
      <c r="AF29" s="170">
        <f t="shared" si="18"/>
        <v>196.13388074951041</v>
      </c>
      <c r="AG29" s="167">
        <v>43247</v>
      </c>
      <c r="AH29" s="168">
        <f>57+47+68+53</f>
        <v>225</v>
      </c>
      <c r="AI29" s="170">
        <f t="shared" si="19"/>
        <v>192.20888888888888</v>
      </c>
      <c r="AJ29" s="167">
        <v>310509.93397955812</v>
      </c>
      <c r="AK29" s="168">
        <v>1205.8</v>
      </c>
      <c r="AL29" s="170">
        <f t="shared" si="20"/>
        <v>257.51362910893857</v>
      </c>
      <c r="AM29" s="167">
        <v>211331</v>
      </c>
      <c r="AN29" s="168">
        <f>147+151+189+19+190+12</f>
        <v>708</v>
      </c>
      <c r="AO29" s="170">
        <f t="shared" si="21"/>
        <v>298.49011299435028</v>
      </c>
      <c r="AP29" s="167">
        <f t="shared" si="4"/>
        <v>389659.25329431897</v>
      </c>
      <c r="AQ29" s="168">
        <f t="shared" si="5"/>
        <v>1580.8</v>
      </c>
      <c r="AR29" s="172">
        <f t="shared" si="22"/>
        <v>246.49497298476658</v>
      </c>
      <c r="AS29" s="167">
        <f t="shared" si="6"/>
        <v>275660</v>
      </c>
      <c r="AT29" s="168">
        <f t="shared" si="7"/>
        <v>1004</v>
      </c>
      <c r="AU29" s="172">
        <f t="shared" si="23"/>
        <v>274.56175298804783</v>
      </c>
      <c r="AV29" s="167">
        <v>181732.0238155516</v>
      </c>
      <c r="AW29" s="168">
        <v>1645</v>
      </c>
      <c r="AX29" s="170">
        <f t="shared" si="24"/>
        <v>110.47539441674868</v>
      </c>
      <c r="AY29" s="167">
        <v>19045.323566378633</v>
      </c>
      <c r="AZ29" s="168">
        <v>299</v>
      </c>
      <c r="BA29" s="170">
        <f t="shared" si="25"/>
        <v>63.696734335714488</v>
      </c>
      <c r="BB29" s="167">
        <v>25754.254779390467</v>
      </c>
      <c r="BC29" s="168">
        <v>216</v>
      </c>
      <c r="BD29" s="170">
        <f t="shared" si="26"/>
        <v>119.23266101569661</v>
      </c>
      <c r="BE29" s="3">
        <f t="shared" si="27"/>
        <v>226531.60216132068</v>
      </c>
      <c r="BF29" s="97">
        <f t="shared" si="28"/>
        <v>2160</v>
      </c>
      <c r="BG29" s="172">
        <f t="shared" si="29"/>
        <v>104.87574174135217</v>
      </c>
      <c r="BH29" s="167">
        <v>178914</v>
      </c>
      <c r="BI29" s="168">
        <v>1645</v>
      </c>
      <c r="BJ29" s="170">
        <f t="shared" si="30"/>
        <v>108.76231003039514</v>
      </c>
      <c r="BK29" s="167">
        <v>22906</v>
      </c>
      <c r="BL29" s="168">
        <v>299</v>
      </c>
      <c r="BM29" s="170">
        <f t="shared" si="31"/>
        <v>76.608695652173907</v>
      </c>
      <c r="BN29" s="167">
        <v>39977</v>
      </c>
      <c r="BO29" s="168">
        <v>216</v>
      </c>
      <c r="BP29" s="170">
        <f t="shared" si="32"/>
        <v>185.0787037037037</v>
      </c>
      <c r="BQ29" s="3">
        <f t="shared" si="33"/>
        <v>241797</v>
      </c>
      <c r="BR29" s="97">
        <f t="shared" si="33"/>
        <v>2160</v>
      </c>
      <c r="BS29" s="172">
        <f t="shared" si="34"/>
        <v>111.94305555555556</v>
      </c>
      <c r="BT29" s="303">
        <v>320275</v>
      </c>
      <c r="BU29" s="168">
        <v>1589.75</v>
      </c>
      <c r="BV29" s="170">
        <f t="shared" si="35"/>
        <v>201.46249410284636</v>
      </c>
      <c r="BW29" s="303">
        <v>470742.1209233416</v>
      </c>
      <c r="BX29" s="168">
        <v>2907</v>
      </c>
      <c r="BY29" s="170">
        <f t="shared" si="36"/>
        <v>161.93399412567649</v>
      </c>
      <c r="BZ29" s="3">
        <f t="shared" si="37"/>
        <v>791017.1209233416</v>
      </c>
      <c r="CA29" s="97">
        <f t="shared" si="37"/>
        <v>4496.75</v>
      </c>
      <c r="CB29" s="172">
        <f t="shared" si="38"/>
        <v>175.90862754730452</v>
      </c>
      <c r="CC29" s="167">
        <v>137885</v>
      </c>
      <c r="CD29" s="168">
        <v>1124</v>
      </c>
      <c r="CE29" s="170">
        <f t="shared" si="39"/>
        <v>122.67348754448399</v>
      </c>
      <c r="CF29" s="167">
        <v>454775</v>
      </c>
      <c r="CG29" s="168">
        <v>2907</v>
      </c>
      <c r="CH29" s="170">
        <f t="shared" si="40"/>
        <v>156.44134846921224</v>
      </c>
      <c r="CI29" s="3">
        <f t="shared" si="41"/>
        <v>592660</v>
      </c>
      <c r="CJ29" s="97">
        <f t="shared" si="42"/>
        <v>4031</v>
      </c>
      <c r="CK29" s="172">
        <f t="shared" si="43"/>
        <v>147.02555197221534</v>
      </c>
      <c r="CL29" s="167">
        <v>0</v>
      </c>
      <c r="CM29" s="168"/>
      <c r="CN29" s="170">
        <v>0</v>
      </c>
      <c r="CO29" s="167">
        <v>290195</v>
      </c>
      <c r="CP29" s="168">
        <v>1835</v>
      </c>
      <c r="CQ29" s="170">
        <v>158.14441416893732</v>
      </c>
      <c r="CR29" s="3">
        <v>290195</v>
      </c>
      <c r="CS29" s="97">
        <v>1835</v>
      </c>
      <c r="CT29" s="172">
        <v>158.14441416893732</v>
      </c>
      <c r="CU29" s="309">
        <v>35542.566981082782</v>
      </c>
      <c r="CV29" s="310">
        <v>405</v>
      </c>
      <c r="CW29" s="170">
        <v>87.759424644648846</v>
      </c>
      <c r="CX29" s="309">
        <v>276788.89669069496</v>
      </c>
      <c r="CY29" s="310">
        <v>1739</v>
      </c>
      <c r="CZ29" s="170">
        <v>159.16555301362564</v>
      </c>
      <c r="DA29" s="3">
        <f t="shared" si="45"/>
        <v>312331.46367177775</v>
      </c>
      <c r="DB29" s="97">
        <f t="shared" si="45"/>
        <v>2144</v>
      </c>
      <c r="DC29" s="172">
        <f t="shared" si="46"/>
        <v>145.67698865288142</v>
      </c>
      <c r="DD29" s="303">
        <v>179423.17799999999</v>
      </c>
      <c r="DE29" s="168">
        <v>1622.143</v>
      </c>
      <c r="DF29" s="170">
        <f t="shared" si="47"/>
        <v>110.60873054964944</v>
      </c>
      <c r="DG29" s="303">
        <v>64700</v>
      </c>
      <c r="DH29" s="168">
        <v>800</v>
      </c>
      <c r="DI29" s="170">
        <f t="shared" si="8"/>
        <v>80.875</v>
      </c>
      <c r="DJ29" s="167">
        <v>0</v>
      </c>
      <c r="DK29" s="168">
        <v>0</v>
      </c>
      <c r="DL29" s="170">
        <v>0</v>
      </c>
      <c r="DM29" s="3">
        <f t="shared" si="9"/>
        <v>244123.17799999999</v>
      </c>
      <c r="DN29" s="97">
        <f t="shared" si="48"/>
        <v>2422.143</v>
      </c>
      <c r="DO29" s="172">
        <f t="shared" si="49"/>
        <v>100.78809467483958</v>
      </c>
      <c r="DP29" s="303">
        <v>228244.29347218803</v>
      </c>
      <c r="DQ29" s="168">
        <v>825</v>
      </c>
      <c r="DR29" s="170">
        <f t="shared" si="50"/>
        <v>276.6597496632582</v>
      </c>
      <c r="DS29" s="303">
        <v>89000</v>
      </c>
      <c r="DT29" s="168">
        <v>445</v>
      </c>
      <c r="DU29" s="170">
        <f t="shared" si="51"/>
        <v>200</v>
      </c>
      <c r="DV29" s="3">
        <f t="shared" si="52"/>
        <v>317244.29347218806</v>
      </c>
      <c r="DW29" s="97">
        <f t="shared" si="53"/>
        <v>1270</v>
      </c>
      <c r="DX29" s="172">
        <f t="shared" si="54"/>
        <v>249.79865627731343</v>
      </c>
      <c r="DY29" s="167">
        <v>0</v>
      </c>
      <c r="DZ29" s="168">
        <v>0</v>
      </c>
      <c r="EA29" s="170">
        <f t="shared" si="55"/>
        <v>0</v>
      </c>
      <c r="EB29" s="167">
        <v>0</v>
      </c>
      <c r="EC29" s="168">
        <v>0</v>
      </c>
      <c r="ED29" s="170">
        <f t="shared" si="56"/>
        <v>0</v>
      </c>
      <c r="EE29" s="167">
        <v>0</v>
      </c>
      <c r="EF29" s="168">
        <v>0</v>
      </c>
      <c r="EG29" s="170">
        <f t="shared" si="57"/>
        <v>0</v>
      </c>
      <c r="EH29" s="3">
        <f t="shared" si="58"/>
        <v>0</v>
      </c>
      <c r="EI29" s="97">
        <f t="shared" si="59"/>
        <v>0</v>
      </c>
      <c r="EJ29" s="172">
        <f t="shared" si="60"/>
        <v>0</v>
      </c>
    </row>
    <row r="30" spans="2:140">
      <c r="B30" t="s">
        <v>157</v>
      </c>
      <c r="C30" t="s">
        <v>152</v>
      </c>
      <c r="D30">
        <f>VLOOKUP(B30,Dates!$B$2:$E$53,4,FALSE)</f>
        <v>26</v>
      </c>
      <c r="E30" s="168" t="b">
        <f>IF(D30&lt;='RDG Weekly Sales'!$F$1,TRUE,FALSE)</f>
        <v>1</v>
      </c>
      <c r="F30" s="303">
        <v>596895</v>
      </c>
      <c r="G30" s="168">
        <v>3973</v>
      </c>
      <c r="H30" s="170">
        <f t="shared" si="10"/>
        <v>150.23785552479234</v>
      </c>
      <c r="I30" s="167">
        <v>537121.52</v>
      </c>
      <c r="J30" s="168">
        <v>3326</v>
      </c>
      <c r="K30" s="170">
        <f t="shared" si="11"/>
        <v>161.49173782321108</v>
      </c>
      <c r="L30" s="303">
        <v>28289</v>
      </c>
      <c r="M30" s="168">
        <v>223</v>
      </c>
      <c r="N30" s="170">
        <f t="shared" si="12"/>
        <v>126.85650224215247</v>
      </c>
      <c r="O30" s="167">
        <v>28367.3</v>
      </c>
      <c r="P30" s="168">
        <v>223</v>
      </c>
      <c r="Q30" s="170">
        <f t="shared" si="13"/>
        <v>127.20762331838564</v>
      </c>
      <c r="R30" s="3">
        <f t="shared" si="0"/>
        <v>625184</v>
      </c>
      <c r="S30" s="97">
        <f t="shared" si="1"/>
        <v>4196</v>
      </c>
      <c r="T30" s="170">
        <f t="shared" si="14"/>
        <v>148.99523355576738</v>
      </c>
      <c r="U30" s="3">
        <f t="shared" si="2"/>
        <v>565488.82000000007</v>
      </c>
      <c r="V30" s="97">
        <f t="shared" si="3"/>
        <v>3549</v>
      </c>
      <c r="W30" s="172">
        <f t="shared" si="15"/>
        <v>159.33750915750917</v>
      </c>
      <c r="X30" s="167">
        <v>16016.679329953671</v>
      </c>
      <c r="Y30" s="168">
        <v>61</v>
      </c>
      <c r="Z30" s="170">
        <f t="shared" si="16"/>
        <v>262.56851360579788</v>
      </c>
      <c r="AA30" s="167">
        <v>18017.25</v>
      </c>
      <c r="AB30" s="168">
        <v>61</v>
      </c>
      <c r="AC30" s="170">
        <f t="shared" si="17"/>
        <v>295.36475409836066</v>
      </c>
      <c r="AD30" s="167">
        <v>57733.424820912871</v>
      </c>
      <c r="AE30" s="168">
        <v>324</v>
      </c>
      <c r="AF30" s="170">
        <f t="shared" si="18"/>
        <v>178.18958278059529</v>
      </c>
      <c r="AG30" s="167">
        <f>19809.25+9745.75</f>
        <v>29555</v>
      </c>
      <c r="AH30" s="168">
        <f>102+22+41+74</f>
        <v>239</v>
      </c>
      <c r="AI30" s="170">
        <f t="shared" si="19"/>
        <v>123.66108786610879</v>
      </c>
      <c r="AJ30" s="167">
        <v>298316.30824708805</v>
      </c>
      <c r="AK30" s="168">
        <v>1178.45</v>
      </c>
      <c r="AL30" s="170">
        <f t="shared" si="20"/>
        <v>253.14294899833513</v>
      </c>
      <c r="AM30" s="167">
        <f>144121.5+18017.25</f>
        <v>162138.75</v>
      </c>
      <c r="AN30" s="168">
        <f>95+63+127+199+14+218+19</f>
        <v>735</v>
      </c>
      <c r="AO30" s="170">
        <f t="shared" si="21"/>
        <v>220.59693877551021</v>
      </c>
      <c r="AP30" s="167">
        <f t="shared" si="4"/>
        <v>372066.41239795461</v>
      </c>
      <c r="AQ30" s="168">
        <f t="shared" si="5"/>
        <v>1563.45</v>
      </c>
      <c r="AR30" s="172">
        <f t="shared" si="22"/>
        <v>237.97781342412907</v>
      </c>
      <c r="AS30" s="167">
        <f t="shared" si="6"/>
        <v>209711</v>
      </c>
      <c r="AT30" s="168">
        <f t="shared" si="7"/>
        <v>1035</v>
      </c>
      <c r="AU30" s="172">
        <f t="shared" si="23"/>
        <v>202.6193236714976</v>
      </c>
      <c r="AV30" s="167">
        <v>166076.80138705653</v>
      </c>
      <c r="AW30" s="168">
        <v>1493</v>
      </c>
      <c r="AX30" s="170">
        <f t="shared" si="24"/>
        <v>111.23697346755294</v>
      </c>
      <c r="AY30" s="167">
        <v>18513.262974600679</v>
      </c>
      <c r="AZ30" s="168">
        <v>291</v>
      </c>
      <c r="BA30" s="170">
        <f t="shared" si="25"/>
        <v>63.619460393816766</v>
      </c>
      <c r="BB30" s="167">
        <v>30030.722826505327</v>
      </c>
      <c r="BC30" s="168">
        <v>239</v>
      </c>
      <c r="BD30" s="170">
        <f t="shared" si="26"/>
        <v>125.65155994353694</v>
      </c>
      <c r="BE30" s="3">
        <f t="shared" si="27"/>
        <v>214620.78718816253</v>
      </c>
      <c r="BF30" s="97">
        <f t="shared" si="28"/>
        <v>2023</v>
      </c>
      <c r="BG30" s="172">
        <f t="shared" si="29"/>
        <v>106.09035451713422</v>
      </c>
      <c r="BH30" s="167">
        <f>180530.03-BK30-103.7</f>
        <v>160982.32999999999</v>
      </c>
      <c r="BI30" s="168">
        <f>1786-BL30</f>
        <v>1495</v>
      </c>
      <c r="BJ30" s="170">
        <f t="shared" si="30"/>
        <v>107.68048829431437</v>
      </c>
      <c r="BK30" s="167">
        <v>19444</v>
      </c>
      <c r="BL30" s="168">
        <v>291</v>
      </c>
      <c r="BM30" s="170">
        <f t="shared" si="31"/>
        <v>66.817869415807564</v>
      </c>
      <c r="BN30" s="167">
        <f>38711.97-551.07</f>
        <v>38160.9</v>
      </c>
      <c r="BO30" s="168">
        <v>261</v>
      </c>
      <c r="BP30" s="170">
        <f t="shared" si="32"/>
        <v>146.21034482758623</v>
      </c>
      <c r="BQ30" s="3">
        <f t="shared" si="33"/>
        <v>218587.22999999998</v>
      </c>
      <c r="BR30" s="97">
        <f t="shared" si="33"/>
        <v>2047</v>
      </c>
      <c r="BS30" s="172">
        <f t="shared" si="34"/>
        <v>106.78418661455788</v>
      </c>
      <c r="BT30" s="303">
        <v>279568</v>
      </c>
      <c r="BU30" s="168">
        <v>1369.6</v>
      </c>
      <c r="BV30" s="170">
        <f t="shared" si="35"/>
        <v>204.12383177570095</v>
      </c>
      <c r="BW30" s="303">
        <v>388812.68651795294</v>
      </c>
      <c r="BX30" s="168">
        <v>2393</v>
      </c>
      <c r="BY30" s="170">
        <f t="shared" si="36"/>
        <v>162.47918366817925</v>
      </c>
      <c r="BZ30" s="3">
        <f t="shared" si="37"/>
        <v>668380.68651795294</v>
      </c>
      <c r="CA30" s="97">
        <f t="shared" si="37"/>
        <v>3762.6</v>
      </c>
      <c r="CB30" s="172">
        <f t="shared" si="38"/>
        <v>177.63798610480862</v>
      </c>
      <c r="CC30" s="167">
        <v>94141.5</v>
      </c>
      <c r="CD30" s="168">
        <f>447+289</f>
        <v>736</v>
      </c>
      <c r="CE30" s="170">
        <f t="shared" si="39"/>
        <v>127.90964673913044</v>
      </c>
      <c r="CF30" s="167">
        <f>499988.95-3875.15-CC30</f>
        <v>401972.3</v>
      </c>
      <c r="CG30" s="168">
        <f>3275-CD30</f>
        <v>2539</v>
      </c>
      <c r="CH30" s="170">
        <f t="shared" si="40"/>
        <v>158.3191413942497</v>
      </c>
      <c r="CI30" s="3">
        <f t="shared" si="41"/>
        <v>496113.8</v>
      </c>
      <c r="CJ30" s="97">
        <f t="shared" si="42"/>
        <v>3275</v>
      </c>
      <c r="CK30" s="172">
        <f t="shared" si="43"/>
        <v>151.48512977099236</v>
      </c>
      <c r="CL30" s="167">
        <v>0</v>
      </c>
      <c r="CM30" s="168"/>
      <c r="CN30" s="170">
        <v>0</v>
      </c>
      <c r="CO30" s="167">
        <v>270671.75</v>
      </c>
      <c r="CP30" s="168">
        <v>1674</v>
      </c>
      <c r="CQ30" s="170">
        <v>161.69160692951016</v>
      </c>
      <c r="CR30" s="3">
        <v>270671.75</v>
      </c>
      <c r="CS30" s="97">
        <v>1674</v>
      </c>
      <c r="CT30" s="172">
        <v>161.69160692951016</v>
      </c>
      <c r="CU30" s="309">
        <v>35542.566981082782</v>
      </c>
      <c r="CV30" s="310">
        <v>405</v>
      </c>
      <c r="CW30" s="170">
        <v>87.759424644648846</v>
      </c>
      <c r="CX30" s="309">
        <v>251910.50534036281</v>
      </c>
      <c r="CY30" s="310">
        <v>1585</v>
      </c>
      <c r="CZ30" s="170">
        <v>158.934072769945</v>
      </c>
      <c r="DA30" s="3">
        <f t="shared" si="45"/>
        <v>287453.07232144556</v>
      </c>
      <c r="DB30" s="97">
        <f t="shared" si="45"/>
        <v>1990</v>
      </c>
      <c r="DC30" s="172">
        <f t="shared" si="46"/>
        <v>144.44878006102792</v>
      </c>
      <c r="DD30" s="303">
        <v>179423.17799999999</v>
      </c>
      <c r="DE30" s="168">
        <v>1622.143</v>
      </c>
      <c r="DF30" s="170">
        <f t="shared" si="47"/>
        <v>110.60873054964944</v>
      </c>
      <c r="DG30" s="303">
        <v>64700</v>
      </c>
      <c r="DH30" s="168">
        <v>800</v>
      </c>
      <c r="DI30" s="170">
        <f t="shared" si="8"/>
        <v>80.875</v>
      </c>
      <c r="DJ30" s="167">
        <v>0</v>
      </c>
      <c r="DK30" s="168">
        <v>0</v>
      </c>
      <c r="DL30" s="170">
        <v>0</v>
      </c>
      <c r="DM30" s="3">
        <f t="shared" si="9"/>
        <v>244123.17799999999</v>
      </c>
      <c r="DN30" s="97">
        <f t="shared" si="48"/>
        <v>2422.143</v>
      </c>
      <c r="DO30" s="172">
        <f t="shared" si="49"/>
        <v>100.78809467483958</v>
      </c>
      <c r="DP30" s="303">
        <v>228244.29347218803</v>
      </c>
      <c r="DQ30" s="168">
        <v>825</v>
      </c>
      <c r="DR30" s="170">
        <f t="shared" si="50"/>
        <v>276.6597496632582</v>
      </c>
      <c r="DS30" s="303">
        <v>89000</v>
      </c>
      <c r="DT30" s="168">
        <v>445</v>
      </c>
      <c r="DU30" s="170">
        <f t="shared" si="51"/>
        <v>200</v>
      </c>
      <c r="DV30" s="3">
        <f t="shared" si="52"/>
        <v>317244.29347218806</v>
      </c>
      <c r="DW30" s="97">
        <f t="shared" si="53"/>
        <v>1270</v>
      </c>
      <c r="DX30" s="172">
        <f t="shared" si="54"/>
        <v>249.79865627731343</v>
      </c>
      <c r="DY30" s="167">
        <v>0</v>
      </c>
      <c r="DZ30" s="168">
        <v>0</v>
      </c>
      <c r="EA30" s="170">
        <f t="shared" si="55"/>
        <v>0</v>
      </c>
      <c r="EB30" s="167">
        <v>0</v>
      </c>
      <c r="EC30" s="168">
        <v>0</v>
      </c>
      <c r="ED30" s="170">
        <f t="shared" si="56"/>
        <v>0</v>
      </c>
      <c r="EE30" s="167">
        <v>0</v>
      </c>
      <c r="EF30" s="168">
        <v>0</v>
      </c>
      <c r="EG30" s="170">
        <f t="shared" si="57"/>
        <v>0</v>
      </c>
      <c r="EH30" s="3">
        <f t="shared" si="58"/>
        <v>0</v>
      </c>
      <c r="EI30" s="97">
        <f t="shared" si="59"/>
        <v>0</v>
      </c>
      <c r="EJ30" s="172">
        <f t="shared" si="60"/>
        <v>0</v>
      </c>
    </row>
    <row r="31" spans="2:140">
      <c r="B31" t="s">
        <v>160</v>
      </c>
      <c r="C31" t="s">
        <v>159</v>
      </c>
      <c r="D31">
        <f>VLOOKUP(B31,Dates!$B$2:$E$53,4,FALSE)</f>
        <v>27</v>
      </c>
      <c r="E31" s="168" t="b">
        <f>IF(D31&lt;='RDG Weekly Sales'!$F$1,TRUE,FALSE)</f>
        <v>1</v>
      </c>
      <c r="F31" s="303">
        <v>655284</v>
      </c>
      <c r="G31" s="168">
        <v>4170</v>
      </c>
      <c r="H31" s="170">
        <f t="shared" si="10"/>
        <v>157.14244604316548</v>
      </c>
      <c r="I31" s="167">
        <v>450868.75</v>
      </c>
      <c r="J31" s="168">
        <v>3254</v>
      </c>
      <c r="K31" s="170">
        <f t="shared" si="11"/>
        <v>138.55831284572832</v>
      </c>
      <c r="L31" s="303">
        <v>44061</v>
      </c>
      <c r="M31" s="168">
        <v>350</v>
      </c>
      <c r="N31" s="170">
        <f t="shared" si="12"/>
        <v>125.88857142857142</v>
      </c>
      <c r="O31" s="167">
        <v>32611</v>
      </c>
      <c r="P31" s="168">
        <v>246</v>
      </c>
      <c r="Q31" s="170">
        <f t="shared" si="13"/>
        <v>132.5650406504065</v>
      </c>
      <c r="R31" s="3">
        <f t="shared" si="0"/>
        <v>699345</v>
      </c>
      <c r="S31" s="97">
        <f t="shared" si="1"/>
        <v>4520</v>
      </c>
      <c r="T31" s="170">
        <f t="shared" si="14"/>
        <v>154.72234513274336</v>
      </c>
      <c r="U31" s="3">
        <f t="shared" si="2"/>
        <v>483479.75</v>
      </c>
      <c r="V31" s="97">
        <f t="shared" si="3"/>
        <v>3500</v>
      </c>
      <c r="W31" s="172">
        <f t="shared" si="15"/>
        <v>138.13707142857143</v>
      </c>
      <c r="X31" s="167">
        <v>17346.913199426112</v>
      </c>
      <c r="Y31" s="168">
        <v>64</v>
      </c>
      <c r="Z31" s="170">
        <f t="shared" si="16"/>
        <v>271.04551874103299</v>
      </c>
      <c r="AA31" s="167">
        <v>17675.75</v>
      </c>
      <c r="AB31" s="168">
        <v>64</v>
      </c>
      <c r="AC31" s="170">
        <f t="shared" si="17"/>
        <v>276.18359375</v>
      </c>
      <c r="AD31" s="167">
        <v>48441.863102200601</v>
      </c>
      <c r="AE31" s="168">
        <v>259</v>
      </c>
      <c r="AF31" s="170">
        <f t="shared" si="18"/>
        <v>187.03422047181698</v>
      </c>
      <c r="AG31" s="167">
        <f>21132.75+6847.25</f>
        <v>27980</v>
      </c>
      <c r="AH31" s="168">
        <f>10+49+36+52</f>
        <v>147</v>
      </c>
      <c r="AI31" s="170">
        <f t="shared" si="19"/>
        <v>190.34013605442178</v>
      </c>
      <c r="AJ31" s="167">
        <v>236908.33999756942</v>
      </c>
      <c r="AK31" s="168">
        <v>1070.4000000000001</v>
      </c>
      <c r="AL31" s="170">
        <f t="shared" si="20"/>
        <v>221.32692451192955</v>
      </c>
      <c r="AM31" s="167">
        <f>109425.54+29983.12-254.54</f>
        <v>139154.12</v>
      </c>
      <c r="AN31" s="168">
        <f>86+117+6+195+149+12</f>
        <v>565</v>
      </c>
      <c r="AO31" s="170">
        <f t="shared" si="21"/>
        <v>246.29047787610619</v>
      </c>
      <c r="AP31" s="167">
        <f t="shared" si="4"/>
        <v>302697.11629919615</v>
      </c>
      <c r="AQ31" s="168">
        <f t="shared" si="5"/>
        <v>1393.4</v>
      </c>
      <c r="AR31" s="172">
        <f t="shared" si="22"/>
        <v>217.23634010276743</v>
      </c>
      <c r="AS31" s="167">
        <f t="shared" si="6"/>
        <v>184809.87</v>
      </c>
      <c r="AT31" s="168">
        <f t="shared" si="7"/>
        <v>776</v>
      </c>
      <c r="AU31" s="172">
        <f t="shared" si="23"/>
        <v>238.15704896907215</v>
      </c>
      <c r="AV31" s="167">
        <v>147462.15494700757</v>
      </c>
      <c r="AW31" s="168">
        <v>1343</v>
      </c>
      <c r="AX31" s="170">
        <f t="shared" si="24"/>
        <v>109.80056213477853</v>
      </c>
      <c r="AY31" s="167">
        <v>14954.938358165353</v>
      </c>
      <c r="AZ31" s="168">
        <v>250</v>
      </c>
      <c r="BA31" s="170">
        <f t="shared" si="25"/>
        <v>59.819753432661415</v>
      </c>
      <c r="BB31" s="167">
        <v>28877.68888648304</v>
      </c>
      <c r="BC31" s="168">
        <v>178</v>
      </c>
      <c r="BD31" s="170">
        <f t="shared" si="26"/>
        <v>162.23420722743282</v>
      </c>
      <c r="BE31" s="3">
        <f t="shared" si="27"/>
        <v>191294.78219165598</v>
      </c>
      <c r="BF31" s="97">
        <f t="shared" si="28"/>
        <v>1771</v>
      </c>
      <c r="BG31" s="172">
        <f t="shared" si="29"/>
        <v>108.01512263786334</v>
      </c>
      <c r="BH31" s="167">
        <f>154654.85-199.88-BK31</f>
        <v>142231.97</v>
      </c>
      <c r="BI31" s="168">
        <f>1593-BL31</f>
        <v>1343</v>
      </c>
      <c r="BJ31" s="170">
        <f t="shared" si="30"/>
        <v>105.90615785554728</v>
      </c>
      <c r="BK31" s="167">
        <v>12223</v>
      </c>
      <c r="BL31" s="168">
        <v>250</v>
      </c>
      <c r="BM31" s="170">
        <f t="shared" si="31"/>
        <v>48.892000000000003</v>
      </c>
      <c r="BN31" s="167">
        <f>33923.72-1254.45</f>
        <v>32669.27</v>
      </c>
      <c r="BO31" s="168">
        <f>34+47+10+87</f>
        <v>178</v>
      </c>
      <c r="BP31" s="170">
        <f t="shared" si="32"/>
        <v>183.53522471910114</v>
      </c>
      <c r="BQ31" s="3">
        <f t="shared" si="33"/>
        <v>187124.24</v>
      </c>
      <c r="BR31" s="97">
        <f t="shared" si="33"/>
        <v>1771</v>
      </c>
      <c r="BS31" s="172">
        <f t="shared" si="34"/>
        <v>105.66021456804064</v>
      </c>
      <c r="BT31" s="303">
        <v>231892</v>
      </c>
      <c r="BU31" s="168">
        <v>1125.4000000000001</v>
      </c>
      <c r="BV31" s="170">
        <f t="shared" si="35"/>
        <v>206.0529589479296</v>
      </c>
      <c r="BW31" s="303">
        <v>365864.63355685072</v>
      </c>
      <c r="BX31" s="168">
        <v>2287</v>
      </c>
      <c r="BY31" s="170">
        <f t="shared" si="36"/>
        <v>159.97579079879787</v>
      </c>
      <c r="BZ31" s="3">
        <f t="shared" si="37"/>
        <v>597756.63355685072</v>
      </c>
      <c r="CA31" s="97">
        <f t="shared" si="37"/>
        <v>3412.4</v>
      </c>
      <c r="CB31" s="172">
        <f t="shared" si="38"/>
        <v>175.17191230713007</v>
      </c>
      <c r="CC31" s="167">
        <v>56934.55</v>
      </c>
      <c r="CD31" s="168">
        <f>332+211</f>
        <v>543</v>
      </c>
      <c r="CE31" s="170">
        <f t="shared" si="39"/>
        <v>104.85184162062616</v>
      </c>
      <c r="CF31" s="167">
        <f>399514.27-176.75-CC31</f>
        <v>342402.97000000003</v>
      </c>
      <c r="CG31" s="168">
        <f>2998-CD31</f>
        <v>2455</v>
      </c>
      <c r="CH31" s="170">
        <f t="shared" si="40"/>
        <v>139.47167820773933</v>
      </c>
      <c r="CI31" s="3">
        <f t="shared" si="41"/>
        <v>399337.52</v>
      </c>
      <c r="CJ31" s="97">
        <f t="shared" si="42"/>
        <v>2998</v>
      </c>
      <c r="CK31" s="172">
        <f t="shared" si="43"/>
        <v>133.20130753835892</v>
      </c>
      <c r="CL31" s="167">
        <v>0</v>
      </c>
      <c r="CM31" s="168"/>
      <c r="CN31" s="170">
        <v>0</v>
      </c>
      <c r="CO31" s="167">
        <v>218718.25999999998</v>
      </c>
      <c r="CP31" s="168">
        <v>1350</v>
      </c>
      <c r="CQ31" s="170">
        <v>162.0135259259259</v>
      </c>
      <c r="CR31" s="3">
        <v>218718.25999999998</v>
      </c>
      <c r="CS31" s="97">
        <v>1350</v>
      </c>
      <c r="CT31" s="172">
        <v>162.0135259259259</v>
      </c>
      <c r="CU31" s="309">
        <v>35542.566981082782</v>
      </c>
      <c r="CV31" s="310">
        <v>405</v>
      </c>
      <c r="CW31" s="170">
        <v>87.759424644648846</v>
      </c>
      <c r="CX31" s="309">
        <v>215265.21249506541</v>
      </c>
      <c r="CY31" s="310">
        <v>1276</v>
      </c>
      <c r="CZ31" s="170">
        <v>168.70314458860926</v>
      </c>
      <c r="DA31" s="3">
        <f t="shared" si="45"/>
        <v>250807.77947614819</v>
      </c>
      <c r="DB31" s="97">
        <f t="shared" si="45"/>
        <v>1681</v>
      </c>
      <c r="DC31" s="172">
        <f t="shared" si="46"/>
        <v>149.2015344890828</v>
      </c>
      <c r="DD31" s="303">
        <v>179221.14799999999</v>
      </c>
      <c r="DE31" s="168">
        <v>1619.873</v>
      </c>
      <c r="DF31" s="170">
        <f t="shared" si="47"/>
        <v>110.63901182376642</v>
      </c>
      <c r="DG31" s="303">
        <v>64700</v>
      </c>
      <c r="DH31" s="168">
        <v>800</v>
      </c>
      <c r="DI31" s="170">
        <f t="shared" si="8"/>
        <v>80.875</v>
      </c>
      <c r="DJ31" s="167">
        <v>0</v>
      </c>
      <c r="DK31" s="168">
        <v>0</v>
      </c>
      <c r="DL31" s="170">
        <v>0</v>
      </c>
      <c r="DM31" s="3">
        <f t="shared" si="9"/>
        <v>243921.14799999999</v>
      </c>
      <c r="DN31" s="97">
        <f t="shared" si="48"/>
        <v>2419.873</v>
      </c>
      <c r="DO31" s="172">
        <f t="shared" si="49"/>
        <v>100.79915268280607</v>
      </c>
      <c r="DP31" s="303">
        <v>196510.26725440891</v>
      </c>
      <c r="DQ31" s="168">
        <v>700</v>
      </c>
      <c r="DR31" s="170">
        <f t="shared" si="50"/>
        <v>280.72895322058417</v>
      </c>
      <c r="DS31" s="303">
        <v>65000</v>
      </c>
      <c r="DT31" s="168">
        <v>325</v>
      </c>
      <c r="DU31" s="170">
        <f t="shared" si="51"/>
        <v>200</v>
      </c>
      <c r="DV31" s="3">
        <f t="shared" si="52"/>
        <v>261510.26725440891</v>
      </c>
      <c r="DW31" s="97">
        <f t="shared" si="53"/>
        <v>1025</v>
      </c>
      <c r="DX31" s="172">
        <f t="shared" si="54"/>
        <v>255.13196805308186</v>
      </c>
      <c r="DY31" s="167">
        <v>0</v>
      </c>
      <c r="DZ31" s="168">
        <v>0</v>
      </c>
      <c r="EA31" s="170">
        <f t="shared" si="55"/>
        <v>0</v>
      </c>
      <c r="EB31" s="167">
        <v>0</v>
      </c>
      <c r="EC31" s="168">
        <v>0</v>
      </c>
      <c r="ED31" s="170">
        <f t="shared" si="56"/>
        <v>0</v>
      </c>
      <c r="EE31" s="167">
        <v>0</v>
      </c>
      <c r="EF31" s="168">
        <v>0</v>
      </c>
      <c r="EG31" s="170">
        <f t="shared" si="57"/>
        <v>0</v>
      </c>
      <c r="EH31" s="3">
        <f t="shared" si="58"/>
        <v>0</v>
      </c>
      <c r="EI31" s="97">
        <f t="shared" si="59"/>
        <v>0</v>
      </c>
      <c r="EJ31" s="172">
        <f t="shared" si="60"/>
        <v>0</v>
      </c>
    </row>
    <row r="32" spans="2:140">
      <c r="B32" t="s">
        <v>161</v>
      </c>
      <c r="C32" t="s">
        <v>159</v>
      </c>
      <c r="D32">
        <f>VLOOKUP(B32,Dates!$B$2:$E$53,4,FALSE)</f>
        <v>28</v>
      </c>
      <c r="E32" s="168" t="b">
        <f>IF(D32&lt;='RDG Weekly Sales'!$F$1,TRUE,FALSE)</f>
        <v>1</v>
      </c>
      <c r="F32" s="303">
        <v>662975</v>
      </c>
      <c r="G32" s="168">
        <v>4217</v>
      </c>
      <c r="H32" s="170">
        <f t="shared" si="10"/>
        <v>157.21484467631018</v>
      </c>
      <c r="I32" s="167">
        <v>489209.62</v>
      </c>
      <c r="J32" s="168">
        <v>3152</v>
      </c>
      <c r="K32" s="170">
        <f t="shared" si="11"/>
        <v>155.20609771573604</v>
      </c>
      <c r="L32" s="303">
        <v>44061</v>
      </c>
      <c r="M32" s="168">
        <v>350</v>
      </c>
      <c r="N32" s="170">
        <f t="shared" si="12"/>
        <v>125.88857142857142</v>
      </c>
      <c r="O32" s="167">
        <v>30834</v>
      </c>
      <c r="P32" s="168">
        <v>235</v>
      </c>
      <c r="Q32" s="170">
        <f t="shared" si="13"/>
        <v>131.20851063829787</v>
      </c>
      <c r="R32" s="3">
        <f t="shared" si="0"/>
        <v>707036</v>
      </c>
      <c r="S32" s="97">
        <f t="shared" si="1"/>
        <v>4567</v>
      </c>
      <c r="T32" s="170">
        <f t="shared" si="14"/>
        <v>154.81410116049923</v>
      </c>
      <c r="U32" s="3">
        <f t="shared" si="2"/>
        <v>520043.62</v>
      </c>
      <c r="V32" s="97">
        <f t="shared" si="3"/>
        <v>3387</v>
      </c>
      <c r="W32" s="172">
        <f t="shared" si="15"/>
        <v>153.5410746973723</v>
      </c>
      <c r="X32" s="167">
        <v>21668.217723708258</v>
      </c>
      <c r="Y32" s="168">
        <v>63</v>
      </c>
      <c r="Z32" s="170">
        <f t="shared" si="16"/>
        <v>343.93996386838506</v>
      </c>
      <c r="AA32" s="167">
        <v>22865.21</v>
      </c>
      <c r="AB32" s="168">
        <v>63</v>
      </c>
      <c r="AC32" s="170">
        <f t="shared" si="17"/>
        <v>362.93984126984128</v>
      </c>
      <c r="AD32" s="167">
        <v>43508.784575554826</v>
      </c>
      <c r="AE32" s="168">
        <v>230</v>
      </c>
      <c r="AF32" s="170">
        <f t="shared" si="18"/>
        <v>189.16862858936881</v>
      </c>
      <c r="AG32" s="167">
        <f>17379+10885.25</f>
        <v>28264.25</v>
      </c>
      <c r="AH32" s="168">
        <f>49+28+54+84</f>
        <v>215</v>
      </c>
      <c r="AI32" s="170">
        <f t="shared" si="19"/>
        <v>131.46162790697673</v>
      </c>
      <c r="AJ32" s="167">
        <v>393347.16197908536</v>
      </c>
      <c r="AK32" s="168">
        <v>1065.8</v>
      </c>
      <c r="AL32" s="170">
        <f t="shared" si="20"/>
        <v>369.06282790306381</v>
      </c>
      <c r="AM32" s="167">
        <f>123900.43+26465.25-316.7</f>
        <v>150048.97999999998</v>
      </c>
      <c r="AN32" s="168">
        <f>10+144+155+186+15</f>
        <v>510</v>
      </c>
      <c r="AO32" s="170">
        <f t="shared" si="21"/>
        <v>294.21368627450977</v>
      </c>
      <c r="AP32" s="167">
        <f t="shared" si="4"/>
        <v>458524.16427834844</v>
      </c>
      <c r="AQ32" s="168">
        <f t="shared" si="5"/>
        <v>1358.8</v>
      </c>
      <c r="AR32" s="172">
        <f t="shared" si="22"/>
        <v>337.44786891253199</v>
      </c>
      <c r="AS32" s="167">
        <f t="shared" si="6"/>
        <v>201178.43999999997</v>
      </c>
      <c r="AT32" s="168">
        <f t="shared" si="7"/>
        <v>788</v>
      </c>
      <c r="AU32" s="172">
        <f t="shared" si="23"/>
        <v>255.30258883248729</v>
      </c>
      <c r="AV32" s="167">
        <v>150760.92330506493</v>
      </c>
      <c r="AW32" s="168">
        <v>1362</v>
      </c>
      <c r="AX32" s="170">
        <f t="shared" si="24"/>
        <v>110.69083943103152</v>
      </c>
      <c r="AY32" s="167">
        <v>11927.173298276364</v>
      </c>
      <c r="AZ32" s="168">
        <v>195</v>
      </c>
      <c r="BA32" s="170">
        <f t="shared" si="25"/>
        <v>61.164991273212124</v>
      </c>
      <c r="BB32" s="167">
        <v>23225.218602645386</v>
      </c>
      <c r="BC32" s="168">
        <v>151</v>
      </c>
      <c r="BD32" s="170">
        <f t="shared" si="26"/>
        <v>153.80939471950586</v>
      </c>
      <c r="BE32" s="3">
        <f t="shared" si="27"/>
        <v>185913.31520598667</v>
      </c>
      <c r="BF32" s="97">
        <f t="shared" si="28"/>
        <v>1708</v>
      </c>
      <c r="BG32" s="172">
        <f t="shared" si="29"/>
        <v>108.8485452025683</v>
      </c>
      <c r="BH32" s="167">
        <f>165208.87-246.42-BK32</f>
        <v>150134.44999999998</v>
      </c>
      <c r="BI32" s="168">
        <f>1561-BL32</f>
        <v>1366</v>
      </c>
      <c r="BJ32" s="170">
        <f t="shared" si="30"/>
        <v>109.90808931185943</v>
      </c>
      <c r="BK32" s="167">
        <v>14828</v>
      </c>
      <c r="BL32" s="168">
        <v>195</v>
      </c>
      <c r="BM32" s="170">
        <f t="shared" si="31"/>
        <v>76.041025641025641</v>
      </c>
      <c r="BN32" s="167">
        <v>21719</v>
      </c>
      <c r="BO32" s="168">
        <f>22+44+38+47</f>
        <v>151</v>
      </c>
      <c r="BP32" s="170">
        <f t="shared" si="32"/>
        <v>143.83443708609272</v>
      </c>
      <c r="BQ32" s="3">
        <f t="shared" si="33"/>
        <v>186681.44999999998</v>
      </c>
      <c r="BR32" s="97">
        <f t="shared" si="33"/>
        <v>1712</v>
      </c>
      <c r="BS32" s="172">
        <f t="shared" si="34"/>
        <v>109.04290303738317</v>
      </c>
      <c r="BT32" s="303">
        <v>247260</v>
      </c>
      <c r="BU32" s="168">
        <v>1209</v>
      </c>
      <c r="BV32" s="170">
        <f t="shared" si="35"/>
        <v>204.51612903225808</v>
      </c>
      <c r="BW32" s="303">
        <v>379200.44586445426</v>
      </c>
      <c r="BX32" s="168">
        <v>2392</v>
      </c>
      <c r="BY32" s="170">
        <f t="shared" si="36"/>
        <v>158.52861449182871</v>
      </c>
      <c r="BZ32" s="3">
        <f t="shared" si="37"/>
        <v>626460.44586445426</v>
      </c>
      <c r="CA32" s="97">
        <f t="shared" si="37"/>
        <v>3601</v>
      </c>
      <c r="CB32" s="172">
        <f t="shared" si="38"/>
        <v>173.96846594403061</v>
      </c>
      <c r="CC32" s="167">
        <v>80849.350000000006</v>
      </c>
      <c r="CD32" s="168">
        <f>239+332</f>
        <v>571</v>
      </c>
      <c r="CE32" s="170">
        <f t="shared" si="39"/>
        <v>141.59255691768828</v>
      </c>
      <c r="CF32" s="167">
        <f>453843.83-CC32-2554.3</f>
        <v>370440.18</v>
      </c>
      <c r="CG32" s="168">
        <f>3211-CD32</f>
        <v>2640</v>
      </c>
      <c r="CH32" s="170">
        <f t="shared" si="40"/>
        <v>140.31825000000001</v>
      </c>
      <c r="CI32" s="3">
        <f t="shared" si="41"/>
        <v>451289.53</v>
      </c>
      <c r="CJ32" s="97">
        <f t="shared" si="42"/>
        <v>3211</v>
      </c>
      <c r="CK32" s="172">
        <f t="shared" si="43"/>
        <v>140.54485518530055</v>
      </c>
      <c r="CL32" s="167"/>
      <c r="CM32" s="168"/>
      <c r="CN32" s="170">
        <v>0</v>
      </c>
      <c r="CO32" s="167">
        <v>250144.25</v>
      </c>
      <c r="CP32" s="168">
        <v>1574</v>
      </c>
      <c r="CQ32" s="170">
        <v>158.92264930114359</v>
      </c>
      <c r="CR32" s="3">
        <v>250144.25</v>
      </c>
      <c r="CS32" s="97">
        <v>1574</v>
      </c>
      <c r="CT32" s="172">
        <v>158.92264930114359</v>
      </c>
      <c r="CU32" s="309">
        <v>35542.566981082782</v>
      </c>
      <c r="CV32" s="310">
        <v>405</v>
      </c>
      <c r="CW32" s="170">
        <v>87.759424644648846</v>
      </c>
      <c r="CX32" s="309">
        <v>250775.48277370399</v>
      </c>
      <c r="CY32" s="310">
        <v>1487</v>
      </c>
      <c r="CZ32" s="170">
        <v>168.64524732596098</v>
      </c>
      <c r="DA32" s="3">
        <f t="shared" si="45"/>
        <v>286318.04975478677</v>
      </c>
      <c r="DB32" s="97">
        <f t="shared" si="45"/>
        <v>1892</v>
      </c>
      <c r="DC32" s="172">
        <f t="shared" si="46"/>
        <v>151.33089310506699</v>
      </c>
      <c r="DD32" s="303">
        <v>179221.14799999999</v>
      </c>
      <c r="DE32" s="168">
        <v>1619.873</v>
      </c>
      <c r="DF32" s="170">
        <f t="shared" si="47"/>
        <v>110.63901182376642</v>
      </c>
      <c r="DG32" s="303">
        <v>64700</v>
      </c>
      <c r="DH32" s="168">
        <v>800</v>
      </c>
      <c r="DI32" s="170">
        <f t="shared" si="8"/>
        <v>80.875</v>
      </c>
      <c r="DJ32" s="167">
        <v>0</v>
      </c>
      <c r="DK32" s="168">
        <v>0</v>
      </c>
      <c r="DL32" s="170">
        <v>0</v>
      </c>
      <c r="DM32" s="3">
        <f t="shared" si="9"/>
        <v>243921.14799999999</v>
      </c>
      <c r="DN32" s="97">
        <f t="shared" si="48"/>
        <v>2419.873</v>
      </c>
      <c r="DO32" s="172">
        <f t="shared" si="49"/>
        <v>100.79915268280607</v>
      </c>
      <c r="DP32" s="303">
        <v>196510.26725440891</v>
      </c>
      <c r="DQ32" s="168">
        <v>700</v>
      </c>
      <c r="DR32" s="170">
        <f t="shared" si="50"/>
        <v>280.72895322058417</v>
      </c>
      <c r="DS32" s="303">
        <v>65000</v>
      </c>
      <c r="DT32" s="168">
        <v>325</v>
      </c>
      <c r="DU32" s="170">
        <f t="shared" si="51"/>
        <v>200</v>
      </c>
      <c r="DV32" s="3">
        <f t="shared" si="52"/>
        <v>261510.26725440891</v>
      </c>
      <c r="DW32" s="97">
        <f t="shared" si="53"/>
        <v>1025</v>
      </c>
      <c r="DX32" s="172">
        <f t="shared" si="54"/>
        <v>255.13196805308186</v>
      </c>
      <c r="DY32" s="167">
        <v>0</v>
      </c>
      <c r="DZ32" s="168">
        <v>0</v>
      </c>
      <c r="EA32" s="170">
        <f t="shared" si="55"/>
        <v>0</v>
      </c>
      <c r="EB32" s="167">
        <v>0</v>
      </c>
      <c r="EC32" s="168">
        <v>0</v>
      </c>
      <c r="ED32" s="170">
        <f t="shared" si="56"/>
        <v>0</v>
      </c>
      <c r="EE32" s="167">
        <v>0</v>
      </c>
      <c r="EF32" s="168">
        <v>0</v>
      </c>
      <c r="EG32" s="170">
        <f t="shared" si="57"/>
        <v>0</v>
      </c>
      <c r="EH32" s="3">
        <f t="shared" si="58"/>
        <v>0</v>
      </c>
      <c r="EI32" s="97">
        <f t="shared" si="59"/>
        <v>0</v>
      </c>
      <c r="EJ32" s="172">
        <f t="shared" si="60"/>
        <v>0</v>
      </c>
    </row>
    <row r="33" spans="2:140">
      <c r="B33" t="s">
        <v>162</v>
      </c>
      <c r="C33" t="s">
        <v>159</v>
      </c>
      <c r="D33">
        <f>VLOOKUP(B33,Dates!$B$2:$E$53,4,FALSE)</f>
        <v>29</v>
      </c>
      <c r="E33" s="168" t="b">
        <f>IF(D33&lt;='RDG Weekly Sales'!$F$1,TRUE,FALSE)</f>
        <v>1</v>
      </c>
      <c r="F33" s="303">
        <v>541158</v>
      </c>
      <c r="G33" s="168">
        <v>3714</v>
      </c>
      <c r="H33" s="170">
        <f t="shared" si="10"/>
        <v>145.7075928917609</v>
      </c>
      <c r="I33" s="167">
        <v>452653.6</v>
      </c>
      <c r="J33" s="168">
        <v>3107</v>
      </c>
      <c r="K33" s="170">
        <f t="shared" si="11"/>
        <v>145.68831670421628</v>
      </c>
      <c r="L33" s="303">
        <v>34493</v>
      </c>
      <c r="M33" s="168">
        <v>274</v>
      </c>
      <c r="N33" s="170">
        <f t="shared" si="12"/>
        <v>125.88686131386861</v>
      </c>
      <c r="O33" s="167">
        <v>32535.15</v>
      </c>
      <c r="P33" s="168">
        <v>274</v>
      </c>
      <c r="Q33" s="170">
        <f t="shared" si="13"/>
        <v>118.74142335766425</v>
      </c>
      <c r="R33" s="3">
        <f t="shared" si="0"/>
        <v>575651</v>
      </c>
      <c r="S33" s="97">
        <f t="shared" si="1"/>
        <v>3988</v>
      </c>
      <c r="T33" s="170">
        <f t="shared" si="14"/>
        <v>144.34578736208627</v>
      </c>
      <c r="U33" s="3">
        <f t="shared" si="2"/>
        <v>485188.75</v>
      </c>
      <c r="V33" s="97">
        <f t="shared" si="3"/>
        <v>3381</v>
      </c>
      <c r="W33" s="172">
        <f t="shared" si="15"/>
        <v>143.5045104998521</v>
      </c>
      <c r="X33" s="167">
        <v>16403.606825239283</v>
      </c>
      <c r="Y33" s="168">
        <v>56</v>
      </c>
      <c r="Z33" s="170">
        <f t="shared" si="16"/>
        <v>292.92155045070149</v>
      </c>
      <c r="AA33" s="167">
        <v>16035.5</v>
      </c>
      <c r="AB33" s="168">
        <v>54</v>
      </c>
      <c r="AC33" s="170">
        <f t="shared" si="17"/>
        <v>296.9537037037037</v>
      </c>
      <c r="AD33" s="167">
        <v>44100.603357039254</v>
      </c>
      <c r="AE33" s="168">
        <v>233</v>
      </c>
      <c r="AF33" s="170">
        <f t="shared" si="18"/>
        <v>189.27297578128434</v>
      </c>
      <c r="AG33" s="167">
        <f>22842.5+8930</f>
        <v>31772.5</v>
      </c>
      <c r="AH33" s="168">
        <f>3+21+93+17+99</f>
        <v>233</v>
      </c>
      <c r="AI33" s="170">
        <f t="shared" si="19"/>
        <v>136.362660944206</v>
      </c>
      <c r="AJ33" s="167">
        <v>317139.7755267676</v>
      </c>
      <c r="AK33" s="168">
        <v>870.8</v>
      </c>
      <c r="AL33" s="170">
        <f t="shared" si="20"/>
        <v>364.19358696229631</v>
      </c>
      <c r="AM33" s="167">
        <f>115788.61+29153.52</f>
        <v>144942.13</v>
      </c>
      <c r="AN33" s="168">
        <f>52+94+233+15+214+14</f>
        <v>622</v>
      </c>
      <c r="AO33" s="170">
        <f t="shared" si="21"/>
        <v>233.02593247588425</v>
      </c>
      <c r="AP33" s="167">
        <f t="shared" si="4"/>
        <v>377643.98570904613</v>
      </c>
      <c r="AQ33" s="168">
        <f t="shared" si="5"/>
        <v>1159.8</v>
      </c>
      <c r="AR33" s="172">
        <f t="shared" si="22"/>
        <v>325.61129997331102</v>
      </c>
      <c r="AS33" s="167">
        <f t="shared" si="6"/>
        <v>192750.13</v>
      </c>
      <c r="AT33" s="168">
        <f t="shared" si="7"/>
        <v>909</v>
      </c>
      <c r="AU33" s="172">
        <f t="shared" si="23"/>
        <v>212.04634763476349</v>
      </c>
      <c r="AV33" s="167">
        <v>163264.55480848966</v>
      </c>
      <c r="AW33" s="168">
        <v>1478</v>
      </c>
      <c r="AX33" s="170">
        <f t="shared" si="24"/>
        <v>110.46316292861276</v>
      </c>
      <c r="AY33" s="167">
        <v>18032.090505404616</v>
      </c>
      <c r="AZ33" s="168">
        <v>301</v>
      </c>
      <c r="BA33" s="170">
        <f t="shared" si="25"/>
        <v>59.90727742659341</v>
      </c>
      <c r="BB33" s="167">
        <v>31252.462136947412</v>
      </c>
      <c r="BC33" s="168">
        <v>203</v>
      </c>
      <c r="BD33" s="170">
        <f t="shared" si="26"/>
        <v>153.95301545294291</v>
      </c>
      <c r="BE33" s="3">
        <f t="shared" si="27"/>
        <v>212549.10745084169</v>
      </c>
      <c r="BF33" s="97">
        <f t="shared" si="28"/>
        <v>1982</v>
      </c>
      <c r="BG33" s="172">
        <f t="shared" si="29"/>
        <v>107.2397111255508</v>
      </c>
      <c r="BH33" s="167">
        <f>184585.07-BK33-619.9</f>
        <v>165179.17000000001</v>
      </c>
      <c r="BI33" s="168">
        <f>1779-BL33</f>
        <v>1478</v>
      </c>
      <c r="BJ33" s="170">
        <f t="shared" si="30"/>
        <v>111.75857239512857</v>
      </c>
      <c r="BK33" s="167">
        <v>18786</v>
      </c>
      <c r="BL33" s="168">
        <v>301</v>
      </c>
      <c r="BM33" s="170">
        <f t="shared" si="31"/>
        <v>62.411960132890364</v>
      </c>
      <c r="BN33" s="167">
        <f>25363.28-171.28</f>
        <v>25192</v>
      </c>
      <c r="BO33" s="168">
        <f>18+43+63+94</f>
        <v>218</v>
      </c>
      <c r="BP33" s="170">
        <f t="shared" si="32"/>
        <v>115.55963302752293</v>
      </c>
      <c r="BQ33" s="3">
        <f t="shared" si="33"/>
        <v>209157.17</v>
      </c>
      <c r="BR33" s="97">
        <f t="shared" si="33"/>
        <v>1997</v>
      </c>
      <c r="BS33" s="172">
        <f t="shared" si="34"/>
        <v>104.7356885327992</v>
      </c>
      <c r="BT33" s="303">
        <v>121044.63918776061</v>
      </c>
      <c r="BU33" s="168">
        <v>741</v>
      </c>
      <c r="BV33" s="170">
        <f t="shared" si="35"/>
        <v>163.35308932221403</v>
      </c>
      <c r="BW33" s="303">
        <v>288726.36826956004</v>
      </c>
      <c r="BX33" s="168">
        <v>2136</v>
      </c>
      <c r="BY33" s="170">
        <f t="shared" si="36"/>
        <v>135.17152072544945</v>
      </c>
      <c r="BZ33" s="3">
        <f t="shared" si="37"/>
        <v>409771.00745732064</v>
      </c>
      <c r="CA33" s="97">
        <f t="shared" si="37"/>
        <v>2877</v>
      </c>
      <c r="CB33" s="172">
        <f t="shared" si="38"/>
        <v>142.42996435777567</v>
      </c>
      <c r="CC33" s="167">
        <v>101287.6</v>
      </c>
      <c r="CD33" s="168">
        <f>403+187</f>
        <v>590</v>
      </c>
      <c r="CE33" s="170">
        <f t="shared" si="39"/>
        <v>171.67389830508475</v>
      </c>
      <c r="CF33" s="167">
        <f>435564.26-508.47-CC33</f>
        <v>333768.19000000006</v>
      </c>
      <c r="CG33" s="168">
        <f>2884-CD33</f>
        <v>2294</v>
      </c>
      <c r="CH33" s="170">
        <f t="shared" si="40"/>
        <v>145.49615954664344</v>
      </c>
      <c r="CI33" s="3">
        <f t="shared" si="41"/>
        <v>435055.79000000004</v>
      </c>
      <c r="CJ33" s="97">
        <f t="shared" si="42"/>
        <v>2884</v>
      </c>
      <c r="CK33" s="172">
        <f t="shared" si="43"/>
        <v>150.85152219140085</v>
      </c>
      <c r="CL33" s="167"/>
      <c r="CM33" s="168"/>
      <c r="CN33" s="170">
        <v>0</v>
      </c>
      <c r="CO33" s="167">
        <v>268938.75</v>
      </c>
      <c r="CP33" s="168">
        <v>1613</v>
      </c>
      <c r="CQ33" s="170">
        <v>166.73202107873527</v>
      </c>
      <c r="CR33" s="3">
        <v>268938.75</v>
      </c>
      <c r="CS33" s="97">
        <v>1613</v>
      </c>
      <c r="CT33" s="172">
        <v>166.73202107873527</v>
      </c>
      <c r="CU33" s="309">
        <v>35542.566981082782</v>
      </c>
      <c r="CV33" s="310">
        <v>405</v>
      </c>
      <c r="CW33" s="170">
        <v>87.759424644648846</v>
      </c>
      <c r="CX33" s="309">
        <v>257373.16228554386</v>
      </c>
      <c r="CY33" s="310">
        <v>1536</v>
      </c>
      <c r="CZ33" s="170">
        <v>167.56065252965095</v>
      </c>
      <c r="DA33" s="3">
        <f t="shared" si="45"/>
        <v>292915.72926662664</v>
      </c>
      <c r="DB33" s="97">
        <f t="shared" si="45"/>
        <v>1941</v>
      </c>
      <c r="DC33" s="172">
        <f t="shared" si="46"/>
        <v>150.90970080712347</v>
      </c>
      <c r="DD33" s="303">
        <v>179221.14799999999</v>
      </c>
      <c r="DE33" s="168">
        <v>1619.873</v>
      </c>
      <c r="DF33" s="170">
        <f t="shared" si="47"/>
        <v>110.63901182376642</v>
      </c>
      <c r="DG33" s="303">
        <v>64700</v>
      </c>
      <c r="DH33" s="168">
        <v>800</v>
      </c>
      <c r="DI33" s="170">
        <f t="shared" si="8"/>
        <v>80.875</v>
      </c>
      <c r="DJ33" s="167">
        <v>0</v>
      </c>
      <c r="DK33" s="168">
        <v>0</v>
      </c>
      <c r="DL33" s="170">
        <v>0</v>
      </c>
      <c r="DM33" s="3">
        <f t="shared" si="9"/>
        <v>243921.14799999999</v>
      </c>
      <c r="DN33" s="97">
        <f t="shared" si="48"/>
        <v>2419.873</v>
      </c>
      <c r="DO33" s="172">
        <f t="shared" si="49"/>
        <v>100.79915268280607</v>
      </c>
      <c r="DP33" s="303">
        <v>196510.26725440891</v>
      </c>
      <c r="DQ33" s="168">
        <v>700</v>
      </c>
      <c r="DR33" s="170">
        <f t="shared" si="50"/>
        <v>280.72895322058417</v>
      </c>
      <c r="DS33" s="303">
        <v>61750</v>
      </c>
      <c r="DT33" s="168">
        <v>325</v>
      </c>
      <c r="DU33" s="170">
        <f t="shared" si="51"/>
        <v>190</v>
      </c>
      <c r="DV33" s="3">
        <f t="shared" si="52"/>
        <v>258260.26725440891</v>
      </c>
      <c r="DW33" s="97">
        <f t="shared" si="53"/>
        <v>1025</v>
      </c>
      <c r="DX33" s="172">
        <f t="shared" si="54"/>
        <v>251.9612363457648</v>
      </c>
      <c r="DY33" s="167">
        <v>0</v>
      </c>
      <c r="DZ33" s="168">
        <v>0</v>
      </c>
      <c r="EA33" s="170">
        <f t="shared" si="55"/>
        <v>0</v>
      </c>
      <c r="EB33" s="167">
        <v>0</v>
      </c>
      <c r="EC33" s="168">
        <v>0</v>
      </c>
      <c r="ED33" s="170">
        <f t="shared" si="56"/>
        <v>0</v>
      </c>
      <c r="EE33" s="167">
        <v>0</v>
      </c>
      <c r="EF33" s="168">
        <v>0</v>
      </c>
      <c r="EG33" s="170">
        <f t="shared" si="57"/>
        <v>0</v>
      </c>
      <c r="EH33" s="3">
        <f t="shared" si="58"/>
        <v>0</v>
      </c>
      <c r="EI33" s="97">
        <f t="shared" si="59"/>
        <v>0</v>
      </c>
      <c r="EJ33" s="172">
        <f t="shared" si="60"/>
        <v>0</v>
      </c>
    </row>
    <row r="34" spans="2:140">
      <c r="B34" t="s">
        <v>163</v>
      </c>
      <c r="C34" t="s">
        <v>159</v>
      </c>
      <c r="D34">
        <f>VLOOKUP(B34,Dates!$B$2:$E$53,4,FALSE)</f>
        <v>30</v>
      </c>
      <c r="E34" s="168" t="b">
        <f>IF(D34&lt;='RDG Weekly Sales'!$F$1,TRUE,FALSE)</f>
        <v>1</v>
      </c>
      <c r="F34" s="303">
        <v>465868</v>
      </c>
      <c r="G34" s="168">
        <v>3190</v>
      </c>
      <c r="H34" s="170">
        <f t="shared" si="10"/>
        <v>146.04012539184953</v>
      </c>
      <c r="I34" s="167">
        <v>456044.75999999995</v>
      </c>
      <c r="J34" s="168">
        <v>3223</v>
      </c>
      <c r="K34" s="170">
        <f t="shared" si="11"/>
        <v>141.49697797083462</v>
      </c>
      <c r="L34" s="303">
        <v>43305</v>
      </c>
      <c r="M34" s="168">
        <v>344</v>
      </c>
      <c r="N34" s="170">
        <f t="shared" si="12"/>
        <v>125.88662790697674</v>
      </c>
      <c r="O34" s="167">
        <v>40936</v>
      </c>
      <c r="P34" s="168">
        <v>329</v>
      </c>
      <c r="Q34" s="170">
        <f t="shared" si="13"/>
        <v>124.42553191489361</v>
      </c>
      <c r="R34" s="3">
        <f t="shared" si="0"/>
        <v>509173</v>
      </c>
      <c r="S34" s="97">
        <f t="shared" si="1"/>
        <v>3534</v>
      </c>
      <c r="T34" s="170">
        <f t="shared" si="14"/>
        <v>144.07838143746463</v>
      </c>
      <c r="U34" s="3">
        <f t="shared" si="2"/>
        <v>496980.75999999995</v>
      </c>
      <c r="V34" s="97">
        <f t="shared" si="3"/>
        <v>3552</v>
      </c>
      <c r="W34" s="172">
        <f t="shared" si="15"/>
        <v>139.91575450450449</v>
      </c>
      <c r="X34" s="167">
        <v>26145.262251626344</v>
      </c>
      <c r="Y34" s="168">
        <v>97</v>
      </c>
      <c r="Z34" s="170">
        <f t="shared" si="16"/>
        <v>269.53878609924067</v>
      </c>
      <c r="AA34" s="167">
        <v>26346.2</v>
      </c>
      <c r="AB34" s="168">
        <v>98</v>
      </c>
      <c r="AC34" s="170">
        <f t="shared" si="17"/>
        <v>268.83877551020407</v>
      </c>
      <c r="AD34" s="167">
        <v>41552.334401659413</v>
      </c>
      <c r="AE34" s="168">
        <v>221</v>
      </c>
      <c r="AF34" s="170">
        <f t="shared" si="18"/>
        <v>188.0196126771919</v>
      </c>
      <c r="AG34" s="167">
        <f>43652.15+13024.5</f>
        <v>56676.65</v>
      </c>
      <c r="AH34" s="168">
        <f>40+18+68+95</f>
        <v>221</v>
      </c>
      <c r="AI34" s="170">
        <f t="shared" si="19"/>
        <v>256.4554298642534</v>
      </c>
      <c r="AJ34" s="167">
        <v>249849.35707819572</v>
      </c>
      <c r="AK34" s="168">
        <v>640.29999999999995</v>
      </c>
      <c r="AL34" s="170">
        <f t="shared" si="20"/>
        <v>390.20671103888139</v>
      </c>
      <c r="AM34" s="167">
        <f>129731.8+22271.75-226.25</f>
        <v>151777.29999999999</v>
      </c>
      <c r="AN34" s="168">
        <f>73+86+261+248+6</f>
        <v>674</v>
      </c>
      <c r="AO34" s="170">
        <f t="shared" si="21"/>
        <v>225.18887240356082</v>
      </c>
      <c r="AP34" s="167">
        <f t="shared" si="4"/>
        <v>317546.95373148145</v>
      </c>
      <c r="AQ34" s="168">
        <f t="shared" si="5"/>
        <v>958.3</v>
      </c>
      <c r="AR34" s="172">
        <f t="shared" si="22"/>
        <v>331.36486875872009</v>
      </c>
      <c r="AS34" s="167">
        <f t="shared" si="6"/>
        <v>234800.15</v>
      </c>
      <c r="AT34" s="168">
        <f t="shared" si="7"/>
        <v>993</v>
      </c>
      <c r="AU34" s="172">
        <f t="shared" si="23"/>
        <v>236.4553373615307</v>
      </c>
      <c r="AV34" s="167">
        <v>154185.36693943784</v>
      </c>
      <c r="AW34" s="168">
        <v>1398</v>
      </c>
      <c r="AX34" s="170">
        <f t="shared" si="24"/>
        <v>110.28996204537756</v>
      </c>
      <c r="AY34" s="167">
        <v>14098.097399941571</v>
      </c>
      <c r="AZ34" s="168">
        <v>233</v>
      </c>
      <c r="BA34" s="170">
        <f t="shared" si="25"/>
        <v>60.506855793740648</v>
      </c>
      <c r="BB34" s="167">
        <v>34149.630373924156</v>
      </c>
      <c r="BC34" s="168">
        <v>221</v>
      </c>
      <c r="BD34" s="170">
        <f t="shared" si="26"/>
        <v>154.52321436164777</v>
      </c>
      <c r="BE34" s="3">
        <f t="shared" si="27"/>
        <v>202433.09471330355</v>
      </c>
      <c r="BF34" s="97">
        <f t="shared" si="28"/>
        <v>1852</v>
      </c>
      <c r="BG34" s="172">
        <f t="shared" si="29"/>
        <v>109.30512673504512</v>
      </c>
      <c r="BH34" s="167">
        <f>176676.32-BK34-182.7</f>
        <v>157770.62</v>
      </c>
      <c r="BI34" s="168">
        <f>1635-BL34</f>
        <v>1402</v>
      </c>
      <c r="BJ34" s="170">
        <f t="shared" si="30"/>
        <v>112.5325392296719</v>
      </c>
      <c r="BK34" s="167">
        <v>18723</v>
      </c>
      <c r="BL34" s="168">
        <v>233</v>
      </c>
      <c r="BM34" s="170">
        <f t="shared" si="31"/>
        <v>80.356223175965667</v>
      </c>
      <c r="BN34" s="167">
        <f>39082.5-1161</f>
        <v>37921.5</v>
      </c>
      <c r="BO34" s="168">
        <f>50+31+66+74</f>
        <v>221</v>
      </c>
      <c r="BP34" s="170">
        <f t="shared" si="32"/>
        <v>171.59049773755657</v>
      </c>
      <c r="BQ34" s="3">
        <f t="shared" si="33"/>
        <v>214415.12</v>
      </c>
      <c r="BR34" s="97">
        <f t="shared" si="33"/>
        <v>1856</v>
      </c>
      <c r="BS34" s="172">
        <f t="shared" si="34"/>
        <v>115.52538793103449</v>
      </c>
      <c r="BT34" s="303">
        <v>140397.73634350003</v>
      </c>
      <c r="BU34" s="168">
        <v>848</v>
      </c>
      <c r="BV34" s="170">
        <f t="shared" si="35"/>
        <v>165.56336832959909</v>
      </c>
      <c r="BW34" s="303">
        <v>311332.13517634623</v>
      </c>
      <c r="BX34" s="168">
        <v>2307</v>
      </c>
      <c r="BY34" s="170">
        <f t="shared" si="36"/>
        <v>134.95107723291991</v>
      </c>
      <c r="BZ34" s="3">
        <f t="shared" si="37"/>
        <v>451729.87151984626</v>
      </c>
      <c r="CA34" s="97">
        <f t="shared" si="37"/>
        <v>3155</v>
      </c>
      <c r="CB34" s="172">
        <f t="shared" si="38"/>
        <v>143.17904010137758</v>
      </c>
      <c r="CC34" s="167">
        <v>100268.86</v>
      </c>
      <c r="CD34" s="168">
        <f>481+195</f>
        <v>676</v>
      </c>
      <c r="CE34" s="170">
        <f t="shared" si="39"/>
        <v>148.32671597633137</v>
      </c>
      <c r="CF34" s="167">
        <f>454691.21-CC34-772.37</f>
        <v>353649.98000000004</v>
      </c>
      <c r="CG34" s="168">
        <f>3159-CD34</f>
        <v>2483</v>
      </c>
      <c r="CH34" s="170">
        <f t="shared" si="40"/>
        <v>142.42850583971006</v>
      </c>
      <c r="CI34" s="3">
        <f t="shared" si="41"/>
        <v>453918.84</v>
      </c>
      <c r="CJ34" s="97">
        <f t="shared" si="42"/>
        <v>3159</v>
      </c>
      <c r="CK34" s="172">
        <f t="shared" si="43"/>
        <v>143.69067426400761</v>
      </c>
      <c r="CL34" s="167"/>
      <c r="CM34" s="168"/>
      <c r="CN34" s="170">
        <v>0</v>
      </c>
      <c r="CO34" s="167">
        <v>288134.59999999998</v>
      </c>
      <c r="CP34" s="168">
        <v>1652</v>
      </c>
      <c r="CQ34" s="170">
        <v>174.41561743341404</v>
      </c>
      <c r="CR34" s="3">
        <v>288134.59999999998</v>
      </c>
      <c r="CS34" s="97">
        <v>1652</v>
      </c>
      <c r="CT34" s="172">
        <v>174.41561743341404</v>
      </c>
      <c r="CU34" s="309">
        <v>35542.566981082782</v>
      </c>
      <c r="CV34" s="310">
        <v>405</v>
      </c>
      <c r="CW34" s="170">
        <v>87.759424644648846</v>
      </c>
      <c r="CX34" s="309">
        <v>263749.56656993699</v>
      </c>
      <c r="CY34" s="310">
        <v>1565</v>
      </c>
      <c r="CZ34" s="170">
        <v>168.53007448558273</v>
      </c>
      <c r="DA34" s="3">
        <f t="shared" si="45"/>
        <v>299292.13355101977</v>
      </c>
      <c r="DB34" s="97">
        <f t="shared" si="45"/>
        <v>1970</v>
      </c>
      <c r="DC34" s="172">
        <f t="shared" si="46"/>
        <v>151.92494088884251</v>
      </c>
      <c r="DD34" s="303">
        <v>179221.14799999999</v>
      </c>
      <c r="DE34" s="168">
        <v>1619.873</v>
      </c>
      <c r="DF34" s="170">
        <f t="shared" si="47"/>
        <v>110.63901182376642</v>
      </c>
      <c r="DG34" s="303">
        <v>64700</v>
      </c>
      <c r="DH34" s="168">
        <v>800</v>
      </c>
      <c r="DI34" s="170">
        <f t="shared" si="8"/>
        <v>80.875</v>
      </c>
      <c r="DJ34" s="167">
        <v>0</v>
      </c>
      <c r="DK34" s="168">
        <v>0</v>
      </c>
      <c r="DL34" s="170">
        <v>0</v>
      </c>
      <c r="DM34" s="3">
        <f t="shared" si="9"/>
        <v>243921.14799999999</v>
      </c>
      <c r="DN34" s="97">
        <f t="shared" si="48"/>
        <v>2419.873</v>
      </c>
      <c r="DO34" s="172">
        <f t="shared" si="49"/>
        <v>100.79915268280607</v>
      </c>
      <c r="DP34" s="303">
        <v>196510.26725440891</v>
      </c>
      <c r="DQ34" s="168">
        <v>700</v>
      </c>
      <c r="DR34" s="170">
        <f t="shared" si="50"/>
        <v>280.72895322058417</v>
      </c>
      <c r="DS34" s="303">
        <v>61750</v>
      </c>
      <c r="DT34" s="168">
        <v>325</v>
      </c>
      <c r="DU34" s="170">
        <f t="shared" si="51"/>
        <v>190</v>
      </c>
      <c r="DV34" s="3">
        <f t="shared" si="52"/>
        <v>258260.26725440891</v>
      </c>
      <c r="DW34" s="97">
        <f t="shared" si="53"/>
        <v>1025</v>
      </c>
      <c r="DX34" s="172">
        <f t="shared" si="54"/>
        <v>251.9612363457648</v>
      </c>
      <c r="DY34" s="167">
        <v>0</v>
      </c>
      <c r="DZ34" s="168">
        <v>0</v>
      </c>
      <c r="EA34" s="170">
        <f t="shared" si="55"/>
        <v>0</v>
      </c>
      <c r="EB34" s="167">
        <v>0</v>
      </c>
      <c r="EC34" s="168">
        <v>0</v>
      </c>
      <c r="ED34" s="170">
        <f t="shared" si="56"/>
        <v>0</v>
      </c>
      <c r="EE34" s="167">
        <v>0</v>
      </c>
      <c r="EF34" s="168">
        <v>0</v>
      </c>
      <c r="EG34" s="170">
        <f t="shared" si="57"/>
        <v>0</v>
      </c>
      <c r="EH34" s="3">
        <f t="shared" si="58"/>
        <v>0</v>
      </c>
      <c r="EI34" s="97">
        <f t="shared" si="59"/>
        <v>0</v>
      </c>
      <c r="EJ34" s="172">
        <f t="shared" si="60"/>
        <v>0</v>
      </c>
    </row>
    <row r="35" spans="2:140">
      <c r="B35" t="s">
        <v>166</v>
      </c>
      <c r="C35" t="s">
        <v>165</v>
      </c>
      <c r="D35">
        <f>VLOOKUP(B35,Dates!$B$2:$E$53,4,FALSE)</f>
        <v>31</v>
      </c>
      <c r="E35" s="168" t="b">
        <f>IF(D35&lt;='RDG Weekly Sales'!$F$1,TRUE,FALSE)</f>
        <v>1</v>
      </c>
      <c r="F35" s="303">
        <v>441015</v>
      </c>
      <c r="G35" s="168">
        <v>3139</v>
      </c>
      <c r="H35" s="170">
        <f t="shared" si="10"/>
        <v>140.49538069448869</v>
      </c>
      <c r="I35" s="167">
        <v>472918.64999999997</v>
      </c>
      <c r="J35" s="168">
        <v>3181</v>
      </c>
      <c r="K35" s="170">
        <f t="shared" si="11"/>
        <v>148.66980509273813</v>
      </c>
      <c r="L35" s="303">
        <v>33561</v>
      </c>
      <c r="M35" s="168">
        <v>277</v>
      </c>
      <c r="N35" s="170">
        <f t="shared" si="12"/>
        <v>121.15884476534296</v>
      </c>
      <c r="O35" s="167">
        <v>35105</v>
      </c>
      <c r="P35" s="168">
        <v>267</v>
      </c>
      <c r="Q35" s="170">
        <f t="shared" si="13"/>
        <v>131.47940074906367</v>
      </c>
      <c r="R35" s="3">
        <f t="shared" si="0"/>
        <v>474576</v>
      </c>
      <c r="S35" s="97">
        <f t="shared" si="1"/>
        <v>3416</v>
      </c>
      <c r="T35" s="170">
        <f t="shared" si="14"/>
        <v>138.92740046838406</v>
      </c>
      <c r="U35" s="3">
        <f t="shared" si="2"/>
        <v>508023.64999999997</v>
      </c>
      <c r="V35" s="97">
        <f t="shared" si="3"/>
        <v>3448</v>
      </c>
      <c r="W35" s="172">
        <f t="shared" si="15"/>
        <v>147.33864559164732</v>
      </c>
      <c r="X35" s="167">
        <v>11421.97215784432</v>
      </c>
      <c r="Y35" s="168">
        <v>43</v>
      </c>
      <c r="Z35" s="170">
        <f t="shared" si="16"/>
        <v>265.62725948475162</v>
      </c>
      <c r="AA35" s="167">
        <v>13055</v>
      </c>
      <c r="AB35" s="168">
        <v>43</v>
      </c>
      <c r="AC35" s="170">
        <f t="shared" si="17"/>
        <v>303.60465116279067</v>
      </c>
      <c r="AD35" s="167">
        <v>45045.710186513104</v>
      </c>
      <c r="AE35" s="168">
        <v>187</v>
      </c>
      <c r="AF35" s="170">
        <f t="shared" si="18"/>
        <v>240.8861507300166</v>
      </c>
      <c r="AG35" s="167">
        <v>48264</v>
      </c>
      <c r="AH35" s="168">
        <f>55+9+3+64+56</f>
        <v>187</v>
      </c>
      <c r="AI35" s="170">
        <f t="shared" si="19"/>
        <v>258.096256684492</v>
      </c>
      <c r="AJ35" s="167">
        <v>242472.27071549773</v>
      </c>
      <c r="AK35" s="168">
        <v>642.20000000000005</v>
      </c>
      <c r="AL35" s="170">
        <f t="shared" si="20"/>
        <v>377.5650431571126</v>
      </c>
      <c r="AM35" s="167">
        <f>154171.22+28048.25-1830.28</f>
        <v>180389.19</v>
      </c>
      <c r="AN35" s="168">
        <f>80+130+218+17+231</f>
        <v>676</v>
      </c>
      <c r="AO35" s="170">
        <f t="shared" si="21"/>
        <v>266.84791420118341</v>
      </c>
      <c r="AP35" s="167">
        <f t="shared" si="4"/>
        <v>298939.95305985515</v>
      </c>
      <c r="AQ35" s="168">
        <f t="shared" si="5"/>
        <v>872.2</v>
      </c>
      <c r="AR35" s="172">
        <f t="shared" si="22"/>
        <v>342.74243643643103</v>
      </c>
      <c r="AS35" s="167">
        <f t="shared" si="6"/>
        <v>241708.19</v>
      </c>
      <c r="AT35" s="168">
        <f t="shared" si="7"/>
        <v>906</v>
      </c>
      <c r="AU35" s="172">
        <f t="shared" si="23"/>
        <v>266.7860816777042</v>
      </c>
      <c r="AV35" s="167">
        <v>182403.31383968479</v>
      </c>
      <c r="AW35" s="168">
        <v>1648</v>
      </c>
      <c r="AX35" s="170">
        <f t="shared" si="24"/>
        <v>110.68162247553688</v>
      </c>
      <c r="AY35" s="167">
        <v>15419.625802572646</v>
      </c>
      <c r="AZ35" s="168">
        <v>246</v>
      </c>
      <c r="BA35" s="170">
        <f t="shared" si="25"/>
        <v>62.681405701514819</v>
      </c>
      <c r="BB35" s="167">
        <v>33658.153876031283</v>
      </c>
      <c r="BC35" s="168">
        <v>281</v>
      </c>
      <c r="BD35" s="170">
        <f t="shared" si="26"/>
        <v>119.7799070321398</v>
      </c>
      <c r="BE35" s="3">
        <f t="shared" si="27"/>
        <v>231481.09351828872</v>
      </c>
      <c r="BF35" s="97">
        <f t="shared" si="28"/>
        <v>2175</v>
      </c>
      <c r="BG35" s="172">
        <f t="shared" si="29"/>
        <v>106.42808897392585</v>
      </c>
      <c r="BH35" s="167">
        <f>197905.34-565.18-BK35</f>
        <v>181065.16</v>
      </c>
      <c r="BI35" s="168">
        <f>1898-BL35</f>
        <v>1652</v>
      </c>
      <c r="BJ35" s="170">
        <f t="shared" si="30"/>
        <v>109.60360774818402</v>
      </c>
      <c r="BK35" s="167">
        <v>16275</v>
      </c>
      <c r="BL35" s="168">
        <v>246</v>
      </c>
      <c r="BM35" s="170">
        <f t="shared" si="31"/>
        <v>66.158536585365852</v>
      </c>
      <c r="BN35" s="167">
        <f>27797.8-199</f>
        <v>27598.799999999999</v>
      </c>
      <c r="BO35" s="168">
        <f>32+95+67+69</f>
        <v>263</v>
      </c>
      <c r="BP35" s="170">
        <f t="shared" si="32"/>
        <v>104.9384030418251</v>
      </c>
      <c r="BQ35" s="3">
        <f t="shared" si="33"/>
        <v>224938.96</v>
      </c>
      <c r="BR35" s="97">
        <f t="shared" si="33"/>
        <v>2161</v>
      </c>
      <c r="BS35" s="172">
        <f t="shared" si="34"/>
        <v>104.0902174919019</v>
      </c>
      <c r="BT35" s="303">
        <v>109133.63422045077</v>
      </c>
      <c r="BU35" s="168">
        <v>631</v>
      </c>
      <c r="BV35" s="170">
        <f t="shared" si="35"/>
        <v>172.953461522109</v>
      </c>
      <c r="BW35" s="303">
        <v>288611.95428304072</v>
      </c>
      <c r="BX35" s="168">
        <v>2156</v>
      </c>
      <c r="BY35" s="170">
        <f t="shared" si="36"/>
        <v>133.86454280289459</v>
      </c>
      <c r="BZ35" s="3">
        <f t="shared" si="37"/>
        <v>397745.58850349148</v>
      </c>
      <c r="CA35" s="97">
        <f t="shared" si="37"/>
        <v>2787</v>
      </c>
      <c r="CB35" s="172">
        <f t="shared" si="38"/>
        <v>142.71459939127789</v>
      </c>
      <c r="CC35" s="167">
        <v>70186.75</v>
      </c>
      <c r="CD35" s="168">
        <f>158+331</f>
        <v>489</v>
      </c>
      <c r="CE35" s="170">
        <f t="shared" si="39"/>
        <v>143.53118609406954</v>
      </c>
      <c r="CF35" s="167">
        <f>387913.6-CC35-262.85</f>
        <v>317464</v>
      </c>
      <c r="CG35" s="168">
        <f>2791-CD35</f>
        <v>2302</v>
      </c>
      <c r="CH35" s="170">
        <f t="shared" si="40"/>
        <v>137.90790616854909</v>
      </c>
      <c r="CI35" s="3">
        <f t="shared" si="41"/>
        <v>387650.75</v>
      </c>
      <c r="CJ35" s="97">
        <f t="shared" si="42"/>
        <v>2791</v>
      </c>
      <c r="CK35" s="172">
        <f t="shared" si="43"/>
        <v>138.89313865997849</v>
      </c>
      <c r="CL35" s="167"/>
      <c r="CM35" s="168"/>
      <c r="CN35" s="170">
        <v>0</v>
      </c>
      <c r="CO35" s="167">
        <v>249542.15</v>
      </c>
      <c r="CP35" s="168">
        <v>1596</v>
      </c>
      <c r="CQ35" s="170">
        <v>156.35473057644109</v>
      </c>
      <c r="CR35" s="3">
        <v>249542.15</v>
      </c>
      <c r="CS35" s="97">
        <v>1596</v>
      </c>
      <c r="CT35" s="172">
        <v>156.35473057644109</v>
      </c>
      <c r="CU35" s="309">
        <v>30211.181933920358</v>
      </c>
      <c r="CV35" s="310">
        <v>344.25</v>
      </c>
      <c r="CW35" s="170">
        <v>87.759424644648817</v>
      </c>
      <c r="CX35" s="309">
        <v>250387.75760539706</v>
      </c>
      <c r="CY35" s="310">
        <v>1514</v>
      </c>
      <c r="CZ35" s="170">
        <v>165.38161004319488</v>
      </c>
      <c r="DA35" s="3">
        <f t="shared" si="45"/>
        <v>280598.93953931739</v>
      </c>
      <c r="DB35" s="97">
        <f t="shared" si="45"/>
        <v>1858.25</v>
      </c>
      <c r="DC35" s="172">
        <f t="shared" si="46"/>
        <v>151.00171642099684</v>
      </c>
      <c r="DD35" s="303">
        <v>172521.29199999999</v>
      </c>
      <c r="DE35" s="168">
        <v>1559.317</v>
      </c>
      <c r="DF35" s="170">
        <f t="shared" si="47"/>
        <v>110.63901182376642</v>
      </c>
      <c r="DG35" s="303">
        <v>58152.200000000004</v>
      </c>
      <c r="DH35" s="168">
        <v>719.6</v>
      </c>
      <c r="DI35" s="170">
        <f t="shared" si="8"/>
        <v>80.81183991106171</v>
      </c>
      <c r="DJ35" s="167">
        <v>0</v>
      </c>
      <c r="DK35" s="168">
        <v>0</v>
      </c>
      <c r="DL35" s="170">
        <v>0</v>
      </c>
      <c r="DM35" s="3">
        <f t="shared" si="9"/>
        <v>230673.492</v>
      </c>
      <c r="DN35" s="97">
        <f t="shared" si="48"/>
        <v>2278.9169999999999</v>
      </c>
      <c r="DO35" s="172">
        <f t="shared" si="49"/>
        <v>101.22066402593865</v>
      </c>
      <c r="DP35" s="303">
        <v>181058.39400666943</v>
      </c>
      <c r="DQ35" s="168">
        <v>700</v>
      </c>
      <c r="DR35" s="170">
        <f t="shared" si="50"/>
        <v>258.65484858095635</v>
      </c>
      <c r="DS35" s="303">
        <v>61750</v>
      </c>
      <c r="DT35" s="168">
        <v>325</v>
      </c>
      <c r="DU35" s="170">
        <f t="shared" si="51"/>
        <v>190</v>
      </c>
      <c r="DV35" s="3">
        <f t="shared" si="52"/>
        <v>242808.39400666943</v>
      </c>
      <c r="DW35" s="97">
        <f t="shared" si="53"/>
        <v>1025</v>
      </c>
      <c r="DX35" s="172">
        <f t="shared" si="54"/>
        <v>236.88623805528727</v>
      </c>
      <c r="DY35" s="167">
        <v>0</v>
      </c>
      <c r="DZ35" s="168">
        <v>0</v>
      </c>
      <c r="EA35" s="170">
        <f t="shared" si="55"/>
        <v>0</v>
      </c>
      <c r="EB35" s="167">
        <v>0</v>
      </c>
      <c r="EC35" s="168">
        <v>0</v>
      </c>
      <c r="ED35" s="170">
        <f t="shared" si="56"/>
        <v>0</v>
      </c>
      <c r="EE35" s="167">
        <v>0</v>
      </c>
      <c r="EF35" s="168">
        <v>0</v>
      </c>
      <c r="EG35" s="170">
        <f t="shared" si="57"/>
        <v>0</v>
      </c>
      <c r="EH35" s="3">
        <f t="shared" si="58"/>
        <v>0</v>
      </c>
      <c r="EI35" s="97">
        <f t="shared" si="59"/>
        <v>0</v>
      </c>
      <c r="EJ35" s="172">
        <f t="shared" si="60"/>
        <v>0</v>
      </c>
    </row>
    <row r="36" spans="2:140">
      <c r="B36" t="s">
        <v>167</v>
      </c>
      <c r="C36" t="s">
        <v>165</v>
      </c>
      <c r="D36">
        <f>VLOOKUP(B36,Dates!$B$2:$E$53,4,FALSE)</f>
        <v>32</v>
      </c>
      <c r="E36" s="168" t="b">
        <f>IF(D36&lt;='RDG Weekly Sales'!$F$1,TRUE,FALSE)</f>
        <v>1</v>
      </c>
      <c r="F36" s="303">
        <v>439673</v>
      </c>
      <c r="G36" s="168">
        <v>3126</v>
      </c>
      <c r="H36" s="170">
        <f t="shared" si="10"/>
        <v>140.65035188739603</v>
      </c>
      <c r="I36" s="167">
        <v>437834.56</v>
      </c>
      <c r="J36" s="168">
        <v>3142</v>
      </c>
      <c r="K36" s="170">
        <f t="shared" si="11"/>
        <v>139.34900063653723</v>
      </c>
      <c r="L36" s="303">
        <v>27261</v>
      </c>
      <c r="M36" s="168">
        <v>225</v>
      </c>
      <c r="N36" s="170">
        <f t="shared" si="12"/>
        <v>121.16</v>
      </c>
      <c r="O36" s="167">
        <v>27682.5</v>
      </c>
      <c r="P36" s="168">
        <v>225</v>
      </c>
      <c r="Q36" s="170">
        <f t="shared" si="13"/>
        <v>123.03333333333333</v>
      </c>
      <c r="R36" s="3">
        <f t="shared" si="0"/>
        <v>466934</v>
      </c>
      <c r="S36" s="97">
        <f t="shared" si="1"/>
        <v>3351</v>
      </c>
      <c r="T36" s="170">
        <f t="shared" si="14"/>
        <v>139.34168904804537</v>
      </c>
      <c r="U36" s="3">
        <f t="shared" si="2"/>
        <v>465517.06</v>
      </c>
      <c r="V36" s="97">
        <f t="shared" si="3"/>
        <v>3367</v>
      </c>
      <c r="W36" s="172">
        <f t="shared" si="15"/>
        <v>138.25870507870508</v>
      </c>
      <c r="X36" s="167">
        <v>15309.314267173451</v>
      </c>
      <c r="Y36" s="168">
        <v>58</v>
      </c>
      <c r="Z36" s="170">
        <f t="shared" si="16"/>
        <v>263.95369426161125</v>
      </c>
      <c r="AA36" s="167">
        <v>14986</v>
      </c>
      <c r="AB36" s="168">
        <v>58</v>
      </c>
      <c r="AC36" s="170">
        <f t="shared" si="17"/>
        <v>258.37931034482756</v>
      </c>
      <c r="AD36" s="167">
        <v>31619.641004011166</v>
      </c>
      <c r="AE36" s="168">
        <v>148</v>
      </c>
      <c r="AF36" s="170">
        <f t="shared" si="18"/>
        <v>213.64622300007545</v>
      </c>
      <c r="AG36" s="167">
        <f>22634.85+11509.31</f>
        <v>34144.159999999996</v>
      </c>
      <c r="AH36" s="168">
        <f>2+29+42+75</f>
        <v>148</v>
      </c>
      <c r="AI36" s="170">
        <f t="shared" si="19"/>
        <v>230.70378378378376</v>
      </c>
      <c r="AJ36" s="167">
        <v>236983.17179015838</v>
      </c>
      <c r="AK36" s="168">
        <v>625.09999999999991</v>
      </c>
      <c r="AL36" s="170">
        <f t="shared" si="20"/>
        <v>379.11241687755307</v>
      </c>
      <c r="AM36" s="167">
        <f>146680+28532.5-161.6</f>
        <v>175050.9</v>
      </c>
      <c r="AN36" s="168">
        <f>81+107+7+3+224+223+13</f>
        <v>658</v>
      </c>
      <c r="AO36" s="170">
        <f t="shared" si="21"/>
        <v>266.03480243161096</v>
      </c>
      <c r="AP36" s="167">
        <f t="shared" si="4"/>
        <v>283912.127061343</v>
      </c>
      <c r="AQ36" s="168">
        <f t="shared" si="5"/>
        <v>831.09999999999991</v>
      </c>
      <c r="AR36" s="172">
        <f t="shared" si="22"/>
        <v>341.61006745438942</v>
      </c>
      <c r="AS36" s="167">
        <f t="shared" si="6"/>
        <v>224181.06</v>
      </c>
      <c r="AT36" s="168">
        <f t="shared" si="7"/>
        <v>864</v>
      </c>
      <c r="AU36" s="172">
        <f t="shared" si="23"/>
        <v>259.46881944444442</v>
      </c>
      <c r="AV36" s="167">
        <v>156194.69799794894</v>
      </c>
      <c r="AW36" s="168">
        <v>1404</v>
      </c>
      <c r="AX36" s="170">
        <f t="shared" si="24"/>
        <v>111.24978489882403</v>
      </c>
      <c r="AY36" s="167">
        <v>15558.533834918253</v>
      </c>
      <c r="AZ36" s="168">
        <v>247</v>
      </c>
      <c r="BA36" s="170">
        <f t="shared" si="25"/>
        <v>62.99001552598483</v>
      </c>
      <c r="BB36" s="167">
        <v>23740.302381335045</v>
      </c>
      <c r="BC36" s="168">
        <v>181</v>
      </c>
      <c r="BD36" s="170">
        <f t="shared" si="26"/>
        <v>131.16189160958589</v>
      </c>
      <c r="BE36" s="3">
        <f t="shared" si="27"/>
        <v>195493.53421420223</v>
      </c>
      <c r="BF36" s="97">
        <f t="shared" si="28"/>
        <v>1832</v>
      </c>
      <c r="BG36" s="172">
        <f t="shared" si="29"/>
        <v>106.71044444006672</v>
      </c>
      <c r="BH36" s="167">
        <f>177731.72-651.8-BK36</f>
        <v>159847.92000000001</v>
      </c>
      <c r="BI36" s="168">
        <f>1651-BL36</f>
        <v>1404</v>
      </c>
      <c r="BJ36" s="170">
        <f t="shared" si="30"/>
        <v>113.85179487179488</v>
      </c>
      <c r="BK36" s="167">
        <v>17232</v>
      </c>
      <c r="BL36" s="168">
        <v>247</v>
      </c>
      <c r="BM36" s="170">
        <f t="shared" si="31"/>
        <v>69.765182186234824</v>
      </c>
      <c r="BN36" s="167">
        <f>33577.75-801.25</f>
        <v>32776.5</v>
      </c>
      <c r="BO36" s="168">
        <f>17+52+57+55</f>
        <v>181</v>
      </c>
      <c r="BP36" s="170">
        <f t="shared" si="32"/>
        <v>181.08563535911603</v>
      </c>
      <c r="BQ36" s="3">
        <f t="shared" si="33"/>
        <v>209856.42</v>
      </c>
      <c r="BR36" s="97">
        <f t="shared" si="33"/>
        <v>1832</v>
      </c>
      <c r="BS36" s="172">
        <f t="shared" si="34"/>
        <v>114.55044759825329</v>
      </c>
      <c r="BT36" s="303">
        <v>121498.34540162618</v>
      </c>
      <c r="BU36" s="168">
        <v>700</v>
      </c>
      <c r="BV36" s="170">
        <f t="shared" si="35"/>
        <v>173.56906485946598</v>
      </c>
      <c r="BW36" s="303">
        <v>313710.39365201892</v>
      </c>
      <c r="BX36" s="168">
        <v>2337</v>
      </c>
      <c r="BY36" s="170">
        <f t="shared" si="36"/>
        <v>134.23636870005089</v>
      </c>
      <c r="BZ36" s="3">
        <f t="shared" si="37"/>
        <v>435208.73905364511</v>
      </c>
      <c r="CA36" s="97">
        <f t="shared" si="37"/>
        <v>3037</v>
      </c>
      <c r="CB36" s="172">
        <f t="shared" si="38"/>
        <v>143.302186056518</v>
      </c>
      <c r="CC36" s="167">
        <v>91131.67</v>
      </c>
      <c r="CD36" s="168">
        <f>183+396</f>
        <v>579</v>
      </c>
      <c r="CE36" s="170">
        <f t="shared" si="39"/>
        <v>157.39493955094991</v>
      </c>
      <c r="CF36" s="167">
        <f>422975.33-CC36-1121.2</f>
        <v>330722.46000000002</v>
      </c>
      <c r="CG36" s="168">
        <f>3041-CD36</f>
        <v>2462</v>
      </c>
      <c r="CH36" s="170">
        <f t="shared" si="40"/>
        <v>134.33081234768483</v>
      </c>
      <c r="CI36" s="3">
        <f t="shared" si="41"/>
        <v>421854.13</v>
      </c>
      <c r="CJ36" s="97">
        <f t="shared" si="42"/>
        <v>3041</v>
      </c>
      <c r="CK36" s="172">
        <f t="shared" si="43"/>
        <v>138.72217362709634</v>
      </c>
      <c r="CL36" s="167"/>
      <c r="CM36" s="168"/>
      <c r="CN36" s="170">
        <v>0</v>
      </c>
      <c r="CO36" s="167">
        <v>275012.25</v>
      </c>
      <c r="CP36" s="168">
        <v>1798</v>
      </c>
      <c r="CQ36" s="170">
        <v>152.95453281423804</v>
      </c>
      <c r="CR36" s="3">
        <v>275012.25</v>
      </c>
      <c r="CS36" s="97">
        <v>1798</v>
      </c>
      <c r="CT36" s="172">
        <v>152.95453281423804</v>
      </c>
      <c r="CU36" s="309">
        <v>30211.181933920358</v>
      </c>
      <c r="CV36" s="310">
        <v>344.25</v>
      </c>
      <c r="CW36" s="170">
        <v>87.759424644648817</v>
      </c>
      <c r="CX36" s="309">
        <v>279595.51</v>
      </c>
      <c r="CY36" s="310">
        <v>1699</v>
      </c>
      <c r="CZ36" s="170">
        <v>164.56474985285462</v>
      </c>
      <c r="DA36" s="3">
        <f t="shared" si="45"/>
        <v>309806.69193392037</v>
      </c>
      <c r="DB36" s="97">
        <f t="shared" si="45"/>
        <v>2043.25</v>
      </c>
      <c r="DC36" s="172">
        <f t="shared" si="46"/>
        <v>151.62446687087746</v>
      </c>
      <c r="DD36" s="303">
        <v>172521.29199999999</v>
      </c>
      <c r="DE36" s="168">
        <v>1559.317</v>
      </c>
      <c r="DF36" s="170">
        <f t="shared" si="47"/>
        <v>110.63901182376642</v>
      </c>
      <c r="DG36" s="303">
        <v>58152.200000000004</v>
      </c>
      <c r="DH36" s="168">
        <v>719.6</v>
      </c>
      <c r="DI36" s="170">
        <f t="shared" si="8"/>
        <v>80.81183991106171</v>
      </c>
      <c r="DJ36" s="167">
        <v>0</v>
      </c>
      <c r="DK36" s="168">
        <v>0</v>
      </c>
      <c r="DL36" s="170">
        <v>0</v>
      </c>
      <c r="DM36" s="3">
        <f t="shared" si="9"/>
        <v>230673.492</v>
      </c>
      <c r="DN36" s="97">
        <f t="shared" si="48"/>
        <v>2278.9169999999999</v>
      </c>
      <c r="DO36" s="172">
        <f t="shared" si="49"/>
        <v>101.22066402593865</v>
      </c>
      <c r="DP36" s="303">
        <v>181058.39400666943</v>
      </c>
      <c r="DQ36" s="168">
        <v>700</v>
      </c>
      <c r="DR36" s="170">
        <f t="shared" si="50"/>
        <v>258.65484858095635</v>
      </c>
      <c r="DS36" s="303">
        <v>61750</v>
      </c>
      <c r="DT36" s="168">
        <v>325</v>
      </c>
      <c r="DU36" s="170">
        <f t="shared" si="51"/>
        <v>190</v>
      </c>
      <c r="DV36" s="3">
        <f t="shared" si="52"/>
        <v>242808.39400666943</v>
      </c>
      <c r="DW36" s="97">
        <f t="shared" si="53"/>
        <v>1025</v>
      </c>
      <c r="DX36" s="172">
        <f t="shared" si="54"/>
        <v>236.88623805528727</v>
      </c>
      <c r="DY36" s="167">
        <v>0</v>
      </c>
      <c r="DZ36" s="168">
        <v>0</v>
      </c>
      <c r="EA36" s="170">
        <f t="shared" si="55"/>
        <v>0</v>
      </c>
      <c r="EB36" s="167">
        <v>0</v>
      </c>
      <c r="EC36" s="168">
        <v>0</v>
      </c>
      <c r="ED36" s="170">
        <f t="shared" si="56"/>
        <v>0</v>
      </c>
      <c r="EE36" s="167">
        <v>0</v>
      </c>
      <c r="EF36" s="168">
        <v>0</v>
      </c>
      <c r="EG36" s="170">
        <f t="shared" si="57"/>
        <v>0</v>
      </c>
      <c r="EH36" s="3">
        <f t="shared" si="58"/>
        <v>0</v>
      </c>
      <c r="EI36" s="97">
        <f t="shared" si="59"/>
        <v>0</v>
      </c>
      <c r="EJ36" s="172">
        <f t="shared" si="60"/>
        <v>0</v>
      </c>
    </row>
    <row r="37" spans="2:140">
      <c r="B37" t="s">
        <v>168</v>
      </c>
      <c r="C37" t="s">
        <v>165</v>
      </c>
      <c r="D37">
        <f>VLOOKUP(B37,Dates!$B$2:$E$53,4,FALSE)</f>
        <v>33</v>
      </c>
      <c r="E37" s="168" t="b">
        <f>IF(D37&lt;='RDG Weekly Sales'!$F$1,TRUE,FALSE)</f>
        <v>1</v>
      </c>
      <c r="F37" s="303">
        <v>487922</v>
      </c>
      <c r="G37" s="168">
        <v>3479</v>
      </c>
      <c r="H37" s="170">
        <f t="shared" si="10"/>
        <v>140.24777234837597</v>
      </c>
      <c r="I37" s="167">
        <v>473719.11000000004</v>
      </c>
      <c r="J37" s="168">
        <v>3497</v>
      </c>
      <c r="K37" s="170">
        <f t="shared" si="11"/>
        <v>135.46442951100946</v>
      </c>
      <c r="L37" s="303">
        <v>32713</v>
      </c>
      <c r="M37" s="168">
        <v>270</v>
      </c>
      <c r="N37" s="170">
        <f t="shared" si="12"/>
        <v>121.15925925925926</v>
      </c>
      <c r="O37" s="167">
        <v>32179</v>
      </c>
      <c r="P37" s="168">
        <v>264</v>
      </c>
      <c r="Q37" s="170">
        <f t="shared" si="13"/>
        <v>121.89015151515152</v>
      </c>
      <c r="R37" s="3">
        <f t="shared" ref="R37:R56" si="61">F37+L37</f>
        <v>520635</v>
      </c>
      <c r="S37" s="97">
        <f t="shared" ref="S37:S56" si="62">G37+M37</f>
        <v>3749</v>
      </c>
      <c r="T37" s="170">
        <f t="shared" si="14"/>
        <v>138.873032808749</v>
      </c>
      <c r="U37" s="3">
        <f t="shared" ref="U37:U56" si="63">I37+O37</f>
        <v>505898.11000000004</v>
      </c>
      <c r="V37" s="97">
        <f t="shared" ref="V37:V56" si="64">J37+P37</f>
        <v>3761</v>
      </c>
      <c r="W37" s="172">
        <f t="shared" si="15"/>
        <v>134.51159532039352</v>
      </c>
      <c r="X37" s="167">
        <v>19721.11300639659</v>
      </c>
      <c r="Y37" s="168">
        <v>73</v>
      </c>
      <c r="Z37" s="170">
        <f t="shared" si="16"/>
        <v>270.15223296433686</v>
      </c>
      <c r="AA37" s="167">
        <v>19808.05</v>
      </c>
      <c r="AB37" s="168">
        <v>73</v>
      </c>
      <c r="AC37" s="170">
        <f t="shared" si="17"/>
        <v>271.34315068493152</v>
      </c>
      <c r="AD37" s="167">
        <v>54284.714757617527</v>
      </c>
      <c r="AE37" s="168">
        <v>263</v>
      </c>
      <c r="AF37" s="170">
        <f t="shared" si="18"/>
        <v>206.4057595346674</v>
      </c>
      <c r="AG37" s="167">
        <f>35385.5+12703.56</f>
        <v>48089.06</v>
      </c>
      <c r="AH37" s="168">
        <f>8+48+130+77</f>
        <v>263</v>
      </c>
      <c r="AI37" s="170">
        <f t="shared" si="19"/>
        <v>182.84813688212927</v>
      </c>
      <c r="AJ37" s="167">
        <v>185514.65908195917</v>
      </c>
      <c r="AK37" s="168">
        <v>658.34999999999991</v>
      </c>
      <c r="AL37" s="170">
        <f t="shared" si="20"/>
        <v>281.78728500335563</v>
      </c>
      <c r="AM37" s="167">
        <f>180799.95+38422</f>
        <v>219221.95</v>
      </c>
      <c r="AN37" s="168">
        <f>66+178+199+19+228+3</f>
        <v>693</v>
      </c>
      <c r="AO37" s="170">
        <f t="shared" si="21"/>
        <v>316.33759018759019</v>
      </c>
      <c r="AP37" s="167">
        <f t="shared" ref="AP37:AP56" si="65">SUM(X37,AD37,AJ37)</f>
        <v>259520.4868459733</v>
      </c>
      <c r="AQ37" s="168">
        <f t="shared" ref="AQ37:AQ56" si="66">SUM(Y37,AE37,AK37)</f>
        <v>994.34999999999991</v>
      </c>
      <c r="AR37" s="172">
        <f t="shared" si="22"/>
        <v>260.99510921302692</v>
      </c>
      <c r="AS37" s="167">
        <f t="shared" ref="AS37:AS56" si="67">SUM(AA37,AG37,AM37)</f>
        <v>287119.06</v>
      </c>
      <c r="AT37" s="168">
        <f t="shared" ref="AT37:AT56" si="68">SUM(AB37,AH37,AN37)</f>
        <v>1029</v>
      </c>
      <c r="AU37" s="172">
        <f t="shared" si="23"/>
        <v>279.02726919339165</v>
      </c>
      <c r="AV37" s="167">
        <v>169357.64432495963</v>
      </c>
      <c r="AW37" s="168">
        <v>1539</v>
      </c>
      <c r="AX37" s="170">
        <f t="shared" si="24"/>
        <v>110.04395342752413</v>
      </c>
      <c r="AY37" s="167">
        <v>16554.846879619618</v>
      </c>
      <c r="AZ37" s="168">
        <v>263</v>
      </c>
      <c r="BA37" s="170">
        <f t="shared" si="25"/>
        <v>62.946185854066989</v>
      </c>
      <c r="BB37" s="167">
        <v>29315.803707275256</v>
      </c>
      <c r="BC37" s="168">
        <v>213</v>
      </c>
      <c r="BD37" s="170">
        <f t="shared" si="26"/>
        <v>137.63288125481341</v>
      </c>
      <c r="BE37" s="3">
        <f t="shared" si="27"/>
        <v>215228.29491185449</v>
      </c>
      <c r="BF37" s="97">
        <f t="shared" si="28"/>
        <v>2015</v>
      </c>
      <c r="BG37" s="172">
        <f t="shared" si="29"/>
        <v>106.81304958404689</v>
      </c>
      <c r="BH37" s="167">
        <f>187313.51-510.2-BK37</f>
        <v>165208.31</v>
      </c>
      <c r="BI37" s="168">
        <f>1802-BL37</f>
        <v>1539</v>
      </c>
      <c r="BJ37" s="170">
        <f t="shared" si="30"/>
        <v>107.34782975958414</v>
      </c>
      <c r="BK37" s="167">
        <v>21595</v>
      </c>
      <c r="BL37" s="168">
        <v>263</v>
      </c>
      <c r="BM37" s="170">
        <f t="shared" si="31"/>
        <v>82.110266159695811</v>
      </c>
      <c r="BN37" s="167">
        <v>23427.29</v>
      </c>
      <c r="BO37" s="168">
        <f>26+38+73+76</f>
        <v>213</v>
      </c>
      <c r="BP37" s="170">
        <f t="shared" si="32"/>
        <v>109.98727699530517</v>
      </c>
      <c r="BQ37" s="3">
        <f t="shared" si="33"/>
        <v>210230.6</v>
      </c>
      <c r="BR37" s="97">
        <f t="shared" si="33"/>
        <v>2015</v>
      </c>
      <c r="BS37" s="172">
        <f t="shared" si="34"/>
        <v>104.33280397022332</v>
      </c>
      <c r="BT37" s="303">
        <v>157717.74827031692</v>
      </c>
      <c r="BU37" s="168">
        <v>903</v>
      </c>
      <c r="BV37" s="170">
        <f t="shared" si="35"/>
        <v>174.6597433779811</v>
      </c>
      <c r="BW37" s="303">
        <v>367058.96836051071</v>
      </c>
      <c r="BX37" s="168">
        <v>2736</v>
      </c>
      <c r="BY37" s="170">
        <f t="shared" si="36"/>
        <v>134.15897966392936</v>
      </c>
      <c r="BZ37" s="3">
        <f t="shared" si="37"/>
        <v>524776.71663082764</v>
      </c>
      <c r="CA37" s="97">
        <f t="shared" si="37"/>
        <v>3639</v>
      </c>
      <c r="CB37" s="172">
        <f t="shared" si="38"/>
        <v>144.20904551547889</v>
      </c>
      <c r="CC37" s="167">
        <v>121784.64</v>
      </c>
      <c r="CD37" s="168">
        <f>204+488</f>
        <v>692</v>
      </c>
      <c r="CE37" s="170">
        <f t="shared" si="39"/>
        <v>175.98936416184972</v>
      </c>
      <c r="CF37" s="167">
        <f>563693.64-CC37-1879.2</f>
        <v>440029.8</v>
      </c>
      <c r="CG37" s="168">
        <f>3647-CD37</f>
        <v>2955</v>
      </c>
      <c r="CH37" s="170">
        <f t="shared" si="40"/>
        <v>148.91025380710659</v>
      </c>
      <c r="CI37" s="3">
        <f t="shared" si="41"/>
        <v>561814.43999999994</v>
      </c>
      <c r="CJ37" s="97">
        <f t="shared" si="42"/>
        <v>3647</v>
      </c>
      <c r="CK37" s="172">
        <f t="shared" si="43"/>
        <v>154.04837948999176</v>
      </c>
      <c r="CL37" s="167"/>
      <c r="CM37" s="168"/>
      <c r="CN37" s="170">
        <v>0</v>
      </c>
      <c r="CO37" s="167">
        <v>304632.65999999997</v>
      </c>
      <c r="CP37" s="168">
        <v>2023</v>
      </c>
      <c r="CQ37" s="170">
        <v>150.58460701927828</v>
      </c>
      <c r="CR37" s="3">
        <v>304632.65999999997</v>
      </c>
      <c r="CS37" s="97">
        <v>2023</v>
      </c>
      <c r="CT37" s="172">
        <v>150.58460701927828</v>
      </c>
      <c r="CU37" s="309">
        <v>30211.181933920358</v>
      </c>
      <c r="CV37" s="310">
        <v>344.25</v>
      </c>
      <c r="CW37" s="170">
        <v>87.759424644648817</v>
      </c>
      <c r="CX37" s="309">
        <v>314207.87324516824</v>
      </c>
      <c r="CY37" s="310">
        <v>1919</v>
      </c>
      <c r="CZ37" s="170">
        <v>163.73521273849309</v>
      </c>
      <c r="DA37" s="3">
        <f t="shared" si="45"/>
        <v>344419.05517908861</v>
      </c>
      <c r="DB37" s="97">
        <f t="shared" si="45"/>
        <v>2263.25</v>
      </c>
      <c r="DC37" s="172">
        <f t="shared" si="46"/>
        <v>152.17897058614321</v>
      </c>
      <c r="DD37" s="303">
        <v>172521.29199999999</v>
      </c>
      <c r="DE37" s="168">
        <v>1559.317</v>
      </c>
      <c r="DF37" s="170">
        <f t="shared" si="47"/>
        <v>110.63901182376642</v>
      </c>
      <c r="DG37" s="303">
        <v>58152.200000000004</v>
      </c>
      <c r="DH37" s="168">
        <v>719.6</v>
      </c>
      <c r="DI37" s="170">
        <f t="shared" si="8"/>
        <v>80.81183991106171</v>
      </c>
      <c r="DJ37" s="167">
        <v>0</v>
      </c>
      <c r="DK37" s="168">
        <v>0</v>
      </c>
      <c r="DL37" s="170">
        <v>0</v>
      </c>
      <c r="DM37" s="3">
        <f t="shared" si="9"/>
        <v>230673.492</v>
      </c>
      <c r="DN37" s="97">
        <f t="shared" si="48"/>
        <v>2278.9169999999999</v>
      </c>
      <c r="DO37" s="172">
        <f t="shared" si="49"/>
        <v>101.22066402593865</v>
      </c>
      <c r="DP37" s="303">
        <v>181058.39400666943</v>
      </c>
      <c r="DQ37" s="168">
        <v>700</v>
      </c>
      <c r="DR37" s="170">
        <f t="shared" si="50"/>
        <v>258.65484858095635</v>
      </c>
      <c r="DS37" s="303">
        <v>61750</v>
      </c>
      <c r="DT37" s="168">
        <v>325</v>
      </c>
      <c r="DU37" s="170">
        <f t="shared" si="51"/>
        <v>190</v>
      </c>
      <c r="DV37" s="3">
        <f t="shared" si="52"/>
        <v>242808.39400666943</v>
      </c>
      <c r="DW37" s="97">
        <f t="shared" si="53"/>
        <v>1025</v>
      </c>
      <c r="DX37" s="172">
        <f t="shared" si="54"/>
        <v>236.88623805528727</v>
      </c>
      <c r="DY37" s="167">
        <v>0</v>
      </c>
      <c r="DZ37" s="168">
        <v>0</v>
      </c>
      <c r="EA37" s="170">
        <f t="shared" si="55"/>
        <v>0</v>
      </c>
      <c r="EB37" s="167">
        <v>0</v>
      </c>
      <c r="EC37" s="168">
        <v>0</v>
      </c>
      <c r="ED37" s="170">
        <f t="shared" si="56"/>
        <v>0</v>
      </c>
      <c r="EE37" s="167">
        <v>0</v>
      </c>
      <c r="EF37" s="168">
        <v>0</v>
      </c>
      <c r="EG37" s="170">
        <f t="shared" si="57"/>
        <v>0</v>
      </c>
      <c r="EH37" s="3">
        <f t="shared" si="58"/>
        <v>0</v>
      </c>
      <c r="EI37" s="97">
        <f t="shared" si="59"/>
        <v>0</v>
      </c>
      <c r="EJ37" s="172">
        <f t="shared" si="60"/>
        <v>0</v>
      </c>
    </row>
    <row r="38" spans="2:140">
      <c r="B38" t="s">
        <v>101</v>
      </c>
      <c r="C38" t="s">
        <v>165</v>
      </c>
      <c r="D38">
        <f>VLOOKUP(B38,Dates!$B$2:$E$53,4,FALSE)</f>
        <v>34</v>
      </c>
      <c r="E38" s="168" t="b">
        <f>IF(D38&lt;='RDG Weekly Sales'!$F$1,TRUE,FALSE)</f>
        <v>1</v>
      </c>
      <c r="F38" s="303">
        <v>445927</v>
      </c>
      <c r="G38" s="168">
        <v>3171</v>
      </c>
      <c r="H38" s="170">
        <f t="shared" si="10"/>
        <v>140.62661620939767</v>
      </c>
      <c r="I38" s="167">
        <v>434064.04</v>
      </c>
      <c r="J38" s="168">
        <v>3180</v>
      </c>
      <c r="K38" s="170">
        <f t="shared" si="11"/>
        <v>136.49812578616351</v>
      </c>
      <c r="L38" s="303">
        <v>26049</v>
      </c>
      <c r="M38" s="168">
        <v>215</v>
      </c>
      <c r="N38" s="170">
        <f t="shared" si="12"/>
        <v>121.15813953488372</v>
      </c>
      <c r="O38" s="167">
        <v>24617.75</v>
      </c>
      <c r="P38" s="168">
        <v>206</v>
      </c>
      <c r="Q38" s="170">
        <f t="shared" si="13"/>
        <v>119.50364077669903</v>
      </c>
      <c r="R38" s="3">
        <f t="shared" si="61"/>
        <v>471976</v>
      </c>
      <c r="S38" s="97">
        <f t="shared" si="62"/>
        <v>3386</v>
      </c>
      <c r="T38" s="170">
        <f t="shared" si="14"/>
        <v>139.39043118724157</v>
      </c>
      <c r="U38" s="3">
        <f t="shared" si="63"/>
        <v>458681.79</v>
      </c>
      <c r="V38" s="97">
        <f t="shared" si="64"/>
        <v>3386</v>
      </c>
      <c r="W38" s="172">
        <f t="shared" si="15"/>
        <v>135.46420259893679</v>
      </c>
      <c r="X38" s="167">
        <v>23919.600568585643</v>
      </c>
      <c r="Y38" s="168">
        <v>91</v>
      </c>
      <c r="Z38" s="170">
        <f t="shared" si="16"/>
        <v>262.85275350094116</v>
      </c>
      <c r="AA38" s="167">
        <v>22674</v>
      </c>
      <c r="AB38" s="168">
        <v>91</v>
      </c>
      <c r="AC38" s="170">
        <f t="shared" si="17"/>
        <v>249.16483516483515</v>
      </c>
      <c r="AD38" s="167">
        <v>38287.934051858196</v>
      </c>
      <c r="AE38" s="168">
        <v>237</v>
      </c>
      <c r="AF38" s="170">
        <f t="shared" si="18"/>
        <v>161.55246435383205</v>
      </c>
      <c r="AG38" s="167">
        <f>29674+9227.75</f>
        <v>38901.75</v>
      </c>
      <c r="AH38" s="168">
        <f>91+23+57+66</f>
        <v>237</v>
      </c>
      <c r="AI38" s="170">
        <f t="shared" si="19"/>
        <v>164.14240506329114</v>
      </c>
      <c r="AJ38" s="167">
        <v>164369.63878602296</v>
      </c>
      <c r="AK38" s="168">
        <v>593.75</v>
      </c>
      <c r="AL38" s="170">
        <f t="shared" si="20"/>
        <v>276.83307585014393</v>
      </c>
      <c r="AM38" s="167">
        <f>132844.75+31196</f>
        <v>164040.75</v>
      </c>
      <c r="AN38" s="168">
        <f>85+122+169+5+238+6</f>
        <v>625</v>
      </c>
      <c r="AO38" s="170">
        <f t="shared" si="21"/>
        <v>262.46519999999998</v>
      </c>
      <c r="AP38" s="167">
        <f t="shared" si="65"/>
        <v>226577.17340646678</v>
      </c>
      <c r="AQ38" s="168">
        <f t="shared" si="66"/>
        <v>921.75</v>
      </c>
      <c r="AR38" s="172">
        <f t="shared" si="22"/>
        <v>245.81195921504397</v>
      </c>
      <c r="AS38" s="167">
        <f t="shared" si="67"/>
        <v>225616.5</v>
      </c>
      <c r="AT38" s="168">
        <f t="shared" si="68"/>
        <v>953</v>
      </c>
      <c r="AU38" s="172">
        <f t="shared" si="23"/>
        <v>236.74344176285413</v>
      </c>
      <c r="AV38" s="167">
        <v>196748.34383740666</v>
      </c>
      <c r="AW38" s="168">
        <v>1787</v>
      </c>
      <c r="AX38" s="170">
        <f t="shared" si="24"/>
        <v>110.09980069244916</v>
      </c>
      <c r="AY38" s="167">
        <v>18441.243369812237</v>
      </c>
      <c r="AZ38" s="168">
        <v>293</v>
      </c>
      <c r="BA38" s="170">
        <f t="shared" si="25"/>
        <v>62.939397166594667</v>
      </c>
      <c r="BB38" s="167">
        <v>28526.740035358402</v>
      </c>
      <c r="BC38" s="168">
        <v>244</v>
      </c>
      <c r="BD38" s="170">
        <f t="shared" si="26"/>
        <v>116.9128689973705</v>
      </c>
      <c r="BE38" s="3">
        <f t="shared" si="27"/>
        <v>243716.3272425773</v>
      </c>
      <c r="BF38" s="97">
        <f t="shared" si="28"/>
        <v>2324</v>
      </c>
      <c r="BG38" s="172">
        <f t="shared" si="29"/>
        <v>104.86933185997302</v>
      </c>
      <c r="BH38" s="167">
        <f>217747.5-313.98-BK38</f>
        <v>194952.52</v>
      </c>
      <c r="BI38" s="168">
        <f>2080-BL38</f>
        <v>1787</v>
      </c>
      <c r="BJ38" s="170">
        <f t="shared" si="30"/>
        <v>109.09486289871292</v>
      </c>
      <c r="BK38" s="167">
        <v>22481</v>
      </c>
      <c r="BL38" s="168">
        <v>293</v>
      </c>
      <c r="BM38" s="170">
        <f t="shared" si="31"/>
        <v>76.726962457337891</v>
      </c>
      <c r="BN38" s="167">
        <f>36405.92-744.82</f>
        <v>35661.1</v>
      </c>
      <c r="BO38" s="168">
        <f>30+33+59+58+64</f>
        <v>244</v>
      </c>
      <c r="BP38" s="170">
        <f t="shared" si="32"/>
        <v>146.15204918032785</v>
      </c>
      <c r="BQ38" s="3">
        <f t="shared" si="33"/>
        <v>253094.62</v>
      </c>
      <c r="BR38" s="97">
        <f t="shared" si="33"/>
        <v>2324</v>
      </c>
      <c r="BS38" s="172">
        <f t="shared" si="34"/>
        <v>108.90474182444062</v>
      </c>
      <c r="BT38" s="303">
        <v>171030.70359692711</v>
      </c>
      <c r="BU38" s="168">
        <v>990</v>
      </c>
      <c r="BV38" s="170">
        <f t="shared" si="35"/>
        <v>172.75828646154253</v>
      </c>
      <c r="BW38" s="303">
        <v>333261.78221510875</v>
      </c>
      <c r="BX38" s="168">
        <v>2473</v>
      </c>
      <c r="BY38" s="170">
        <f t="shared" si="36"/>
        <v>134.76012220586685</v>
      </c>
      <c r="BZ38" s="3">
        <f t="shared" si="37"/>
        <v>504292.48581203585</v>
      </c>
      <c r="CA38" s="97">
        <f t="shared" si="37"/>
        <v>3463</v>
      </c>
      <c r="CB38" s="172">
        <f t="shared" si="38"/>
        <v>145.62301063009988</v>
      </c>
      <c r="CC38" s="167">
        <v>120642.6</v>
      </c>
      <c r="CD38" s="168">
        <f>514+236</f>
        <v>750</v>
      </c>
      <c r="CE38" s="170">
        <f t="shared" si="39"/>
        <v>160.85680000000002</v>
      </c>
      <c r="CF38" s="167">
        <f>494587.19-CC38-1075.44</f>
        <v>372869.14999999997</v>
      </c>
      <c r="CG38" s="168">
        <f>3463-CD38</f>
        <v>2713</v>
      </c>
      <c r="CH38" s="170">
        <f t="shared" si="40"/>
        <v>137.4379469222263</v>
      </c>
      <c r="CI38" s="3">
        <f t="shared" si="41"/>
        <v>493511.75</v>
      </c>
      <c r="CJ38" s="97">
        <f t="shared" si="42"/>
        <v>3463</v>
      </c>
      <c r="CK38" s="172">
        <f t="shared" si="43"/>
        <v>142.50989026855328</v>
      </c>
      <c r="CL38" s="167"/>
      <c r="CM38" s="168"/>
      <c r="CN38" s="170">
        <v>0</v>
      </c>
      <c r="CO38" s="167">
        <v>304876.25</v>
      </c>
      <c r="CP38" s="168">
        <v>1948</v>
      </c>
      <c r="CQ38" s="170">
        <v>156.50731519507187</v>
      </c>
      <c r="CR38" s="3">
        <v>304876.25</v>
      </c>
      <c r="CS38" s="97">
        <v>1948</v>
      </c>
      <c r="CT38" s="172">
        <v>156.50731519507187</v>
      </c>
      <c r="CU38" s="309">
        <v>30211.181933920358</v>
      </c>
      <c r="CV38" s="310">
        <v>344.25</v>
      </c>
      <c r="CW38" s="170">
        <v>87.759424644648817</v>
      </c>
      <c r="CX38" s="309">
        <v>299664.84999999998</v>
      </c>
      <c r="CY38" s="310">
        <v>1848</v>
      </c>
      <c r="CZ38" s="170">
        <v>162.1563041125541</v>
      </c>
      <c r="DA38" s="3">
        <f t="shared" si="45"/>
        <v>329876.03193392034</v>
      </c>
      <c r="DB38" s="97">
        <f t="shared" si="45"/>
        <v>2192.25</v>
      </c>
      <c r="DC38" s="172">
        <f t="shared" si="46"/>
        <v>150.47372878728262</v>
      </c>
      <c r="DD38" s="303">
        <v>172521.29199999999</v>
      </c>
      <c r="DE38" s="168">
        <v>1559.317</v>
      </c>
      <c r="DF38" s="170">
        <f t="shared" si="47"/>
        <v>110.63901182376642</v>
      </c>
      <c r="DG38" s="303">
        <v>58152.200000000004</v>
      </c>
      <c r="DH38" s="168">
        <v>719.6</v>
      </c>
      <c r="DI38" s="170">
        <f t="shared" si="8"/>
        <v>80.81183991106171</v>
      </c>
      <c r="DJ38" s="167">
        <v>0</v>
      </c>
      <c r="DK38" s="168">
        <v>0</v>
      </c>
      <c r="DL38" s="170">
        <v>0</v>
      </c>
      <c r="DM38" s="3">
        <f t="shared" si="9"/>
        <v>230673.492</v>
      </c>
      <c r="DN38" s="97">
        <f t="shared" si="48"/>
        <v>2278.9169999999999</v>
      </c>
      <c r="DO38" s="172">
        <f t="shared" si="49"/>
        <v>101.22066402593865</v>
      </c>
      <c r="DP38" s="303">
        <v>181058.39400666943</v>
      </c>
      <c r="DQ38" s="168">
        <v>700</v>
      </c>
      <c r="DR38" s="170">
        <f t="shared" si="50"/>
        <v>258.65484858095635</v>
      </c>
      <c r="DS38" s="303">
        <v>61750</v>
      </c>
      <c r="DT38" s="168">
        <v>325</v>
      </c>
      <c r="DU38" s="170">
        <f t="shared" si="51"/>
        <v>190</v>
      </c>
      <c r="DV38" s="3">
        <f t="shared" si="52"/>
        <v>242808.39400666943</v>
      </c>
      <c r="DW38" s="97">
        <f t="shared" si="53"/>
        <v>1025</v>
      </c>
      <c r="DX38" s="172">
        <f t="shared" si="54"/>
        <v>236.88623805528727</v>
      </c>
      <c r="DY38" s="167">
        <v>0</v>
      </c>
      <c r="DZ38" s="168">
        <v>0</v>
      </c>
      <c r="EA38" s="170">
        <f t="shared" si="55"/>
        <v>0</v>
      </c>
      <c r="EB38" s="167">
        <v>0</v>
      </c>
      <c r="EC38" s="168">
        <v>0</v>
      </c>
      <c r="ED38" s="170">
        <f t="shared" si="56"/>
        <v>0</v>
      </c>
      <c r="EE38" s="167">
        <v>0</v>
      </c>
      <c r="EF38" s="168">
        <v>0</v>
      </c>
      <c r="EG38" s="170">
        <f t="shared" si="57"/>
        <v>0</v>
      </c>
      <c r="EH38" s="3">
        <f t="shared" si="58"/>
        <v>0</v>
      </c>
      <c r="EI38" s="97">
        <f t="shared" si="59"/>
        <v>0</v>
      </c>
      <c r="EJ38" s="172">
        <f t="shared" si="60"/>
        <v>0</v>
      </c>
    </row>
    <row r="39" spans="2:140">
      <c r="B39" t="s">
        <v>171</v>
      </c>
      <c r="C39" t="s">
        <v>170</v>
      </c>
      <c r="D39">
        <f>VLOOKUP(B39,Dates!$B$2:$E$53,4,FALSE)</f>
        <v>35</v>
      </c>
      <c r="E39" s="168" t="b">
        <f>IF(D39&lt;='RDG Weekly Sales'!$F$1,TRUE,FALSE)</f>
        <v>0</v>
      </c>
      <c r="F39" s="303">
        <v>513139</v>
      </c>
      <c r="G39" s="168">
        <v>3462</v>
      </c>
      <c r="H39" s="170">
        <f t="shared" si="10"/>
        <v>148.22039283651068</v>
      </c>
      <c r="I39" s="167">
        <v>490876.68</v>
      </c>
      <c r="J39" s="168">
        <v>3472</v>
      </c>
      <c r="K39" s="170">
        <f t="shared" si="11"/>
        <v>141.38153225806451</v>
      </c>
      <c r="L39" s="303">
        <v>39018</v>
      </c>
      <c r="M39" s="168">
        <v>328</v>
      </c>
      <c r="N39" s="170">
        <f t="shared" si="12"/>
        <v>118.95731707317073</v>
      </c>
      <c r="O39" s="167">
        <v>40211.1</v>
      </c>
      <c r="P39" s="168">
        <v>318</v>
      </c>
      <c r="Q39" s="170">
        <f t="shared" si="13"/>
        <v>126.44999999999999</v>
      </c>
      <c r="R39" s="3">
        <f t="shared" si="61"/>
        <v>552157</v>
      </c>
      <c r="S39" s="97">
        <f t="shared" si="62"/>
        <v>3790</v>
      </c>
      <c r="T39" s="170">
        <f t="shared" si="14"/>
        <v>145.68786279683377</v>
      </c>
      <c r="U39" s="3">
        <f t="shared" si="63"/>
        <v>531087.78</v>
      </c>
      <c r="V39" s="97">
        <f t="shared" si="64"/>
        <v>3790</v>
      </c>
      <c r="W39" s="172">
        <f t="shared" si="15"/>
        <v>140.1287018469657</v>
      </c>
      <c r="X39" s="167">
        <v>21682.99428084906</v>
      </c>
      <c r="Y39" s="168">
        <v>81</v>
      </c>
      <c r="Z39" s="170">
        <f t="shared" si="16"/>
        <v>267.69128741788961</v>
      </c>
      <c r="AA39" s="167">
        <v>21967.01</v>
      </c>
      <c r="AB39" s="168">
        <v>81</v>
      </c>
      <c r="AC39" s="170">
        <f t="shared" si="17"/>
        <v>271.19765432098762</v>
      </c>
      <c r="AD39" s="167">
        <v>57971.48736131737</v>
      </c>
      <c r="AE39" s="168">
        <v>334</v>
      </c>
      <c r="AF39" s="170">
        <f t="shared" si="18"/>
        <v>173.56732742909392</v>
      </c>
      <c r="AG39" s="167">
        <f>39457.93+19910</f>
        <v>59367.93</v>
      </c>
      <c r="AH39" s="168">
        <f>25+12+71+55+113+58</f>
        <v>334</v>
      </c>
      <c r="AI39" s="170">
        <f t="shared" si="19"/>
        <v>177.74829341317366</v>
      </c>
      <c r="AJ39" s="167">
        <v>185668.531424324</v>
      </c>
      <c r="AK39" s="168">
        <v>756.2</v>
      </c>
      <c r="AL39" s="170">
        <f t="shared" si="20"/>
        <v>245.52834094726791</v>
      </c>
      <c r="AM39" s="167">
        <f>155251.35+36199-1151.65</f>
        <v>190298.7</v>
      </c>
      <c r="AN39" s="168">
        <f>25+84+137+188+6+224+14+118</f>
        <v>796</v>
      </c>
      <c r="AO39" s="170">
        <f t="shared" si="21"/>
        <v>239.06871859296484</v>
      </c>
      <c r="AP39" s="167">
        <f t="shared" si="65"/>
        <v>265323.01306649041</v>
      </c>
      <c r="AQ39" s="168">
        <f t="shared" si="66"/>
        <v>1171.2</v>
      </c>
      <c r="AR39" s="172">
        <f t="shared" si="22"/>
        <v>226.53945787780944</v>
      </c>
      <c r="AS39" s="167">
        <f t="shared" si="67"/>
        <v>271633.64</v>
      </c>
      <c r="AT39" s="168">
        <f t="shared" si="68"/>
        <v>1211</v>
      </c>
      <c r="AU39" s="172">
        <f t="shared" si="23"/>
        <v>224.30523534269201</v>
      </c>
      <c r="AV39" s="167">
        <v>183471.32439721259</v>
      </c>
      <c r="AW39" s="168">
        <v>1728</v>
      </c>
      <c r="AX39" s="170">
        <f t="shared" si="24"/>
        <v>106.17553495209062</v>
      </c>
      <c r="AY39" s="167">
        <v>15099.981778652036</v>
      </c>
      <c r="AZ39" s="168">
        <v>246</v>
      </c>
      <c r="BA39" s="170">
        <f t="shared" si="25"/>
        <v>61.382039750618034</v>
      </c>
      <c r="BB39" s="167">
        <v>28742.022999277076</v>
      </c>
      <c r="BC39" s="168">
        <v>272</v>
      </c>
      <c r="BD39" s="170">
        <f t="shared" si="26"/>
        <v>105.66920220322454</v>
      </c>
      <c r="BE39" s="3">
        <f t="shared" si="27"/>
        <v>227313.3291751417</v>
      </c>
      <c r="BF39" s="97">
        <f t="shared" si="28"/>
        <v>2246</v>
      </c>
      <c r="BG39" s="172">
        <f t="shared" si="29"/>
        <v>101.20807176097136</v>
      </c>
      <c r="BH39" s="167">
        <f>201095.49-BK39-137.8</f>
        <v>182172.69</v>
      </c>
      <c r="BI39" s="168">
        <f>1974-BL39</f>
        <v>1728</v>
      </c>
      <c r="BJ39" s="170">
        <f t="shared" si="30"/>
        <v>105.42401041666666</v>
      </c>
      <c r="BK39" s="167">
        <v>18785</v>
      </c>
      <c r="BL39" s="168">
        <v>246</v>
      </c>
      <c r="BM39" s="170">
        <f t="shared" si="31"/>
        <v>76.361788617886177</v>
      </c>
      <c r="BN39" s="167">
        <f>32380.25-262.65-5246</f>
        <v>26871.599999999999</v>
      </c>
      <c r="BO39" s="168">
        <f>26+66+53+77</f>
        <v>222</v>
      </c>
      <c r="BP39" s="170">
        <f t="shared" si="32"/>
        <v>121.04324324324324</v>
      </c>
      <c r="BQ39" s="3">
        <f t="shared" si="33"/>
        <v>227829.29</v>
      </c>
      <c r="BR39" s="97">
        <f t="shared" si="33"/>
        <v>2196</v>
      </c>
      <c r="BS39" s="172">
        <f t="shared" si="34"/>
        <v>103.74739981785063</v>
      </c>
      <c r="BT39" s="303">
        <v>176903.46200181716</v>
      </c>
      <c r="BU39" s="168">
        <v>863</v>
      </c>
      <c r="BV39" s="170">
        <f t="shared" si="35"/>
        <v>204.98663036131768</v>
      </c>
      <c r="BW39" s="303">
        <v>391369.3658978584</v>
      </c>
      <c r="BX39" s="168">
        <v>2653</v>
      </c>
      <c r="BY39" s="170">
        <f t="shared" si="36"/>
        <v>147.51954990495983</v>
      </c>
      <c r="BZ39" s="3">
        <f t="shared" si="37"/>
        <v>568272.82789967558</v>
      </c>
      <c r="CA39" s="97">
        <f t="shared" si="37"/>
        <v>3516</v>
      </c>
      <c r="CB39" s="172">
        <f t="shared" si="38"/>
        <v>161.62480884518646</v>
      </c>
      <c r="CC39" s="167">
        <v>108692.09</v>
      </c>
      <c r="CD39" s="168">
        <f>388+154</f>
        <v>542</v>
      </c>
      <c r="CE39" s="170">
        <f t="shared" si="39"/>
        <v>200.53891143911437</v>
      </c>
      <c r="CF39" s="167">
        <f>555426.04-799.5-CC39</f>
        <v>445934.45000000007</v>
      </c>
      <c r="CG39" s="168">
        <f>3489-CD39</f>
        <v>2947</v>
      </c>
      <c r="CH39" s="170">
        <f t="shared" si="40"/>
        <v>151.31810315575163</v>
      </c>
      <c r="CI39" s="3">
        <f t="shared" si="41"/>
        <v>554626.54</v>
      </c>
      <c r="CJ39" s="97">
        <f t="shared" si="42"/>
        <v>3489</v>
      </c>
      <c r="CK39" s="172">
        <f t="shared" si="43"/>
        <v>158.9643278876469</v>
      </c>
      <c r="CL39" s="167"/>
      <c r="CM39" s="168"/>
      <c r="CN39" s="170">
        <v>0</v>
      </c>
      <c r="CO39" s="167">
        <v>327920.39999999997</v>
      </c>
      <c r="CP39" s="168">
        <v>1913</v>
      </c>
      <c r="CQ39" s="170">
        <v>171.41683220073182</v>
      </c>
      <c r="CR39" s="3">
        <v>327920.39999999997</v>
      </c>
      <c r="CS39" s="97">
        <v>1913</v>
      </c>
      <c r="CT39" s="172">
        <v>171.41683220073182</v>
      </c>
      <c r="CU39" s="309">
        <v>30211.181933920358</v>
      </c>
      <c r="CV39" s="310">
        <v>344.25</v>
      </c>
      <c r="CW39" s="170">
        <v>87.759424644648817</v>
      </c>
      <c r="CX39" s="309">
        <v>292799.51</v>
      </c>
      <c r="CY39" s="310">
        <v>1813</v>
      </c>
      <c r="CZ39" s="170">
        <v>161.50000551571981</v>
      </c>
      <c r="DA39" s="3">
        <f t="shared" si="45"/>
        <v>323010.69193392037</v>
      </c>
      <c r="DB39" s="97">
        <f t="shared" si="45"/>
        <v>2157.25</v>
      </c>
      <c r="DC39" s="172">
        <f t="shared" si="46"/>
        <v>149.73261881280351</v>
      </c>
      <c r="DD39" s="303">
        <v>172521.29199999999</v>
      </c>
      <c r="DE39" s="168">
        <v>1559.317</v>
      </c>
      <c r="DF39" s="170">
        <f t="shared" si="47"/>
        <v>110.63901182376642</v>
      </c>
      <c r="DG39" s="303">
        <v>58152.200000000004</v>
      </c>
      <c r="DH39" s="168">
        <v>719.6</v>
      </c>
      <c r="DI39" s="170">
        <f t="shared" si="8"/>
        <v>80.81183991106171</v>
      </c>
      <c r="DJ39" s="167">
        <v>0</v>
      </c>
      <c r="DK39" s="168">
        <v>0</v>
      </c>
      <c r="DL39" s="170">
        <v>0</v>
      </c>
      <c r="DM39" s="3">
        <f t="shared" si="9"/>
        <v>230673.492</v>
      </c>
      <c r="DN39" s="97">
        <f t="shared" si="48"/>
        <v>2278.9169999999999</v>
      </c>
      <c r="DO39" s="172">
        <f t="shared" si="49"/>
        <v>101.22066402593865</v>
      </c>
      <c r="DP39" s="303">
        <v>158791.53720233616</v>
      </c>
      <c r="DQ39" s="168">
        <v>700</v>
      </c>
      <c r="DR39" s="170">
        <f t="shared" si="50"/>
        <v>226.84505314619452</v>
      </c>
      <c r="DS39" s="303">
        <v>22800</v>
      </c>
      <c r="DT39" s="168">
        <v>120</v>
      </c>
      <c r="DU39" s="170">
        <f t="shared" si="51"/>
        <v>190</v>
      </c>
      <c r="DV39" s="3">
        <f t="shared" si="52"/>
        <v>181591.53720233616</v>
      </c>
      <c r="DW39" s="97">
        <f t="shared" si="53"/>
        <v>820</v>
      </c>
      <c r="DX39" s="172">
        <f t="shared" si="54"/>
        <v>221.45309414919043</v>
      </c>
      <c r="DY39" s="167">
        <v>0</v>
      </c>
      <c r="DZ39" s="168">
        <v>0</v>
      </c>
      <c r="EA39" s="170">
        <f t="shared" si="55"/>
        <v>0</v>
      </c>
      <c r="EB39" s="167">
        <v>0</v>
      </c>
      <c r="EC39" s="168">
        <v>0</v>
      </c>
      <c r="ED39" s="170">
        <f t="shared" si="56"/>
        <v>0</v>
      </c>
      <c r="EE39" s="167">
        <v>0</v>
      </c>
      <c r="EF39" s="168">
        <v>0</v>
      </c>
      <c r="EG39" s="170">
        <f t="shared" si="57"/>
        <v>0</v>
      </c>
      <c r="EH39" s="3">
        <f t="shared" si="58"/>
        <v>0</v>
      </c>
      <c r="EI39" s="97">
        <f t="shared" si="59"/>
        <v>0</v>
      </c>
      <c r="EJ39" s="172">
        <f t="shared" si="60"/>
        <v>0</v>
      </c>
    </row>
    <row r="40" spans="2:140">
      <c r="B40" t="s">
        <v>172</v>
      </c>
      <c r="C40" t="s">
        <v>170</v>
      </c>
      <c r="D40">
        <f>VLOOKUP(B40,Dates!$B$2:$E$53,4,FALSE)</f>
        <v>36</v>
      </c>
      <c r="E40" s="168" t="b">
        <f>IF(D40&lt;='RDG Weekly Sales'!$F$1,TRUE,FALSE)</f>
        <v>0</v>
      </c>
      <c r="F40" s="303">
        <v>410628</v>
      </c>
      <c r="G40" s="168">
        <v>2733</v>
      </c>
      <c r="H40" s="170">
        <f t="shared" si="10"/>
        <v>150.24807903402854</v>
      </c>
      <c r="I40" s="167">
        <v>382745.51</v>
      </c>
      <c r="J40" s="168">
        <v>2748</v>
      </c>
      <c r="K40" s="170">
        <f t="shared" si="11"/>
        <v>139.28148107714702</v>
      </c>
      <c r="L40" s="303">
        <v>24624</v>
      </c>
      <c r="M40" s="168">
        <v>207</v>
      </c>
      <c r="N40" s="170">
        <f t="shared" si="12"/>
        <v>118.95652173913044</v>
      </c>
      <c r="O40" s="167">
        <v>23037</v>
      </c>
      <c r="P40" s="168">
        <v>192</v>
      </c>
      <c r="Q40" s="170">
        <f t="shared" si="13"/>
        <v>119.984375</v>
      </c>
      <c r="R40" s="3">
        <f t="shared" si="61"/>
        <v>435252</v>
      </c>
      <c r="S40" s="97">
        <f t="shared" si="62"/>
        <v>2940</v>
      </c>
      <c r="T40" s="170">
        <f t="shared" si="14"/>
        <v>148.04489795918369</v>
      </c>
      <c r="U40" s="3">
        <f t="shared" si="63"/>
        <v>405782.51</v>
      </c>
      <c r="V40" s="97">
        <f t="shared" si="64"/>
        <v>2940</v>
      </c>
      <c r="W40" s="172">
        <f t="shared" si="15"/>
        <v>138.0212619047619</v>
      </c>
      <c r="X40" s="167">
        <v>20647.320978725911</v>
      </c>
      <c r="Y40" s="168">
        <v>73</v>
      </c>
      <c r="Z40" s="170">
        <f t="shared" si="16"/>
        <v>282.84001340720425</v>
      </c>
      <c r="AA40" s="167">
        <v>20494.75</v>
      </c>
      <c r="AB40" s="168">
        <v>73</v>
      </c>
      <c r="AC40" s="170">
        <f t="shared" si="17"/>
        <v>280.75</v>
      </c>
      <c r="AD40" s="167">
        <v>34563.207543668912</v>
      </c>
      <c r="AE40" s="168">
        <v>190</v>
      </c>
      <c r="AF40" s="170">
        <f t="shared" si="18"/>
        <v>181.91161865088901</v>
      </c>
      <c r="AG40" s="167">
        <f>25158.86+11838</f>
        <v>36996.86</v>
      </c>
      <c r="AH40" s="168">
        <f>32+11+52+95</f>
        <v>190</v>
      </c>
      <c r="AI40" s="170">
        <f t="shared" si="19"/>
        <v>194.72031578947369</v>
      </c>
      <c r="AJ40" s="167">
        <v>141030.08154606071</v>
      </c>
      <c r="AK40" s="168">
        <v>506.35</v>
      </c>
      <c r="AL40" s="170">
        <f t="shared" si="20"/>
        <v>278.5229219829381</v>
      </c>
      <c r="AM40" s="167">
        <f>113392.75+22480</f>
        <v>135872.75</v>
      </c>
      <c r="AN40" s="168">
        <f>23+109+192+209</f>
        <v>533</v>
      </c>
      <c r="AO40" s="170">
        <f t="shared" si="21"/>
        <v>254.92073170731706</v>
      </c>
      <c r="AP40" s="167">
        <f t="shared" si="65"/>
        <v>196240.61006845554</v>
      </c>
      <c r="AQ40" s="168">
        <f t="shared" si="66"/>
        <v>769.35</v>
      </c>
      <c r="AR40" s="172">
        <f t="shared" si="22"/>
        <v>255.0732567341984</v>
      </c>
      <c r="AS40" s="167">
        <f t="shared" si="67"/>
        <v>193364.36</v>
      </c>
      <c r="AT40" s="168">
        <f t="shared" si="68"/>
        <v>796</v>
      </c>
      <c r="AU40" s="172">
        <f t="shared" si="23"/>
        <v>242.92005025125627</v>
      </c>
      <c r="AV40" s="167">
        <v>169908.80704221129</v>
      </c>
      <c r="AW40" s="168">
        <v>1596</v>
      </c>
      <c r="AX40" s="170">
        <f t="shared" si="24"/>
        <v>106.45915228208727</v>
      </c>
      <c r="AY40" s="167">
        <v>16416.534216792628</v>
      </c>
      <c r="AZ40" s="168">
        <v>266</v>
      </c>
      <c r="BA40" s="170">
        <f t="shared" si="25"/>
        <v>61.716294048092585</v>
      </c>
      <c r="BB40" s="167">
        <v>30451.086669373322</v>
      </c>
      <c r="BC40" s="168">
        <v>267</v>
      </c>
      <c r="BD40" s="170">
        <f t="shared" si="26"/>
        <v>114.04901374297124</v>
      </c>
      <c r="BE40" s="3">
        <f t="shared" si="27"/>
        <v>216776.42792837723</v>
      </c>
      <c r="BF40" s="97">
        <f t="shared" si="28"/>
        <v>2129</v>
      </c>
      <c r="BG40" s="172">
        <f t="shared" si="29"/>
        <v>101.82077403869292</v>
      </c>
      <c r="BH40" s="167">
        <f>189062.74-BK40</f>
        <v>171995.74</v>
      </c>
      <c r="BI40" s="168">
        <f>1862-BL40</f>
        <v>1596</v>
      </c>
      <c r="BJ40" s="170">
        <f t="shared" si="30"/>
        <v>107.7667543859649</v>
      </c>
      <c r="BK40" s="167">
        <v>17067</v>
      </c>
      <c r="BL40" s="168">
        <v>266</v>
      </c>
      <c r="BM40" s="170">
        <f t="shared" si="31"/>
        <v>64.161654135338352</v>
      </c>
      <c r="BN40" s="167">
        <f>42452.46-904.75</f>
        <v>41547.71</v>
      </c>
      <c r="BO40" s="168">
        <f>50+25+77+90</f>
        <v>242</v>
      </c>
      <c r="BP40" s="170">
        <f t="shared" si="32"/>
        <v>171.68475206611569</v>
      </c>
      <c r="BQ40" s="3">
        <f t="shared" si="33"/>
        <v>230610.44999999998</v>
      </c>
      <c r="BR40" s="97">
        <f t="shared" si="33"/>
        <v>2104</v>
      </c>
      <c r="BS40" s="172">
        <f t="shared" si="34"/>
        <v>109.60572718631178</v>
      </c>
      <c r="BT40" s="303">
        <v>159424.4729315869</v>
      </c>
      <c r="BU40" s="168">
        <v>799</v>
      </c>
      <c r="BV40" s="170">
        <f t="shared" si="35"/>
        <v>199.53000366906997</v>
      </c>
      <c r="BW40" s="303">
        <v>264554.46443969611</v>
      </c>
      <c r="BX40" s="168">
        <v>1879</v>
      </c>
      <c r="BY40" s="170">
        <f t="shared" si="36"/>
        <v>140.79535095247266</v>
      </c>
      <c r="BZ40" s="3">
        <f t="shared" si="37"/>
        <v>423978.93737128301</v>
      </c>
      <c r="CA40" s="97">
        <f t="shared" si="37"/>
        <v>2678</v>
      </c>
      <c r="CB40" s="172">
        <f t="shared" si="38"/>
        <v>158.31924472415346</v>
      </c>
      <c r="CC40" s="167">
        <v>104788.3</v>
      </c>
      <c r="CD40" s="168">
        <f>406+208</f>
        <v>614</v>
      </c>
      <c r="CE40" s="170">
        <f t="shared" si="39"/>
        <v>170.66498371335504</v>
      </c>
      <c r="CF40" s="167">
        <f>398256.3-CC40-699.04</f>
        <v>292768.96000000002</v>
      </c>
      <c r="CG40" s="168">
        <f>2678-CD40</f>
        <v>2064</v>
      </c>
      <c r="CH40" s="170">
        <f t="shared" si="40"/>
        <v>141.84542635658914</v>
      </c>
      <c r="CI40" s="3">
        <f t="shared" si="41"/>
        <v>397557.26</v>
      </c>
      <c r="CJ40" s="97">
        <f t="shared" si="42"/>
        <v>2678</v>
      </c>
      <c r="CK40" s="172">
        <f t="shared" si="43"/>
        <v>148.45304705003736</v>
      </c>
      <c r="CL40" s="167"/>
      <c r="CM40" s="168"/>
      <c r="CN40" s="170">
        <v>0</v>
      </c>
      <c r="CO40" s="167">
        <v>256608.77</v>
      </c>
      <c r="CP40" s="168">
        <v>1625</v>
      </c>
      <c r="CQ40" s="170">
        <v>157.91308923076923</v>
      </c>
      <c r="CR40" s="3">
        <v>256608.77</v>
      </c>
      <c r="CS40" s="97">
        <v>1625</v>
      </c>
      <c r="CT40" s="172">
        <v>157.91308923076923</v>
      </c>
      <c r="CU40" s="309">
        <v>30211.181933920358</v>
      </c>
      <c r="CV40" s="310">
        <v>344.25</v>
      </c>
      <c r="CW40" s="170">
        <v>87.759424644648817</v>
      </c>
      <c r="CX40" s="309">
        <v>248692</v>
      </c>
      <c r="CY40" s="310">
        <v>1538</v>
      </c>
      <c r="CZ40" s="170">
        <v>161.69830949284784</v>
      </c>
      <c r="DA40" s="3">
        <f t="shared" si="45"/>
        <v>278903.18193392036</v>
      </c>
      <c r="DB40" s="97">
        <f t="shared" si="45"/>
        <v>1882.25</v>
      </c>
      <c r="DC40" s="172">
        <f t="shared" si="46"/>
        <v>148.17541874560786</v>
      </c>
      <c r="DD40" s="303">
        <v>172521.29199999999</v>
      </c>
      <c r="DE40" s="168">
        <v>1559.317</v>
      </c>
      <c r="DF40" s="170">
        <f t="shared" si="47"/>
        <v>110.63901182376642</v>
      </c>
      <c r="DG40" s="303">
        <v>58152.200000000004</v>
      </c>
      <c r="DH40" s="168">
        <v>719.6</v>
      </c>
      <c r="DI40" s="170">
        <f t="shared" si="8"/>
        <v>80.81183991106171</v>
      </c>
      <c r="DJ40" s="167">
        <v>0</v>
      </c>
      <c r="DK40" s="168">
        <v>0</v>
      </c>
      <c r="DL40" s="170">
        <v>0</v>
      </c>
      <c r="DM40" s="3">
        <f t="shared" si="9"/>
        <v>230673.492</v>
      </c>
      <c r="DN40" s="97">
        <f t="shared" si="48"/>
        <v>2278.9169999999999</v>
      </c>
      <c r="DO40" s="172">
        <f t="shared" si="49"/>
        <v>101.22066402593865</v>
      </c>
      <c r="DP40" s="303">
        <v>158791.53720233616</v>
      </c>
      <c r="DQ40" s="168">
        <v>700</v>
      </c>
      <c r="DR40" s="170">
        <f t="shared" si="50"/>
        <v>226.84505314619452</v>
      </c>
      <c r="DS40" s="303">
        <v>22800</v>
      </c>
      <c r="DT40" s="168">
        <v>120</v>
      </c>
      <c r="DU40" s="170">
        <f t="shared" si="51"/>
        <v>190</v>
      </c>
      <c r="DV40" s="3">
        <f t="shared" si="52"/>
        <v>181591.53720233616</v>
      </c>
      <c r="DW40" s="97">
        <f t="shared" si="53"/>
        <v>820</v>
      </c>
      <c r="DX40" s="172">
        <f t="shared" si="54"/>
        <v>221.45309414919043</v>
      </c>
      <c r="DY40" s="167">
        <v>0</v>
      </c>
      <c r="DZ40" s="168">
        <v>0</v>
      </c>
      <c r="EA40" s="170">
        <f t="shared" si="55"/>
        <v>0</v>
      </c>
      <c r="EB40" s="167">
        <v>0</v>
      </c>
      <c r="EC40" s="168">
        <v>0</v>
      </c>
      <c r="ED40" s="170">
        <f t="shared" si="56"/>
        <v>0</v>
      </c>
      <c r="EE40" s="167">
        <v>0</v>
      </c>
      <c r="EF40" s="168">
        <v>0</v>
      </c>
      <c r="EG40" s="170">
        <f t="shared" si="57"/>
        <v>0</v>
      </c>
      <c r="EH40" s="3">
        <f t="shared" si="58"/>
        <v>0</v>
      </c>
      <c r="EI40" s="97">
        <f t="shared" si="59"/>
        <v>0</v>
      </c>
      <c r="EJ40" s="172">
        <f t="shared" si="60"/>
        <v>0</v>
      </c>
    </row>
    <row r="41" spans="2:140">
      <c r="B41" t="s">
        <v>173</v>
      </c>
      <c r="C41" t="s">
        <v>170</v>
      </c>
      <c r="D41">
        <f>VLOOKUP(B41,Dates!$B$2:$E$53,4,FALSE)</f>
        <v>37</v>
      </c>
      <c r="E41" s="168" t="b">
        <f>IF(D41&lt;='RDG Weekly Sales'!$F$1,TRUE,FALSE)</f>
        <v>0</v>
      </c>
      <c r="F41" s="303">
        <v>458915</v>
      </c>
      <c r="G41" s="168">
        <v>3066</v>
      </c>
      <c r="H41" s="170">
        <f t="shared" si="10"/>
        <v>149.67873450750164</v>
      </c>
      <c r="I41" s="167">
        <v>473332.70000000007</v>
      </c>
      <c r="J41" s="168">
        <v>3066</v>
      </c>
      <c r="K41" s="170">
        <f t="shared" si="11"/>
        <v>154.38118069145469</v>
      </c>
      <c r="L41" s="303">
        <v>36996</v>
      </c>
      <c r="M41" s="168">
        <v>311</v>
      </c>
      <c r="N41" s="170">
        <f t="shared" si="12"/>
        <v>118.95819935691318</v>
      </c>
      <c r="O41" s="167">
        <v>37596.6</v>
      </c>
      <c r="P41" s="168">
        <v>311</v>
      </c>
      <c r="Q41" s="170">
        <f t="shared" si="13"/>
        <v>120.88938906752411</v>
      </c>
      <c r="R41" s="3">
        <f t="shared" si="61"/>
        <v>495911</v>
      </c>
      <c r="S41" s="97">
        <f t="shared" si="62"/>
        <v>3377</v>
      </c>
      <c r="T41" s="170">
        <f t="shared" si="14"/>
        <v>146.84957062481493</v>
      </c>
      <c r="U41" s="3">
        <f t="shared" si="63"/>
        <v>510929.30000000005</v>
      </c>
      <c r="V41" s="97">
        <f t="shared" si="64"/>
        <v>3377</v>
      </c>
      <c r="W41" s="172">
        <f t="shared" si="15"/>
        <v>151.29680189517325</v>
      </c>
      <c r="X41" s="167">
        <v>21884.816849238116</v>
      </c>
      <c r="Y41" s="168">
        <v>80</v>
      </c>
      <c r="Z41" s="170">
        <f t="shared" si="16"/>
        <v>273.56021061547642</v>
      </c>
      <c r="AA41" s="167">
        <v>21473.4</v>
      </c>
      <c r="AB41" s="168">
        <v>80</v>
      </c>
      <c r="AC41" s="170">
        <f t="shared" si="17"/>
        <v>268.41750000000002</v>
      </c>
      <c r="AD41" s="167">
        <v>65886.010771904024</v>
      </c>
      <c r="AE41" s="168">
        <v>431</v>
      </c>
      <c r="AF41" s="170">
        <f t="shared" si="18"/>
        <v>152.86777441277036</v>
      </c>
      <c r="AG41" s="167">
        <f>44394.75+16945.25</f>
        <v>61340</v>
      </c>
      <c r="AH41" s="168">
        <f>12+48+122+100</f>
        <v>282</v>
      </c>
      <c r="AI41" s="170">
        <f t="shared" si="19"/>
        <v>217.51773049645391</v>
      </c>
      <c r="AJ41" s="167">
        <v>174381.53838090401</v>
      </c>
      <c r="AK41" s="168">
        <v>641.25</v>
      </c>
      <c r="AL41" s="170">
        <f t="shared" si="20"/>
        <v>271.94002086690682</v>
      </c>
      <c r="AM41" s="167">
        <f>161916.2+28592-366.45</f>
        <v>190141.75</v>
      </c>
      <c r="AN41" s="168">
        <f>57+134+233+252</f>
        <v>676</v>
      </c>
      <c r="AO41" s="170">
        <f t="shared" si="21"/>
        <v>281.27477810650885</v>
      </c>
      <c r="AP41" s="167">
        <f t="shared" si="65"/>
        <v>262152.36600204615</v>
      </c>
      <c r="AQ41" s="168">
        <f t="shared" si="66"/>
        <v>1152.25</v>
      </c>
      <c r="AR41" s="172">
        <f t="shared" si="22"/>
        <v>227.51344413282374</v>
      </c>
      <c r="AS41" s="167">
        <f t="shared" si="67"/>
        <v>272955.15000000002</v>
      </c>
      <c r="AT41" s="168">
        <f t="shared" si="68"/>
        <v>1038</v>
      </c>
      <c r="AU41" s="172">
        <f t="shared" si="23"/>
        <v>262.96257225433527</v>
      </c>
      <c r="AV41" s="167">
        <v>166185.28800670203</v>
      </c>
      <c r="AW41" s="168">
        <v>1559</v>
      </c>
      <c r="AX41" s="170">
        <f t="shared" si="24"/>
        <v>106.59736241610136</v>
      </c>
      <c r="AY41" s="167">
        <v>15793.690858266902</v>
      </c>
      <c r="AZ41" s="168">
        <v>255</v>
      </c>
      <c r="BA41" s="170">
        <f t="shared" si="25"/>
        <v>61.936042581438834</v>
      </c>
      <c r="BB41" s="167">
        <v>22230.711624480165</v>
      </c>
      <c r="BC41" s="168">
        <v>198</v>
      </c>
      <c r="BD41" s="170">
        <f t="shared" si="26"/>
        <v>112.27632133575841</v>
      </c>
      <c r="BE41" s="3">
        <f t="shared" si="27"/>
        <v>204209.6904894491</v>
      </c>
      <c r="BF41" s="97">
        <f t="shared" si="28"/>
        <v>2012</v>
      </c>
      <c r="BG41" s="172">
        <f t="shared" si="29"/>
        <v>101.49587002457709</v>
      </c>
      <c r="BH41" s="167">
        <f>185970.15-234.58-BK41</f>
        <v>166640.57</v>
      </c>
      <c r="BI41" s="168">
        <f>1814-BL41</f>
        <v>1559</v>
      </c>
      <c r="BJ41" s="170">
        <f t="shared" si="30"/>
        <v>106.88939704939064</v>
      </c>
      <c r="BK41" s="167">
        <v>19095</v>
      </c>
      <c r="BL41" s="168">
        <v>255</v>
      </c>
      <c r="BM41" s="170">
        <f t="shared" si="31"/>
        <v>74.882352941176464</v>
      </c>
      <c r="BN41" s="167">
        <f>37172.15-927</f>
        <v>36245.15</v>
      </c>
      <c r="BO41" s="168">
        <f>18+52+22+42+64</f>
        <v>198</v>
      </c>
      <c r="BP41" s="170">
        <f t="shared" si="32"/>
        <v>183.05631313131315</v>
      </c>
      <c r="BQ41" s="3">
        <f t="shared" si="33"/>
        <v>221980.72</v>
      </c>
      <c r="BR41" s="97">
        <f t="shared" si="33"/>
        <v>2012</v>
      </c>
      <c r="BS41" s="172">
        <f t="shared" si="34"/>
        <v>110.32838966202783</v>
      </c>
      <c r="BT41" s="303">
        <v>160042.97586784631</v>
      </c>
      <c r="BU41" s="168">
        <v>788</v>
      </c>
      <c r="BV41" s="170">
        <f t="shared" si="35"/>
        <v>203.10022318254607</v>
      </c>
      <c r="BW41" s="303">
        <v>356530.21299536363</v>
      </c>
      <c r="BX41" s="168">
        <v>2495</v>
      </c>
      <c r="BY41" s="170">
        <f t="shared" si="36"/>
        <v>142.89788096006558</v>
      </c>
      <c r="BZ41" s="3">
        <f t="shared" si="37"/>
        <v>516573.18886320991</v>
      </c>
      <c r="CA41" s="97">
        <f t="shared" si="37"/>
        <v>3283</v>
      </c>
      <c r="CB41" s="172">
        <f t="shared" si="38"/>
        <v>157.34791010149556</v>
      </c>
      <c r="CC41" s="167">
        <v>96067.65</v>
      </c>
      <c r="CD41" s="168">
        <f>444+180</f>
        <v>624</v>
      </c>
      <c r="CE41" s="170">
        <f t="shared" si="39"/>
        <v>153.95456730769229</v>
      </c>
      <c r="CF41" s="167">
        <f>483963.62-CC41-2253.12</f>
        <v>385642.85</v>
      </c>
      <c r="CG41" s="168">
        <f>3283-CD41</f>
        <v>2659</v>
      </c>
      <c r="CH41" s="170">
        <f t="shared" si="40"/>
        <v>145.03303873636705</v>
      </c>
      <c r="CI41" s="3">
        <f t="shared" si="41"/>
        <v>481710.5</v>
      </c>
      <c r="CJ41" s="97">
        <f t="shared" si="42"/>
        <v>3283</v>
      </c>
      <c r="CK41" s="172">
        <f t="shared" si="43"/>
        <v>146.72875418824245</v>
      </c>
      <c r="CL41" s="167"/>
      <c r="CM41" s="168"/>
      <c r="CN41" s="170">
        <v>0</v>
      </c>
      <c r="CO41" s="167">
        <v>267323.02</v>
      </c>
      <c r="CP41" s="168">
        <v>1669</v>
      </c>
      <c r="CQ41" s="170">
        <v>160.16957459556622</v>
      </c>
      <c r="CR41" s="3">
        <v>267323.02</v>
      </c>
      <c r="CS41" s="97">
        <v>1669</v>
      </c>
      <c r="CT41" s="172">
        <v>160.16957459556622</v>
      </c>
      <c r="CU41" s="309">
        <v>30211.181933920358</v>
      </c>
      <c r="CV41" s="310">
        <v>344.25</v>
      </c>
      <c r="CW41" s="170">
        <v>87.759424644648817</v>
      </c>
      <c r="CX41" s="309">
        <v>255298.12</v>
      </c>
      <c r="CY41" s="310">
        <v>1574</v>
      </c>
      <c r="CZ41" s="170">
        <v>162.19702668360864</v>
      </c>
      <c r="DA41" s="3">
        <f t="shared" si="45"/>
        <v>285509.30193392036</v>
      </c>
      <c r="DB41" s="97">
        <f t="shared" si="45"/>
        <v>1918.25</v>
      </c>
      <c r="DC41" s="172">
        <f t="shared" si="46"/>
        <v>148.83842144346167</v>
      </c>
      <c r="DD41" s="303">
        <v>172521.29199999999</v>
      </c>
      <c r="DE41" s="168">
        <v>1559.317</v>
      </c>
      <c r="DF41" s="170">
        <f t="shared" si="47"/>
        <v>110.63901182376642</v>
      </c>
      <c r="DG41" s="303">
        <v>58152.200000000004</v>
      </c>
      <c r="DH41" s="168">
        <v>719.6</v>
      </c>
      <c r="DI41" s="170">
        <f t="shared" si="8"/>
        <v>80.81183991106171</v>
      </c>
      <c r="DJ41" s="167">
        <v>0</v>
      </c>
      <c r="DK41" s="168">
        <v>0</v>
      </c>
      <c r="DL41" s="170">
        <v>0</v>
      </c>
      <c r="DM41" s="3">
        <f t="shared" si="9"/>
        <v>230673.492</v>
      </c>
      <c r="DN41" s="97">
        <f t="shared" si="48"/>
        <v>2278.9169999999999</v>
      </c>
      <c r="DO41" s="172">
        <f t="shared" si="49"/>
        <v>101.22066402593865</v>
      </c>
      <c r="DP41" s="303">
        <v>158791.53720233616</v>
      </c>
      <c r="DQ41" s="168">
        <v>700</v>
      </c>
      <c r="DR41" s="170">
        <f t="shared" si="50"/>
        <v>226.84505314619452</v>
      </c>
      <c r="DS41" s="303">
        <v>22800</v>
      </c>
      <c r="DT41" s="168">
        <v>120</v>
      </c>
      <c r="DU41" s="170">
        <f t="shared" si="51"/>
        <v>190</v>
      </c>
      <c r="DV41" s="3">
        <f t="shared" si="52"/>
        <v>181591.53720233616</v>
      </c>
      <c r="DW41" s="97">
        <f t="shared" si="53"/>
        <v>820</v>
      </c>
      <c r="DX41" s="172">
        <f t="shared" si="54"/>
        <v>221.45309414919043</v>
      </c>
      <c r="DY41" s="167">
        <v>0</v>
      </c>
      <c r="DZ41" s="168">
        <v>0</v>
      </c>
      <c r="EA41" s="170">
        <f t="shared" si="55"/>
        <v>0</v>
      </c>
      <c r="EB41" s="167">
        <v>0</v>
      </c>
      <c r="EC41" s="168">
        <v>0</v>
      </c>
      <c r="ED41" s="170">
        <f t="shared" si="56"/>
        <v>0</v>
      </c>
      <c r="EE41" s="167">
        <v>0</v>
      </c>
      <c r="EF41" s="168">
        <v>0</v>
      </c>
      <c r="EG41" s="170">
        <f t="shared" si="57"/>
        <v>0</v>
      </c>
      <c r="EH41" s="3">
        <f t="shared" si="58"/>
        <v>0</v>
      </c>
      <c r="EI41" s="97">
        <f t="shared" si="59"/>
        <v>0</v>
      </c>
      <c r="EJ41" s="172">
        <f t="shared" si="60"/>
        <v>0</v>
      </c>
    </row>
    <row r="42" spans="2:140">
      <c r="B42" t="s">
        <v>174</v>
      </c>
      <c r="C42" t="s">
        <v>170</v>
      </c>
      <c r="D42">
        <f>VLOOKUP(B42,Dates!$B$2:$E$53,4,FALSE)</f>
        <v>38</v>
      </c>
      <c r="E42" s="168" t="b">
        <f>IF(D42&lt;='RDG Weekly Sales'!$F$1,TRUE,FALSE)</f>
        <v>0</v>
      </c>
      <c r="F42" s="303">
        <v>469269</v>
      </c>
      <c r="G42" s="168">
        <v>3114</v>
      </c>
      <c r="H42" s="170">
        <f t="shared" si="10"/>
        <v>150.69653179190752</v>
      </c>
      <c r="I42" s="167">
        <v>500351.8</v>
      </c>
      <c r="J42" s="168">
        <v>3114</v>
      </c>
      <c r="K42" s="170">
        <f t="shared" si="11"/>
        <v>160.67816313423251</v>
      </c>
      <c r="L42" s="303">
        <v>31048</v>
      </c>
      <c r="M42" s="168">
        <v>261</v>
      </c>
      <c r="N42" s="170">
        <f t="shared" si="12"/>
        <v>118.95785440613027</v>
      </c>
      <c r="O42" s="167">
        <v>30389.95</v>
      </c>
      <c r="P42" s="168">
        <v>261</v>
      </c>
      <c r="Q42" s="170">
        <f t="shared" si="13"/>
        <v>116.43659003831418</v>
      </c>
      <c r="R42" s="3">
        <f t="shared" si="61"/>
        <v>500317</v>
      </c>
      <c r="S42" s="97">
        <f t="shared" si="62"/>
        <v>3375</v>
      </c>
      <c r="T42" s="170">
        <f t="shared" si="14"/>
        <v>148.24207407407408</v>
      </c>
      <c r="U42" s="3">
        <f t="shared" si="63"/>
        <v>530741.75</v>
      </c>
      <c r="V42" s="97">
        <f t="shared" si="64"/>
        <v>3375</v>
      </c>
      <c r="W42" s="172">
        <f t="shared" si="15"/>
        <v>157.25681481481482</v>
      </c>
      <c r="X42" s="167">
        <v>20601.779809867388</v>
      </c>
      <c r="Y42" s="168">
        <v>74</v>
      </c>
      <c r="Z42" s="170">
        <f t="shared" si="16"/>
        <v>278.40242986307283</v>
      </c>
      <c r="AA42" s="167">
        <v>17519.599999999999</v>
      </c>
      <c r="AB42" s="168">
        <v>74</v>
      </c>
      <c r="AC42" s="170">
        <f t="shared" si="17"/>
        <v>236.75135135135133</v>
      </c>
      <c r="AD42" s="167">
        <v>51707.976562388547</v>
      </c>
      <c r="AE42" s="168">
        <v>301</v>
      </c>
      <c r="AF42" s="170">
        <f t="shared" si="18"/>
        <v>171.7872975494636</v>
      </c>
      <c r="AG42" s="167">
        <f>38044.2+15828</f>
        <v>53872.2</v>
      </c>
      <c r="AH42" s="168">
        <f>21+68+142</f>
        <v>231</v>
      </c>
      <c r="AI42" s="170">
        <f t="shared" si="19"/>
        <v>233.21298701298701</v>
      </c>
      <c r="AJ42" s="167">
        <v>160672.25126203836</v>
      </c>
      <c r="AK42" s="168">
        <v>606.1</v>
      </c>
      <c r="AL42" s="170">
        <f t="shared" si="20"/>
        <v>265.09198360342907</v>
      </c>
      <c r="AM42" s="167">
        <f>143764.3+28704.3-974.35+953.49</f>
        <v>172447.73999999996</v>
      </c>
      <c r="AN42" s="168">
        <f>75+107+4+197+3+245+12</f>
        <v>643</v>
      </c>
      <c r="AO42" s="170">
        <f t="shared" si="21"/>
        <v>268.19244167962671</v>
      </c>
      <c r="AP42" s="167">
        <f t="shared" si="65"/>
        <v>232982.00763429431</v>
      </c>
      <c r="AQ42" s="168">
        <f t="shared" si="66"/>
        <v>981.1</v>
      </c>
      <c r="AR42" s="172">
        <f t="shared" si="22"/>
        <v>237.47019430669076</v>
      </c>
      <c r="AS42" s="167">
        <f t="shared" si="67"/>
        <v>243839.53999999995</v>
      </c>
      <c r="AT42" s="168">
        <f t="shared" si="68"/>
        <v>948</v>
      </c>
      <c r="AU42" s="172">
        <f t="shared" si="23"/>
        <v>257.21470464135018</v>
      </c>
      <c r="AV42" s="167">
        <v>187847.04068070769</v>
      </c>
      <c r="AW42" s="168">
        <v>1753</v>
      </c>
      <c r="AX42" s="170">
        <f t="shared" si="24"/>
        <v>107.15746758739743</v>
      </c>
      <c r="AY42" s="167">
        <v>15706.469406770888</v>
      </c>
      <c r="AZ42" s="168">
        <v>252</v>
      </c>
      <c r="BA42" s="170">
        <f t="shared" si="25"/>
        <v>62.327259550678129</v>
      </c>
      <c r="BB42" s="167">
        <v>40852.525493423542</v>
      </c>
      <c r="BC42" s="168">
        <v>271</v>
      </c>
      <c r="BD42" s="170">
        <f t="shared" si="26"/>
        <v>150.7473265439983</v>
      </c>
      <c r="BE42" s="3">
        <f t="shared" si="27"/>
        <v>244406.03558090213</v>
      </c>
      <c r="BF42" s="97">
        <f t="shared" si="28"/>
        <v>2276</v>
      </c>
      <c r="BG42" s="172">
        <f t="shared" si="29"/>
        <v>107.38402266296227</v>
      </c>
      <c r="BH42" s="167">
        <f>200627.5-BK42-326.62</f>
        <v>181327.88</v>
      </c>
      <c r="BI42" s="168">
        <f>2005-BL42</f>
        <v>1753</v>
      </c>
      <c r="BJ42" s="170">
        <f t="shared" si="30"/>
        <v>103.43860810039932</v>
      </c>
      <c r="BK42" s="167">
        <v>18973</v>
      </c>
      <c r="BL42" s="168">
        <v>252</v>
      </c>
      <c r="BM42" s="170">
        <f t="shared" si="31"/>
        <v>75.289682539682545</v>
      </c>
      <c r="BN42" s="167">
        <f>42735.03-546.37</f>
        <v>42188.659999999996</v>
      </c>
      <c r="BO42" s="168">
        <f>20+29+54+90+81</f>
        <v>274</v>
      </c>
      <c r="BP42" s="170">
        <f t="shared" si="32"/>
        <v>153.97321167883212</v>
      </c>
      <c r="BQ42" s="3">
        <f t="shared" si="33"/>
        <v>242489.54</v>
      </c>
      <c r="BR42" s="97">
        <f t="shared" si="33"/>
        <v>2279</v>
      </c>
      <c r="BS42" s="172">
        <f t="shared" si="34"/>
        <v>106.40172882843353</v>
      </c>
      <c r="BT42" s="303">
        <v>147859.52835737509</v>
      </c>
      <c r="BU42" s="168">
        <v>720</v>
      </c>
      <c r="BV42" s="170">
        <f t="shared" si="35"/>
        <v>205.36045605190986</v>
      </c>
      <c r="BW42" s="303">
        <v>323720.04244637571</v>
      </c>
      <c r="BX42" s="168">
        <v>2280</v>
      </c>
      <c r="BY42" s="170">
        <f t="shared" si="36"/>
        <v>141.98247475718233</v>
      </c>
      <c r="BZ42" s="3">
        <f t="shared" si="37"/>
        <v>471579.57080375077</v>
      </c>
      <c r="CA42" s="97">
        <f t="shared" si="37"/>
        <v>3000</v>
      </c>
      <c r="CB42" s="172">
        <f t="shared" si="38"/>
        <v>157.19319026791692</v>
      </c>
      <c r="CC42" s="167">
        <v>106437.9</v>
      </c>
      <c r="CD42" s="168">
        <f>159+545</f>
        <v>704</v>
      </c>
      <c r="CE42" s="170">
        <f t="shared" si="39"/>
        <v>151.19019886363637</v>
      </c>
      <c r="CF42" s="167">
        <f>390315.09+3681.25+1654</f>
        <v>395650.34</v>
      </c>
      <c r="CG42" s="168">
        <v>3000</v>
      </c>
      <c r="CH42" s="170">
        <f t="shared" si="40"/>
        <v>131.88344666666669</v>
      </c>
      <c r="CI42" s="3">
        <f t="shared" si="41"/>
        <v>502088.24</v>
      </c>
      <c r="CJ42" s="97">
        <f t="shared" si="42"/>
        <v>3704</v>
      </c>
      <c r="CK42" s="172">
        <f t="shared" si="43"/>
        <v>135.55298056155507</v>
      </c>
      <c r="CL42" s="167"/>
      <c r="CM42" s="168"/>
      <c r="CN42" s="170">
        <v>0</v>
      </c>
      <c r="CO42" s="167">
        <v>306426</v>
      </c>
      <c r="CP42" s="168">
        <v>1927</v>
      </c>
      <c r="CQ42" s="170">
        <v>159.01712506486766</v>
      </c>
      <c r="CR42" s="3">
        <v>306426</v>
      </c>
      <c r="CS42" s="97">
        <v>1927</v>
      </c>
      <c r="CT42" s="172">
        <v>159.01712506486766</v>
      </c>
      <c r="CU42" s="309">
        <v>30211.181933920358</v>
      </c>
      <c r="CV42" s="310">
        <v>344.25</v>
      </c>
      <c r="CW42" s="170">
        <v>87.759424644648817</v>
      </c>
      <c r="CX42" s="309">
        <v>293104.38</v>
      </c>
      <c r="CY42" s="310">
        <v>1808</v>
      </c>
      <c r="CZ42" s="170">
        <v>162.11525442477875</v>
      </c>
      <c r="DA42" s="3">
        <f t="shared" si="45"/>
        <v>323315.56193392037</v>
      </c>
      <c r="DB42" s="97">
        <f t="shared" si="45"/>
        <v>2152.25</v>
      </c>
      <c r="DC42" s="172">
        <f t="shared" si="46"/>
        <v>150.22212193468249</v>
      </c>
      <c r="DD42" s="303">
        <v>172521.29199999999</v>
      </c>
      <c r="DE42" s="168">
        <v>1559.317</v>
      </c>
      <c r="DF42" s="170">
        <f t="shared" si="47"/>
        <v>110.63901182376642</v>
      </c>
      <c r="DG42" s="303">
        <v>58152.200000000004</v>
      </c>
      <c r="DH42" s="168">
        <v>719.6</v>
      </c>
      <c r="DI42" s="170">
        <f t="shared" si="8"/>
        <v>80.81183991106171</v>
      </c>
      <c r="DJ42" s="167">
        <v>0</v>
      </c>
      <c r="DK42" s="168">
        <v>0</v>
      </c>
      <c r="DL42" s="170">
        <v>0</v>
      </c>
      <c r="DM42" s="3">
        <f t="shared" si="9"/>
        <v>230673.492</v>
      </c>
      <c r="DN42" s="97">
        <f t="shared" si="48"/>
        <v>2278.9169999999999</v>
      </c>
      <c r="DO42" s="172">
        <f t="shared" si="49"/>
        <v>101.22066402593865</v>
      </c>
      <c r="DP42" s="303">
        <v>158791.53720233616</v>
      </c>
      <c r="DQ42" s="168">
        <v>700</v>
      </c>
      <c r="DR42" s="170">
        <f t="shared" si="50"/>
        <v>226.84505314619452</v>
      </c>
      <c r="DS42" s="303">
        <v>22800</v>
      </c>
      <c r="DT42" s="168">
        <v>120</v>
      </c>
      <c r="DU42" s="170">
        <f t="shared" si="51"/>
        <v>190</v>
      </c>
      <c r="DV42" s="3">
        <f t="shared" si="52"/>
        <v>181591.53720233616</v>
      </c>
      <c r="DW42" s="97">
        <f t="shared" si="53"/>
        <v>820</v>
      </c>
      <c r="DX42" s="172">
        <f t="shared" si="54"/>
        <v>221.45309414919043</v>
      </c>
      <c r="DY42" s="167">
        <v>0</v>
      </c>
      <c r="DZ42" s="168">
        <v>0</v>
      </c>
      <c r="EA42" s="170">
        <f t="shared" si="55"/>
        <v>0</v>
      </c>
      <c r="EB42" s="167">
        <v>0</v>
      </c>
      <c r="EC42" s="168">
        <v>0</v>
      </c>
      <c r="ED42" s="170">
        <f t="shared" si="56"/>
        <v>0</v>
      </c>
      <c r="EE42" s="167">
        <v>0</v>
      </c>
      <c r="EF42" s="168">
        <v>0</v>
      </c>
      <c r="EG42" s="170">
        <f t="shared" si="57"/>
        <v>0</v>
      </c>
      <c r="EH42" s="3">
        <f t="shared" si="58"/>
        <v>0</v>
      </c>
      <c r="EI42" s="97">
        <f t="shared" si="59"/>
        <v>0</v>
      </c>
      <c r="EJ42" s="172">
        <f t="shared" si="60"/>
        <v>0</v>
      </c>
    </row>
    <row r="43" spans="2:140">
      <c r="B43" t="s">
        <v>175</v>
      </c>
      <c r="C43" t="s">
        <v>170</v>
      </c>
      <c r="D43">
        <f>VLOOKUP(B43,Dates!$B$2:$E$53,4,FALSE)</f>
        <v>39</v>
      </c>
      <c r="E43" s="168" t="b">
        <f>IF(D43&lt;='RDG Weekly Sales'!$F$1,TRUE,FALSE)</f>
        <v>0</v>
      </c>
      <c r="F43" s="303">
        <v>480980</v>
      </c>
      <c r="G43" s="168">
        <v>3200</v>
      </c>
      <c r="H43" s="170">
        <f t="shared" si="10"/>
        <v>150.30625000000001</v>
      </c>
      <c r="I43" s="167">
        <v>492188.30000000005</v>
      </c>
      <c r="J43" s="168">
        <v>3214</v>
      </c>
      <c r="K43" s="170">
        <f t="shared" si="11"/>
        <v>153.13886123210955</v>
      </c>
      <c r="L43" s="303">
        <v>33308</v>
      </c>
      <c r="M43" s="168">
        <v>280</v>
      </c>
      <c r="N43" s="170">
        <f t="shared" si="12"/>
        <v>118.95714285714286</v>
      </c>
      <c r="O43" s="167">
        <v>33826.25</v>
      </c>
      <c r="P43" s="168">
        <v>280</v>
      </c>
      <c r="Q43" s="170">
        <f t="shared" si="13"/>
        <v>120.80803571428571</v>
      </c>
      <c r="R43" s="3">
        <f t="shared" si="61"/>
        <v>514288</v>
      </c>
      <c r="S43" s="97">
        <f t="shared" si="62"/>
        <v>3480</v>
      </c>
      <c r="T43" s="170">
        <f t="shared" si="14"/>
        <v>147.783908045977</v>
      </c>
      <c r="U43" s="3">
        <f t="shared" si="63"/>
        <v>526014.55000000005</v>
      </c>
      <c r="V43" s="97">
        <f t="shared" si="64"/>
        <v>3494</v>
      </c>
      <c r="W43" s="172">
        <f t="shared" si="15"/>
        <v>150.54795363480252</v>
      </c>
      <c r="X43" s="167">
        <v>21706.088081319529</v>
      </c>
      <c r="Y43" s="168">
        <v>79</v>
      </c>
      <c r="Z43" s="170">
        <f t="shared" si="16"/>
        <v>274.76060862429784</v>
      </c>
      <c r="AA43" s="167">
        <v>24623.85</v>
      </c>
      <c r="AB43" s="168">
        <v>79</v>
      </c>
      <c r="AC43" s="170">
        <f t="shared" si="17"/>
        <v>311.69430379746831</v>
      </c>
      <c r="AD43" s="167">
        <v>52818.317760721155</v>
      </c>
      <c r="AE43" s="168">
        <v>259</v>
      </c>
      <c r="AF43" s="170">
        <f t="shared" si="18"/>
        <v>203.93172880587318</v>
      </c>
      <c r="AG43" s="167">
        <f>41136.58+17001</f>
        <v>58137.58</v>
      </c>
      <c r="AH43" s="168">
        <f>18+51+104+86</f>
        <v>259</v>
      </c>
      <c r="AI43" s="170">
        <f t="shared" si="19"/>
        <v>224.46942084942086</v>
      </c>
      <c r="AJ43" s="167">
        <v>183517.69738667295</v>
      </c>
      <c r="AK43" s="168">
        <v>665.95</v>
      </c>
      <c r="AL43" s="170">
        <f t="shared" si="20"/>
        <v>275.57278682584717</v>
      </c>
      <c r="AM43" s="167">
        <f>172462.9+28447-223.5</f>
        <v>200686.4</v>
      </c>
      <c r="AN43" s="168">
        <f>47+152+260+234+8</f>
        <v>701</v>
      </c>
      <c r="AO43" s="170">
        <f t="shared" si="21"/>
        <v>286.28587731811695</v>
      </c>
      <c r="AP43" s="167">
        <f t="shared" si="65"/>
        <v>258042.10322871362</v>
      </c>
      <c r="AQ43" s="168">
        <f t="shared" si="66"/>
        <v>1003.95</v>
      </c>
      <c r="AR43" s="172">
        <f t="shared" si="22"/>
        <v>257.02684718234337</v>
      </c>
      <c r="AS43" s="167">
        <f t="shared" si="67"/>
        <v>283447.82999999996</v>
      </c>
      <c r="AT43" s="168">
        <f t="shared" si="68"/>
        <v>1039</v>
      </c>
      <c r="AU43" s="172">
        <f t="shared" si="23"/>
        <v>272.80830606352259</v>
      </c>
      <c r="AV43" s="167">
        <v>195766.53987316636</v>
      </c>
      <c r="AW43" s="168">
        <v>1843</v>
      </c>
      <c r="AX43" s="170">
        <f t="shared" si="24"/>
        <v>106.22167111946085</v>
      </c>
      <c r="AY43" s="167">
        <v>21418.358215136144</v>
      </c>
      <c r="AZ43" s="168">
        <v>348</v>
      </c>
      <c r="BA43" s="170">
        <f t="shared" si="25"/>
        <v>61.54700636533375</v>
      </c>
      <c r="BB43" s="167">
        <v>41148.653213445898</v>
      </c>
      <c r="BC43" s="168">
        <v>361</v>
      </c>
      <c r="BD43" s="170">
        <f t="shared" si="26"/>
        <v>113.98518895691385</v>
      </c>
      <c r="BE43" s="3">
        <f t="shared" si="27"/>
        <v>258333.5513017484</v>
      </c>
      <c r="BF43" s="97">
        <f t="shared" si="28"/>
        <v>2552</v>
      </c>
      <c r="BG43" s="172">
        <f t="shared" si="29"/>
        <v>101.22788060413339</v>
      </c>
      <c r="BH43" s="167">
        <f>213958.6-BK43-340.25</f>
        <v>195335.35</v>
      </c>
      <c r="BI43" s="168">
        <f>2191-BL43</f>
        <v>1843</v>
      </c>
      <c r="BJ43" s="170">
        <f t="shared" si="30"/>
        <v>105.987710255019</v>
      </c>
      <c r="BK43" s="167">
        <v>18283</v>
      </c>
      <c r="BL43" s="168">
        <v>348</v>
      </c>
      <c r="BM43" s="170">
        <f t="shared" si="31"/>
        <v>52.537356321839077</v>
      </c>
      <c r="BN43" s="167">
        <f>39619.55-481.2</f>
        <v>39138.350000000006</v>
      </c>
      <c r="BO43" s="168">
        <f>50+24+55+83+60+89</f>
        <v>361</v>
      </c>
      <c r="BP43" s="170">
        <f t="shared" si="32"/>
        <v>108.41648199445984</v>
      </c>
      <c r="BQ43" s="3">
        <f t="shared" si="33"/>
        <v>252756.7</v>
      </c>
      <c r="BR43" s="97">
        <f t="shared" si="33"/>
        <v>2552</v>
      </c>
      <c r="BS43" s="172">
        <f t="shared" si="34"/>
        <v>99.042594043887149</v>
      </c>
      <c r="BT43" s="303">
        <v>166427.55875361947</v>
      </c>
      <c r="BU43" s="168">
        <v>813</v>
      </c>
      <c r="BV43" s="170">
        <f t="shared" si="35"/>
        <v>204.70794434639541</v>
      </c>
      <c r="BW43" s="303">
        <v>354474.96630846127</v>
      </c>
      <c r="BX43" s="168">
        <v>2505</v>
      </c>
      <c r="BY43" s="170">
        <f t="shared" si="36"/>
        <v>141.50697257822804</v>
      </c>
      <c r="BZ43" s="3">
        <f t="shared" si="37"/>
        <v>520902.52506208071</v>
      </c>
      <c r="CA43" s="97">
        <f t="shared" si="37"/>
        <v>3318</v>
      </c>
      <c r="CB43" s="172">
        <f t="shared" si="38"/>
        <v>156.99292497350231</v>
      </c>
      <c r="CC43" s="167">
        <v>95082.31</v>
      </c>
      <c r="CD43" s="168">
        <f>194+630</f>
        <v>824</v>
      </c>
      <c r="CE43" s="170">
        <f t="shared" si="39"/>
        <v>115.39115291262135</v>
      </c>
      <c r="CF43" s="167">
        <f>518630.64-2570.43-CC43</f>
        <v>420977.9</v>
      </c>
      <c r="CG43" s="168">
        <f>3191-CD43</f>
        <v>2367</v>
      </c>
      <c r="CH43" s="170">
        <f t="shared" si="40"/>
        <v>177.85293620616815</v>
      </c>
      <c r="CI43" s="3">
        <f t="shared" si="41"/>
        <v>516060.21</v>
      </c>
      <c r="CJ43" s="97">
        <f t="shared" si="42"/>
        <v>3191</v>
      </c>
      <c r="CK43" s="172">
        <f t="shared" si="43"/>
        <v>161.72366342839237</v>
      </c>
      <c r="CL43" s="167"/>
      <c r="CM43" s="168"/>
      <c r="CN43" s="170">
        <v>0</v>
      </c>
      <c r="CO43" s="167">
        <v>308881.95</v>
      </c>
      <c r="CP43" s="168">
        <v>1995</v>
      </c>
      <c r="CQ43" s="170">
        <v>154.82804511278195</v>
      </c>
      <c r="CR43" s="3">
        <v>308881.95</v>
      </c>
      <c r="CS43" s="97">
        <v>1995</v>
      </c>
      <c r="CT43" s="172">
        <v>154.82804511278195</v>
      </c>
      <c r="CU43" s="309">
        <v>30211.181933920358</v>
      </c>
      <c r="CV43" s="310">
        <v>344.25</v>
      </c>
      <c r="CW43" s="170">
        <v>87.759424644648817</v>
      </c>
      <c r="CX43" s="309">
        <v>306936.60000000003</v>
      </c>
      <c r="CY43" s="310">
        <v>1892</v>
      </c>
      <c r="CZ43" s="170">
        <v>162.2286469344609</v>
      </c>
      <c r="DA43" s="3">
        <f t="shared" si="45"/>
        <v>337147.7819339204</v>
      </c>
      <c r="DB43" s="97">
        <f t="shared" si="45"/>
        <v>2236.25</v>
      </c>
      <c r="DC43" s="172">
        <f t="shared" si="46"/>
        <v>150.76479907609632</v>
      </c>
      <c r="DD43" s="303">
        <v>172521.29199999999</v>
      </c>
      <c r="DE43" s="168">
        <v>1559.317</v>
      </c>
      <c r="DF43" s="170">
        <f t="shared" si="47"/>
        <v>110.63901182376642</v>
      </c>
      <c r="DG43" s="303">
        <v>58152.200000000004</v>
      </c>
      <c r="DH43" s="168">
        <v>719.6</v>
      </c>
      <c r="DI43" s="170">
        <f t="shared" si="8"/>
        <v>80.81183991106171</v>
      </c>
      <c r="DJ43" s="167">
        <v>0</v>
      </c>
      <c r="DK43" s="168">
        <v>0</v>
      </c>
      <c r="DL43" s="170">
        <v>0</v>
      </c>
      <c r="DM43" s="3">
        <f t="shared" si="9"/>
        <v>230673.492</v>
      </c>
      <c r="DN43" s="97">
        <f t="shared" si="48"/>
        <v>2278.9169999999999</v>
      </c>
      <c r="DO43" s="172">
        <f t="shared" si="49"/>
        <v>101.22066402593865</v>
      </c>
      <c r="DP43" s="303">
        <v>158791.53720233616</v>
      </c>
      <c r="DQ43" s="168">
        <v>700</v>
      </c>
      <c r="DR43" s="170">
        <f t="shared" si="50"/>
        <v>226.84505314619452</v>
      </c>
      <c r="DS43" s="303">
        <v>22800</v>
      </c>
      <c r="DT43" s="168">
        <v>120</v>
      </c>
      <c r="DU43" s="170">
        <f t="shared" si="51"/>
        <v>190</v>
      </c>
      <c r="DV43" s="3">
        <f t="shared" si="52"/>
        <v>181591.53720233616</v>
      </c>
      <c r="DW43" s="97">
        <f t="shared" si="53"/>
        <v>820</v>
      </c>
      <c r="DX43" s="172">
        <f t="shared" si="54"/>
        <v>221.45309414919043</v>
      </c>
      <c r="DY43" s="167">
        <v>0</v>
      </c>
      <c r="DZ43" s="168">
        <v>0</v>
      </c>
      <c r="EA43" s="170">
        <f t="shared" si="55"/>
        <v>0</v>
      </c>
      <c r="EB43" s="167">
        <v>0</v>
      </c>
      <c r="EC43" s="168">
        <v>0</v>
      </c>
      <c r="ED43" s="170">
        <f t="shared" si="56"/>
        <v>0</v>
      </c>
      <c r="EE43" s="167">
        <v>0</v>
      </c>
      <c r="EF43" s="168">
        <v>0</v>
      </c>
      <c r="EG43" s="170">
        <f t="shared" si="57"/>
        <v>0</v>
      </c>
      <c r="EH43" s="3">
        <f t="shared" si="58"/>
        <v>0</v>
      </c>
      <c r="EI43" s="97">
        <f t="shared" si="59"/>
        <v>0</v>
      </c>
      <c r="EJ43" s="172">
        <f t="shared" si="60"/>
        <v>0</v>
      </c>
    </row>
    <row r="44" spans="2:140">
      <c r="B44" t="s">
        <v>177</v>
      </c>
      <c r="C44" t="s">
        <v>76</v>
      </c>
      <c r="D44">
        <f>VLOOKUP(B44,Dates!$B$2:$E$53,4,FALSE)</f>
        <v>40</v>
      </c>
      <c r="E44" s="168" t="b">
        <f>IF(D44&lt;='RDG Weekly Sales'!$F$1,TRUE,FALSE)</f>
        <v>0</v>
      </c>
      <c r="F44" s="303">
        <v>433377</v>
      </c>
      <c r="G44" s="168">
        <v>2692</v>
      </c>
      <c r="H44" s="170">
        <f t="shared" si="10"/>
        <v>160.9869985141159</v>
      </c>
      <c r="I44" s="167">
        <v>460535.75</v>
      </c>
      <c r="J44" s="168">
        <v>2692</v>
      </c>
      <c r="K44" s="170">
        <f t="shared" si="11"/>
        <v>171.07568722139672</v>
      </c>
      <c r="L44" s="303">
        <v>26526</v>
      </c>
      <c r="M44" s="168">
        <v>223</v>
      </c>
      <c r="N44" s="170">
        <f t="shared" si="12"/>
        <v>118.95067264573991</v>
      </c>
      <c r="O44" s="167">
        <v>28042</v>
      </c>
      <c r="P44" s="168">
        <v>223</v>
      </c>
      <c r="Q44" s="170">
        <f t="shared" si="13"/>
        <v>125.74887892376681</v>
      </c>
      <c r="R44" s="3">
        <f t="shared" si="61"/>
        <v>459903</v>
      </c>
      <c r="S44" s="97">
        <f t="shared" si="62"/>
        <v>2915</v>
      </c>
      <c r="T44" s="170">
        <f t="shared" si="14"/>
        <v>157.7711835334477</v>
      </c>
      <c r="U44" s="3">
        <f t="shared" si="63"/>
        <v>488577.75</v>
      </c>
      <c r="V44" s="97">
        <f t="shared" si="64"/>
        <v>2915</v>
      </c>
      <c r="W44" s="172">
        <f t="shared" si="15"/>
        <v>167.60814751286449</v>
      </c>
      <c r="X44" s="167">
        <v>14169.624156545209</v>
      </c>
      <c r="Y44" s="168">
        <v>46</v>
      </c>
      <c r="Z44" s="170">
        <f t="shared" si="16"/>
        <v>308.03530775098278</v>
      </c>
      <c r="AA44" s="167">
        <v>12531</v>
      </c>
      <c r="AB44" s="168">
        <v>46</v>
      </c>
      <c r="AC44" s="170">
        <f t="shared" si="17"/>
        <v>272.41304347826087</v>
      </c>
      <c r="AD44" s="167">
        <v>59773.354309243194</v>
      </c>
      <c r="AE44" s="168">
        <v>312</v>
      </c>
      <c r="AF44" s="170">
        <f t="shared" si="18"/>
        <v>191.58126381167691</v>
      </c>
      <c r="AG44" s="167">
        <f>48964.75+16681</f>
        <v>65645.75</v>
      </c>
      <c r="AH44" s="168">
        <f>34+42+4+115+117</f>
        <v>312</v>
      </c>
      <c r="AI44" s="170">
        <f t="shared" si="19"/>
        <v>210.40304487179486</v>
      </c>
      <c r="AJ44" s="167">
        <v>194304.99211840332</v>
      </c>
      <c r="AK44" s="168">
        <v>674.5</v>
      </c>
      <c r="AL44" s="170">
        <f t="shared" si="20"/>
        <v>288.0726347196491</v>
      </c>
      <c r="AM44" s="167">
        <f>162939.75+29441-791.25</f>
        <v>191589.5</v>
      </c>
      <c r="AN44" s="168">
        <f>98+56+95+248+6+212+11</f>
        <v>726</v>
      </c>
      <c r="AO44" s="170">
        <f t="shared" si="21"/>
        <v>263.8973829201102</v>
      </c>
      <c r="AP44" s="167">
        <f t="shared" si="65"/>
        <v>268247.97058419173</v>
      </c>
      <c r="AQ44" s="168">
        <f t="shared" si="66"/>
        <v>1032.5</v>
      </c>
      <c r="AR44" s="172">
        <f t="shared" si="22"/>
        <v>259.80432986362393</v>
      </c>
      <c r="AS44" s="167">
        <f t="shared" si="67"/>
        <v>269766.25</v>
      </c>
      <c r="AT44" s="168">
        <f t="shared" si="68"/>
        <v>1084</v>
      </c>
      <c r="AU44" s="172">
        <f t="shared" si="23"/>
        <v>248.86185424354244</v>
      </c>
      <c r="AV44" s="167">
        <v>174130.64452057244</v>
      </c>
      <c r="AW44" s="168">
        <v>1578</v>
      </c>
      <c r="AX44" s="170">
        <f t="shared" si="24"/>
        <v>110.34895090023602</v>
      </c>
      <c r="AY44" s="167">
        <v>19555.110368205729</v>
      </c>
      <c r="AZ44" s="168">
        <v>308</v>
      </c>
      <c r="BA44" s="170">
        <f t="shared" si="25"/>
        <v>63.490618078590032</v>
      </c>
      <c r="BB44" s="167">
        <v>30137.864346799699</v>
      </c>
      <c r="BC44" s="168">
        <v>268</v>
      </c>
      <c r="BD44" s="170">
        <f t="shared" si="26"/>
        <v>112.45471771193918</v>
      </c>
      <c r="BE44" s="3">
        <f t="shared" si="27"/>
        <v>223823.61923557788</v>
      </c>
      <c r="BF44" s="97">
        <f t="shared" si="28"/>
        <v>2154</v>
      </c>
      <c r="BG44" s="172">
        <f t="shared" si="29"/>
        <v>103.9106867388941</v>
      </c>
      <c r="BH44" s="167">
        <f>185497.95-BK44-645.5</f>
        <v>166843.45000000001</v>
      </c>
      <c r="BI44" s="168">
        <f>1886-BL44</f>
        <v>1578</v>
      </c>
      <c r="BJ44" s="170">
        <f t="shared" si="30"/>
        <v>105.73095690747783</v>
      </c>
      <c r="BK44" s="167">
        <v>18009</v>
      </c>
      <c r="BL44" s="168">
        <v>308</v>
      </c>
      <c r="BM44" s="170">
        <f t="shared" si="31"/>
        <v>58.470779220779221</v>
      </c>
      <c r="BN44" s="167">
        <f>34891.72-734.62</f>
        <v>34157.1</v>
      </c>
      <c r="BO44" s="168">
        <f>40+16+32+51+74</f>
        <v>213</v>
      </c>
      <c r="BP44" s="170">
        <f t="shared" si="32"/>
        <v>160.36197183098591</v>
      </c>
      <c r="BQ44" s="3">
        <f t="shared" si="33"/>
        <v>219009.55000000002</v>
      </c>
      <c r="BR44" s="97">
        <f t="shared" si="33"/>
        <v>2099</v>
      </c>
      <c r="BS44" s="172">
        <f t="shared" si="34"/>
        <v>104.33994759409244</v>
      </c>
      <c r="BT44" s="303">
        <v>159065.7880054813</v>
      </c>
      <c r="BU44" s="168">
        <v>853</v>
      </c>
      <c r="BV44" s="170">
        <f t="shared" si="35"/>
        <v>186.4780633124048</v>
      </c>
      <c r="BW44" s="303">
        <v>332959.81029947801</v>
      </c>
      <c r="BX44" s="168">
        <v>2128</v>
      </c>
      <c r="BY44" s="170">
        <f t="shared" si="36"/>
        <v>156.46607626855169</v>
      </c>
      <c r="BZ44" s="3">
        <f t="shared" si="37"/>
        <v>492025.59830495931</v>
      </c>
      <c r="CA44" s="97">
        <f t="shared" si="37"/>
        <v>2981</v>
      </c>
      <c r="CB44" s="172">
        <f t="shared" si="38"/>
        <v>165.05387397013058</v>
      </c>
      <c r="CC44" s="167">
        <v>133391.54999999999</v>
      </c>
      <c r="CD44" s="168">
        <f>578+267</f>
        <v>845</v>
      </c>
      <c r="CE44" s="170">
        <f t="shared" si="39"/>
        <v>157.85982248520708</v>
      </c>
      <c r="CF44" s="167">
        <f>495528.91-3908.7-CC44</f>
        <v>358228.66</v>
      </c>
      <c r="CG44" s="168">
        <f>2983-CD44</f>
        <v>2138</v>
      </c>
      <c r="CH44" s="170">
        <f t="shared" si="40"/>
        <v>167.55316183348924</v>
      </c>
      <c r="CI44" s="3">
        <f t="shared" si="41"/>
        <v>491620.20999999996</v>
      </c>
      <c r="CJ44" s="97">
        <f t="shared" si="42"/>
        <v>2983</v>
      </c>
      <c r="CK44" s="172">
        <f t="shared" si="43"/>
        <v>164.80731143144484</v>
      </c>
      <c r="CL44" s="167"/>
      <c r="CM44" s="168"/>
      <c r="CN44" s="170">
        <v>0</v>
      </c>
      <c r="CO44" s="167">
        <v>281717.33</v>
      </c>
      <c r="CP44" s="168">
        <v>1681</v>
      </c>
      <c r="CQ44" s="170">
        <v>167.58913146936348</v>
      </c>
      <c r="CR44" s="3">
        <v>281717.33</v>
      </c>
      <c r="CS44" s="97">
        <v>1681</v>
      </c>
      <c r="CT44" s="172">
        <v>167.58913146936348</v>
      </c>
      <c r="CU44" s="309">
        <v>30211.181933920358</v>
      </c>
      <c r="CV44" s="310">
        <v>344.25</v>
      </c>
      <c r="CW44" s="170">
        <v>87.759424644648817</v>
      </c>
      <c r="CX44" s="309">
        <v>258471.96000000002</v>
      </c>
      <c r="CY44" s="310">
        <v>1593</v>
      </c>
      <c r="CZ44" s="170">
        <v>162.25483992467045</v>
      </c>
      <c r="DA44" s="3">
        <f t="shared" si="45"/>
        <v>288683.14193392039</v>
      </c>
      <c r="DB44" s="97">
        <f t="shared" si="45"/>
        <v>1937.25</v>
      </c>
      <c r="DC44" s="172">
        <f t="shared" si="46"/>
        <v>149.01697867281993</v>
      </c>
      <c r="DD44" s="303">
        <v>187758.8</v>
      </c>
      <c r="DE44" s="168">
        <v>1707.3999999999999</v>
      </c>
      <c r="DF44" s="170">
        <f t="shared" si="47"/>
        <v>109.96767014173598</v>
      </c>
      <c r="DG44" s="303">
        <v>45364.5</v>
      </c>
      <c r="DH44" s="168">
        <v>561</v>
      </c>
      <c r="DI44" s="170">
        <f t="shared" si="8"/>
        <v>80.86363636363636</v>
      </c>
      <c r="DJ44" s="167">
        <v>0</v>
      </c>
      <c r="DK44" s="168">
        <v>0</v>
      </c>
      <c r="DL44" s="170">
        <v>0</v>
      </c>
      <c r="DM44" s="3">
        <f t="shared" si="9"/>
        <v>233123.3</v>
      </c>
      <c r="DN44" s="97">
        <f t="shared" si="48"/>
        <v>2268.3999999999996</v>
      </c>
      <c r="DO44" s="172">
        <f t="shared" si="49"/>
        <v>102.76992593898784</v>
      </c>
      <c r="DP44" s="303">
        <v>178238.10246097873</v>
      </c>
      <c r="DQ44" s="168">
        <v>712.5</v>
      </c>
      <c r="DR44" s="170">
        <f t="shared" si="50"/>
        <v>250.15874029611049</v>
      </c>
      <c r="DS44" s="303">
        <v>22800</v>
      </c>
      <c r="DT44" s="168">
        <v>120</v>
      </c>
      <c r="DU44" s="170">
        <f t="shared" si="51"/>
        <v>190</v>
      </c>
      <c r="DV44" s="3">
        <f t="shared" si="52"/>
        <v>201038.10246097873</v>
      </c>
      <c r="DW44" s="97">
        <f t="shared" si="53"/>
        <v>832.5</v>
      </c>
      <c r="DX44" s="172">
        <f t="shared" si="54"/>
        <v>241.48721016333781</v>
      </c>
      <c r="DY44" s="167">
        <v>0</v>
      </c>
      <c r="DZ44" s="168">
        <v>0</v>
      </c>
      <c r="EA44" s="170">
        <f t="shared" si="55"/>
        <v>0</v>
      </c>
      <c r="EB44" s="167">
        <v>0</v>
      </c>
      <c r="EC44" s="168">
        <v>0</v>
      </c>
      <c r="ED44" s="170">
        <f t="shared" si="56"/>
        <v>0</v>
      </c>
      <c r="EE44" s="167">
        <v>0</v>
      </c>
      <c r="EF44" s="168">
        <v>0</v>
      </c>
      <c r="EG44" s="170">
        <f t="shared" si="57"/>
        <v>0</v>
      </c>
      <c r="EH44" s="3">
        <f t="shared" si="58"/>
        <v>0</v>
      </c>
      <c r="EI44" s="97">
        <f t="shared" si="59"/>
        <v>0</v>
      </c>
      <c r="EJ44" s="172">
        <f t="shared" si="60"/>
        <v>0</v>
      </c>
    </row>
    <row r="45" spans="2:140">
      <c r="B45" t="s">
        <v>178</v>
      </c>
      <c r="C45" t="s">
        <v>76</v>
      </c>
      <c r="D45">
        <f>VLOOKUP(B45,Dates!$B$2:$E$53,4,FALSE)</f>
        <v>41</v>
      </c>
      <c r="E45" s="168" t="b">
        <f>IF(D45&lt;='RDG Weekly Sales'!$F$1,TRUE,FALSE)</f>
        <v>0</v>
      </c>
      <c r="F45" s="303">
        <v>528840</v>
      </c>
      <c r="G45" s="168">
        <v>3287</v>
      </c>
      <c r="H45" s="170">
        <f t="shared" si="10"/>
        <v>160.88834803772437</v>
      </c>
      <c r="I45" s="167">
        <v>521842.55</v>
      </c>
      <c r="J45" s="168">
        <v>3287</v>
      </c>
      <c r="K45" s="170">
        <f t="shared" si="11"/>
        <v>158.75952236081534</v>
      </c>
      <c r="L45" s="303">
        <v>37231</v>
      </c>
      <c r="M45" s="168">
        <v>313</v>
      </c>
      <c r="N45" s="170">
        <f t="shared" si="12"/>
        <v>118.94888178913737</v>
      </c>
      <c r="O45" s="167">
        <v>35759</v>
      </c>
      <c r="P45" s="168">
        <v>313</v>
      </c>
      <c r="Q45" s="170">
        <f t="shared" si="13"/>
        <v>114.24600638977635</v>
      </c>
      <c r="R45" s="3">
        <f t="shared" si="61"/>
        <v>566071</v>
      </c>
      <c r="S45" s="97">
        <f t="shared" si="62"/>
        <v>3600</v>
      </c>
      <c r="T45" s="170">
        <f t="shared" si="14"/>
        <v>157.24194444444444</v>
      </c>
      <c r="U45" s="3">
        <f t="shared" si="63"/>
        <v>557601.55000000005</v>
      </c>
      <c r="V45" s="97">
        <f t="shared" si="64"/>
        <v>3600</v>
      </c>
      <c r="W45" s="172">
        <f t="shared" si="15"/>
        <v>154.88931944444445</v>
      </c>
      <c r="X45" s="167">
        <v>17326.284458547616</v>
      </c>
      <c r="Y45" s="168">
        <v>55</v>
      </c>
      <c r="Z45" s="170">
        <f t="shared" si="16"/>
        <v>315.02335379177481</v>
      </c>
      <c r="AA45" s="167">
        <v>21486.95</v>
      </c>
      <c r="AB45" s="168">
        <v>60</v>
      </c>
      <c r="AC45" s="170">
        <f t="shared" si="17"/>
        <v>358.11583333333334</v>
      </c>
      <c r="AD45" s="167">
        <v>67509.073233808536</v>
      </c>
      <c r="AE45" s="168">
        <v>333</v>
      </c>
      <c r="AF45" s="170">
        <f t="shared" si="18"/>
        <v>202.72994965107668</v>
      </c>
      <c r="AG45" s="167">
        <f>44789.2+19723</f>
        <v>64512.2</v>
      </c>
      <c r="AH45" s="168">
        <f>51+48+96+2+136</f>
        <v>333</v>
      </c>
      <c r="AI45" s="170">
        <f t="shared" si="19"/>
        <v>193.73033033033033</v>
      </c>
      <c r="AJ45" s="167">
        <v>220121.62364807597</v>
      </c>
      <c r="AK45" s="168">
        <v>699.2</v>
      </c>
      <c r="AL45" s="170">
        <f t="shared" si="20"/>
        <v>314.81925578958231</v>
      </c>
      <c r="AM45" s="167">
        <f>186034.3+33122.5-657.7</f>
        <v>218499.09999999998</v>
      </c>
      <c r="AN45" s="168">
        <f>51+144+4+258+8+264+7</f>
        <v>736</v>
      </c>
      <c r="AO45" s="170">
        <f t="shared" si="21"/>
        <v>296.87377717391303</v>
      </c>
      <c r="AP45" s="167">
        <f t="shared" si="65"/>
        <v>304956.98134043213</v>
      </c>
      <c r="AQ45" s="168">
        <f t="shared" si="66"/>
        <v>1087.2</v>
      </c>
      <c r="AR45" s="172">
        <f t="shared" si="22"/>
        <v>280.49759137273008</v>
      </c>
      <c r="AS45" s="167">
        <f t="shared" si="67"/>
        <v>304498.25</v>
      </c>
      <c r="AT45" s="168">
        <f t="shared" si="68"/>
        <v>1129</v>
      </c>
      <c r="AU45" s="172">
        <f t="shared" si="23"/>
        <v>269.7061558901683</v>
      </c>
      <c r="AV45" s="167">
        <v>171002.18666869556</v>
      </c>
      <c r="AW45" s="168">
        <v>1582</v>
      </c>
      <c r="AX45" s="170">
        <f t="shared" si="24"/>
        <v>108.0924062381135</v>
      </c>
      <c r="AY45" s="167">
        <v>24179.245727644651</v>
      </c>
      <c r="AZ45" s="168">
        <v>381</v>
      </c>
      <c r="BA45" s="170">
        <f t="shared" si="25"/>
        <v>63.462587211665749</v>
      </c>
      <c r="BB45" s="167">
        <v>37652.246835008977</v>
      </c>
      <c r="BC45" s="168">
        <v>348</v>
      </c>
      <c r="BD45" s="170">
        <f t="shared" si="26"/>
        <v>108.19611159485338</v>
      </c>
      <c r="BE45" s="3">
        <f t="shared" si="27"/>
        <v>232833.6792313492</v>
      </c>
      <c r="BF45" s="97">
        <f t="shared" si="28"/>
        <v>2311</v>
      </c>
      <c r="BG45" s="172">
        <f t="shared" si="29"/>
        <v>100.75018573403254</v>
      </c>
      <c r="BH45" s="167">
        <f>197347.97-394.7-BK45</f>
        <v>172920.27</v>
      </c>
      <c r="BI45" s="168">
        <f>1963-BL45</f>
        <v>1582</v>
      </c>
      <c r="BJ45" s="170">
        <f t="shared" si="30"/>
        <v>109.30484829329961</v>
      </c>
      <c r="BK45" s="167">
        <v>24033</v>
      </c>
      <c r="BL45" s="168">
        <v>381</v>
      </c>
      <c r="BM45" s="170">
        <f t="shared" si="31"/>
        <v>63.078740157480318</v>
      </c>
      <c r="BN45" s="167">
        <f>40040.2-747.1</f>
        <v>39293.1</v>
      </c>
      <c r="BO45" s="168">
        <f>196+36+70+74</f>
        <v>376</v>
      </c>
      <c r="BP45" s="170">
        <f t="shared" si="32"/>
        <v>104.50292553191488</v>
      </c>
      <c r="BQ45" s="3">
        <f t="shared" si="33"/>
        <v>236246.37</v>
      </c>
      <c r="BR45" s="97">
        <f t="shared" si="33"/>
        <v>2339</v>
      </c>
      <c r="BS45" s="172">
        <f t="shared" si="34"/>
        <v>101.00315091919623</v>
      </c>
      <c r="BT45" s="303">
        <v>168360.3399257065</v>
      </c>
      <c r="BU45" s="168">
        <v>881</v>
      </c>
      <c r="BV45" s="170">
        <f t="shared" si="35"/>
        <v>191.10140740715835</v>
      </c>
      <c r="BW45" s="303">
        <v>345361.16603506758</v>
      </c>
      <c r="BX45" s="168">
        <v>2242</v>
      </c>
      <c r="BY45" s="170">
        <f t="shared" si="36"/>
        <v>154.04155487737179</v>
      </c>
      <c r="BZ45" s="3">
        <f t="shared" si="37"/>
        <v>513721.50596077408</v>
      </c>
      <c r="CA45" s="97">
        <f t="shared" si="37"/>
        <v>3123</v>
      </c>
      <c r="CB45" s="172">
        <f t="shared" si="38"/>
        <v>164.49615944949539</v>
      </c>
      <c r="CC45" s="167">
        <v>115893.2</v>
      </c>
      <c r="CD45" s="168">
        <f>635+216</f>
        <v>851</v>
      </c>
      <c r="CE45" s="170">
        <f t="shared" si="39"/>
        <v>136.18472385428908</v>
      </c>
      <c r="CF45" s="167">
        <f>496679.09-CC45-889.25</f>
        <v>379896.64</v>
      </c>
      <c r="CG45" s="168">
        <f>3123-CD45</f>
        <v>2272</v>
      </c>
      <c r="CH45" s="170">
        <f t="shared" si="40"/>
        <v>167.20802816901409</v>
      </c>
      <c r="CI45" s="3">
        <f t="shared" si="41"/>
        <v>495789.84</v>
      </c>
      <c r="CJ45" s="97">
        <f t="shared" si="42"/>
        <v>3123</v>
      </c>
      <c r="CK45" s="172">
        <f t="shared" si="43"/>
        <v>158.7543515850144</v>
      </c>
      <c r="CL45" s="167"/>
      <c r="CM45" s="168"/>
      <c r="CN45" s="170">
        <v>0</v>
      </c>
      <c r="CO45" s="167">
        <v>322209.40000000002</v>
      </c>
      <c r="CP45" s="168">
        <v>1716</v>
      </c>
      <c r="CQ45" s="170">
        <v>187.76771561771562</v>
      </c>
      <c r="CR45" s="3">
        <v>322209.40000000002</v>
      </c>
      <c r="CS45" s="97">
        <v>1716</v>
      </c>
      <c r="CT45" s="172">
        <v>187.76771561771562</v>
      </c>
      <c r="CU45" s="309">
        <v>30211.181933920358</v>
      </c>
      <c r="CV45" s="310">
        <v>344.25</v>
      </c>
      <c r="CW45" s="170">
        <v>87.759424644648817</v>
      </c>
      <c r="CX45" s="309">
        <v>263573.43000000005</v>
      </c>
      <c r="CY45" s="310">
        <v>1627</v>
      </c>
      <c r="CZ45" s="170">
        <v>161.99964966195455</v>
      </c>
      <c r="DA45" s="3">
        <f t="shared" si="45"/>
        <v>293784.61193392042</v>
      </c>
      <c r="DB45" s="97">
        <f t="shared" si="45"/>
        <v>1971.25</v>
      </c>
      <c r="DC45" s="172">
        <f t="shared" si="46"/>
        <v>149.03467948455062</v>
      </c>
      <c r="DD45" s="303">
        <v>187758.8</v>
      </c>
      <c r="DE45" s="168">
        <v>1707.3999999999999</v>
      </c>
      <c r="DF45" s="170">
        <f t="shared" si="47"/>
        <v>109.96767014173598</v>
      </c>
      <c r="DG45" s="303">
        <v>45364.5</v>
      </c>
      <c r="DH45" s="168">
        <v>561</v>
      </c>
      <c r="DI45" s="170">
        <f t="shared" si="8"/>
        <v>80.86363636363636</v>
      </c>
      <c r="DJ45" s="167">
        <v>0</v>
      </c>
      <c r="DK45" s="168">
        <v>0</v>
      </c>
      <c r="DL45" s="170">
        <v>0</v>
      </c>
      <c r="DM45" s="3">
        <f t="shared" si="9"/>
        <v>233123.3</v>
      </c>
      <c r="DN45" s="97">
        <f t="shared" si="48"/>
        <v>2268.3999999999996</v>
      </c>
      <c r="DO45" s="172">
        <f t="shared" si="49"/>
        <v>102.76992593898784</v>
      </c>
      <c r="DP45" s="303">
        <v>178238.10246097873</v>
      </c>
      <c r="DQ45" s="168">
        <v>712.5</v>
      </c>
      <c r="DR45" s="170">
        <f t="shared" si="50"/>
        <v>250.15874029611049</v>
      </c>
      <c r="DS45" s="303">
        <v>22800</v>
      </c>
      <c r="DT45" s="168">
        <v>120</v>
      </c>
      <c r="DU45" s="170">
        <f t="shared" si="51"/>
        <v>190</v>
      </c>
      <c r="DV45" s="3">
        <f t="shared" si="52"/>
        <v>201038.10246097873</v>
      </c>
      <c r="DW45" s="97">
        <f t="shared" si="53"/>
        <v>832.5</v>
      </c>
      <c r="DX45" s="172">
        <f t="shared" si="54"/>
        <v>241.48721016333781</v>
      </c>
      <c r="DY45" s="167">
        <v>0</v>
      </c>
      <c r="DZ45" s="168">
        <v>0</v>
      </c>
      <c r="EA45" s="170">
        <f t="shared" si="55"/>
        <v>0</v>
      </c>
      <c r="EB45" s="167">
        <v>0</v>
      </c>
      <c r="EC45" s="168">
        <v>0</v>
      </c>
      <c r="ED45" s="170">
        <f t="shared" si="56"/>
        <v>0</v>
      </c>
      <c r="EE45" s="167">
        <v>0</v>
      </c>
      <c r="EF45" s="168">
        <v>0</v>
      </c>
      <c r="EG45" s="170">
        <f t="shared" si="57"/>
        <v>0</v>
      </c>
      <c r="EH45" s="3">
        <f t="shared" si="58"/>
        <v>0</v>
      </c>
      <c r="EI45" s="97">
        <f t="shared" si="59"/>
        <v>0</v>
      </c>
      <c r="EJ45" s="172">
        <f t="shared" si="60"/>
        <v>0</v>
      </c>
    </row>
    <row r="46" spans="2:140">
      <c r="B46" t="s">
        <v>179</v>
      </c>
      <c r="C46" t="s">
        <v>76</v>
      </c>
      <c r="D46">
        <f>VLOOKUP(B46,Dates!$B$2:$E$53,4,FALSE)</f>
        <v>42</v>
      </c>
      <c r="E46" s="168" t="b">
        <f>IF(D46&lt;='RDG Weekly Sales'!$F$1,TRUE,FALSE)</f>
        <v>0</v>
      </c>
      <c r="F46" s="303">
        <v>568302</v>
      </c>
      <c r="G46" s="168">
        <v>3521</v>
      </c>
      <c r="H46" s="170">
        <f t="shared" si="10"/>
        <v>161.40357852882704</v>
      </c>
      <c r="I46" s="167">
        <v>590552.12000000011</v>
      </c>
      <c r="J46" s="168">
        <v>3521</v>
      </c>
      <c r="K46" s="170">
        <f t="shared" si="11"/>
        <v>167.72284010224371</v>
      </c>
      <c r="L46" s="303">
        <v>35566</v>
      </c>
      <c r="M46" s="168">
        <v>299</v>
      </c>
      <c r="N46" s="170">
        <f t="shared" si="12"/>
        <v>118.94983277591973</v>
      </c>
      <c r="O46" s="167">
        <v>35921.96</v>
      </c>
      <c r="P46" s="168">
        <v>299</v>
      </c>
      <c r="Q46" s="170">
        <f t="shared" si="13"/>
        <v>120.14033444816053</v>
      </c>
      <c r="R46" s="3">
        <f t="shared" si="61"/>
        <v>603868</v>
      </c>
      <c r="S46" s="97">
        <f t="shared" si="62"/>
        <v>3820</v>
      </c>
      <c r="T46" s="170">
        <f t="shared" si="14"/>
        <v>158.08062827225132</v>
      </c>
      <c r="U46" s="3">
        <f t="shared" si="63"/>
        <v>626474.08000000007</v>
      </c>
      <c r="V46" s="97">
        <f t="shared" si="64"/>
        <v>3820</v>
      </c>
      <c r="W46" s="172">
        <f t="shared" si="15"/>
        <v>163.99845026178014</v>
      </c>
      <c r="X46" s="167">
        <v>19213.516066673961</v>
      </c>
      <c r="Y46" s="168">
        <v>63</v>
      </c>
      <c r="Z46" s="170">
        <f t="shared" si="16"/>
        <v>304.97644550276129</v>
      </c>
      <c r="AA46" s="167">
        <v>18487</v>
      </c>
      <c r="AB46" s="168">
        <v>63</v>
      </c>
      <c r="AC46" s="170">
        <f t="shared" si="17"/>
        <v>293.44444444444446</v>
      </c>
      <c r="AD46" s="167">
        <v>64807.283104198301</v>
      </c>
      <c r="AE46" s="168">
        <v>340</v>
      </c>
      <c r="AF46" s="170">
        <f t="shared" si="18"/>
        <v>190.60965618881852</v>
      </c>
      <c r="AG46" s="167">
        <f>38640.5+21850</f>
        <v>60490.5</v>
      </c>
      <c r="AH46" s="168">
        <f>9+51+55+74+110+50</f>
        <v>349</v>
      </c>
      <c r="AI46" s="170">
        <f t="shared" si="19"/>
        <v>173.32521489971347</v>
      </c>
      <c r="AJ46" s="167">
        <v>235302.53865818089</v>
      </c>
      <c r="AK46" s="168">
        <v>810.35</v>
      </c>
      <c r="AL46" s="170">
        <f t="shared" si="20"/>
        <v>290.37149214312444</v>
      </c>
      <c r="AM46" s="167">
        <f>209609.8+35797.5-448.8</f>
        <v>244958.5</v>
      </c>
      <c r="AN46" s="168">
        <f>73+144+233+9+267+25+102</f>
        <v>853</v>
      </c>
      <c r="AO46" s="170">
        <f t="shared" si="21"/>
        <v>287.17291910902696</v>
      </c>
      <c r="AP46" s="167">
        <f t="shared" si="65"/>
        <v>319323.33782905317</v>
      </c>
      <c r="AQ46" s="168">
        <f t="shared" si="66"/>
        <v>1213.3499999999999</v>
      </c>
      <c r="AR46" s="172">
        <f t="shared" si="22"/>
        <v>263.17496009317443</v>
      </c>
      <c r="AS46" s="167">
        <f t="shared" si="67"/>
        <v>323936</v>
      </c>
      <c r="AT46" s="168">
        <f t="shared" si="68"/>
        <v>1265</v>
      </c>
      <c r="AU46" s="172">
        <f t="shared" si="23"/>
        <v>256.07588932806323</v>
      </c>
      <c r="AV46" s="167">
        <v>184446.21019805659</v>
      </c>
      <c r="AW46" s="168">
        <v>1692</v>
      </c>
      <c r="AX46" s="170">
        <f t="shared" si="24"/>
        <v>109.01076252840224</v>
      </c>
      <c r="AY46" s="167">
        <v>17839.697767387494</v>
      </c>
      <c r="AZ46" s="168">
        <v>281</v>
      </c>
      <c r="BA46" s="170">
        <f t="shared" si="25"/>
        <v>63.486468923087166</v>
      </c>
      <c r="BB46" s="167">
        <v>35069.714505239506</v>
      </c>
      <c r="BC46" s="168">
        <v>270</v>
      </c>
      <c r="BD46" s="170">
        <f t="shared" si="26"/>
        <v>129.88783150088707</v>
      </c>
      <c r="BE46" s="3">
        <f t="shared" si="27"/>
        <v>237355.62247068359</v>
      </c>
      <c r="BF46" s="97">
        <f t="shared" si="28"/>
        <v>2243</v>
      </c>
      <c r="BG46" s="172">
        <f t="shared" si="29"/>
        <v>105.82060743231547</v>
      </c>
      <c r="BH46" s="167">
        <f>205696.37-BK46-596.9</f>
        <v>183575.47</v>
      </c>
      <c r="BI46" s="168">
        <f>1973-BL46</f>
        <v>1692</v>
      </c>
      <c r="BJ46" s="170">
        <f t="shared" si="30"/>
        <v>108.49614066193854</v>
      </c>
      <c r="BK46" s="167">
        <v>21524</v>
      </c>
      <c r="BL46" s="168">
        <v>281</v>
      </c>
      <c r="BM46" s="170">
        <f t="shared" si="31"/>
        <v>76.59786476868328</v>
      </c>
      <c r="BN46" s="167">
        <f>34253.5-150</f>
        <v>34103.5</v>
      </c>
      <c r="BO46" s="168">
        <f>32+52+64+82</f>
        <v>230</v>
      </c>
      <c r="BP46" s="170">
        <f t="shared" si="32"/>
        <v>148.27608695652174</v>
      </c>
      <c r="BQ46" s="3">
        <f t="shared" si="33"/>
        <v>239202.97</v>
      </c>
      <c r="BR46" s="97">
        <f t="shared" si="33"/>
        <v>2203</v>
      </c>
      <c r="BS46" s="172">
        <f t="shared" si="34"/>
        <v>108.58055832955061</v>
      </c>
      <c r="BT46" s="303">
        <v>150894.20689944763</v>
      </c>
      <c r="BU46" s="168">
        <v>806</v>
      </c>
      <c r="BV46" s="170">
        <f t="shared" si="35"/>
        <v>187.21365620278863</v>
      </c>
      <c r="BW46" s="303">
        <v>344172.89238559187</v>
      </c>
      <c r="BX46" s="168">
        <v>2191</v>
      </c>
      <c r="BY46" s="170">
        <f t="shared" si="36"/>
        <v>157.08484362646823</v>
      </c>
      <c r="BZ46" s="3">
        <f t="shared" si="37"/>
        <v>495067.09928503947</v>
      </c>
      <c r="CA46" s="97">
        <f t="shared" si="37"/>
        <v>2997</v>
      </c>
      <c r="CB46" s="172">
        <f t="shared" si="38"/>
        <v>165.18755398232881</v>
      </c>
      <c r="CC46" s="167">
        <v>105668.75</v>
      </c>
      <c r="CD46" s="168">
        <f>589+242</f>
        <v>831</v>
      </c>
      <c r="CE46" s="170">
        <f t="shared" si="39"/>
        <v>127.15854392298435</v>
      </c>
      <c r="CF46" s="167">
        <f>482450.03-CC46-956.5</f>
        <v>375824.78</v>
      </c>
      <c r="CG46" s="168">
        <f>2997-CD46</f>
        <v>2166</v>
      </c>
      <c r="CH46" s="170">
        <f t="shared" si="40"/>
        <v>173.51097876269623</v>
      </c>
      <c r="CI46" s="3">
        <f t="shared" si="41"/>
        <v>481493.53</v>
      </c>
      <c r="CJ46" s="97">
        <f t="shared" si="42"/>
        <v>2997</v>
      </c>
      <c r="CK46" s="172">
        <f t="shared" si="43"/>
        <v>160.65850183516852</v>
      </c>
      <c r="CL46" s="167"/>
      <c r="CM46" s="168"/>
      <c r="CN46" s="170">
        <v>0</v>
      </c>
      <c r="CO46" s="167">
        <v>296641</v>
      </c>
      <c r="CP46" s="168">
        <v>1774</v>
      </c>
      <c r="CQ46" s="170">
        <v>167.21589627959415</v>
      </c>
      <c r="CR46" s="3">
        <v>296641</v>
      </c>
      <c r="CS46" s="97">
        <v>1774</v>
      </c>
      <c r="CT46" s="172">
        <v>167.21589627959415</v>
      </c>
      <c r="CU46" s="309">
        <v>30211.181933920358</v>
      </c>
      <c r="CV46" s="310">
        <v>344.25</v>
      </c>
      <c r="CW46" s="170">
        <v>87.759424644648817</v>
      </c>
      <c r="CX46" s="309">
        <v>276136.71000000002</v>
      </c>
      <c r="CY46" s="310">
        <v>1701</v>
      </c>
      <c r="CZ46" s="170">
        <v>162.3378659611993</v>
      </c>
      <c r="DA46" s="3">
        <f t="shared" si="45"/>
        <v>306347.89193392039</v>
      </c>
      <c r="DB46" s="97">
        <f t="shared" si="45"/>
        <v>2045.25</v>
      </c>
      <c r="DC46" s="172">
        <f t="shared" si="46"/>
        <v>149.78505900692844</v>
      </c>
      <c r="DD46" s="303">
        <v>187758.8</v>
      </c>
      <c r="DE46" s="168">
        <v>1707.3999999999999</v>
      </c>
      <c r="DF46" s="170">
        <f t="shared" si="47"/>
        <v>109.96767014173598</v>
      </c>
      <c r="DG46" s="303">
        <v>45364.5</v>
      </c>
      <c r="DH46" s="168">
        <v>561</v>
      </c>
      <c r="DI46" s="170">
        <f t="shared" si="8"/>
        <v>80.86363636363636</v>
      </c>
      <c r="DJ46" s="167">
        <v>0</v>
      </c>
      <c r="DK46" s="168">
        <v>0</v>
      </c>
      <c r="DL46" s="170">
        <v>0</v>
      </c>
      <c r="DM46" s="3">
        <f t="shared" si="9"/>
        <v>233123.3</v>
      </c>
      <c r="DN46" s="97">
        <f t="shared" si="48"/>
        <v>2268.3999999999996</v>
      </c>
      <c r="DO46" s="172">
        <f t="shared" si="49"/>
        <v>102.76992593898784</v>
      </c>
      <c r="DP46" s="303">
        <v>178238.10246097873</v>
      </c>
      <c r="DQ46" s="168">
        <v>712.5</v>
      </c>
      <c r="DR46" s="170">
        <f t="shared" si="50"/>
        <v>250.15874029611049</v>
      </c>
      <c r="DS46" s="303">
        <v>22800</v>
      </c>
      <c r="DT46" s="168">
        <v>120</v>
      </c>
      <c r="DU46" s="170">
        <f t="shared" si="51"/>
        <v>190</v>
      </c>
      <c r="DV46" s="3">
        <f t="shared" si="52"/>
        <v>201038.10246097873</v>
      </c>
      <c r="DW46" s="97">
        <f t="shared" si="53"/>
        <v>832.5</v>
      </c>
      <c r="DX46" s="172">
        <f t="shared" si="54"/>
        <v>241.48721016333781</v>
      </c>
      <c r="DY46" s="167">
        <v>0</v>
      </c>
      <c r="DZ46" s="168">
        <v>0</v>
      </c>
      <c r="EA46" s="170">
        <f t="shared" si="55"/>
        <v>0</v>
      </c>
      <c r="EB46" s="167">
        <v>0</v>
      </c>
      <c r="EC46" s="168">
        <v>0</v>
      </c>
      <c r="ED46" s="170">
        <f t="shared" si="56"/>
        <v>0</v>
      </c>
      <c r="EE46" s="167">
        <v>0</v>
      </c>
      <c r="EF46" s="168">
        <v>0</v>
      </c>
      <c r="EG46" s="170">
        <f t="shared" si="57"/>
        <v>0</v>
      </c>
      <c r="EH46" s="3">
        <f t="shared" si="58"/>
        <v>0</v>
      </c>
      <c r="EI46" s="97">
        <f t="shared" si="59"/>
        <v>0</v>
      </c>
      <c r="EJ46" s="172">
        <f t="shared" si="60"/>
        <v>0</v>
      </c>
    </row>
    <row r="47" spans="2:140">
      <c r="B47" t="s">
        <v>180</v>
      </c>
      <c r="C47" t="s">
        <v>76</v>
      </c>
      <c r="D47">
        <f>VLOOKUP(B47,Dates!$B$2:$E$53,4,FALSE)</f>
        <v>43</v>
      </c>
      <c r="E47" s="168" t="b">
        <f>IF(D47&lt;='RDG Weekly Sales'!$F$1,TRUE,FALSE)</f>
        <v>0</v>
      </c>
      <c r="F47" s="303">
        <v>624672</v>
      </c>
      <c r="G47" s="168">
        <v>3780</v>
      </c>
      <c r="H47" s="170">
        <f t="shared" si="10"/>
        <v>165.25714285714287</v>
      </c>
      <c r="I47" s="167">
        <v>613897.05000000005</v>
      </c>
      <c r="J47" s="168">
        <v>3779</v>
      </c>
      <c r="K47" s="170">
        <f t="shared" si="11"/>
        <v>162.44960306959516</v>
      </c>
      <c r="L47" s="303">
        <v>39967</v>
      </c>
      <c r="M47" s="168">
        <v>336</v>
      </c>
      <c r="N47" s="170">
        <f t="shared" si="12"/>
        <v>118.94940476190476</v>
      </c>
      <c r="O47" s="167">
        <v>39636.75</v>
      </c>
      <c r="P47" s="168">
        <v>336</v>
      </c>
      <c r="Q47" s="170">
        <f t="shared" si="13"/>
        <v>117.96651785714286</v>
      </c>
      <c r="R47" s="3">
        <f t="shared" si="61"/>
        <v>664639</v>
      </c>
      <c r="S47" s="97">
        <f t="shared" si="62"/>
        <v>4116</v>
      </c>
      <c r="T47" s="170">
        <f t="shared" si="14"/>
        <v>161.47691933916423</v>
      </c>
      <c r="U47" s="3">
        <f t="shared" si="63"/>
        <v>653533.80000000005</v>
      </c>
      <c r="V47" s="97">
        <f t="shared" si="64"/>
        <v>4115</v>
      </c>
      <c r="W47" s="172">
        <f t="shared" si="15"/>
        <v>158.81744835965981</v>
      </c>
      <c r="X47" s="167">
        <v>22215.575318233212</v>
      </c>
      <c r="Y47" s="168">
        <v>78</v>
      </c>
      <c r="Z47" s="170">
        <f t="shared" si="16"/>
        <v>284.81506818247709</v>
      </c>
      <c r="AA47" s="167">
        <v>19579</v>
      </c>
      <c r="AB47" s="168">
        <v>78</v>
      </c>
      <c r="AC47" s="170">
        <f t="shared" si="17"/>
        <v>251.01282051282053</v>
      </c>
      <c r="AD47" s="167">
        <v>93140.289352749969</v>
      </c>
      <c r="AE47" s="168">
        <v>434</v>
      </c>
      <c r="AF47" s="170">
        <f t="shared" si="18"/>
        <v>214.60896164228103</v>
      </c>
      <c r="AG47" s="167">
        <f>74587.85+22504.91</f>
        <v>97092.760000000009</v>
      </c>
      <c r="AH47" s="168">
        <f>40+75+52+62+110+95</f>
        <v>434</v>
      </c>
      <c r="AI47" s="170">
        <f t="shared" si="19"/>
        <v>223.71603686635947</v>
      </c>
      <c r="AJ47" s="167">
        <v>228469.84557533986</v>
      </c>
      <c r="AK47" s="168">
        <v>960.45</v>
      </c>
      <c r="AL47" s="170">
        <f t="shared" si="20"/>
        <v>237.87791720062455</v>
      </c>
      <c r="AM47" s="167">
        <f>264358.82+35618-4705.3</f>
        <v>295271.52</v>
      </c>
      <c r="AN47" s="168">
        <f>62+191+107+191+221+227+12</f>
        <v>1011</v>
      </c>
      <c r="AO47" s="170">
        <f t="shared" si="21"/>
        <v>292.05887240356083</v>
      </c>
      <c r="AP47" s="167">
        <f t="shared" si="65"/>
        <v>343825.71024632303</v>
      </c>
      <c r="AQ47" s="168">
        <f t="shared" si="66"/>
        <v>1472.45</v>
      </c>
      <c r="AR47" s="172">
        <f t="shared" si="22"/>
        <v>233.50586454298823</v>
      </c>
      <c r="AS47" s="167">
        <f t="shared" si="67"/>
        <v>411943.28</v>
      </c>
      <c r="AT47" s="168">
        <f t="shared" si="68"/>
        <v>1523</v>
      </c>
      <c r="AU47" s="172">
        <f t="shared" si="23"/>
        <v>270.48147078135258</v>
      </c>
      <c r="AV47" s="167">
        <v>180736.9586126754</v>
      </c>
      <c r="AW47" s="168">
        <v>1663</v>
      </c>
      <c r="AX47" s="170">
        <f t="shared" si="24"/>
        <v>108.68127397033999</v>
      </c>
      <c r="AY47" s="167">
        <v>18929.024570426649</v>
      </c>
      <c r="AZ47" s="168">
        <v>298</v>
      </c>
      <c r="BA47" s="170">
        <f t="shared" si="25"/>
        <v>63.520216679284054</v>
      </c>
      <c r="BB47" s="167">
        <v>33622.174312951829</v>
      </c>
      <c r="BC47" s="168">
        <v>258</v>
      </c>
      <c r="BD47" s="170">
        <f t="shared" si="26"/>
        <v>130.31850508896059</v>
      </c>
      <c r="BE47" s="3">
        <f t="shared" si="27"/>
        <v>233288.15749605387</v>
      </c>
      <c r="BF47" s="97">
        <f t="shared" si="28"/>
        <v>2219</v>
      </c>
      <c r="BG47" s="172">
        <f t="shared" si="29"/>
        <v>105.13211243625682</v>
      </c>
      <c r="BH47" s="167">
        <f>211047-BK47-537.35</f>
        <v>190555.65</v>
      </c>
      <c r="BI47" s="168">
        <f>2007-BL47</f>
        <v>1663</v>
      </c>
      <c r="BJ47" s="170">
        <f t="shared" si="30"/>
        <v>114.58547805171376</v>
      </c>
      <c r="BK47" s="167">
        <v>19954</v>
      </c>
      <c r="BL47" s="168">
        <v>344</v>
      </c>
      <c r="BM47" s="170">
        <f t="shared" si="31"/>
        <v>58.005813953488371</v>
      </c>
      <c r="BN47" s="167">
        <f>39472.1-305.6</f>
        <v>39166.5</v>
      </c>
      <c r="BO47" s="168">
        <f>33+49+73+88</f>
        <v>243</v>
      </c>
      <c r="BP47" s="170">
        <f t="shared" si="32"/>
        <v>161.17901234567901</v>
      </c>
      <c r="BQ47" s="3">
        <f t="shared" si="33"/>
        <v>249676.15</v>
      </c>
      <c r="BR47" s="97">
        <f t="shared" si="33"/>
        <v>2250</v>
      </c>
      <c r="BS47" s="172">
        <f t="shared" si="34"/>
        <v>110.96717777777778</v>
      </c>
      <c r="BT47" s="303">
        <v>140793.20774553181</v>
      </c>
      <c r="BU47" s="168">
        <v>745</v>
      </c>
      <c r="BV47" s="170">
        <f t="shared" si="35"/>
        <v>188.98417147051248</v>
      </c>
      <c r="BW47" s="303">
        <v>375486.87870369526</v>
      </c>
      <c r="BX47" s="168">
        <v>2374</v>
      </c>
      <c r="BY47" s="170">
        <f t="shared" si="36"/>
        <v>158.16633475303087</v>
      </c>
      <c r="BZ47" s="3">
        <f t="shared" si="37"/>
        <v>516280.08644922706</v>
      </c>
      <c r="CA47" s="97">
        <f t="shared" si="37"/>
        <v>3119</v>
      </c>
      <c r="CB47" s="172">
        <f t="shared" si="38"/>
        <v>165.52744034922316</v>
      </c>
      <c r="CC47" s="167">
        <v>107945.5</v>
      </c>
      <c r="CD47" s="168">
        <f>542+192</f>
        <v>734</v>
      </c>
      <c r="CE47" s="170">
        <f t="shared" si="39"/>
        <v>147.06471389645776</v>
      </c>
      <c r="CF47" s="167">
        <f>550655.15-CC47-4161.28</f>
        <v>438548.37</v>
      </c>
      <c r="CG47" s="168">
        <f>3020-CD47</f>
        <v>2286</v>
      </c>
      <c r="CH47" s="170">
        <f t="shared" si="40"/>
        <v>191.84093175853019</v>
      </c>
      <c r="CI47" s="3">
        <f t="shared" si="41"/>
        <v>546493.87</v>
      </c>
      <c r="CJ47" s="97">
        <f t="shared" si="42"/>
        <v>3020</v>
      </c>
      <c r="CK47" s="172">
        <f t="shared" si="43"/>
        <v>180.95823509933774</v>
      </c>
      <c r="CL47" s="167"/>
      <c r="CM47" s="168"/>
      <c r="CN47" s="170">
        <v>0</v>
      </c>
      <c r="CO47" s="167">
        <v>376871.89</v>
      </c>
      <c r="CP47" s="168">
        <v>2040</v>
      </c>
      <c r="CQ47" s="170">
        <v>184.74112254901962</v>
      </c>
      <c r="CR47" s="3">
        <v>376871.89</v>
      </c>
      <c r="CS47" s="97">
        <v>2040</v>
      </c>
      <c r="CT47" s="172">
        <v>184.74112254901962</v>
      </c>
      <c r="CU47" s="309">
        <v>30211.181933920358</v>
      </c>
      <c r="CV47" s="310">
        <v>344.25</v>
      </c>
      <c r="CW47" s="170">
        <v>87.759424644648817</v>
      </c>
      <c r="CX47" s="309">
        <v>314059.41000000003</v>
      </c>
      <c r="CY47" s="310">
        <v>1934</v>
      </c>
      <c r="CZ47" s="170">
        <v>162.38852637021719</v>
      </c>
      <c r="DA47" s="3">
        <f t="shared" si="45"/>
        <v>344270.5919339204</v>
      </c>
      <c r="DB47" s="97">
        <f t="shared" si="45"/>
        <v>2278.25</v>
      </c>
      <c r="DC47" s="172">
        <f t="shared" si="46"/>
        <v>151.11185863444328</v>
      </c>
      <c r="DD47" s="303">
        <v>187758.8</v>
      </c>
      <c r="DE47" s="168">
        <v>1707.3999999999999</v>
      </c>
      <c r="DF47" s="170">
        <f t="shared" si="47"/>
        <v>109.96767014173598</v>
      </c>
      <c r="DG47" s="303">
        <v>45364.5</v>
      </c>
      <c r="DH47" s="168">
        <v>561</v>
      </c>
      <c r="DI47" s="170">
        <f t="shared" si="8"/>
        <v>80.86363636363636</v>
      </c>
      <c r="DJ47" s="167">
        <v>0</v>
      </c>
      <c r="DK47" s="168">
        <v>0</v>
      </c>
      <c r="DL47" s="170">
        <v>0</v>
      </c>
      <c r="DM47" s="3">
        <f t="shared" si="9"/>
        <v>233123.3</v>
      </c>
      <c r="DN47" s="97">
        <f t="shared" si="48"/>
        <v>2268.3999999999996</v>
      </c>
      <c r="DO47" s="172">
        <f t="shared" si="49"/>
        <v>102.76992593898784</v>
      </c>
      <c r="DP47" s="303">
        <v>178238.10246097873</v>
      </c>
      <c r="DQ47" s="168">
        <v>712.5</v>
      </c>
      <c r="DR47" s="170">
        <f t="shared" si="50"/>
        <v>250.15874029611049</v>
      </c>
      <c r="DS47" s="303">
        <v>22800</v>
      </c>
      <c r="DT47" s="168">
        <v>120</v>
      </c>
      <c r="DU47" s="170">
        <f t="shared" si="51"/>
        <v>190</v>
      </c>
      <c r="DV47" s="3">
        <f t="shared" si="52"/>
        <v>201038.10246097873</v>
      </c>
      <c r="DW47" s="97">
        <f t="shared" si="53"/>
        <v>832.5</v>
      </c>
      <c r="DX47" s="172">
        <f t="shared" si="54"/>
        <v>241.48721016333781</v>
      </c>
      <c r="DY47" s="167">
        <v>0</v>
      </c>
      <c r="DZ47" s="168">
        <v>0</v>
      </c>
      <c r="EA47" s="170">
        <f t="shared" si="55"/>
        <v>0</v>
      </c>
      <c r="EB47" s="167">
        <v>0</v>
      </c>
      <c r="EC47" s="168">
        <v>0</v>
      </c>
      <c r="ED47" s="170">
        <f t="shared" si="56"/>
        <v>0</v>
      </c>
      <c r="EE47" s="167">
        <v>0</v>
      </c>
      <c r="EF47" s="168">
        <v>0</v>
      </c>
      <c r="EG47" s="170">
        <f t="shared" si="57"/>
        <v>0</v>
      </c>
      <c r="EH47" s="3">
        <f t="shared" si="58"/>
        <v>0</v>
      </c>
      <c r="EI47" s="97">
        <f t="shared" si="59"/>
        <v>0</v>
      </c>
      <c r="EJ47" s="172">
        <f t="shared" si="60"/>
        <v>0</v>
      </c>
    </row>
    <row r="48" spans="2:140">
      <c r="B48" t="s">
        <v>183</v>
      </c>
      <c r="C48" t="s">
        <v>182</v>
      </c>
      <c r="D48">
        <f>VLOOKUP(B48,Dates!$B$2:$E$53,4,FALSE)</f>
        <v>44</v>
      </c>
      <c r="E48" s="168" t="b">
        <f>IF(D48&lt;='RDG Weekly Sales'!$F$1,TRUE,FALSE)</f>
        <v>0</v>
      </c>
      <c r="F48" s="303">
        <v>583614</v>
      </c>
      <c r="G48" s="168">
        <v>3334</v>
      </c>
      <c r="H48" s="170">
        <f t="shared" si="10"/>
        <v>175.0491901619676</v>
      </c>
      <c r="I48" s="167">
        <v>572519.67999999993</v>
      </c>
      <c r="J48" s="168">
        <v>3334</v>
      </c>
      <c r="K48" s="170">
        <f t="shared" si="11"/>
        <v>171.72155968806237</v>
      </c>
      <c r="L48" s="303">
        <v>37375</v>
      </c>
      <c r="M48" s="168">
        <v>298</v>
      </c>
      <c r="N48" s="170">
        <f t="shared" si="12"/>
        <v>125.41946308724832</v>
      </c>
      <c r="O48" s="167">
        <v>31456</v>
      </c>
      <c r="P48" s="168">
        <v>251</v>
      </c>
      <c r="Q48" s="170">
        <f t="shared" si="13"/>
        <v>125.32270916334662</v>
      </c>
      <c r="R48" s="3">
        <f t="shared" si="61"/>
        <v>620989</v>
      </c>
      <c r="S48" s="97">
        <f t="shared" si="62"/>
        <v>3632</v>
      </c>
      <c r="T48" s="170">
        <f t="shared" si="14"/>
        <v>170.97714757709252</v>
      </c>
      <c r="U48" s="3">
        <f t="shared" si="63"/>
        <v>603975.67999999993</v>
      </c>
      <c r="V48" s="97">
        <f t="shared" si="64"/>
        <v>3585</v>
      </c>
      <c r="W48" s="172">
        <f t="shared" si="15"/>
        <v>168.4729930264993</v>
      </c>
      <c r="X48" s="167">
        <v>18010.864425401007</v>
      </c>
      <c r="Y48" s="168">
        <v>63</v>
      </c>
      <c r="Z48" s="170">
        <f t="shared" si="16"/>
        <v>285.88673691112712</v>
      </c>
      <c r="AA48" s="167">
        <v>17650</v>
      </c>
      <c r="AB48" s="168">
        <v>63</v>
      </c>
      <c r="AC48" s="170">
        <f t="shared" si="17"/>
        <v>280.15873015873018</v>
      </c>
      <c r="AD48" s="167">
        <v>77613.75626389918</v>
      </c>
      <c r="AE48" s="168">
        <v>358</v>
      </c>
      <c r="AF48" s="170">
        <f t="shared" si="18"/>
        <v>216.79820185446698</v>
      </c>
      <c r="AG48" s="167">
        <f>53783+17468</f>
        <v>71251</v>
      </c>
      <c r="AH48" s="168">
        <f>96+49+130+78</f>
        <v>353</v>
      </c>
      <c r="AI48" s="170">
        <f t="shared" si="19"/>
        <v>201.8441926345609</v>
      </c>
      <c r="AJ48" s="167">
        <v>248337.71312272176</v>
      </c>
      <c r="AK48" s="168">
        <v>689.7</v>
      </c>
      <c r="AL48" s="170">
        <f t="shared" si="20"/>
        <v>360.06627971976474</v>
      </c>
      <c r="AM48" s="167">
        <f>214394.5+31507</f>
        <v>245901.5</v>
      </c>
      <c r="AN48" s="168">
        <f>107+181+247+194</f>
        <v>729</v>
      </c>
      <c r="AO48" s="170">
        <f t="shared" si="21"/>
        <v>337.31344307270234</v>
      </c>
      <c r="AP48" s="167">
        <f t="shared" si="65"/>
        <v>343962.33381202194</v>
      </c>
      <c r="AQ48" s="168">
        <f t="shared" si="66"/>
        <v>1110.7</v>
      </c>
      <c r="AR48" s="172">
        <f t="shared" si="22"/>
        <v>309.68068228326456</v>
      </c>
      <c r="AS48" s="167">
        <f t="shared" si="67"/>
        <v>334802.5</v>
      </c>
      <c r="AT48" s="168">
        <f t="shared" si="68"/>
        <v>1145</v>
      </c>
      <c r="AU48" s="172">
        <f t="shared" si="23"/>
        <v>292.40393013100436</v>
      </c>
      <c r="AV48" s="167">
        <v>177787</v>
      </c>
      <c r="AW48" s="168">
        <v>1368</v>
      </c>
      <c r="AX48" s="170">
        <f t="shared" si="24"/>
        <v>129.96125730994152</v>
      </c>
      <c r="AY48" s="167">
        <v>19772.93</v>
      </c>
      <c r="AZ48" s="168">
        <v>356</v>
      </c>
      <c r="BA48" s="170">
        <f t="shared" si="25"/>
        <v>55.541938202247195</v>
      </c>
      <c r="BB48" s="167">
        <v>26613.805347985348</v>
      </c>
      <c r="BC48" s="168">
        <v>166</v>
      </c>
      <c r="BD48" s="170">
        <f t="shared" si="26"/>
        <v>160.32412860232137</v>
      </c>
      <c r="BE48" s="3">
        <f t="shared" si="27"/>
        <v>224173.73534798535</v>
      </c>
      <c r="BF48" s="97">
        <f t="shared" si="28"/>
        <v>1890</v>
      </c>
      <c r="BG48" s="172">
        <f t="shared" si="29"/>
        <v>118.61044198306104</v>
      </c>
      <c r="BH48" s="167">
        <f>191679.11-1425.04-BK48</f>
        <v>171738.06999999998</v>
      </c>
      <c r="BI48" s="168">
        <f>1724-BL48</f>
        <v>1432</v>
      </c>
      <c r="BJ48" s="170">
        <f t="shared" si="30"/>
        <v>119.92881983240223</v>
      </c>
      <c r="BK48" s="167">
        <v>18516</v>
      </c>
      <c r="BL48" s="168">
        <v>292</v>
      </c>
      <c r="BM48" s="170">
        <f t="shared" si="31"/>
        <v>63.410958904109592</v>
      </c>
      <c r="BN48" s="167">
        <f>24606.05-226.35</f>
        <v>24379.7</v>
      </c>
      <c r="BO48" s="168">
        <f>31+19+63+53</f>
        <v>166</v>
      </c>
      <c r="BP48" s="170">
        <f t="shared" si="32"/>
        <v>146.86566265060242</v>
      </c>
      <c r="BQ48" s="3">
        <f t="shared" si="33"/>
        <v>214633.77</v>
      </c>
      <c r="BR48" s="97">
        <f t="shared" si="33"/>
        <v>1890</v>
      </c>
      <c r="BS48" s="172">
        <f t="shared" si="34"/>
        <v>113.56284126984126</v>
      </c>
      <c r="BT48" s="303">
        <v>146748.48589604959</v>
      </c>
      <c r="BU48" s="168">
        <v>696</v>
      </c>
      <c r="BV48" s="170">
        <f t="shared" si="35"/>
        <v>210.84552571271493</v>
      </c>
      <c r="BW48" s="303">
        <v>364694.55273300654</v>
      </c>
      <c r="BX48" s="168">
        <v>2177</v>
      </c>
      <c r="BY48" s="170">
        <f t="shared" si="36"/>
        <v>167.52161356591941</v>
      </c>
      <c r="BZ48" s="3">
        <f t="shared" si="37"/>
        <v>511443.03862905613</v>
      </c>
      <c r="CA48" s="97">
        <f t="shared" si="37"/>
        <v>2873</v>
      </c>
      <c r="CB48" s="172">
        <f t="shared" si="38"/>
        <v>178.01706878839406</v>
      </c>
      <c r="CC48" s="167">
        <v>90744.25</v>
      </c>
      <c r="CD48" s="168">
        <f>503+200</f>
        <v>703</v>
      </c>
      <c r="CE48" s="170">
        <f t="shared" si="39"/>
        <v>129.08143669985776</v>
      </c>
      <c r="CF48" s="167">
        <f>480298.22-CC48-1446.95</f>
        <v>388107.01999999996</v>
      </c>
      <c r="CG48" s="168">
        <f>2873-CD48</f>
        <v>2170</v>
      </c>
      <c r="CH48" s="170">
        <f t="shared" si="40"/>
        <v>178.85116129032255</v>
      </c>
      <c r="CI48" s="3">
        <f t="shared" si="41"/>
        <v>478851.26999999996</v>
      </c>
      <c r="CJ48" s="97">
        <f t="shared" si="42"/>
        <v>2873</v>
      </c>
      <c r="CK48" s="172">
        <f t="shared" si="43"/>
        <v>166.67290985033065</v>
      </c>
      <c r="CL48" s="167"/>
      <c r="CM48" s="168"/>
      <c r="CN48" s="170">
        <v>0</v>
      </c>
      <c r="CO48" s="167">
        <v>289384.73</v>
      </c>
      <c r="CP48" s="168">
        <v>1597</v>
      </c>
      <c r="CQ48" s="170">
        <v>181.20521603005633</v>
      </c>
      <c r="CR48" s="3">
        <v>289384.73</v>
      </c>
      <c r="CS48" s="97">
        <v>1597</v>
      </c>
      <c r="CT48" s="172">
        <v>181.20521603005633</v>
      </c>
      <c r="CU48" s="309">
        <v>34742.859224008411</v>
      </c>
      <c r="CV48" s="310">
        <v>344.25</v>
      </c>
      <c r="CW48" s="170">
        <v>100.92333834134615</v>
      </c>
      <c r="CX48" s="309">
        <v>281385.63</v>
      </c>
      <c r="CY48" s="310">
        <v>1640</v>
      </c>
      <c r="CZ48" s="170">
        <v>171.57660365853658</v>
      </c>
      <c r="DA48" s="3">
        <f t="shared" si="45"/>
        <v>316128.4892240084</v>
      </c>
      <c r="DB48" s="97">
        <f t="shared" si="45"/>
        <v>1984.25</v>
      </c>
      <c r="DC48" s="172">
        <f t="shared" si="46"/>
        <v>159.31888079829073</v>
      </c>
      <c r="DD48" s="303">
        <v>269698.7</v>
      </c>
      <c r="DE48" s="168">
        <v>2111.1</v>
      </c>
      <c r="DF48" s="170">
        <f t="shared" si="47"/>
        <v>127.75268817204302</v>
      </c>
      <c r="DG48" s="303">
        <v>52204</v>
      </c>
      <c r="DH48" s="168">
        <v>636</v>
      </c>
      <c r="DI48" s="170">
        <f t="shared" si="8"/>
        <v>82.081761006289312</v>
      </c>
      <c r="DJ48" s="167">
        <v>0</v>
      </c>
      <c r="DK48" s="168">
        <v>0</v>
      </c>
      <c r="DL48" s="170">
        <v>0</v>
      </c>
      <c r="DM48" s="3">
        <f t="shared" si="9"/>
        <v>321902.7</v>
      </c>
      <c r="DN48" s="97">
        <f t="shared" si="48"/>
        <v>2747.1</v>
      </c>
      <c r="DO48" s="172">
        <f t="shared" si="49"/>
        <v>117.17909795784647</v>
      </c>
      <c r="DP48" s="303">
        <v>193672.25540845492</v>
      </c>
      <c r="DQ48" s="168">
        <v>775</v>
      </c>
      <c r="DR48" s="170">
        <f t="shared" si="50"/>
        <v>249.89968439800634</v>
      </c>
      <c r="DS48" s="303">
        <v>22800</v>
      </c>
      <c r="DT48" s="168">
        <v>120</v>
      </c>
      <c r="DU48" s="170">
        <f t="shared" si="51"/>
        <v>190</v>
      </c>
      <c r="DV48" s="3">
        <f t="shared" si="52"/>
        <v>216472.25540845492</v>
      </c>
      <c r="DW48" s="97">
        <f t="shared" si="53"/>
        <v>895</v>
      </c>
      <c r="DX48" s="172">
        <f t="shared" si="54"/>
        <v>241.86844179715632</v>
      </c>
      <c r="DY48" s="167">
        <v>227630</v>
      </c>
      <c r="DZ48" s="168">
        <v>2111</v>
      </c>
      <c r="EA48" s="170">
        <f t="shared" si="55"/>
        <v>107.83041212695404</v>
      </c>
      <c r="EB48" s="167">
        <v>0</v>
      </c>
      <c r="EC48" s="168">
        <v>0</v>
      </c>
      <c r="ED48" s="170">
        <f t="shared" si="56"/>
        <v>0</v>
      </c>
      <c r="EE48" s="167">
        <v>0</v>
      </c>
      <c r="EF48" s="168">
        <v>0</v>
      </c>
      <c r="EG48" s="170">
        <f t="shared" si="57"/>
        <v>0</v>
      </c>
      <c r="EH48" s="3">
        <f t="shared" si="58"/>
        <v>227630</v>
      </c>
      <c r="EI48" s="97">
        <f t="shared" si="59"/>
        <v>2111</v>
      </c>
      <c r="EJ48" s="172">
        <f t="shared" si="60"/>
        <v>107.83041212695404</v>
      </c>
    </row>
    <row r="49" spans="2:140">
      <c r="B49" t="s">
        <v>184</v>
      </c>
      <c r="C49" t="s">
        <v>182</v>
      </c>
      <c r="D49">
        <f>VLOOKUP(B49,Dates!$B$2:$E$53,4,FALSE)</f>
        <v>45</v>
      </c>
      <c r="E49" s="168" t="b">
        <f>IF(D49&lt;='RDG Weekly Sales'!$F$1,TRUE,FALSE)</f>
        <v>0</v>
      </c>
      <c r="F49" s="303">
        <v>700611</v>
      </c>
      <c r="G49" s="168">
        <v>3997</v>
      </c>
      <c r="H49" s="170">
        <f t="shared" si="10"/>
        <v>175.28421315986989</v>
      </c>
      <c r="I49" s="167">
        <v>681208.86</v>
      </c>
      <c r="J49" s="168">
        <v>4022</v>
      </c>
      <c r="K49" s="170">
        <f t="shared" si="11"/>
        <v>169.37067628045747</v>
      </c>
      <c r="L49" s="303">
        <v>34365</v>
      </c>
      <c r="M49" s="168">
        <v>274</v>
      </c>
      <c r="N49" s="170">
        <f t="shared" si="12"/>
        <v>125.41970802919708</v>
      </c>
      <c r="O49" s="167">
        <v>49665.15</v>
      </c>
      <c r="P49" s="168">
        <v>320</v>
      </c>
      <c r="Q49" s="170">
        <f t="shared" si="13"/>
        <v>155.20359375000001</v>
      </c>
      <c r="R49" s="3">
        <f t="shared" si="61"/>
        <v>734976</v>
      </c>
      <c r="S49" s="97">
        <f t="shared" si="62"/>
        <v>4271</v>
      </c>
      <c r="T49" s="170">
        <f t="shared" si="14"/>
        <v>172.08522594240225</v>
      </c>
      <c r="U49" s="3">
        <f t="shared" si="63"/>
        <v>730874.01</v>
      </c>
      <c r="V49" s="97">
        <f t="shared" si="64"/>
        <v>4342</v>
      </c>
      <c r="W49" s="172">
        <f t="shared" si="15"/>
        <v>168.32657991708891</v>
      </c>
      <c r="X49" s="167">
        <v>22367.261426060206</v>
      </c>
      <c r="Y49" s="168">
        <v>80</v>
      </c>
      <c r="Z49" s="170">
        <f t="shared" si="16"/>
        <v>279.59076782575255</v>
      </c>
      <c r="AA49" s="167">
        <v>19564.3</v>
      </c>
      <c r="AB49" s="168">
        <v>80</v>
      </c>
      <c r="AC49" s="170">
        <f t="shared" si="17"/>
        <v>244.55374999999998</v>
      </c>
      <c r="AD49" s="167">
        <v>99434.250667160872</v>
      </c>
      <c r="AE49" s="168">
        <v>405</v>
      </c>
      <c r="AF49" s="170">
        <f t="shared" si="18"/>
        <v>245.51666831397745</v>
      </c>
      <c r="AG49" s="167">
        <f>58040.8+23129</f>
        <v>81169.8</v>
      </c>
      <c r="AH49" s="168">
        <f>52+91+134+122+6</f>
        <v>405</v>
      </c>
      <c r="AI49" s="170">
        <f t="shared" si="19"/>
        <v>200.41925925925926</v>
      </c>
      <c r="AJ49" s="167">
        <v>226152.78200000001</v>
      </c>
      <c r="AK49" s="168">
        <v>762.84999999999991</v>
      </c>
      <c r="AL49" s="170">
        <f t="shared" si="20"/>
        <v>296.45773349937735</v>
      </c>
      <c r="AM49" s="167">
        <f>210231.76+38693.5-772.3</f>
        <v>248152.96000000002</v>
      </c>
      <c r="AN49" s="168">
        <f>63+15+217+12+224+254+18</f>
        <v>803</v>
      </c>
      <c r="AO49" s="170">
        <f t="shared" si="21"/>
        <v>309.03232876712332</v>
      </c>
      <c r="AP49" s="167">
        <f t="shared" si="65"/>
        <v>347954.29409322108</v>
      </c>
      <c r="AQ49" s="168">
        <f t="shared" si="66"/>
        <v>1247.8499999999999</v>
      </c>
      <c r="AR49" s="172">
        <f t="shared" si="22"/>
        <v>278.84304531251439</v>
      </c>
      <c r="AS49" s="167">
        <f t="shared" si="67"/>
        <v>348887.06000000006</v>
      </c>
      <c r="AT49" s="168">
        <f t="shared" si="68"/>
        <v>1288</v>
      </c>
      <c r="AU49" s="172">
        <f t="shared" si="23"/>
        <v>270.87504658385097</v>
      </c>
      <c r="AV49" s="167">
        <v>195934</v>
      </c>
      <c r="AW49" s="168">
        <v>1576</v>
      </c>
      <c r="AX49" s="170">
        <f t="shared" si="24"/>
        <v>124.32360406091371</v>
      </c>
      <c r="AY49" s="167">
        <v>21555.47</v>
      </c>
      <c r="AZ49" s="168">
        <v>285</v>
      </c>
      <c r="BA49" s="170">
        <f t="shared" si="25"/>
        <v>75.633228070175448</v>
      </c>
      <c r="BB49" s="167">
        <v>31123.33282051282</v>
      </c>
      <c r="BC49" s="168">
        <v>254</v>
      </c>
      <c r="BD49" s="170">
        <f t="shared" si="26"/>
        <v>122.53280637997173</v>
      </c>
      <c r="BE49" s="3">
        <f t="shared" si="27"/>
        <v>248612.80282051282</v>
      </c>
      <c r="BF49" s="97">
        <f t="shared" si="28"/>
        <v>2115</v>
      </c>
      <c r="BG49" s="172">
        <f t="shared" si="29"/>
        <v>117.5474245014245</v>
      </c>
      <c r="BH49" s="167">
        <f>199398.43-487.12-BK49</f>
        <v>169852.31</v>
      </c>
      <c r="BI49" s="168">
        <f>1865-BL49</f>
        <v>1540</v>
      </c>
      <c r="BJ49" s="170">
        <f t="shared" si="30"/>
        <v>110.2937077922078</v>
      </c>
      <c r="BK49" s="167">
        <v>29059</v>
      </c>
      <c r="BL49" s="168">
        <v>325</v>
      </c>
      <c r="BM49" s="170">
        <f t="shared" si="31"/>
        <v>89.412307692307692</v>
      </c>
      <c r="BN49" s="167">
        <f>38974.41-927.51</f>
        <v>38046.9</v>
      </c>
      <c r="BO49" s="168">
        <f>14+36+66+49+56</f>
        <v>221</v>
      </c>
      <c r="BP49" s="170">
        <f t="shared" si="32"/>
        <v>172.15791855203619</v>
      </c>
      <c r="BQ49" s="3">
        <f t="shared" si="33"/>
        <v>236958.21</v>
      </c>
      <c r="BR49" s="97">
        <f t="shared" si="33"/>
        <v>2086</v>
      </c>
      <c r="BS49" s="172">
        <f t="shared" si="34"/>
        <v>113.59453978906998</v>
      </c>
      <c r="BT49" s="303">
        <v>188879.70390866313</v>
      </c>
      <c r="BU49" s="168">
        <v>899</v>
      </c>
      <c r="BV49" s="170">
        <f t="shared" si="35"/>
        <v>210.09978187837945</v>
      </c>
      <c r="BW49" s="303">
        <v>497707.7418952015</v>
      </c>
      <c r="BX49" s="168">
        <v>2986</v>
      </c>
      <c r="BY49" s="170">
        <f t="shared" si="36"/>
        <v>166.68042260388529</v>
      </c>
      <c r="BZ49" s="3">
        <f t="shared" si="37"/>
        <v>686587.44580386463</v>
      </c>
      <c r="CA49" s="97">
        <f t="shared" si="37"/>
        <v>3885</v>
      </c>
      <c r="CB49" s="172">
        <f t="shared" si="38"/>
        <v>176.72778527770004</v>
      </c>
      <c r="CC49" s="167">
        <v>127710</v>
      </c>
      <c r="CD49" s="168">
        <v>256</v>
      </c>
      <c r="CE49" s="170">
        <f t="shared" si="39"/>
        <v>498.8671875</v>
      </c>
      <c r="CF49" s="167">
        <f>706368.55-5055.55-CC49</f>
        <v>573603</v>
      </c>
      <c r="CG49" s="168">
        <f>266+272+402+699+256+881+1068-CD49</f>
        <v>3588</v>
      </c>
      <c r="CH49" s="170">
        <f t="shared" si="40"/>
        <v>159.8670568561873</v>
      </c>
      <c r="CI49" s="3">
        <f t="shared" si="41"/>
        <v>701313</v>
      </c>
      <c r="CJ49" s="97">
        <f t="shared" si="42"/>
        <v>3844</v>
      </c>
      <c r="CK49" s="172">
        <f t="shared" si="43"/>
        <v>182.44354838709677</v>
      </c>
      <c r="CL49" s="167"/>
      <c r="CM49" s="168"/>
      <c r="CN49" s="170">
        <v>0</v>
      </c>
      <c r="CO49" s="167">
        <v>342445.43</v>
      </c>
      <c r="CP49" s="168">
        <v>1992</v>
      </c>
      <c r="CQ49" s="170">
        <v>171.91035642570282</v>
      </c>
      <c r="CR49" s="3">
        <v>342445.43</v>
      </c>
      <c r="CS49" s="97">
        <v>1992</v>
      </c>
      <c r="CT49" s="172">
        <v>171.91035642570282</v>
      </c>
      <c r="CU49" s="309">
        <v>34742.859224008411</v>
      </c>
      <c r="CV49" s="310">
        <v>344.25</v>
      </c>
      <c r="CW49" s="170">
        <v>100.92333834134615</v>
      </c>
      <c r="CX49" s="309">
        <v>331843.18</v>
      </c>
      <c r="CY49" s="310">
        <v>1934</v>
      </c>
      <c r="CZ49" s="170">
        <v>171.58385729058944</v>
      </c>
      <c r="DA49" s="3">
        <f t="shared" si="45"/>
        <v>366586.03922400839</v>
      </c>
      <c r="DB49" s="97">
        <f t="shared" si="45"/>
        <v>2278.25</v>
      </c>
      <c r="DC49" s="172">
        <f t="shared" si="46"/>
        <v>160.90685360430524</v>
      </c>
      <c r="DD49" s="303">
        <v>269698.7</v>
      </c>
      <c r="DE49" s="168">
        <v>2111.1</v>
      </c>
      <c r="DF49" s="170">
        <f t="shared" si="47"/>
        <v>127.75268817204302</v>
      </c>
      <c r="DG49" s="303">
        <v>52204</v>
      </c>
      <c r="DH49" s="168">
        <v>636</v>
      </c>
      <c r="DI49" s="170">
        <f t="shared" si="8"/>
        <v>82.081761006289312</v>
      </c>
      <c r="DJ49" s="167">
        <v>0</v>
      </c>
      <c r="DK49" s="168">
        <v>0</v>
      </c>
      <c r="DL49" s="170">
        <v>0</v>
      </c>
      <c r="DM49" s="3">
        <f t="shared" si="9"/>
        <v>321902.7</v>
      </c>
      <c r="DN49" s="97">
        <f t="shared" si="48"/>
        <v>2747.1</v>
      </c>
      <c r="DO49" s="172">
        <f t="shared" si="49"/>
        <v>117.17909795784647</v>
      </c>
      <c r="DP49" s="303">
        <v>193672.25540845492</v>
      </c>
      <c r="DQ49" s="168">
        <v>775</v>
      </c>
      <c r="DR49" s="170">
        <f t="shared" si="50"/>
        <v>249.89968439800634</v>
      </c>
      <c r="DS49" s="303">
        <v>22800</v>
      </c>
      <c r="DT49" s="168">
        <v>120</v>
      </c>
      <c r="DU49" s="170">
        <f t="shared" si="51"/>
        <v>190</v>
      </c>
      <c r="DV49" s="3">
        <f t="shared" si="52"/>
        <v>216472.25540845492</v>
      </c>
      <c r="DW49" s="97">
        <f t="shared" si="53"/>
        <v>895</v>
      </c>
      <c r="DX49" s="172">
        <f t="shared" si="54"/>
        <v>241.86844179715632</v>
      </c>
      <c r="DY49" s="167">
        <v>227630</v>
      </c>
      <c r="DZ49" s="168">
        <v>2111</v>
      </c>
      <c r="EA49" s="170">
        <f t="shared" si="55"/>
        <v>107.83041212695404</v>
      </c>
      <c r="EB49" s="167">
        <v>0</v>
      </c>
      <c r="EC49" s="168">
        <v>0</v>
      </c>
      <c r="ED49" s="170">
        <f t="shared" si="56"/>
        <v>0</v>
      </c>
      <c r="EE49" s="167">
        <v>0</v>
      </c>
      <c r="EF49" s="168">
        <v>0</v>
      </c>
      <c r="EG49" s="170">
        <f t="shared" si="57"/>
        <v>0</v>
      </c>
      <c r="EH49" s="3">
        <f t="shared" si="58"/>
        <v>227630</v>
      </c>
      <c r="EI49" s="97">
        <f t="shared" si="59"/>
        <v>2111</v>
      </c>
      <c r="EJ49" s="172">
        <f t="shared" si="60"/>
        <v>107.83041212695404</v>
      </c>
    </row>
    <row r="50" spans="2:140">
      <c r="B50" t="s">
        <v>185</v>
      </c>
      <c r="C50" t="s">
        <v>182</v>
      </c>
      <c r="D50">
        <f>VLOOKUP(B50,Dates!$B$2:$E$53,4,FALSE)</f>
        <v>46</v>
      </c>
      <c r="E50" s="168" t="b">
        <f>IF(D50&lt;='RDG Weekly Sales'!$F$1,TRUE,FALSE)</f>
        <v>0</v>
      </c>
      <c r="F50" s="303">
        <v>674063</v>
      </c>
      <c r="G50" s="168">
        <v>3836</v>
      </c>
      <c r="H50" s="170">
        <f t="shared" si="10"/>
        <v>175.72028154327424</v>
      </c>
      <c r="I50" s="167">
        <v>740686</v>
      </c>
      <c r="J50" s="168">
        <v>3847</v>
      </c>
      <c r="K50" s="170">
        <f t="shared" si="11"/>
        <v>192.5360020795425</v>
      </c>
      <c r="L50" s="303">
        <v>39507</v>
      </c>
      <c r="M50" s="168">
        <v>315</v>
      </c>
      <c r="N50" s="170">
        <f t="shared" si="12"/>
        <v>125.41904761904762</v>
      </c>
      <c r="O50" s="167">
        <v>27300</v>
      </c>
      <c r="P50" s="168">
        <v>236</v>
      </c>
      <c r="Q50" s="170">
        <f t="shared" si="13"/>
        <v>115.67796610169492</v>
      </c>
      <c r="R50" s="3">
        <f t="shared" si="61"/>
        <v>713570</v>
      </c>
      <c r="S50" s="97">
        <f t="shared" si="62"/>
        <v>4151</v>
      </c>
      <c r="T50" s="170">
        <f t="shared" si="14"/>
        <v>171.90315586605638</v>
      </c>
      <c r="U50" s="3">
        <f t="shared" si="63"/>
        <v>767986</v>
      </c>
      <c r="V50" s="97">
        <f t="shared" si="64"/>
        <v>4083</v>
      </c>
      <c r="W50" s="172">
        <f t="shared" si="15"/>
        <v>188.09355865784963</v>
      </c>
      <c r="X50" s="167">
        <v>21055.938255328496</v>
      </c>
      <c r="Y50" s="168">
        <v>74</v>
      </c>
      <c r="Z50" s="170">
        <f t="shared" si="16"/>
        <v>284.53970615308776</v>
      </c>
      <c r="AA50" s="167">
        <v>20730</v>
      </c>
      <c r="AB50" s="168">
        <v>74</v>
      </c>
      <c r="AC50" s="170">
        <f t="shared" si="17"/>
        <v>280.13513513513516</v>
      </c>
      <c r="AD50" s="167">
        <v>100756.97575982209</v>
      </c>
      <c r="AE50" s="168">
        <v>405</v>
      </c>
      <c r="AF50" s="170">
        <f t="shared" si="18"/>
        <v>248.78265619709157</v>
      </c>
      <c r="AG50" s="167">
        <f>68240.25+20493</f>
        <v>88733.25</v>
      </c>
      <c r="AH50" s="168">
        <f>26+84+80+2+125+88</f>
        <v>405</v>
      </c>
      <c r="AI50" s="170">
        <f t="shared" si="19"/>
        <v>219.09444444444443</v>
      </c>
      <c r="AJ50" s="167">
        <v>239715.52350000001</v>
      </c>
      <c r="AK50" s="168">
        <v>860.7</v>
      </c>
      <c r="AL50" s="170">
        <f t="shared" si="20"/>
        <v>278.51228476821194</v>
      </c>
      <c r="AM50" s="167">
        <f>247560.7+36705.44-2052.45</f>
        <v>282213.69</v>
      </c>
      <c r="AN50" s="168">
        <f>97+82+190+12+5+242+6+261+7</f>
        <v>902</v>
      </c>
      <c r="AO50" s="170">
        <f t="shared" si="21"/>
        <v>312.87548780487805</v>
      </c>
      <c r="AP50" s="167">
        <f t="shared" si="65"/>
        <v>361528.43751515058</v>
      </c>
      <c r="AQ50" s="168">
        <f t="shared" si="66"/>
        <v>1339.7</v>
      </c>
      <c r="AR50" s="172">
        <f t="shared" si="22"/>
        <v>269.85775734504034</v>
      </c>
      <c r="AS50" s="167">
        <f t="shared" si="67"/>
        <v>391676.94</v>
      </c>
      <c r="AT50" s="168">
        <f t="shared" si="68"/>
        <v>1381</v>
      </c>
      <c r="AU50" s="172">
        <f t="shared" si="23"/>
        <v>283.61834902244749</v>
      </c>
      <c r="AV50" s="167">
        <v>180744</v>
      </c>
      <c r="AW50" s="168">
        <v>1641</v>
      </c>
      <c r="AX50" s="170">
        <f t="shared" si="24"/>
        <v>110.14259597806216</v>
      </c>
      <c r="AY50" s="167">
        <v>18567.2</v>
      </c>
      <c r="AZ50" s="168">
        <v>311</v>
      </c>
      <c r="BA50" s="170">
        <f t="shared" si="25"/>
        <v>59.701607717041803</v>
      </c>
      <c r="BB50" s="167">
        <v>36727.335018315018</v>
      </c>
      <c r="BC50" s="168">
        <v>267</v>
      </c>
      <c r="BD50" s="170">
        <f t="shared" si="26"/>
        <v>137.55556186634837</v>
      </c>
      <c r="BE50" s="3">
        <f t="shared" si="27"/>
        <v>236038.53501831501</v>
      </c>
      <c r="BF50" s="97">
        <f t="shared" si="28"/>
        <v>2219</v>
      </c>
      <c r="BG50" s="172">
        <f t="shared" si="29"/>
        <v>106.37157954858721</v>
      </c>
      <c r="BH50" s="167">
        <f>217054.26-885.26-BK50</f>
        <v>195522</v>
      </c>
      <c r="BI50" s="168">
        <v>1959</v>
      </c>
      <c r="BJ50" s="170">
        <f t="shared" si="30"/>
        <v>99.807044410413482</v>
      </c>
      <c r="BK50" s="167">
        <v>20647</v>
      </c>
      <c r="BL50" s="168">
        <v>481</v>
      </c>
      <c r="BM50" s="170">
        <f t="shared" si="31"/>
        <v>42.925155925155927</v>
      </c>
      <c r="BN50" s="167">
        <f>48976.5-1346.2</f>
        <v>47630.3</v>
      </c>
      <c r="BO50" s="168">
        <f>30+47+39+62+89</f>
        <v>267</v>
      </c>
      <c r="BP50" s="170">
        <f t="shared" si="32"/>
        <v>178.39063670411986</v>
      </c>
      <c r="BQ50" s="3">
        <f t="shared" si="33"/>
        <v>263799.3</v>
      </c>
      <c r="BR50" s="97">
        <f t="shared" si="33"/>
        <v>2707</v>
      </c>
      <c r="BS50" s="172">
        <f t="shared" si="34"/>
        <v>97.45079423716291</v>
      </c>
      <c r="BT50" s="303">
        <v>211752.37571601794</v>
      </c>
      <c r="BU50" s="168">
        <v>1005</v>
      </c>
      <c r="BV50" s="170">
        <f t="shared" si="35"/>
        <v>210.69888130947058</v>
      </c>
      <c r="BW50" s="303">
        <v>441545.20066572976</v>
      </c>
      <c r="BX50" s="168">
        <v>2601</v>
      </c>
      <c r="BY50" s="170">
        <f t="shared" si="36"/>
        <v>169.75978495414446</v>
      </c>
      <c r="BZ50" s="3">
        <f t="shared" si="37"/>
        <v>653297.57638174773</v>
      </c>
      <c r="CA50" s="97">
        <f t="shared" si="37"/>
        <v>3606</v>
      </c>
      <c r="CB50" s="172">
        <f t="shared" si="38"/>
        <v>181.16959966215967</v>
      </c>
      <c r="CC50" s="167">
        <v>204742.65</v>
      </c>
      <c r="CD50" s="168">
        <f>726+279</f>
        <v>1005</v>
      </c>
      <c r="CE50" s="170">
        <f t="shared" si="39"/>
        <v>203.72402985074626</v>
      </c>
      <c r="CF50" s="167">
        <f>699521.64-3975.39-CC50</f>
        <v>490803.6</v>
      </c>
      <c r="CG50" s="168">
        <f>81+165+191+336+686+778+279+726+396-CD50</f>
        <v>2633</v>
      </c>
      <c r="CH50" s="170">
        <f t="shared" si="40"/>
        <v>186.40470945689327</v>
      </c>
      <c r="CI50" s="3">
        <f t="shared" si="41"/>
        <v>695546.25</v>
      </c>
      <c r="CJ50" s="97">
        <f t="shared" si="42"/>
        <v>3638</v>
      </c>
      <c r="CK50" s="172">
        <f t="shared" si="43"/>
        <v>191.18918361737218</v>
      </c>
      <c r="CL50" s="167"/>
      <c r="CM50" s="168"/>
      <c r="CN50" s="170">
        <v>0</v>
      </c>
      <c r="CO50" s="167">
        <v>397941.77</v>
      </c>
      <c r="CP50" s="168">
        <v>1010</v>
      </c>
      <c r="CQ50" s="170">
        <v>394.00175247524754</v>
      </c>
      <c r="CR50" s="3">
        <v>397941.77</v>
      </c>
      <c r="CS50" s="97">
        <v>1010</v>
      </c>
      <c r="CT50" s="172">
        <v>394.00175247524754</v>
      </c>
      <c r="CU50" s="309">
        <v>34742.859224008411</v>
      </c>
      <c r="CV50" s="310">
        <v>344.25</v>
      </c>
      <c r="CW50" s="170">
        <v>100.92333834134615</v>
      </c>
      <c r="CX50" s="309">
        <v>380845.56</v>
      </c>
      <c r="CY50" s="310">
        <v>2230</v>
      </c>
      <c r="CZ50" s="170">
        <v>170.78276233183857</v>
      </c>
      <c r="DA50" s="3">
        <f t="shared" si="45"/>
        <v>415588.41922400839</v>
      </c>
      <c r="DB50" s="97">
        <f t="shared" si="45"/>
        <v>2574.25</v>
      </c>
      <c r="DC50" s="172">
        <f t="shared" si="46"/>
        <v>161.44058239254477</v>
      </c>
      <c r="DD50" s="303">
        <v>269698.7</v>
      </c>
      <c r="DE50" s="168">
        <v>2111.1</v>
      </c>
      <c r="DF50" s="170">
        <f t="shared" si="47"/>
        <v>127.75268817204302</v>
      </c>
      <c r="DG50" s="303">
        <v>52204</v>
      </c>
      <c r="DH50" s="168">
        <v>636</v>
      </c>
      <c r="DI50" s="170">
        <f t="shared" si="8"/>
        <v>82.081761006289312</v>
      </c>
      <c r="DJ50" s="167">
        <v>0</v>
      </c>
      <c r="DK50" s="168">
        <v>0</v>
      </c>
      <c r="DL50" s="170">
        <v>0</v>
      </c>
      <c r="DM50" s="3">
        <f t="shared" si="9"/>
        <v>321902.7</v>
      </c>
      <c r="DN50" s="97">
        <f t="shared" si="48"/>
        <v>2747.1</v>
      </c>
      <c r="DO50" s="172">
        <f t="shared" si="49"/>
        <v>117.17909795784647</v>
      </c>
      <c r="DP50" s="303">
        <v>193672.25540845492</v>
      </c>
      <c r="DQ50" s="168">
        <v>775</v>
      </c>
      <c r="DR50" s="170">
        <f t="shared" si="50"/>
        <v>249.89968439800634</v>
      </c>
      <c r="DS50" s="303">
        <v>22800</v>
      </c>
      <c r="DT50" s="168">
        <v>120</v>
      </c>
      <c r="DU50" s="170">
        <f t="shared" si="51"/>
        <v>190</v>
      </c>
      <c r="DV50" s="3">
        <f t="shared" si="52"/>
        <v>216472.25540845492</v>
      </c>
      <c r="DW50" s="97">
        <f t="shared" si="53"/>
        <v>895</v>
      </c>
      <c r="DX50" s="172">
        <f t="shared" si="54"/>
        <v>241.86844179715632</v>
      </c>
      <c r="DY50" s="167">
        <v>227630</v>
      </c>
      <c r="DZ50" s="168">
        <v>2111</v>
      </c>
      <c r="EA50" s="170">
        <f t="shared" si="55"/>
        <v>107.83041212695404</v>
      </c>
      <c r="EB50" s="167">
        <v>0</v>
      </c>
      <c r="EC50" s="168">
        <v>0</v>
      </c>
      <c r="ED50" s="170">
        <f t="shared" si="56"/>
        <v>0</v>
      </c>
      <c r="EE50" s="167">
        <v>0</v>
      </c>
      <c r="EF50" s="168">
        <v>0</v>
      </c>
      <c r="EG50" s="170">
        <f t="shared" si="57"/>
        <v>0</v>
      </c>
      <c r="EH50" s="3">
        <f t="shared" si="58"/>
        <v>227630</v>
      </c>
      <c r="EI50" s="97">
        <f t="shared" si="59"/>
        <v>2111</v>
      </c>
      <c r="EJ50" s="172">
        <f t="shared" si="60"/>
        <v>107.83041212695404</v>
      </c>
    </row>
    <row r="51" spans="2:140">
      <c r="B51" t="s">
        <v>186</v>
      </c>
      <c r="C51" t="s">
        <v>182</v>
      </c>
      <c r="D51">
        <f>VLOOKUP(B51,Dates!$B$2:$E$53,4,FALSE)</f>
        <v>47</v>
      </c>
      <c r="E51" s="168" t="b">
        <f>IF(D51&lt;='RDG Weekly Sales'!$F$1,TRUE,FALSE)</f>
        <v>0</v>
      </c>
      <c r="F51" s="303">
        <v>584981</v>
      </c>
      <c r="G51" s="168">
        <v>3351</v>
      </c>
      <c r="H51" s="170">
        <f t="shared" si="10"/>
        <v>174.56908385556551</v>
      </c>
      <c r="I51" s="167">
        <v>557228.44999999995</v>
      </c>
      <c r="J51" s="168">
        <v>3377</v>
      </c>
      <c r="K51" s="170">
        <f t="shared" si="11"/>
        <v>165.00694403316552</v>
      </c>
      <c r="L51" s="303">
        <v>31230</v>
      </c>
      <c r="M51" s="168">
        <v>249</v>
      </c>
      <c r="N51" s="170">
        <f t="shared" si="12"/>
        <v>125.42168674698796</v>
      </c>
      <c r="O51" s="167">
        <v>29659.55</v>
      </c>
      <c r="P51" s="168">
        <v>254</v>
      </c>
      <c r="Q51" s="170">
        <f t="shared" si="13"/>
        <v>116.76988188976378</v>
      </c>
      <c r="R51" s="3">
        <f t="shared" si="61"/>
        <v>616211</v>
      </c>
      <c r="S51" s="97">
        <f t="shared" si="62"/>
        <v>3600</v>
      </c>
      <c r="T51" s="170">
        <f t="shared" si="14"/>
        <v>171.16972222222222</v>
      </c>
      <c r="U51" s="3">
        <f t="shared" si="63"/>
        <v>586888</v>
      </c>
      <c r="V51" s="97">
        <f t="shared" si="64"/>
        <v>3631</v>
      </c>
      <c r="W51" s="172">
        <f t="shared" si="15"/>
        <v>161.63260809694299</v>
      </c>
      <c r="X51" s="167">
        <v>19008.935893210284</v>
      </c>
      <c r="Y51" s="168">
        <v>67</v>
      </c>
      <c r="Z51" s="170">
        <f t="shared" si="16"/>
        <v>283.71546109269082</v>
      </c>
      <c r="AA51" s="167">
        <v>18772</v>
      </c>
      <c r="AB51" s="168">
        <v>67</v>
      </c>
      <c r="AC51" s="170">
        <f t="shared" si="17"/>
        <v>280.17910447761193</v>
      </c>
      <c r="AD51" s="167">
        <v>81233.017309117859</v>
      </c>
      <c r="AE51" s="168">
        <v>354</v>
      </c>
      <c r="AF51" s="170">
        <f t="shared" si="18"/>
        <v>229.47180030824254</v>
      </c>
      <c r="AG51" s="167">
        <f>74117.35+17203</f>
        <v>91320.35</v>
      </c>
      <c r="AH51" s="168">
        <f>83+34+108+81</f>
        <v>306</v>
      </c>
      <c r="AI51" s="170">
        <f t="shared" si="19"/>
        <v>298.43251633986932</v>
      </c>
      <c r="AJ51" s="167">
        <v>204987.3615</v>
      </c>
      <c r="AK51" s="168">
        <v>698.25</v>
      </c>
      <c r="AL51" s="170">
        <f t="shared" si="20"/>
        <v>293.57302040816325</v>
      </c>
      <c r="AM51" s="167">
        <f>199011.25+36495.5-3307.5</f>
        <v>232199.25</v>
      </c>
      <c r="AN51" s="168">
        <f>81+199+257+16+169+13</f>
        <v>735</v>
      </c>
      <c r="AO51" s="170">
        <f t="shared" si="21"/>
        <v>315.91734693877549</v>
      </c>
      <c r="AP51" s="167">
        <f t="shared" si="65"/>
        <v>305229.31470232818</v>
      </c>
      <c r="AQ51" s="168">
        <f t="shared" si="66"/>
        <v>1119.25</v>
      </c>
      <c r="AR51" s="172">
        <f t="shared" si="22"/>
        <v>272.70879133556235</v>
      </c>
      <c r="AS51" s="167">
        <f t="shared" si="67"/>
        <v>342291.6</v>
      </c>
      <c r="AT51" s="168">
        <f t="shared" si="68"/>
        <v>1108</v>
      </c>
      <c r="AU51" s="172">
        <f t="shared" si="23"/>
        <v>308.9274368231047</v>
      </c>
      <c r="AV51" s="167">
        <v>151100</v>
      </c>
      <c r="AW51" s="168">
        <v>1629</v>
      </c>
      <c r="AX51" s="170">
        <f t="shared" si="24"/>
        <v>92.756292203806012</v>
      </c>
      <c r="AY51" s="167">
        <v>17347.572460549385</v>
      </c>
      <c r="AZ51" s="168">
        <v>268</v>
      </c>
      <c r="BA51" s="170">
        <f t="shared" si="25"/>
        <v>64.729747987124568</v>
      </c>
      <c r="BB51" s="167">
        <v>42229.296813186811</v>
      </c>
      <c r="BC51" s="168">
        <v>313</v>
      </c>
      <c r="BD51" s="170">
        <f t="shared" si="26"/>
        <v>134.91788119229014</v>
      </c>
      <c r="BE51" s="3">
        <f t="shared" si="27"/>
        <v>210676.8692737362</v>
      </c>
      <c r="BF51" s="97">
        <f t="shared" si="28"/>
        <v>2210</v>
      </c>
      <c r="BG51" s="172">
        <f t="shared" si="29"/>
        <v>95.328900123862539</v>
      </c>
      <c r="BH51" s="167">
        <f>198432.63-443.39-BK51</f>
        <v>175078.24</v>
      </c>
      <c r="BI51" s="168">
        <f>1897-BL51</f>
        <v>1601</v>
      </c>
      <c r="BJ51" s="170">
        <f t="shared" si="30"/>
        <v>109.35555277951281</v>
      </c>
      <c r="BK51" s="167">
        <v>22911</v>
      </c>
      <c r="BL51" s="168">
        <v>296</v>
      </c>
      <c r="BM51" s="170">
        <f t="shared" si="31"/>
        <v>77.402027027027032</v>
      </c>
      <c r="BN51" s="167">
        <f>39149.7-689.2</f>
        <v>38460.5</v>
      </c>
      <c r="BO51" s="168">
        <f>45+103+90+75</f>
        <v>313</v>
      </c>
      <c r="BP51" s="170">
        <f t="shared" si="32"/>
        <v>122.87699680511182</v>
      </c>
      <c r="BQ51" s="3">
        <f t="shared" si="33"/>
        <v>236449.74</v>
      </c>
      <c r="BR51" s="97">
        <f t="shared" si="33"/>
        <v>2210</v>
      </c>
      <c r="BS51" s="172">
        <f t="shared" si="34"/>
        <v>106.99083257918552</v>
      </c>
      <c r="BT51" s="303">
        <v>186494.57927513772</v>
      </c>
      <c r="BU51" s="168">
        <v>882</v>
      </c>
      <c r="BV51" s="170">
        <f t="shared" si="35"/>
        <v>211.44510121897702</v>
      </c>
      <c r="BW51" s="303">
        <v>383663.27991019376</v>
      </c>
      <c r="BX51" s="168">
        <v>2303</v>
      </c>
      <c r="BY51" s="170">
        <f t="shared" si="36"/>
        <v>166.59282670872503</v>
      </c>
      <c r="BZ51" s="3">
        <f t="shared" si="37"/>
        <v>570157.8591853315</v>
      </c>
      <c r="CA51" s="97">
        <f t="shared" si="37"/>
        <v>3185</v>
      </c>
      <c r="CB51" s="172">
        <f t="shared" si="38"/>
        <v>179.0134565731025</v>
      </c>
      <c r="CC51" s="167">
        <v>112390.9</v>
      </c>
      <c r="CD51" s="168">
        <f>616+255</f>
        <v>871</v>
      </c>
      <c r="CE51" s="170">
        <f t="shared" si="39"/>
        <v>129.03662456946037</v>
      </c>
      <c r="CF51" s="167">
        <f>576721.24-1831.85-CC51</f>
        <v>462498.49</v>
      </c>
      <c r="CG51" s="168">
        <f>3192-CD51</f>
        <v>2321</v>
      </c>
      <c r="CH51" s="170">
        <f t="shared" si="40"/>
        <v>199.26690650581645</v>
      </c>
      <c r="CI51" s="3">
        <f t="shared" si="41"/>
        <v>574889.39</v>
      </c>
      <c r="CJ51" s="97">
        <f t="shared" si="42"/>
        <v>3192</v>
      </c>
      <c r="CK51" s="172">
        <f t="shared" si="43"/>
        <v>180.10319235588972</v>
      </c>
      <c r="CL51" s="167"/>
      <c r="CM51" s="168"/>
      <c r="CN51" s="170">
        <v>0</v>
      </c>
      <c r="CO51" s="167">
        <v>324281.10000000003</v>
      </c>
      <c r="CP51" s="168">
        <v>1802</v>
      </c>
      <c r="CQ51" s="170">
        <v>179.95621531631522</v>
      </c>
      <c r="CR51" s="3">
        <v>324281.10000000003</v>
      </c>
      <c r="CS51" s="97">
        <v>1802</v>
      </c>
      <c r="CT51" s="172">
        <v>179.95621531631522</v>
      </c>
      <c r="CU51" s="309">
        <v>34742.859224008411</v>
      </c>
      <c r="CV51" s="310">
        <v>344.25</v>
      </c>
      <c r="CW51" s="170">
        <v>100.92333834134615</v>
      </c>
      <c r="CX51" s="309">
        <v>325746.42</v>
      </c>
      <c r="CY51" s="310">
        <v>1890</v>
      </c>
      <c r="CZ51" s="170">
        <v>172.35260317460316</v>
      </c>
      <c r="DA51" s="3">
        <f t="shared" si="45"/>
        <v>360489.27922400838</v>
      </c>
      <c r="DB51" s="97">
        <f t="shared" si="45"/>
        <v>2234.25</v>
      </c>
      <c r="DC51" s="172">
        <f t="shared" si="46"/>
        <v>161.34688563231884</v>
      </c>
      <c r="DD51" s="303">
        <v>269698.7</v>
      </c>
      <c r="DE51" s="168">
        <v>2111.1</v>
      </c>
      <c r="DF51" s="170">
        <f t="shared" si="47"/>
        <v>127.75268817204302</v>
      </c>
      <c r="DG51" s="303">
        <v>52204</v>
      </c>
      <c r="DH51" s="168">
        <v>636</v>
      </c>
      <c r="DI51" s="170">
        <f t="shared" si="8"/>
        <v>82.081761006289312</v>
      </c>
      <c r="DJ51" s="167">
        <v>0</v>
      </c>
      <c r="DK51" s="168">
        <v>0</v>
      </c>
      <c r="DL51" s="170">
        <v>0</v>
      </c>
      <c r="DM51" s="3">
        <f t="shared" si="9"/>
        <v>321902.7</v>
      </c>
      <c r="DN51" s="97">
        <f t="shared" si="48"/>
        <v>2747.1</v>
      </c>
      <c r="DO51" s="172">
        <f t="shared" si="49"/>
        <v>117.17909795784647</v>
      </c>
      <c r="DP51" s="303">
        <v>193672.25540845492</v>
      </c>
      <c r="DQ51" s="168">
        <v>775</v>
      </c>
      <c r="DR51" s="170">
        <f t="shared" si="50"/>
        <v>249.89968439800634</v>
      </c>
      <c r="DS51" s="303">
        <v>22800</v>
      </c>
      <c r="DT51" s="168">
        <v>120</v>
      </c>
      <c r="DU51" s="170">
        <f t="shared" si="51"/>
        <v>190</v>
      </c>
      <c r="DV51" s="3">
        <f t="shared" si="52"/>
        <v>216472.25540845492</v>
      </c>
      <c r="DW51" s="97">
        <f t="shared" si="53"/>
        <v>895</v>
      </c>
      <c r="DX51" s="172">
        <f t="shared" si="54"/>
        <v>241.86844179715632</v>
      </c>
      <c r="DY51" s="167">
        <v>227630</v>
      </c>
      <c r="DZ51" s="168">
        <v>2111</v>
      </c>
      <c r="EA51" s="170">
        <f t="shared" si="55"/>
        <v>107.83041212695404</v>
      </c>
      <c r="EB51" s="167">
        <v>0</v>
      </c>
      <c r="EC51" s="168">
        <v>0</v>
      </c>
      <c r="ED51" s="170">
        <f t="shared" si="56"/>
        <v>0</v>
      </c>
      <c r="EE51" s="167">
        <v>0</v>
      </c>
      <c r="EF51" s="168">
        <v>0</v>
      </c>
      <c r="EG51" s="170">
        <f t="shared" si="57"/>
        <v>0</v>
      </c>
      <c r="EH51" s="3">
        <f t="shared" si="58"/>
        <v>227630</v>
      </c>
      <c r="EI51" s="97">
        <f t="shared" si="59"/>
        <v>2111</v>
      </c>
      <c r="EJ51" s="172">
        <f t="shared" si="60"/>
        <v>107.83041212695404</v>
      </c>
    </row>
    <row r="52" spans="2:140">
      <c r="B52" t="s">
        <v>189</v>
      </c>
      <c r="C52" t="s">
        <v>188</v>
      </c>
      <c r="D52">
        <f>VLOOKUP(B52,Dates!$B$2:$E$53,4,FALSE)</f>
        <v>48</v>
      </c>
      <c r="E52" s="168" t="b">
        <f>IF(D52&lt;='RDG Weekly Sales'!$F$1,TRUE,FALSE)</f>
        <v>0</v>
      </c>
      <c r="F52" s="303">
        <v>527740</v>
      </c>
      <c r="G52" s="168">
        <v>3623</v>
      </c>
      <c r="H52" s="170">
        <f t="shared" si="10"/>
        <v>145.66381451835497</v>
      </c>
      <c r="I52" s="167">
        <v>527223.00999999989</v>
      </c>
      <c r="J52" s="168">
        <v>3653</v>
      </c>
      <c r="K52" s="170">
        <f t="shared" si="11"/>
        <v>144.32603613468379</v>
      </c>
      <c r="L52" s="303">
        <v>31860</v>
      </c>
      <c r="M52" s="168">
        <v>246</v>
      </c>
      <c r="N52" s="170">
        <f t="shared" si="12"/>
        <v>129.51219512195121</v>
      </c>
      <c r="O52" s="167">
        <v>39968.550000000003</v>
      </c>
      <c r="P52" s="168">
        <v>246</v>
      </c>
      <c r="Q52" s="170">
        <f t="shared" si="13"/>
        <v>162.4737804878049</v>
      </c>
      <c r="R52" s="3">
        <f t="shared" si="61"/>
        <v>559600</v>
      </c>
      <c r="S52" s="97">
        <f t="shared" si="62"/>
        <v>3869</v>
      </c>
      <c r="T52" s="170">
        <f t="shared" si="14"/>
        <v>144.63685706901009</v>
      </c>
      <c r="U52" s="3">
        <f t="shared" si="63"/>
        <v>567191.55999999994</v>
      </c>
      <c r="V52" s="97">
        <f t="shared" si="64"/>
        <v>3899</v>
      </c>
      <c r="W52" s="172">
        <f t="shared" si="15"/>
        <v>145.47103359835853</v>
      </c>
      <c r="X52" s="167">
        <v>26628</v>
      </c>
      <c r="Y52" s="168">
        <v>90</v>
      </c>
      <c r="Z52" s="170">
        <f t="shared" si="16"/>
        <v>295.86666666666667</v>
      </c>
      <c r="AA52" s="167">
        <v>26051</v>
      </c>
      <c r="AB52" s="168">
        <v>93</v>
      </c>
      <c r="AC52" s="170">
        <f t="shared" si="17"/>
        <v>280.11827956989248</v>
      </c>
      <c r="AD52" s="167">
        <v>61621</v>
      </c>
      <c r="AE52" s="168">
        <v>231</v>
      </c>
      <c r="AF52" s="170">
        <f t="shared" si="18"/>
        <v>266.75757575757575</v>
      </c>
      <c r="AG52" s="167">
        <f>28608+12543</f>
        <v>41151</v>
      </c>
      <c r="AH52" s="168">
        <f>68+14+75+94</f>
        <v>251</v>
      </c>
      <c r="AI52" s="170">
        <f t="shared" si="19"/>
        <v>163.94820717131475</v>
      </c>
      <c r="AJ52" s="167">
        <v>194297</v>
      </c>
      <c r="AK52" s="168">
        <v>665.95</v>
      </c>
      <c r="AL52" s="170">
        <f t="shared" si="20"/>
        <v>291.75914107665739</v>
      </c>
      <c r="AM52" s="167">
        <f>174437+29728-91</f>
        <v>204074</v>
      </c>
      <c r="AN52" s="168">
        <f>154+139+7+181+3+213+4</f>
        <v>701</v>
      </c>
      <c r="AO52" s="170">
        <f t="shared" si="21"/>
        <v>291.11840228245364</v>
      </c>
      <c r="AP52" s="167">
        <f t="shared" si="65"/>
        <v>282546</v>
      </c>
      <c r="AQ52" s="168">
        <f t="shared" si="66"/>
        <v>986.95</v>
      </c>
      <c r="AR52" s="172">
        <f t="shared" si="22"/>
        <v>286.28197983687113</v>
      </c>
      <c r="AS52" s="167">
        <f t="shared" si="67"/>
        <v>271276</v>
      </c>
      <c r="AT52" s="168">
        <f t="shared" si="68"/>
        <v>1045</v>
      </c>
      <c r="AU52" s="172">
        <f t="shared" si="23"/>
        <v>259.59425837320572</v>
      </c>
      <c r="AV52" s="167">
        <v>184442</v>
      </c>
      <c r="AW52" s="168">
        <v>1424</v>
      </c>
      <c r="AX52" s="170">
        <f t="shared" si="24"/>
        <v>129.52387640449439</v>
      </c>
      <c r="AY52" s="167">
        <v>15839.345832846288</v>
      </c>
      <c r="AZ52" s="168">
        <v>273</v>
      </c>
      <c r="BA52" s="170">
        <f t="shared" si="25"/>
        <v>58.019581805297754</v>
      </c>
      <c r="BB52" s="167">
        <v>30970</v>
      </c>
      <c r="BC52" s="168">
        <v>163</v>
      </c>
      <c r="BD52" s="170">
        <f t="shared" si="26"/>
        <v>190</v>
      </c>
      <c r="BE52" s="3">
        <f t="shared" si="27"/>
        <v>231251.3458328463</v>
      </c>
      <c r="BF52" s="97">
        <f t="shared" si="28"/>
        <v>1860</v>
      </c>
      <c r="BG52" s="172">
        <f t="shared" si="29"/>
        <v>124.32868055529372</v>
      </c>
      <c r="BH52" s="167">
        <f>169463.34-BK52-274.48</f>
        <v>143901.85999999999</v>
      </c>
      <c r="BI52" s="168">
        <f>1697-BL52</f>
        <v>1401</v>
      </c>
      <c r="BJ52" s="170">
        <f t="shared" si="30"/>
        <v>102.71367594575302</v>
      </c>
      <c r="BK52" s="167">
        <v>25287</v>
      </c>
      <c r="BL52" s="168">
        <v>296</v>
      </c>
      <c r="BM52" s="170">
        <f t="shared" si="31"/>
        <v>85.429054054054049</v>
      </c>
      <c r="BN52" s="167">
        <v>19898.5</v>
      </c>
      <c r="BO52" s="168">
        <f>42+58+61</f>
        <v>161</v>
      </c>
      <c r="BP52" s="170">
        <f t="shared" si="32"/>
        <v>123.59316770186335</v>
      </c>
      <c r="BQ52" s="3">
        <f t="shared" si="33"/>
        <v>189087.35999999999</v>
      </c>
      <c r="BR52" s="97">
        <f t="shared" si="33"/>
        <v>1858</v>
      </c>
      <c r="BS52" s="172">
        <f t="shared" si="34"/>
        <v>101.76930032292788</v>
      </c>
      <c r="BT52" s="303">
        <v>144237.28326246946</v>
      </c>
      <c r="BU52" s="168">
        <v>734</v>
      </c>
      <c r="BV52" s="170">
        <f t="shared" si="35"/>
        <v>196.50856030309191</v>
      </c>
      <c r="BW52" s="303">
        <v>320782.90673753055</v>
      </c>
      <c r="BX52" s="168">
        <v>2102</v>
      </c>
      <c r="BY52" s="170">
        <f t="shared" si="36"/>
        <v>152.6084237571506</v>
      </c>
      <c r="BZ52" s="3">
        <f t="shared" si="37"/>
        <v>465020.19</v>
      </c>
      <c r="CA52" s="97">
        <f t="shared" si="37"/>
        <v>2836</v>
      </c>
      <c r="CB52" s="172">
        <f t="shared" si="38"/>
        <v>163.97044781382229</v>
      </c>
      <c r="CC52" s="167">
        <v>106248.53</v>
      </c>
      <c r="CD52" s="168">
        <f>473+245</f>
        <v>718</v>
      </c>
      <c r="CE52" s="170">
        <f t="shared" si="39"/>
        <v>147.9784540389972</v>
      </c>
      <c r="CF52" s="167">
        <f>472285.87-CC52-1886.03</f>
        <v>364151.30999999994</v>
      </c>
      <c r="CG52" s="168">
        <f>2848-CD52</f>
        <v>2130</v>
      </c>
      <c r="CH52" s="170">
        <f t="shared" si="40"/>
        <v>170.96305633802814</v>
      </c>
      <c r="CI52" s="3">
        <f t="shared" si="41"/>
        <v>470399.83999999997</v>
      </c>
      <c r="CJ52" s="97">
        <f t="shared" si="42"/>
        <v>2848</v>
      </c>
      <c r="CK52" s="172">
        <f t="shared" si="43"/>
        <v>165.16848314606742</v>
      </c>
      <c r="CL52" s="167"/>
      <c r="CM52" s="168"/>
      <c r="CN52" s="170">
        <v>0</v>
      </c>
      <c r="CO52" s="167">
        <v>276949.84999999998</v>
      </c>
      <c r="CP52" s="168">
        <v>1737</v>
      </c>
      <c r="CQ52" s="170">
        <v>159.441479562464</v>
      </c>
      <c r="CR52" s="3">
        <v>276949.84999999998</v>
      </c>
      <c r="CS52" s="97">
        <v>1737</v>
      </c>
      <c r="CT52" s="172">
        <v>159.441479562464</v>
      </c>
      <c r="CU52" s="309">
        <v>42601.474988892609</v>
      </c>
      <c r="CV52" s="310">
        <v>344.25</v>
      </c>
      <c r="CW52" s="170">
        <v>123.75156133302137</v>
      </c>
      <c r="CX52" s="309">
        <v>305251.41000000003</v>
      </c>
      <c r="CY52" s="310">
        <v>1757</v>
      </c>
      <c r="CZ52" s="170">
        <v>173.73443938531591</v>
      </c>
      <c r="DA52" s="3">
        <f t="shared" si="45"/>
        <v>347852.88498889265</v>
      </c>
      <c r="DB52" s="97">
        <f t="shared" si="45"/>
        <v>2101.25</v>
      </c>
      <c r="DC52" s="172">
        <f t="shared" si="46"/>
        <v>165.54569184480317</v>
      </c>
      <c r="DD52" s="303">
        <v>269698.7</v>
      </c>
      <c r="DE52" s="168">
        <v>2111.1</v>
      </c>
      <c r="DF52" s="170">
        <f t="shared" si="47"/>
        <v>127.75268817204302</v>
      </c>
      <c r="DG52" s="303">
        <v>52204</v>
      </c>
      <c r="DH52" s="168">
        <v>636</v>
      </c>
      <c r="DI52" s="170">
        <f t="shared" si="8"/>
        <v>82.081761006289312</v>
      </c>
      <c r="DJ52" s="167">
        <v>0</v>
      </c>
      <c r="DK52" s="168">
        <v>0</v>
      </c>
      <c r="DL52" s="170">
        <v>0</v>
      </c>
      <c r="DM52" s="3">
        <f t="shared" si="9"/>
        <v>321902.7</v>
      </c>
      <c r="DN52" s="97">
        <f t="shared" si="48"/>
        <v>2747.1</v>
      </c>
      <c r="DO52" s="172">
        <f t="shared" si="49"/>
        <v>117.17909795784647</v>
      </c>
      <c r="DP52" s="303">
        <v>255377.05980158757</v>
      </c>
      <c r="DQ52" s="168">
        <v>825</v>
      </c>
      <c r="DR52" s="170">
        <f t="shared" si="50"/>
        <v>309.54795127465161</v>
      </c>
      <c r="DS52" s="303">
        <v>50700</v>
      </c>
      <c r="DT52" s="168">
        <v>273</v>
      </c>
      <c r="DU52" s="170">
        <f t="shared" si="51"/>
        <v>185.71428571428572</v>
      </c>
      <c r="DV52" s="3">
        <f t="shared" si="52"/>
        <v>306077.0598015876</v>
      </c>
      <c r="DW52" s="97">
        <f t="shared" si="53"/>
        <v>1098</v>
      </c>
      <c r="DX52" s="172">
        <f t="shared" si="54"/>
        <v>278.75870655882295</v>
      </c>
      <c r="DY52" s="167">
        <v>288730</v>
      </c>
      <c r="DZ52" s="168">
        <v>2111</v>
      </c>
      <c r="EA52" s="170">
        <f t="shared" si="55"/>
        <v>136.77404073898626</v>
      </c>
      <c r="EB52" s="167">
        <v>33000</v>
      </c>
      <c r="EC52" s="168">
        <v>300</v>
      </c>
      <c r="ED52" s="170">
        <f t="shared" si="56"/>
        <v>110</v>
      </c>
      <c r="EE52" s="167">
        <v>0</v>
      </c>
      <c r="EF52" s="168">
        <v>0</v>
      </c>
      <c r="EG52" s="170">
        <f t="shared" si="57"/>
        <v>0</v>
      </c>
      <c r="EH52" s="3">
        <f t="shared" si="58"/>
        <v>321730</v>
      </c>
      <c r="EI52" s="97">
        <f t="shared" si="59"/>
        <v>2411</v>
      </c>
      <c r="EJ52" s="172">
        <f t="shared" si="60"/>
        <v>133.44255495644961</v>
      </c>
    </row>
    <row r="53" spans="2:140">
      <c r="B53" t="s">
        <v>190</v>
      </c>
      <c r="C53" t="s">
        <v>188</v>
      </c>
      <c r="D53">
        <f>VLOOKUP(B53,Dates!$B$2:$E$53,4,FALSE)</f>
        <v>49</v>
      </c>
      <c r="E53" s="168" t="b">
        <f>IF(D53&lt;='RDG Weekly Sales'!$F$1,TRUE,FALSE)</f>
        <v>0</v>
      </c>
      <c r="F53" s="303">
        <v>1364762</v>
      </c>
      <c r="G53" s="168">
        <v>4534</v>
      </c>
      <c r="H53" s="170">
        <f t="shared" si="10"/>
        <v>301.0061755624173</v>
      </c>
      <c r="I53" s="167">
        <v>1364544.07</v>
      </c>
      <c r="J53" s="168">
        <v>4582</v>
      </c>
      <c r="K53" s="170">
        <f t="shared" si="11"/>
        <v>297.80534046268008</v>
      </c>
      <c r="L53" s="303">
        <v>66516</v>
      </c>
      <c r="M53" s="168">
        <v>357</v>
      </c>
      <c r="N53" s="170">
        <f t="shared" si="12"/>
        <v>186.31932773109244</v>
      </c>
      <c r="O53" s="167">
        <v>54914.85</v>
      </c>
      <c r="P53" s="168">
        <v>357</v>
      </c>
      <c r="Q53" s="170">
        <f t="shared" si="13"/>
        <v>153.82310924369747</v>
      </c>
      <c r="R53" s="3">
        <f t="shared" si="61"/>
        <v>1431278</v>
      </c>
      <c r="S53" s="97">
        <f t="shared" si="62"/>
        <v>4891</v>
      </c>
      <c r="T53" s="170">
        <f t="shared" si="14"/>
        <v>292.63504395829074</v>
      </c>
      <c r="U53" s="3">
        <f t="shared" si="63"/>
        <v>1419458.9200000002</v>
      </c>
      <c r="V53" s="97">
        <f t="shared" si="64"/>
        <v>4939</v>
      </c>
      <c r="W53" s="172">
        <f t="shared" si="15"/>
        <v>287.39804008908692</v>
      </c>
      <c r="X53" s="167">
        <v>38358</v>
      </c>
      <c r="Y53" s="168">
        <v>110</v>
      </c>
      <c r="Z53" s="170">
        <f t="shared" si="16"/>
        <v>348.70909090909089</v>
      </c>
      <c r="AA53" s="167">
        <v>37746.160000000003</v>
      </c>
      <c r="AB53" s="168">
        <v>91</v>
      </c>
      <c r="AC53" s="170">
        <f t="shared" si="17"/>
        <v>414.79296703296706</v>
      </c>
      <c r="AD53" s="167">
        <v>206991</v>
      </c>
      <c r="AE53" s="168">
        <v>706</v>
      </c>
      <c r="AF53" s="170">
        <f t="shared" si="18"/>
        <v>293.1883852691218</v>
      </c>
      <c r="AG53" s="167">
        <f>206188.09+43262</f>
        <v>249450.09</v>
      </c>
      <c r="AH53" s="168">
        <f>35+131+115+2+132+151+118+48</f>
        <v>732</v>
      </c>
      <c r="AI53" s="170">
        <f t="shared" si="19"/>
        <v>340.77881147540984</v>
      </c>
      <c r="AJ53" s="167">
        <v>857649</v>
      </c>
      <c r="AK53" s="168">
        <v>1113.4000000000001</v>
      </c>
      <c r="AL53" s="170">
        <f t="shared" si="20"/>
        <v>770.2972875875696</v>
      </c>
      <c r="AM53" s="167">
        <v>855293.93</v>
      </c>
      <c r="AN53" s="168">
        <f>28+234+8+227+7+211+2+252+2+233+3+131+2</f>
        <v>1340</v>
      </c>
      <c r="AO53" s="170">
        <f t="shared" si="21"/>
        <v>638.279052238806</v>
      </c>
      <c r="AP53" s="167">
        <f t="shared" si="65"/>
        <v>1102998</v>
      </c>
      <c r="AQ53" s="168">
        <f t="shared" si="66"/>
        <v>1929.4</v>
      </c>
      <c r="AR53" s="172">
        <f t="shared" si="22"/>
        <v>571.67927853218612</v>
      </c>
      <c r="AS53" s="167">
        <f t="shared" si="67"/>
        <v>1142490.1800000002</v>
      </c>
      <c r="AT53" s="168">
        <f t="shared" si="68"/>
        <v>2163</v>
      </c>
      <c r="AU53" s="172">
        <f t="shared" si="23"/>
        <v>528.19703190013877</v>
      </c>
      <c r="AV53" s="167">
        <v>229756</v>
      </c>
      <c r="AW53" s="168">
        <v>1449</v>
      </c>
      <c r="AX53" s="170">
        <f t="shared" si="24"/>
        <v>158.56176673567978</v>
      </c>
      <c r="AY53" s="167">
        <v>20772.77694915254</v>
      </c>
      <c r="AZ53" s="168">
        <v>249</v>
      </c>
      <c r="BA53" s="170">
        <f t="shared" si="25"/>
        <v>83.424807024708997</v>
      </c>
      <c r="BB53" s="167">
        <v>49780</v>
      </c>
      <c r="BC53" s="168">
        <v>262</v>
      </c>
      <c r="BD53" s="170">
        <f t="shared" si="26"/>
        <v>190</v>
      </c>
      <c r="BE53" s="3">
        <f t="shared" si="27"/>
        <v>300308.77694915253</v>
      </c>
      <c r="BF53" s="97">
        <f t="shared" si="28"/>
        <v>1960</v>
      </c>
      <c r="BG53" s="172">
        <f t="shared" si="29"/>
        <v>153.21876374956761</v>
      </c>
      <c r="BH53" s="167">
        <f>200678.53-BK53-922.2</f>
        <v>179193.33</v>
      </c>
      <c r="BI53" s="168">
        <f>1700-BL53</f>
        <v>1404</v>
      </c>
      <c r="BJ53" s="170">
        <f t="shared" si="30"/>
        <v>127.63057692307692</v>
      </c>
      <c r="BK53" s="167">
        <v>20563</v>
      </c>
      <c r="BL53" s="168">
        <v>296</v>
      </c>
      <c r="BM53" s="170">
        <f t="shared" si="31"/>
        <v>69.469594594594597</v>
      </c>
      <c r="BN53" s="167">
        <f>48730.22-1798.21</f>
        <v>46932.01</v>
      </c>
      <c r="BO53" s="168">
        <f>38+12+96+43+30</f>
        <v>219</v>
      </c>
      <c r="BP53" s="170">
        <f t="shared" si="32"/>
        <v>214.30141552511415</v>
      </c>
      <c r="BQ53" s="3">
        <f t="shared" si="33"/>
        <v>246688.34</v>
      </c>
      <c r="BR53" s="97">
        <f t="shared" si="33"/>
        <v>1919</v>
      </c>
      <c r="BS53" s="172">
        <f t="shared" si="34"/>
        <v>128.55046378322044</v>
      </c>
      <c r="BT53" s="303">
        <v>939018.29016071418</v>
      </c>
      <c r="BU53" s="168">
        <v>2233.4</v>
      </c>
      <c r="BV53" s="170">
        <f t="shared" si="35"/>
        <v>420.44340026896845</v>
      </c>
      <c r="BW53" s="303">
        <v>1688029.717839286</v>
      </c>
      <c r="BX53" s="168">
        <v>5057</v>
      </c>
      <c r="BY53" s="170">
        <f t="shared" si="36"/>
        <v>333.80061653930909</v>
      </c>
      <c r="BZ53" s="3">
        <f t="shared" si="37"/>
        <v>2627048.0080000004</v>
      </c>
      <c r="CA53" s="97">
        <f t="shared" si="37"/>
        <v>7290.4</v>
      </c>
      <c r="CB53" s="172">
        <f t="shared" si="38"/>
        <v>360.34346647646225</v>
      </c>
      <c r="CC53" s="167">
        <v>460315.78</v>
      </c>
      <c r="CD53" s="168">
        <f>656+434+58</f>
        <v>1148</v>
      </c>
      <c r="CE53" s="170">
        <f t="shared" si="39"/>
        <v>400.97193379790946</v>
      </c>
      <c r="CF53" s="167">
        <f>2032910.96-CC53-6319.22</f>
        <v>1566275.96</v>
      </c>
      <c r="CG53" s="168">
        <f>5460-CD53</f>
        <v>4312</v>
      </c>
      <c r="CH53" s="170">
        <f t="shared" si="40"/>
        <v>363.23653988868273</v>
      </c>
      <c r="CI53" s="3">
        <f t="shared" si="41"/>
        <v>2026591.74</v>
      </c>
      <c r="CJ53" s="97">
        <f t="shared" si="42"/>
        <v>5460</v>
      </c>
      <c r="CK53" s="172">
        <f t="shared" si="43"/>
        <v>371.17064835164837</v>
      </c>
      <c r="CL53" s="167"/>
      <c r="CM53" s="168"/>
      <c r="CN53" s="170">
        <v>0</v>
      </c>
      <c r="CO53" s="167">
        <v>453410.6</v>
      </c>
      <c r="CP53" s="168">
        <v>2328</v>
      </c>
      <c r="CQ53" s="170">
        <v>194.76400343642609</v>
      </c>
      <c r="CR53" s="3">
        <v>453410.6</v>
      </c>
      <c r="CS53" s="97">
        <v>2328</v>
      </c>
      <c r="CT53" s="172">
        <v>194.76400343642609</v>
      </c>
      <c r="CU53" s="309">
        <v>101712.64037812236</v>
      </c>
      <c r="CV53" s="310">
        <v>591.5</v>
      </c>
      <c r="CW53" s="170">
        <v>171.95712659023224</v>
      </c>
      <c r="CX53" s="309">
        <v>395360.9746488778</v>
      </c>
      <c r="CY53" s="310">
        <v>2419</v>
      </c>
      <c r="CZ53" s="170">
        <v>163.43984069817188</v>
      </c>
      <c r="DA53" s="3">
        <f t="shared" si="45"/>
        <v>497073.6150270002</v>
      </c>
      <c r="DB53" s="97">
        <f t="shared" si="45"/>
        <v>3010.5</v>
      </c>
      <c r="DC53" s="172">
        <f t="shared" si="46"/>
        <v>165.11330842949684</v>
      </c>
      <c r="DD53" s="303">
        <v>269698.7</v>
      </c>
      <c r="DE53" s="168">
        <v>2111.1</v>
      </c>
      <c r="DF53" s="170">
        <f t="shared" si="47"/>
        <v>127.75268817204302</v>
      </c>
      <c r="DG53" s="303">
        <v>52204</v>
      </c>
      <c r="DH53" s="168">
        <v>636</v>
      </c>
      <c r="DI53" s="170">
        <f t="shared" si="8"/>
        <v>82.081761006289312</v>
      </c>
      <c r="DJ53" s="167">
        <v>0</v>
      </c>
      <c r="DK53" s="168">
        <v>0</v>
      </c>
      <c r="DL53" s="170">
        <v>0</v>
      </c>
      <c r="DM53" s="3">
        <f t="shared" si="9"/>
        <v>321902.7</v>
      </c>
      <c r="DN53" s="97">
        <f t="shared" si="48"/>
        <v>2747.1</v>
      </c>
      <c r="DO53" s="172">
        <f t="shared" si="49"/>
        <v>117.17909795784647</v>
      </c>
      <c r="DP53" s="303">
        <v>396395.32145336427</v>
      </c>
      <c r="DQ53" s="168">
        <v>1080</v>
      </c>
      <c r="DR53" s="170">
        <f t="shared" si="50"/>
        <v>367.03270504941139</v>
      </c>
      <c r="DS53" s="303">
        <v>54600</v>
      </c>
      <c r="DT53" s="168">
        <v>273</v>
      </c>
      <c r="DU53" s="170">
        <f t="shared" si="51"/>
        <v>200</v>
      </c>
      <c r="DV53" s="3">
        <f t="shared" si="52"/>
        <v>450995.32145336427</v>
      </c>
      <c r="DW53" s="97">
        <f t="shared" si="53"/>
        <v>1353</v>
      </c>
      <c r="DX53" s="172">
        <f t="shared" si="54"/>
        <v>333.32987542746804</v>
      </c>
      <c r="DY53" s="167">
        <v>288730</v>
      </c>
      <c r="DZ53" s="168">
        <v>2111</v>
      </c>
      <c r="EA53" s="170">
        <f t="shared" si="55"/>
        <v>136.77404073898626</v>
      </c>
      <c r="EB53" s="167">
        <v>39000</v>
      </c>
      <c r="EC53" s="168">
        <v>300</v>
      </c>
      <c r="ED53" s="170">
        <f t="shared" si="56"/>
        <v>130</v>
      </c>
      <c r="EE53" s="167">
        <v>0</v>
      </c>
      <c r="EF53" s="168">
        <v>0</v>
      </c>
      <c r="EG53" s="170">
        <f t="shared" si="57"/>
        <v>0</v>
      </c>
      <c r="EH53" s="3">
        <f t="shared" si="58"/>
        <v>327730</v>
      </c>
      <c r="EI53" s="97">
        <f t="shared" si="59"/>
        <v>2411</v>
      </c>
      <c r="EJ53" s="172">
        <f t="shared" si="60"/>
        <v>135.93114890087099</v>
      </c>
    </row>
    <row r="54" spans="2:140">
      <c r="B54" t="s">
        <v>191</v>
      </c>
      <c r="C54" t="s">
        <v>188</v>
      </c>
      <c r="D54">
        <f>VLOOKUP(B54,Dates!$B$2:$E$53,4,FALSE)</f>
        <v>50</v>
      </c>
      <c r="E54" s="168" t="b">
        <f>IF(D54&lt;='RDG Weekly Sales'!$F$1,TRUE,FALSE)</f>
        <v>0</v>
      </c>
      <c r="F54" s="303">
        <v>712272</v>
      </c>
      <c r="G54" s="168">
        <v>3878</v>
      </c>
      <c r="H54" s="170">
        <f t="shared" si="10"/>
        <v>183.66993295513151</v>
      </c>
      <c r="I54" s="167">
        <v>712865.55999999994</v>
      </c>
      <c r="J54" s="168">
        <v>3894</v>
      </c>
      <c r="K54" s="170">
        <f t="shared" si="11"/>
        <v>183.06768361581919</v>
      </c>
      <c r="L54" s="303">
        <v>52268</v>
      </c>
      <c r="M54" s="168">
        <v>343</v>
      </c>
      <c r="N54" s="170">
        <f t="shared" si="12"/>
        <v>152.38483965014578</v>
      </c>
      <c r="O54" s="167">
        <v>40844.42</v>
      </c>
      <c r="P54" s="168">
        <v>343</v>
      </c>
      <c r="Q54" s="170">
        <f t="shared" si="13"/>
        <v>119.07994169096209</v>
      </c>
      <c r="R54" s="3">
        <f t="shared" si="61"/>
        <v>764540</v>
      </c>
      <c r="S54" s="97">
        <f t="shared" si="62"/>
        <v>4221</v>
      </c>
      <c r="T54" s="170">
        <f t="shared" si="14"/>
        <v>181.12769485903814</v>
      </c>
      <c r="U54" s="3">
        <f t="shared" si="63"/>
        <v>753709.98</v>
      </c>
      <c r="V54" s="97">
        <f t="shared" si="64"/>
        <v>4237</v>
      </c>
      <c r="W54" s="172">
        <f t="shared" si="15"/>
        <v>177.88765164031153</v>
      </c>
      <c r="X54" s="167">
        <v>26833</v>
      </c>
      <c r="Y54" s="168">
        <v>90</v>
      </c>
      <c r="Z54" s="170">
        <f t="shared" si="16"/>
        <v>298.14444444444445</v>
      </c>
      <c r="AA54" s="167">
        <v>25754.05</v>
      </c>
      <c r="AB54" s="168">
        <v>81</v>
      </c>
      <c r="AC54" s="170">
        <f t="shared" si="17"/>
        <v>317.95123456790122</v>
      </c>
      <c r="AD54" s="167">
        <v>111904</v>
      </c>
      <c r="AE54" s="168">
        <v>231</v>
      </c>
      <c r="AF54" s="170">
        <f t="shared" si="18"/>
        <v>484.43290043290045</v>
      </c>
      <c r="AG54" s="167">
        <f>75007.25+14918.5</f>
        <v>89925.75</v>
      </c>
      <c r="AH54" s="168">
        <f>51+125+110+125</f>
        <v>411</v>
      </c>
      <c r="AI54" s="170">
        <f t="shared" si="19"/>
        <v>218.79744525547446</v>
      </c>
      <c r="AJ54" s="167">
        <v>241819</v>
      </c>
      <c r="AK54" s="168">
        <v>437.95</v>
      </c>
      <c r="AL54" s="170">
        <f t="shared" si="20"/>
        <v>552.16120561707964</v>
      </c>
      <c r="AM54" s="167">
        <f>205358.2+35653.5</f>
        <v>241011.7</v>
      </c>
      <c r="AN54" s="168">
        <f>216+182+8+203+10+261+7</f>
        <v>887</v>
      </c>
      <c r="AO54" s="170">
        <f t="shared" si="21"/>
        <v>271.7155580608794</v>
      </c>
      <c r="AP54" s="167">
        <f t="shared" si="65"/>
        <v>380556</v>
      </c>
      <c r="AQ54" s="168">
        <f t="shared" si="66"/>
        <v>758.95</v>
      </c>
      <c r="AR54" s="172">
        <f t="shared" si="22"/>
        <v>501.42433625403515</v>
      </c>
      <c r="AS54" s="167">
        <f t="shared" si="67"/>
        <v>356691.5</v>
      </c>
      <c r="AT54" s="168">
        <f t="shared" si="68"/>
        <v>1379</v>
      </c>
      <c r="AU54" s="172">
        <f t="shared" si="23"/>
        <v>258.65953589557648</v>
      </c>
      <c r="AV54" s="167">
        <v>203855</v>
      </c>
      <c r="AW54" s="168">
        <v>1801</v>
      </c>
      <c r="AX54" s="170">
        <f t="shared" si="24"/>
        <v>113.18989450305386</v>
      </c>
      <c r="AY54" s="167">
        <v>19481.884886031559</v>
      </c>
      <c r="AZ54" s="168">
        <v>327</v>
      </c>
      <c r="BA54" s="170">
        <f t="shared" si="25"/>
        <v>59.577629620891621</v>
      </c>
      <c r="BB54" s="167">
        <v>64833</v>
      </c>
      <c r="BC54" s="168">
        <v>339</v>
      </c>
      <c r="BD54" s="170">
        <f t="shared" si="26"/>
        <v>191.24778761061947</v>
      </c>
      <c r="BE54" s="3">
        <f t="shared" si="27"/>
        <v>288169.88488603156</v>
      </c>
      <c r="BF54" s="97">
        <f t="shared" si="28"/>
        <v>2467</v>
      </c>
      <c r="BG54" s="172">
        <f t="shared" si="29"/>
        <v>116.80984389381094</v>
      </c>
      <c r="BH54" s="167">
        <f>250437.66-BK54-1517.61</f>
        <v>226494.05000000002</v>
      </c>
      <c r="BI54" s="168">
        <f>2128-BL54</f>
        <v>1832</v>
      </c>
      <c r="BJ54" s="170">
        <f t="shared" si="30"/>
        <v>123.63212336244543</v>
      </c>
      <c r="BK54" s="167">
        <v>22426</v>
      </c>
      <c r="BL54" s="168">
        <v>296</v>
      </c>
      <c r="BM54" s="170">
        <f t="shared" si="31"/>
        <v>75.763513513513516</v>
      </c>
      <c r="BN54" s="167">
        <f>71937.43-2398.93</f>
        <v>69538.5</v>
      </c>
      <c r="BO54" s="168">
        <f>30+55+71+70+93</f>
        <v>319</v>
      </c>
      <c r="BP54" s="170">
        <f t="shared" si="32"/>
        <v>217.98902821316614</v>
      </c>
      <c r="BQ54" s="3">
        <f t="shared" si="33"/>
        <v>318458.55000000005</v>
      </c>
      <c r="BR54" s="97">
        <f t="shared" si="33"/>
        <v>2447</v>
      </c>
      <c r="BS54" s="172">
        <f t="shared" si="34"/>
        <v>130.14243972210872</v>
      </c>
      <c r="BT54" s="303">
        <v>0</v>
      </c>
      <c r="BU54" s="168">
        <v>0</v>
      </c>
      <c r="BV54" s="170" t="e">
        <f t="shared" si="35"/>
        <v>#DIV/0!</v>
      </c>
      <c r="BW54" s="303">
        <v>584052.03933835961</v>
      </c>
      <c r="BX54" s="168">
        <v>3504.7000000000007</v>
      </c>
      <c r="BY54" s="170">
        <f t="shared" si="36"/>
        <v>166.64822647826048</v>
      </c>
      <c r="BZ54" s="3">
        <f t="shared" si="37"/>
        <v>584052.03933835961</v>
      </c>
      <c r="CA54" s="97">
        <f t="shared" si="37"/>
        <v>3504.7000000000007</v>
      </c>
      <c r="CB54" s="172">
        <f t="shared" si="38"/>
        <v>166.64822647826048</v>
      </c>
      <c r="CC54" s="167">
        <v>92521.4</v>
      </c>
      <c r="CD54" s="168">
        <f>513+221</f>
        <v>734</v>
      </c>
      <c r="CE54" s="170">
        <f t="shared" si="39"/>
        <v>126.0509536784741</v>
      </c>
      <c r="CF54" s="167">
        <f>667344.53-CC54-11303.57</f>
        <v>563519.56000000006</v>
      </c>
      <c r="CG54" s="168">
        <f>3505-CD54</f>
        <v>2771</v>
      </c>
      <c r="CH54" s="170">
        <f t="shared" si="40"/>
        <v>203.36324792493687</v>
      </c>
      <c r="CI54" s="3">
        <f t="shared" si="41"/>
        <v>656040.96000000008</v>
      </c>
      <c r="CJ54" s="97">
        <f t="shared" si="42"/>
        <v>3505</v>
      </c>
      <c r="CK54" s="172">
        <f t="shared" si="43"/>
        <v>187.17288445078461</v>
      </c>
      <c r="CL54" s="167"/>
      <c r="CM54" s="168"/>
      <c r="CN54" s="170">
        <v>0</v>
      </c>
      <c r="CO54" s="167">
        <v>408340.5</v>
      </c>
      <c r="CP54" s="168">
        <v>1862</v>
      </c>
      <c r="CQ54" s="170">
        <v>219.30209452201933</v>
      </c>
      <c r="CR54" s="3">
        <v>408340.5</v>
      </c>
      <c r="CS54" s="97">
        <v>1862</v>
      </c>
      <c r="CT54" s="172">
        <v>219.30209452201933</v>
      </c>
      <c r="CU54" s="309">
        <v>83220.706053893256</v>
      </c>
      <c r="CV54" s="310">
        <v>630.70000000000005</v>
      </c>
      <c r="CW54" s="170">
        <v>131.94974798460956</v>
      </c>
      <c r="CX54" s="309">
        <v>312491.86</v>
      </c>
      <c r="CY54" s="310">
        <v>1823</v>
      </c>
      <c r="CZ54" s="170">
        <v>171.41626988480525</v>
      </c>
      <c r="DA54" s="3">
        <f t="shared" si="45"/>
        <v>395712.56605389324</v>
      </c>
      <c r="DB54" s="97">
        <f t="shared" si="45"/>
        <v>2453.6999999999998</v>
      </c>
      <c r="DC54" s="172">
        <f t="shared" si="46"/>
        <v>161.27177978314108</v>
      </c>
      <c r="DD54" s="303">
        <v>269698.7</v>
      </c>
      <c r="DE54" s="168">
        <v>2111.1</v>
      </c>
      <c r="DF54" s="170">
        <f t="shared" si="47"/>
        <v>127.75268817204302</v>
      </c>
      <c r="DG54" s="303">
        <v>52204</v>
      </c>
      <c r="DH54" s="168">
        <v>636</v>
      </c>
      <c r="DI54" s="170">
        <f t="shared" si="8"/>
        <v>82.081761006289312</v>
      </c>
      <c r="DJ54" s="167">
        <v>0</v>
      </c>
      <c r="DK54" s="168">
        <v>0</v>
      </c>
      <c r="DL54" s="170">
        <v>0</v>
      </c>
      <c r="DM54" s="3">
        <f t="shared" si="9"/>
        <v>321902.7</v>
      </c>
      <c r="DN54" s="97">
        <f t="shared" si="48"/>
        <v>2747.1</v>
      </c>
      <c r="DO54" s="172">
        <f t="shared" si="49"/>
        <v>117.17909795784647</v>
      </c>
      <c r="DP54" s="303">
        <v>255377.05980158757</v>
      </c>
      <c r="DQ54" s="168">
        <v>825</v>
      </c>
      <c r="DR54" s="170">
        <f t="shared" si="50"/>
        <v>309.54795127465161</v>
      </c>
      <c r="DS54" s="303">
        <v>50700</v>
      </c>
      <c r="DT54" s="168">
        <v>273</v>
      </c>
      <c r="DU54" s="170">
        <f t="shared" si="51"/>
        <v>185.71428571428572</v>
      </c>
      <c r="DV54" s="3">
        <f t="shared" si="52"/>
        <v>306077.0598015876</v>
      </c>
      <c r="DW54" s="97">
        <f t="shared" si="53"/>
        <v>1098</v>
      </c>
      <c r="DX54" s="172">
        <f t="shared" si="54"/>
        <v>278.75870655882295</v>
      </c>
      <c r="DY54" s="167">
        <v>288730</v>
      </c>
      <c r="DZ54" s="168">
        <v>2111</v>
      </c>
      <c r="EA54" s="170">
        <f t="shared" si="55"/>
        <v>136.77404073898626</v>
      </c>
      <c r="EB54" s="167">
        <v>33000</v>
      </c>
      <c r="EC54" s="168">
        <v>300</v>
      </c>
      <c r="ED54" s="170">
        <f t="shared" si="56"/>
        <v>110</v>
      </c>
      <c r="EE54" s="167">
        <v>0</v>
      </c>
      <c r="EF54" s="168">
        <v>0</v>
      </c>
      <c r="EG54" s="170">
        <f t="shared" si="57"/>
        <v>0</v>
      </c>
      <c r="EH54" s="3">
        <f t="shared" si="58"/>
        <v>321730</v>
      </c>
      <c r="EI54" s="97">
        <f t="shared" si="59"/>
        <v>2411</v>
      </c>
      <c r="EJ54" s="172">
        <f t="shared" si="60"/>
        <v>133.44255495644961</v>
      </c>
    </row>
    <row r="55" spans="2:140">
      <c r="B55" t="s">
        <v>192</v>
      </c>
      <c r="C55" t="s">
        <v>188</v>
      </c>
      <c r="D55">
        <f>VLOOKUP(B55,Dates!$B$2:$E$53,4,FALSE)</f>
        <v>51</v>
      </c>
      <c r="E55" s="168" t="b">
        <f>IF(D55&lt;='RDG Weekly Sales'!$F$1,TRUE,FALSE)</f>
        <v>0</v>
      </c>
      <c r="F55" s="303">
        <v>578844</v>
      </c>
      <c r="G55" s="168">
        <v>3693</v>
      </c>
      <c r="H55" s="170">
        <f t="shared" si="10"/>
        <v>156.7408610885459</v>
      </c>
      <c r="I55" s="167">
        <v>578766.03</v>
      </c>
      <c r="J55" s="168">
        <v>3708</v>
      </c>
      <c r="K55" s="170">
        <f t="shared" si="11"/>
        <v>156.08576860841424</v>
      </c>
      <c r="L55" s="303">
        <v>46291</v>
      </c>
      <c r="M55" s="168">
        <v>389</v>
      </c>
      <c r="N55" s="170">
        <f t="shared" si="12"/>
        <v>119</v>
      </c>
      <c r="O55" s="167">
        <v>46904.85</v>
      </c>
      <c r="P55" s="168">
        <v>389</v>
      </c>
      <c r="Q55" s="170">
        <f t="shared" si="13"/>
        <v>120.57802056555269</v>
      </c>
      <c r="R55" s="3">
        <f t="shared" si="61"/>
        <v>625135</v>
      </c>
      <c r="S55" s="97">
        <f t="shared" si="62"/>
        <v>4082</v>
      </c>
      <c r="T55" s="170">
        <f t="shared" si="14"/>
        <v>153.14429201371877</v>
      </c>
      <c r="U55" s="3">
        <f t="shared" si="63"/>
        <v>625670.88</v>
      </c>
      <c r="V55" s="97">
        <f t="shared" si="64"/>
        <v>4097</v>
      </c>
      <c r="W55" s="172">
        <f t="shared" si="15"/>
        <v>152.71439589943861</v>
      </c>
      <c r="X55" s="167">
        <v>26833</v>
      </c>
      <c r="Y55" s="168">
        <v>90</v>
      </c>
      <c r="Z55" s="170">
        <f t="shared" si="16"/>
        <v>298.14444444444445</v>
      </c>
      <c r="AA55" s="167">
        <v>35683.1</v>
      </c>
      <c r="AB55" s="168">
        <v>102</v>
      </c>
      <c r="AC55" s="170">
        <f t="shared" si="17"/>
        <v>349.83431372549018</v>
      </c>
      <c r="AD55" s="167">
        <v>63231</v>
      </c>
      <c r="AE55" s="168">
        <v>231</v>
      </c>
      <c r="AF55" s="170">
        <f t="shared" si="18"/>
        <v>273.72727272727275</v>
      </c>
      <c r="AG55" s="167">
        <f>43977+10321</f>
        <v>54298</v>
      </c>
      <c r="AH55" s="168">
        <f>7+22+46+26+69+125</f>
        <v>295</v>
      </c>
      <c r="AI55" s="170">
        <f t="shared" si="19"/>
        <v>184.06101694915253</v>
      </c>
      <c r="AJ55" s="167">
        <v>182547</v>
      </c>
      <c r="AK55" s="168">
        <v>633.65</v>
      </c>
      <c r="AL55" s="170">
        <f t="shared" si="20"/>
        <v>288.08806123254163</v>
      </c>
      <c r="AM55" s="167">
        <f>131747.5+27749-240.1+10928.11</f>
        <v>170184.51</v>
      </c>
      <c r="AN55" s="168">
        <f>70+149+4+122+9+246+26</f>
        <v>626</v>
      </c>
      <c r="AO55" s="170">
        <f t="shared" si="21"/>
        <v>271.86023961661346</v>
      </c>
      <c r="AP55" s="167">
        <f t="shared" si="65"/>
        <v>272611</v>
      </c>
      <c r="AQ55" s="168">
        <f t="shared" si="66"/>
        <v>954.65</v>
      </c>
      <c r="AR55" s="172">
        <f t="shared" si="22"/>
        <v>285.56120043995185</v>
      </c>
      <c r="AS55" s="167">
        <f t="shared" si="67"/>
        <v>260165.61000000002</v>
      </c>
      <c r="AT55" s="168">
        <f t="shared" si="68"/>
        <v>1023</v>
      </c>
      <c r="AU55" s="172">
        <f t="shared" si="23"/>
        <v>254.31633431085046</v>
      </c>
      <c r="AV55" s="167">
        <v>255661</v>
      </c>
      <c r="AW55" s="168">
        <v>1760</v>
      </c>
      <c r="AX55" s="170">
        <f t="shared" si="24"/>
        <v>145.26193181818181</v>
      </c>
      <c r="AY55" s="167">
        <v>23434.812530683812</v>
      </c>
      <c r="AZ55" s="168">
        <v>307</v>
      </c>
      <c r="BA55" s="170">
        <f t="shared" si="25"/>
        <v>76.33489423675509</v>
      </c>
      <c r="BB55" s="167">
        <v>43130</v>
      </c>
      <c r="BC55" s="168">
        <v>227</v>
      </c>
      <c r="BD55" s="170">
        <f t="shared" si="26"/>
        <v>190</v>
      </c>
      <c r="BE55" s="3">
        <f t="shared" si="27"/>
        <v>322225.81253068382</v>
      </c>
      <c r="BF55" s="97">
        <f t="shared" si="28"/>
        <v>2294</v>
      </c>
      <c r="BG55" s="172">
        <f t="shared" si="29"/>
        <v>140.46460877536347</v>
      </c>
      <c r="BH55" s="167">
        <f>225340.46-BK55-1011.3</f>
        <v>204262.16</v>
      </c>
      <c r="BI55" s="168">
        <f>2067-BL55</f>
        <v>1771</v>
      </c>
      <c r="BJ55" s="170">
        <f t="shared" si="30"/>
        <v>115.33718802936194</v>
      </c>
      <c r="BK55" s="167">
        <v>20067</v>
      </c>
      <c r="BL55" s="168">
        <v>296</v>
      </c>
      <c r="BM55" s="170">
        <f t="shared" si="31"/>
        <v>67.793918918918919</v>
      </c>
      <c r="BN55" s="167">
        <f>42983.26-1300.01</f>
        <v>41683.25</v>
      </c>
      <c r="BO55" s="168">
        <f>14+22+87+50+62</f>
        <v>235</v>
      </c>
      <c r="BP55" s="170">
        <f t="shared" si="32"/>
        <v>177.37553191489363</v>
      </c>
      <c r="BQ55" s="3">
        <f t="shared" si="33"/>
        <v>266012.41000000003</v>
      </c>
      <c r="BR55" s="97">
        <f t="shared" si="33"/>
        <v>2302</v>
      </c>
      <c r="BS55" s="172">
        <f t="shared" si="34"/>
        <v>115.55708514335362</v>
      </c>
      <c r="BT55" s="303">
        <v>0</v>
      </c>
      <c r="BU55" s="168">
        <v>0</v>
      </c>
      <c r="BV55" s="170" t="e">
        <f t="shared" si="35"/>
        <v>#DIV/0!</v>
      </c>
      <c r="BW55" s="303">
        <v>575536.47154079354</v>
      </c>
      <c r="BX55" s="168">
        <v>3223.8999999999996</v>
      </c>
      <c r="BY55" s="170">
        <f t="shared" si="36"/>
        <v>178.52181256887422</v>
      </c>
      <c r="BZ55" s="3">
        <f t="shared" si="37"/>
        <v>575536.47154079354</v>
      </c>
      <c r="CA55" s="97">
        <f t="shared" si="37"/>
        <v>3223.8999999999996</v>
      </c>
      <c r="CB55" s="172">
        <f t="shared" si="38"/>
        <v>178.52181256887422</v>
      </c>
      <c r="CC55" s="167">
        <v>109645.8</v>
      </c>
      <c r="CD55" s="168">
        <f>370+285</f>
        <v>655</v>
      </c>
      <c r="CE55" s="170">
        <f t="shared" si="39"/>
        <v>167.39816793893129</v>
      </c>
      <c r="CF55" s="167">
        <f>505868.52-5013.85-CC55</f>
        <v>391208.87000000005</v>
      </c>
      <c r="CG55" s="168">
        <f>2812-CD55</f>
        <v>2157</v>
      </c>
      <c r="CH55" s="170">
        <f t="shared" si="40"/>
        <v>181.36711636532223</v>
      </c>
      <c r="CI55" s="3">
        <f t="shared" si="41"/>
        <v>500854.67000000004</v>
      </c>
      <c r="CJ55" s="97">
        <f t="shared" si="42"/>
        <v>2812</v>
      </c>
      <c r="CK55" s="172">
        <f t="shared" si="43"/>
        <v>178.1133250355619</v>
      </c>
      <c r="CL55" s="167"/>
      <c r="CM55" s="168"/>
      <c r="CN55" s="170">
        <v>0</v>
      </c>
      <c r="CO55" s="167">
        <v>356618.71</v>
      </c>
      <c r="CP55" s="168">
        <v>1774</v>
      </c>
      <c r="CQ55" s="170">
        <v>201.02520293122888</v>
      </c>
      <c r="CR55" s="3">
        <v>356618.71</v>
      </c>
      <c r="CS55" s="97">
        <v>1774</v>
      </c>
      <c r="CT55" s="172">
        <v>201.02520293122888</v>
      </c>
      <c r="CU55" s="309">
        <v>83220.706053893256</v>
      </c>
      <c r="CV55" s="310">
        <v>630.70000000000005</v>
      </c>
      <c r="CW55" s="170">
        <v>131.94974798460956</v>
      </c>
      <c r="CX55" s="309">
        <v>244201.12800000003</v>
      </c>
      <c r="CY55" s="310">
        <v>1405.6000000000001</v>
      </c>
      <c r="CZ55" s="170">
        <v>173.73443938531588</v>
      </c>
      <c r="DA55" s="3">
        <f t="shared" si="45"/>
        <v>327421.83405389328</v>
      </c>
      <c r="DB55" s="97">
        <f t="shared" si="45"/>
        <v>2036.3000000000002</v>
      </c>
      <c r="DC55" s="172">
        <f t="shared" si="46"/>
        <v>160.7925325609651</v>
      </c>
      <c r="DD55" s="303">
        <v>269698.7</v>
      </c>
      <c r="DE55" s="168">
        <v>2111.1</v>
      </c>
      <c r="DF55" s="170">
        <f t="shared" si="47"/>
        <v>127.75268817204302</v>
      </c>
      <c r="DG55" s="303">
        <v>52204</v>
      </c>
      <c r="DH55" s="168">
        <v>636</v>
      </c>
      <c r="DI55" s="170">
        <f t="shared" si="8"/>
        <v>82.081761006289312</v>
      </c>
      <c r="DJ55" s="167">
        <v>0</v>
      </c>
      <c r="DK55" s="168">
        <v>0</v>
      </c>
      <c r="DL55" s="170">
        <v>0</v>
      </c>
      <c r="DM55" s="3">
        <f t="shared" si="9"/>
        <v>321902.7</v>
      </c>
      <c r="DN55" s="97">
        <f t="shared" si="48"/>
        <v>2747.1</v>
      </c>
      <c r="DO55" s="172">
        <f t="shared" si="49"/>
        <v>117.17909795784647</v>
      </c>
      <c r="DP55" s="303">
        <v>255377.05980158757</v>
      </c>
      <c r="DQ55" s="168">
        <v>825</v>
      </c>
      <c r="DR55" s="170">
        <f t="shared" si="50"/>
        <v>309.54795127465161</v>
      </c>
      <c r="DS55" s="303">
        <v>50700</v>
      </c>
      <c r="DT55" s="168">
        <v>273</v>
      </c>
      <c r="DU55" s="170">
        <f t="shared" si="51"/>
        <v>185.71428571428572</v>
      </c>
      <c r="DV55" s="3">
        <f t="shared" si="52"/>
        <v>306077.0598015876</v>
      </c>
      <c r="DW55" s="97">
        <f t="shared" si="53"/>
        <v>1098</v>
      </c>
      <c r="DX55" s="172">
        <f t="shared" si="54"/>
        <v>278.75870655882295</v>
      </c>
      <c r="DY55" s="167">
        <v>288730</v>
      </c>
      <c r="DZ55" s="168">
        <v>2111</v>
      </c>
      <c r="EA55" s="170">
        <f t="shared" si="55"/>
        <v>136.77404073898626</v>
      </c>
      <c r="EB55" s="167">
        <v>33000</v>
      </c>
      <c r="EC55" s="168">
        <v>300</v>
      </c>
      <c r="ED55" s="170">
        <f t="shared" si="56"/>
        <v>110</v>
      </c>
      <c r="EE55" s="167">
        <v>0</v>
      </c>
      <c r="EF55" s="168">
        <v>0</v>
      </c>
      <c r="EG55" s="170">
        <f t="shared" si="57"/>
        <v>0</v>
      </c>
      <c r="EH55" s="3">
        <f t="shared" si="58"/>
        <v>321730</v>
      </c>
      <c r="EI55" s="97">
        <f t="shared" si="59"/>
        <v>2411</v>
      </c>
      <c r="EJ55" s="172">
        <f t="shared" si="60"/>
        <v>133.44255495644961</v>
      </c>
    </row>
    <row r="56" spans="2:140">
      <c r="B56" t="s">
        <v>193</v>
      </c>
      <c r="C56" t="s">
        <v>188</v>
      </c>
      <c r="D56">
        <f>VLOOKUP(B56,Dates!$B$2:$E$53,4,FALSE)</f>
        <v>52</v>
      </c>
      <c r="E56" s="168" t="b">
        <f>IF(D56&lt;='RDG Weekly Sales'!$F$1,TRUE,FALSE)</f>
        <v>0</v>
      </c>
      <c r="F56" s="303">
        <v>690864</v>
      </c>
      <c r="G56" s="168">
        <v>4792</v>
      </c>
      <c r="H56" s="170">
        <f t="shared" si="10"/>
        <v>144.17028380634392</v>
      </c>
      <c r="I56" s="167">
        <v>690779.5</v>
      </c>
      <c r="J56" s="168">
        <v>4836</v>
      </c>
      <c r="K56" s="170">
        <f t="shared" si="11"/>
        <v>142.8410876757651</v>
      </c>
      <c r="L56" s="303">
        <v>61430</v>
      </c>
      <c r="M56" s="168">
        <v>437</v>
      </c>
      <c r="N56" s="170">
        <f t="shared" si="12"/>
        <v>140.57208237986271</v>
      </c>
      <c r="O56" s="167">
        <v>50872.75</v>
      </c>
      <c r="P56" s="168">
        <v>437</v>
      </c>
      <c r="Q56" s="170">
        <f t="shared" si="13"/>
        <v>116.41361556064074</v>
      </c>
      <c r="R56" s="3">
        <f t="shared" si="61"/>
        <v>752294</v>
      </c>
      <c r="S56" s="97">
        <f t="shared" si="62"/>
        <v>5229</v>
      </c>
      <c r="T56" s="170">
        <f t="shared" si="14"/>
        <v>143.86957353222414</v>
      </c>
      <c r="U56" s="3">
        <f t="shared" si="63"/>
        <v>741652.25</v>
      </c>
      <c r="V56" s="97">
        <f t="shared" si="64"/>
        <v>5273</v>
      </c>
      <c r="W56" s="172">
        <f t="shared" si="15"/>
        <v>140.65091029774322</v>
      </c>
      <c r="X56" s="167">
        <v>26833</v>
      </c>
      <c r="Y56" s="168">
        <v>90</v>
      </c>
      <c r="Z56" s="170">
        <f t="shared" si="16"/>
        <v>298.14444444444445</v>
      </c>
      <c r="AA56" s="167">
        <v>28758</v>
      </c>
      <c r="AB56" s="168">
        <v>90</v>
      </c>
      <c r="AC56" s="170">
        <f t="shared" si="17"/>
        <v>319.53333333333336</v>
      </c>
      <c r="AD56" s="167">
        <v>94327</v>
      </c>
      <c r="AE56" s="168">
        <v>231</v>
      </c>
      <c r="AF56" s="170">
        <f t="shared" si="18"/>
        <v>408.34199134199133</v>
      </c>
      <c r="AG56" s="167">
        <f>67088+11506</f>
        <v>78594</v>
      </c>
      <c r="AH56" s="168">
        <f>63+77+97+137+89</f>
        <v>463</v>
      </c>
      <c r="AI56" s="170">
        <f t="shared" si="19"/>
        <v>169.74946004319654</v>
      </c>
      <c r="AJ56" s="167">
        <v>203708</v>
      </c>
      <c r="AK56" s="168">
        <v>633.65</v>
      </c>
      <c r="AL56" s="170">
        <f t="shared" si="20"/>
        <v>321.48346879191985</v>
      </c>
      <c r="AM56" s="167">
        <f>172654.67+32267.5</f>
        <v>204922.17</v>
      </c>
      <c r="AN56" s="168">
        <f>146+226+170+192+198</f>
        <v>932</v>
      </c>
      <c r="AO56" s="170">
        <f t="shared" si="21"/>
        <v>219.87357296137341</v>
      </c>
      <c r="AP56" s="167">
        <f t="shared" si="65"/>
        <v>324868</v>
      </c>
      <c r="AQ56" s="168">
        <f t="shared" si="66"/>
        <v>954.65</v>
      </c>
      <c r="AR56" s="172">
        <f t="shared" si="22"/>
        <v>340.30063374011416</v>
      </c>
      <c r="AS56" s="167">
        <f t="shared" si="67"/>
        <v>312274.17000000004</v>
      </c>
      <c r="AT56" s="168">
        <f t="shared" si="68"/>
        <v>1485</v>
      </c>
      <c r="AU56" s="172">
        <f t="shared" si="23"/>
        <v>210.2856363636364</v>
      </c>
      <c r="AV56" s="167"/>
      <c r="AW56" s="168">
        <v>2426</v>
      </c>
      <c r="AX56" s="170">
        <f t="shared" si="24"/>
        <v>0</v>
      </c>
      <c r="AY56" s="167"/>
      <c r="AZ56" s="168">
        <v>369</v>
      </c>
      <c r="BA56" s="170">
        <f t="shared" si="25"/>
        <v>0</v>
      </c>
      <c r="BB56" s="167">
        <v>50540</v>
      </c>
      <c r="BC56" s="168">
        <v>266</v>
      </c>
      <c r="BD56" s="170">
        <f t="shared" si="26"/>
        <v>190</v>
      </c>
      <c r="BE56" s="3">
        <f t="shared" si="27"/>
        <v>50540</v>
      </c>
      <c r="BF56" s="97">
        <f t="shared" si="28"/>
        <v>3061</v>
      </c>
      <c r="BG56" s="172">
        <f t="shared" si="29"/>
        <v>16.510944135903301</v>
      </c>
      <c r="BH56" s="167">
        <f>281021.85-621.05-BK56</f>
        <v>254018.8</v>
      </c>
      <c r="BI56" s="168">
        <f>2798-BL56</f>
        <v>2502</v>
      </c>
      <c r="BJ56" s="170">
        <f t="shared" si="30"/>
        <v>101.52629896083133</v>
      </c>
      <c r="BK56" s="167">
        <v>26382</v>
      </c>
      <c r="BL56" s="168">
        <v>296</v>
      </c>
      <c r="BM56" s="170">
        <f t="shared" si="31"/>
        <v>89.128378378378372</v>
      </c>
      <c r="BN56" s="167">
        <f>34790.3-159.1</f>
        <v>34631.200000000004</v>
      </c>
      <c r="BO56" s="168">
        <f>36+85+52+51+78</f>
        <v>302</v>
      </c>
      <c r="BP56" s="170">
        <f t="shared" si="32"/>
        <v>114.67284768211923</v>
      </c>
      <c r="BQ56" s="3">
        <f t="shared" si="33"/>
        <v>315032</v>
      </c>
      <c r="BR56" s="97">
        <f t="shared" si="33"/>
        <v>3100</v>
      </c>
      <c r="BS56" s="172">
        <f t="shared" si="34"/>
        <v>101.62322580645161</v>
      </c>
      <c r="BT56" s="303">
        <v>160000</v>
      </c>
      <c r="BU56" s="168">
        <v>1000</v>
      </c>
      <c r="BV56" s="170">
        <f t="shared" si="35"/>
        <v>160</v>
      </c>
      <c r="BW56" s="303">
        <v>485180.65582157415</v>
      </c>
      <c r="BX56" s="168">
        <v>2782.6</v>
      </c>
      <c r="BY56" s="170">
        <f t="shared" si="36"/>
        <v>174.36234306820032</v>
      </c>
      <c r="BZ56" s="3">
        <f t="shared" si="37"/>
        <v>645180.65582157415</v>
      </c>
      <c r="CA56" s="97">
        <f t="shared" si="37"/>
        <v>3782.6</v>
      </c>
      <c r="CB56" s="172">
        <f t="shared" si="38"/>
        <v>170.56539306867609</v>
      </c>
      <c r="CC56" s="167">
        <v>122483.3</v>
      </c>
      <c r="CD56" s="168">
        <f>588+354</f>
        <v>942</v>
      </c>
      <c r="CE56" s="170">
        <f t="shared" si="39"/>
        <v>130.02473460721868</v>
      </c>
      <c r="CF56" s="167">
        <f>691868.71-68.55-CC56</f>
        <v>569316.85999999987</v>
      </c>
      <c r="CG56" s="168">
        <f>4108-CD56</f>
        <v>3166</v>
      </c>
      <c r="CH56" s="170">
        <f t="shared" si="40"/>
        <v>179.8221288692356</v>
      </c>
      <c r="CI56" s="3">
        <f t="shared" si="41"/>
        <v>691800.15999999992</v>
      </c>
      <c r="CJ56" s="97">
        <f t="shared" si="42"/>
        <v>4108</v>
      </c>
      <c r="CK56" s="172">
        <f t="shared" si="43"/>
        <v>168.40315481986366</v>
      </c>
      <c r="CL56" s="167"/>
      <c r="CM56" s="168"/>
      <c r="CN56" s="170">
        <v>0</v>
      </c>
      <c r="CO56" s="167">
        <v>377468</v>
      </c>
      <c r="CP56" s="168">
        <v>2397</v>
      </c>
      <c r="CQ56" s="170">
        <v>157.47517730496455</v>
      </c>
      <c r="CR56" s="3">
        <v>377468</v>
      </c>
      <c r="CS56" s="97">
        <v>2397</v>
      </c>
      <c r="CT56" s="172">
        <v>157.47517730496455</v>
      </c>
      <c r="CU56" s="309">
        <v>83220.706053893256</v>
      </c>
      <c r="CV56" s="310">
        <v>630.70000000000005</v>
      </c>
      <c r="CW56" s="170">
        <v>131.94974798460956</v>
      </c>
      <c r="CX56" s="309">
        <v>278002.48200000002</v>
      </c>
      <c r="CY56" s="310">
        <v>1619.4</v>
      </c>
      <c r="CZ56" s="170">
        <v>171.67005187106335</v>
      </c>
      <c r="DA56" s="3">
        <f t="shared" si="45"/>
        <v>361223.18805389327</v>
      </c>
      <c r="DB56" s="97">
        <f t="shared" si="45"/>
        <v>2250.1000000000004</v>
      </c>
      <c r="DC56" s="172">
        <f t="shared" si="46"/>
        <v>160.53650417932235</v>
      </c>
      <c r="DD56" s="303">
        <v>269698.7</v>
      </c>
      <c r="DE56" s="168">
        <v>2111.1</v>
      </c>
      <c r="DF56" s="170">
        <f t="shared" si="47"/>
        <v>127.75268817204302</v>
      </c>
      <c r="DG56" s="303">
        <v>52204</v>
      </c>
      <c r="DH56" s="168">
        <v>636</v>
      </c>
      <c r="DI56" s="170">
        <f t="shared" si="8"/>
        <v>82.081761006289312</v>
      </c>
      <c r="DJ56" s="167">
        <v>0</v>
      </c>
      <c r="DK56" s="168">
        <v>0</v>
      </c>
      <c r="DL56" s="170">
        <v>0</v>
      </c>
      <c r="DM56" s="3">
        <f t="shared" si="9"/>
        <v>321902.7</v>
      </c>
      <c r="DN56" s="97">
        <f t="shared" si="48"/>
        <v>2747.1</v>
      </c>
      <c r="DO56" s="172">
        <f t="shared" si="49"/>
        <v>117.17909795784647</v>
      </c>
      <c r="DP56" s="303">
        <v>255377.05980158757</v>
      </c>
      <c r="DQ56" s="168">
        <v>825</v>
      </c>
      <c r="DR56" s="170">
        <f t="shared" si="50"/>
        <v>309.54795127465161</v>
      </c>
      <c r="DS56" s="303">
        <v>50700</v>
      </c>
      <c r="DT56" s="168">
        <v>273</v>
      </c>
      <c r="DU56" s="170">
        <f t="shared" si="51"/>
        <v>185.71428571428572</v>
      </c>
      <c r="DV56" s="3">
        <f t="shared" si="52"/>
        <v>306077.0598015876</v>
      </c>
      <c r="DW56" s="97">
        <f t="shared" si="53"/>
        <v>1098</v>
      </c>
      <c r="DX56" s="172">
        <f t="shared" si="54"/>
        <v>278.75870655882295</v>
      </c>
      <c r="DY56" s="167">
        <v>288730</v>
      </c>
      <c r="DZ56" s="168">
        <v>2111</v>
      </c>
      <c r="EA56" s="170">
        <f t="shared" si="55"/>
        <v>136.77404073898626</v>
      </c>
      <c r="EB56" s="167">
        <v>33000</v>
      </c>
      <c r="EC56" s="168">
        <v>300</v>
      </c>
      <c r="ED56" s="170">
        <f t="shared" si="56"/>
        <v>110</v>
      </c>
      <c r="EE56" s="167">
        <v>0</v>
      </c>
      <c r="EF56" s="168">
        <v>0</v>
      </c>
      <c r="EG56" s="170">
        <f t="shared" si="57"/>
        <v>0</v>
      </c>
      <c r="EH56" s="3">
        <f t="shared" si="58"/>
        <v>321730</v>
      </c>
      <c r="EI56" s="97">
        <f t="shared" si="59"/>
        <v>2411</v>
      </c>
      <c r="EJ56" s="172">
        <f t="shared" si="60"/>
        <v>133.44255495644961</v>
      </c>
    </row>
  </sheetData>
  <mergeCells count="88">
    <mergeCell ref="DY2:EA2"/>
    <mergeCell ref="EB2:ED2"/>
    <mergeCell ref="EE2:EG2"/>
    <mergeCell ref="EH2:EJ2"/>
    <mergeCell ref="DY3:EA3"/>
    <mergeCell ref="EB3:ED3"/>
    <mergeCell ref="EE3:EG3"/>
    <mergeCell ref="EH3:EJ3"/>
    <mergeCell ref="DP2:DR2"/>
    <mergeCell ref="DS2:DU2"/>
    <mergeCell ref="DV2:DX2"/>
    <mergeCell ref="DP3:DR3"/>
    <mergeCell ref="DS3:DU3"/>
    <mergeCell ref="DV3:DX3"/>
    <mergeCell ref="DD2:DF2"/>
    <mergeCell ref="DG2:DI2"/>
    <mergeCell ref="DJ2:DL2"/>
    <mergeCell ref="DM2:DO2"/>
    <mergeCell ref="DD3:DF3"/>
    <mergeCell ref="DG3:DI3"/>
    <mergeCell ref="DJ3:DL3"/>
    <mergeCell ref="DM3:DO3"/>
    <mergeCell ref="BQ2:BS2"/>
    <mergeCell ref="BH3:BJ3"/>
    <mergeCell ref="BK3:BM3"/>
    <mergeCell ref="BN3:BP3"/>
    <mergeCell ref="BQ3:BS3"/>
    <mergeCell ref="AS2:AU2"/>
    <mergeCell ref="AS3:AU3"/>
    <mergeCell ref="BH2:BJ2"/>
    <mergeCell ref="BK2:BM2"/>
    <mergeCell ref="BN2:BP2"/>
    <mergeCell ref="AV2:AX2"/>
    <mergeCell ref="AY2:BA2"/>
    <mergeCell ref="BB2:BD2"/>
    <mergeCell ref="BE2:BG2"/>
    <mergeCell ref="AV3:AX3"/>
    <mergeCell ref="AY3:BA3"/>
    <mergeCell ref="BB3:BD3"/>
    <mergeCell ref="BE3:BG3"/>
    <mergeCell ref="AD2:AF2"/>
    <mergeCell ref="AJ2:AL2"/>
    <mergeCell ref="AP2:AR2"/>
    <mergeCell ref="X3:Z3"/>
    <mergeCell ref="AD3:AF3"/>
    <mergeCell ref="AJ3:AL3"/>
    <mergeCell ref="AP3:AR3"/>
    <mergeCell ref="AA2:AC2"/>
    <mergeCell ref="AA3:AC3"/>
    <mergeCell ref="AG2:AI2"/>
    <mergeCell ref="AG3:AI3"/>
    <mergeCell ref="AM2:AO2"/>
    <mergeCell ref="AM3:AO3"/>
    <mergeCell ref="F3:H3"/>
    <mergeCell ref="I3:K3"/>
    <mergeCell ref="L3:N3"/>
    <mergeCell ref="O3:Q3"/>
    <mergeCell ref="X2:Z2"/>
    <mergeCell ref="R2:T2"/>
    <mergeCell ref="U2:W2"/>
    <mergeCell ref="F2:H2"/>
    <mergeCell ref="I2:K2"/>
    <mergeCell ref="L2:N2"/>
    <mergeCell ref="O2:Q2"/>
    <mergeCell ref="BT2:BV2"/>
    <mergeCell ref="BW2:BY2"/>
    <mergeCell ref="BZ2:CB2"/>
    <mergeCell ref="BT3:BV3"/>
    <mergeCell ref="BW3:BY3"/>
    <mergeCell ref="BZ3:CB3"/>
    <mergeCell ref="CU2:CW2"/>
    <mergeCell ref="CX2:CZ2"/>
    <mergeCell ref="DA2:DC2"/>
    <mergeCell ref="CU3:CW3"/>
    <mergeCell ref="CX3:CZ3"/>
    <mergeCell ref="DA3:DC3"/>
    <mergeCell ref="CC2:CE2"/>
    <mergeCell ref="CF2:CH2"/>
    <mergeCell ref="CI2:CK2"/>
    <mergeCell ref="CC3:CE3"/>
    <mergeCell ref="CF3:CH3"/>
    <mergeCell ref="CI3:CK3"/>
    <mergeCell ref="CL2:CN2"/>
    <mergeCell ref="CO2:CQ2"/>
    <mergeCell ref="CR2:CT2"/>
    <mergeCell ref="CL3:CN3"/>
    <mergeCell ref="CO3:CQ3"/>
    <mergeCell ref="CR3:CT3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0711-AE0B-477A-8C1D-A28A6B6044E3}">
  <sheetPr>
    <tabColor rgb="FF00B0F0"/>
  </sheetPr>
  <dimension ref="A1"/>
  <sheetViews>
    <sheetView topLeftCell="A36" workbookViewId="0">
      <selection activeCell="A36" sqref="A36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FB95-1287-4F39-B984-7B0A937556DC}">
  <sheetPr>
    <tabColor theme="9"/>
    <pageSetUpPr fitToPage="1"/>
  </sheetPr>
  <dimension ref="B1:AB114"/>
  <sheetViews>
    <sheetView topLeftCell="A13" workbookViewId="0"/>
  </sheetViews>
  <sheetFormatPr defaultRowHeight="15" outlineLevelRow="1" outlineLevelCol="1"/>
  <cols>
    <col min="2" max="2" width="11.5703125" bestFit="1" customWidth="1"/>
    <col min="3" max="3" width="11.5703125" customWidth="1" outlineLevel="1"/>
    <col min="4" max="4" width="6.42578125" style="278" bestFit="1" customWidth="1"/>
    <col min="5" max="6" width="9.42578125" customWidth="1"/>
    <col min="7" max="7" width="12.7109375" customWidth="1"/>
    <col min="8" max="8" width="14.42578125" customWidth="1" outlineLevel="1"/>
    <col min="9" max="9" width="11.5703125" style="278" customWidth="1"/>
    <col min="10" max="10" width="11.5703125" style="2" bestFit="1" customWidth="1"/>
    <col min="11" max="11" width="1" customWidth="1"/>
    <col min="12" max="12" width="9.5703125" style="168" customWidth="1"/>
    <col min="13" max="17" width="9.5703125" customWidth="1"/>
  </cols>
  <sheetData>
    <row r="1" spans="2:28">
      <c r="L1" s="168" t="s">
        <v>214</v>
      </c>
      <c r="N1" t="s">
        <v>215</v>
      </c>
    </row>
    <row r="3" spans="2:28">
      <c r="B3" s="422" t="s">
        <v>216</v>
      </c>
      <c r="C3" s="422"/>
      <c r="D3" s="422"/>
      <c r="E3" s="422"/>
      <c r="F3" s="422"/>
      <c r="G3" s="422"/>
      <c r="H3" s="422"/>
      <c r="I3" s="422"/>
      <c r="J3" s="422"/>
      <c r="K3" s="266"/>
      <c r="L3" s="422" t="s">
        <v>217</v>
      </c>
      <c r="M3" s="422"/>
      <c r="N3" s="422"/>
      <c r="O3" s="422"/>
      <c r="P3" s="422"/>
      <c r="Q3" s="422"/>
      <c r="R3" s="422"/>
      <c r="S3" s="422"/>
      <c r="T3" s="422"/>
      <c r="U3" s="422"/>
      <c r="V3" s="422"/>
      <c r="W3" s="422"/>
    </row>
    <row r="4" spans="2:28">
      <c r="B4" s="266"/>
      <c r="C4" s="266"/>
      <c r="D4" s="275"/>
      <c r="E4" s="266"/>
      <c r="F4" s="266"/>
      <c r="G4" s="266"/>
      <c r="H4" s="266"/>
      <c r="I4" s="275"/>
      <c r="J4" s="279"/>
      <c r="K4" s="266"/>
    </row>
    <row r="5" spans="2:28" ht="21">
      <c r="B5" s="421" t="s">
        <v>8</v>
      </c>
      <c r="C5" s="421"/>
      <c r="D5" s="421"/>
      <c r="E5" s="421"/>
      <c r="F5" s="421"/>
      <c r="G5" s="421"/>
      <c r="H5" s="421"/>
      <c r="I5" s="421"/>
      <c r="J5" s="421"/>
      <c r="K5" s="266"/>
    </row>
    <row r="6" spans="2:28">
      <c r="B6" s="266"/>
      <c r="C6" s="266"/>
      <c r="D6" s="275"/>
      <c r="E6" s="266"/>
      <c r="F6" s="266"/>
      <c r="G6" s="266"/>
      <c r="H6" s="266"/>
      <c r="I6" s="275"/>
      <c r="J6" s="279"/>
      <c r="K6" s="266"/>
    </row>
    <row r="7" spans="2:28" s="268" customFormat="1">
      <c r="B7" s="281" t="s">
        <v>8</v>
      </c>
      <c r="C7" s="281" t="s">
        <v>71</v>
      </c>
      <c r="D7" s="282" t="s">
        <v>63</v>
      </c>
      <c r="E7" s="281" t="s">
        <v>218</v>
      </c>
      <c r="F7" s="283" t="s">
        <v>219</v>
      </c>
      <c r="G7" s="281" t="s">
        <v>220</v>
      </c>
      <c r="H7" s="281" t="s">
        <v>71</v>
      </c>
      <c r="I7" s="282" t="s">
        <v>221</v>
      </c>
      <c r="J7" s="283" t="s">
        <v>222</v>
      </c>
      <c r="K7" s="281"/>
      <c r="L7" s="295" t="s">
        <v>223</v>
      </c>
      <c r="M7" s="284" t="s">
        <v>224</v>
      </c>
      <c r="N7" s="284" t="s">
        <v>225</v>
      </c>
      <c r="O7" s="284" t="s">
        <v>223</v>
      </c>
      <c r="P7" s="284" t="s">
        <v>224</v>
      </c>
      <c r="Q7" s="284" t="s">
        <v>225</v>
      </c>
      <c r="R7" s="284" t="s">
        <v>226</v>
      </c>
      <c r="S7" s="284" t="s">
        <v>227</v>
      </c>
      <c r="T7" s="284" t="s">
        <v>228</v>
      </c>
      <c r="U7" s="284" t="s">
        <v>226</v>
      </c>
      <c r="V7" s="284" t="s">
        <v>227</v>
      </c>
      <c r="W7" s="284" t="s">
        <v>228</v>
      </c>
    </row>
    <row r="8" spans="2:28" s="289" customFormat="1" ht="12">
      <c r="B8" s="286"/>
      <c r="C8" s="286"/>
      <c r="D8" s="287"/>
      <c r="E8" s="287"/>
      <c r="F8" s="286"/>
      <c r="G8" s="286"/>
      <c r="H8" s="286"/>
      <c r="I8" s="287"/>
      <c r="J8" s="288"/>
      <c r="L8" s="420" t="s">
        <v>71</v>
      </c>
      <c r="M8" s="420"/>
      <c r="N8" s="420"/>
      <c r="O8" s="420" t="s">
        <v>63</v>
      </c>
      <c r="P8" s="420"/>
      <c r="Q8" s="420"/>
      <c r="R8" s="420" t="s">
        <v>71</v>
      </c>
      <c r="S8" s="420"/>
      <c r="T8" s="420"/>
      <c r="U8" s="420" t="s">
        <v>63</v>
      </c>
      <c r="V8" s="420"/>
      <c r="W8" s="420"/>
    </row>
    <row r="9" spans="2:28" ht="14.45" customHeight="1" outlineLevel="1">
      <c r="B9" s="269">
        <f t="shared" ref="B9:B11" si="0">B10-1</f>
        <v>26</v>
      </c>
      <c r="C9" s="261">
        <f>SUMIFS('Actual - 2026'!$K:$K,'Actual - 2026'!$C:$C,'Summary - Avg Ck'!B9)</f>
        <v>657002.75</v>
      </c>
      <c r="D9" s="277">
        <f>SUMIFS('Actual - 2026'!$L:$L,'Actual - 2026'!$C:$C,'Summary - Avg Ck'!B9)</f>
        <v>4179</v>
      </c>
      <c r="E9" s="260">
        <f t="shared" ref="E9:E24" si="1">IFERROR(C9/D9,0)</f>
        <v>157.21530270399617</v>
      </c>
      <c r="F9" s="260">
        <f>SUM(C7:C9)/SUM(D7:D9)</f>
        <v>157.21530270399617</v>
      </c>
      <c r="G9" s="270">
        <f t="shared" ref="G9:G25" si="2">(F9-E9)/E9</f>
        <v>0</v>
      </c>
      <c r="H9" s="261">
        <f>SUMIFS('Budget - 2026'!$R:$R,'Budget - 2026'!$D:$D,'Summary - Avg Ck'!B9)</f>
        <v>625184</v>
      </c>
      <c r="I9" s="277">
        <f>SUMIFS('Budget - 2026'!$S:$S,'Budget - 2026'!$D:$D,'Summary - Avg Ck'!B9)</f>
        <v>4196</v>
      </c>
      <c r="J9" s="260">
        <f>IFERROR(H9/I9,0)</f>
        <v>148.99523355576738</v>
      </c>
      <c r="L9" s="296" t="e">
        <f>SUMIFS(#REF!,#REF!,'Summary - Avg Ck'!B9)</f>
        <v>#REF!</v>
      </c>
      <c r="M9" s="168" t="e">
        <f>SUMIFS(#REF!,#REF!,'Summary - Avg Ck'!B9)</f>
        <v>#REF!</v>
      </c>
      <c r="N9" s="168" t="e">
        <f>SUMIFS(#REF!,#REF!,'Summary - Avg Ck'!B9)</f>
        <v>#REF!</v>
      </c>
      <c r="O9" s="168" t="e">
        <f>SUMIFS(#REF!,#REF!,'Summary - Avg Ck'!B9)</f>
        <v>#REF!</v>
      </c>
      <c r="P9" s="168" t="e">
        <f>SUMIFS(#REF!,#REF!,'Summary - Avg Ck'!B9)</f>
        <v>#REF!</v>
      </c>
      <c r="Q9" s="168" t="e">
        <f>SUMIFS(#REF!,#REF!,'Summary - Avg Ck'!B9)</f>
        <v>#REF!</v>
      </c>
      <c r="R9" s="168"/>
      <c r="S9" s="168"/>
      <c r="T9" s="168"/>
      <c r="U9" s="168"/>
      <c r="V9" s="168"/>
      <c r="W9" s="168"/>
    </row>
    <row r="10" spans="2:28" ht="14.45" customHeight="1" outlineLevel="1">
      <c r="B10" s="269">
        <f t="shared" si="0"/>
        <v>27</v>
      </c>
      <c r="C10" s="261">
        <f>SUMIFS('Actual - 2026'!$K:$K,'Actual - 2026'!$C:$C,'Summary - Avg Ck'!B10)</f>
        <v>583369.5</v>
      </c>
      <c r="D10" s="277">
        <f>SUMIFS('Actual - 2026'!$L:$L,'Actual - 2026'!$C:$C,'Summary - Avg Ck'!B10)</f>
        <v>3984</v>
      </c>
      <c r="E10" s="260">
        <f t="shared" si="1"/>
        <v>146.4280873493976</v>
      </c>
      <c r="F10" s="260">
        <f>SUM(C8:C10)/SUM(D8:D10)</f>
        <v>151.95053901751808</v>
      </c>
      <c r="G10" s="270">
        <f t="shared" si="2"/>
        <v>3.7714428755346308E-2</v>
      </c>
      <c r="H10" s="261">
        <f>SUMIFS('Budget - 2026'!$R:$R,'Budget - 2026'!$D:$D,'Summary - Avg Ck'!B10)</f>
        <v>699345</v>
      </c>
      <c r="I10" s="277">
        <f>SUMIFS('Budget - 2026'!$S:$S,'Budget - 2026'!$D:$D,'Summary - Avg Ck'!B10)</f>
        <v>4520</v>
      </c>
      <c r="J10" s="260">
        <f t="shared" ref="J10:J25" si="3">IFERROR(H10/I10,0)</f>
        <v>154.72234513274336</v>
      </c>
      <c r="L10" s="296" t="e">
        <f>SUMIFS(#REF!,#REF!,'Summary - Avg Ck'!B10)</f>
        <v>#REF!</v>
      </c>
      <c r="M10" s="168" t="e">
        <f>SUMIFS(#REF!,#REF!,'Summary - Avg Ck'!B10)</f>
        <v>#REF!</v>
      </c>
      <c r="N10" s="168" t="e">
        <f>SUMIFS(#REF!,#REF!,'Summary - Avg Ck'!B10)</f>
        <v>#REF!</v>
      </c>
      <c r="O10" s="168" t="e">
        <f>SUMIFS(#REF!,#REF!,'Summary - Avg Ck'!B10)</f>
        <v>#REF!</v>
      </c>
      <c r="P10" s="168" t="e">
        <f>SUMIFS(#REF!,#REF!,'Summary - Avg Ck'!B10)</f>
        <v>#REF!</v>
      </c>
      <c r="Q10" s="168" t="e">
        <f>SUMIFS(#REF!,#REF!,'Summary - Avg Ck'!B10)</f>
        <v>#REF!</v>
      </c>
      <c r="R10" s="168"/>
      <c r="S10" s="168"/>
      <c r="T10" s="168"/>
      <c r="U10" s="168"/>
      <c r="V10" s="168"/>
      <c r="W10" s="168"/>
    </row>
    <row r="11" spans="2:28" ht="14.45" customHeight="1" outlineLevel="1">
      <c r="B11" s="269">
        <f t="shared" si="0"/>
        <v>28</v>
      </c>
      <c r="C11" s="261">
        <f>SUMIFS('Actual - 2026'!$K:$K,'Actual - 2026'!$C:$C,'Summary - Avg Ck'!B11)</f>
        <v>648301.75</v>
      </c>
      <c r="D11" s="277">
        <f>SUMIFS('Actual - 2026'!$L:$L,'Actual - 2026'!$C:$C,'Summary - Avg Ck'!B11)</f>
        <v>3734</v>
      </c>
      <c r="E11" s="260">
        <f t="shared" si="1"/>
        <v>173.62125066952331</v>
      </c>
      <c r="F11" s="260">
        <f>SUM(C9:C11)/SUM(D9:D11)</f>
        <v>158.75212238379424</v>
      </c>
      <c r="G11" s="270">
        <f t="shared" si="2"/>
        <v>-8.564117715078251E-2</v>
      </c>
      <c r="H11" s="261">
        <f>SUMIFS('Budget - 2026'!$R:$R,'Budget - 2026'!$D:$D,'Summary - Avg Ck'!B11)</f>
        <v>707036</v>
      </c>
      <c r="I11" s="277">
        <f>SUMIFS('Budget - 2026'!$S:$S,'Budget - 2026'!$D:$D,'Summary - Avg Ck'!B11)</f>
        <v>4567</v>
      </c>
      <c r="J11" s="260">
        <f t="shared" si="3"/>
        <v>154.81410116049923</v>
      </c>
      <c r="L11" s="296" t="e">
        <f>SUMIFS(#REF!,#REF!,'Summary - Avg Ck'!B11)</f>
        <v>#REF!</v>
      </c>
      <c r="M11" s="168" t="e">
        <f>SUMIFS(#REF!,#REF!,'Summary - Avg Ck'!B11)</f>
        <v>#REF!</v>
      </c>
      <c r="N11" s="168" t="e">
        <f>SUMIFS(#REF!,#REF!,'Summary - Avg Ck'!B11)</f>
        <v>#REF!</v>
      </c>
      <c r="O11" s="168" t="e">
        <f>SUMIFS(#REF!,#REF!,'Summary - Avg Ck'!B11)</f>
        <v>#REF!</v>
      </c>
      <c r="P11" s="168" t="e">
        <f>SUMIFS(#REF!,#REF!,'Summary - Avg Ck'!B11)</f>
        <v>#REF!</v>
      </c>
      <c r="Q11" s="168" t="e">
        <f>SUMIFS(#REF!,#REF!,'Summary - Avg Ck'!B11)</f>
        <v>#REF!</v>
      </c>
      <c r="R11" s="168"/>
      <c r="S11" s="168"/>
      <c r="T11" s="168"/>
      <c r="U11" s="168"/>
      <c r="V11" s="168"/>
      <c r="W11" s="168"/>
    </row>
    <row r="12" spans="2:28" ht="14.45" customHeight="1" outlineLevel="1">
      <c r="B12" s="269">
        <f>B13-1</f>
        <v>29</v>
      </c>
      <c r="C12" s="261">
        <f>SUMIFS('Actual - 2026'!$K:$K,'Actual - 2026'!$C:$C,'Summary - Avg Ck'!B12)</f>
        <v>541152.36</v>
      </c>
      <c r="D12" s="277">
        <f>SUMIFS('Actual - 2026'!$L:$L,'Actual - 2026'!$C:$C,'Summary - Avg Ck'!B12)</f>
        <v>3733</v>
      </c>
      <c r="E12" s="260">
        <f t="shared" si="1"/>
        <v>144.96446825609428</v>
      </c>
      <c r="F12" s="260">
        <f t="shared" ref="F12:F25" si="4">SUM(C9:C12)/SUM(D9:D12)</f>
        <v>155.45914011516314</v>
      </c>
      <c r="G12" s="270">
        <f t="shared" si="2"/>
        <v>7.2394787393894128E-2</v>
      </c>
      <c r="H12" s="261">
        <f>SUMIFS('Budget - 2026'!$R:$R,'Budget - 2026'!$D:$D,'Summary - Avg Ck'!B12)</f>
        <v>575651</v>
      </c>
      <c r="I12" s="277">
        <f>SUMIFS('Budget - 2026'!$S:$S,'Budget - 2026'!$D:$D,'Summary - Avg Ck'!B12)</f>
        <v>3988</v>
      </c>
      <c r="J12" s="260">
        <f t="shared" si="3"/>
        <v>144.34578736208627</v>
      </c>
      <c r="L12" s="296" t="e">
        <f>SUMIFS(#REF!,#REF!,'Summary - Avg Ck'!B12)</f>
        <v>#REF!</v>
      </c>
      <c r="M12" s="168" t="e">
        <f>SUMIFS(#REF!,#REF!,'Summary - Avg Ck'!B12)</f>
        <v>#REF!</v>
      </c>
      <c r="N12" s="168" t="e">
        <f>SUMIFS(#REF!,#REF!,'Summary - Avg Ck'!B12)</f>
        <v>#REF!</v>
      </c>
      <c r="O12" s="168" t="e">
        <f>SUMIFS(#REF!,#REF!,'Summary - Avg Ck'!B12)</f>
        <v>#REF!</v>
      </c>
      <c r="P12" s="168" t="e">
        <f>SUMIFS(#REF!,#REF!,'Summary - Avg Ck'!B12)</f>
        <v>#REF!</v>
      </c>
      <c r="Q12" s="168" t="e">
        <f>SUMIFS(#REF!,#REF!,'Summary - Avg Ck'!B12)</f>
        <v>#REF!</v>
      </c>
      <c r="R12" s="168"/>
      <c r="S12" s="168"/>
      <c r="T12" s="168"/>
      <c r="U12" s="168"/>
      <c r="V12" s="168"/>
      <c r="W12" s="168"/>
    </row>
    <row r="13" spans="2:28">
      <c r="B13" s="269">
        <f t="shared" ref="B13:B23" si="5">B14-1</f>
        <v>30</v>
      </c>
      <c r="C13" s="261">
        <f>SUMIFS('Actual - 2026'!$K:$K,'Actual - 2026'!$C:$C,'Summary - Avg Ck'!B13)</f>
        <v>533375</v>
      </c>
      <c r="D13" s="277">
        <f>SUMIFS('Actual - 2026'!$L:$L,'Actual - 2026'!$C:$C,'Summary - Avg Ck'!B13)</f>
        <v>3810</v>
      </c>
      <c r="E13" s="290">
        <f t="shared" si="1"/>
        <v>139.99343832020998</v>
      </c>
      <c r="F13" s="260">
        <f t="shared" si="4"/>
        <v>151.11713583644584</v>
      </c>
      <c r="G13" s="200">
        <f t="shared" si="2"/>
        <v>7.9458706420170888E-2</v>
      </c>
      <c r="H13" s="261">
        <f>SUMIFS('Budget - 2026'!$R:$R,'Budget - 2026'!$D:$D,'Summary - Avg Ck'!B13)</f>
        <v>509173</v>
      </c>
      <c r="I13" s="277">
        <f>SUMIFS('Budget - 2026'!$S:$S,'Budget - 2026'!$D:$D,'Summary - Avg Ck'!B13)</f>
        <v>3534</v>
      </c>
      <c r="J13" s="260">
        <f t="shared" si="3"/>
        <v>144.07838143746463</v>
      </c>
      <c r="L13" s="296" t="e">
        <f>SUMIFS(#REF!,#REF!,'Summary - Avg Ck'!B13)</f>
        <v>#REF!</v>
      </c>
      <c r="M13" s="168" t="e">
        <f>SUMIFS(#REF!,#REF!,'Summary - Avg Ck'!B13)</f>
        <v>#REF!</v>
      </c>
      <c r="N13" s="168" t="e">
        <f>SUMIFS(#REF!,#REF!,'Summary - Avg Ck'!B13)</f>
        <v>#REF!</v>
      </c>
      <c r="O13" s="168" t="e">
        <f>SUMIFS(#REF!,#REF!,'Summary - Avg Ck'!B13)</f>
        <v>#REF!</v>
      </c>
      <c r="P13" s="168" t="e">
        <f>SUMIFS(#REF!,#REF!,'Summary - Avg Ck'!B13)</f>
        <v>#REF!</v>
      </c>
      <c r="Q13" s="168" t="e">
        <f>SUMIFS(#REF!,#REF!,'Summary - Avg Ck'!B13)</f>
        <v>#REF!</v>
      </c>
      <c r="R13" s="168"/>
      <c r="S13" s="168"/>
      <c r="T13" s="300"/>
      <c r="U13" s="168"/>
      <c r="V13" s="168"/>
      <c r="W13" s="168"/>
      <c r="Z13" s="168" t="e">
        <f>L13/O13</f>
        <v>#REF!</v>
      </c>
      <c r="AA13" s="168" t="e">
        <f t="shared" ref="AA13:AB13" si="6">M13/P13</f>
        <v>#REF!</v>
      </c>
      <c r="AB13" s="168" t="e">
        <f t="shared" si="6"/>
        <v>#REF!</v>
      </c>
    </row>
    <row r="14" spans="2:28">
      <c r="B14" s="269">
        <f t="shared" si="5"/>
        <v>31</v>
      </c>
      <c r="C14" s="261">
        <f>SUMIFS('Actual - 2026'!$K:$K,'Actual - 2026'!$C:$C,'Summary - Avg Ck'!B14)</f>
        <v>499724.9</v>
      </c>
      <c r="D14" s="277">
        <f>SUMIFS('Actual - 2026'!$L:$L,'Actual - 2026'!$C:$C,'Summary - Avg Ck'!B14)</f>
        <v>3631</v>
      </c>
      <c r="E14" s="290">
        <f t="shared" si="1"/>
        <v>137.62734783806116</v>
      </c>
      <c r="F14" s="260">
        <f t="shared" si="4"/>
        <v>149.08465320633215</v>
      </c>
      <c r="G14" s="200">
        <f t="shared" si="2"/>
        <v>8.3248755049412135E-2</v>
      </c>
      <c r="H14" s="261">
        <f>SUMIFS('Budget - 2026'!$R:$R,'Budget - 2026'!$D:$D,'Summary - Avg Ck'!B14)</f>
        <v>474576</v>
      </c>
      <c r="I14" s="277">
        <f>SUMIFS('Budget - 2026'!$S:$S,'Budget - 2026'!$D:$D,'Summary - Avg Ck'!B14)</f>
        <v>3416</v>
      </c>
      <c r="J14" s="260">
        <f t="shared" si="3"/>
        <v>138.92740046838406</v>
      </c>
      <c r="L14" s="296" t="e">
        <f>SUMIFS(#REF!,#REF!,'Summary - Avg Ck'!B14)</f>
        <v>#REF!</v>
      </c>
      <c r="M14" s="168" t="e">
        <f>SUMIFS(#REF!,#REF!,'Summary - Avg Ck'!B14)</f>
        <v>#REF!</v>
      </c>
      <c r="N14" s="168" t="e">
        <f>SUMIFS(#REF!,#REF!,'Summary - Avg Ck'!B14)</f>
        <v>#REF!</v>
      </c>
      <c r="O14" s="168" t="e">
        <f>SUMIFS(#REF!,#REF!,'Summary - Avg Ck'!B14)</f>
        <v>#REF!</v>
      </c>
      <c r="P14" s="168" t="e">
        <f>SUMIFS(#REF!,#REF!,'Summary - Avg Ck'!B14)</f>
        <v>#REF!</v>
      </c>
      <c r="Q14" s="168" t="e">
        <f>SUMIFS(#REF!,#REF!,'Summary - Avg Ck'!B14)</f>
        <v>#REF!</v>
      </c>
      <c r="R14" s="168"/>
      <c r="S14" s="168"/>
      <c r="T14" s="300"/>
      <c r="U14" s="168"/>
      <c r="V14" s="168"/>
      <c r="W14" s="168"/>
      <c r="Z14" s="168" t="e">
        <f t="shared" ref="Z14:Z25" si="7">L14/O14</f>
        <v>#REF!</v>
      </c>
      <c r="AA14" s="168" t="e">
        <f t="shared" ref="AA14:AA25" si="8">M14/P14</f>
        <v>#REF!</v>
      </c>
      <c r="AB14" s="168" t="e">
        <f t="shared" ref="AB14:AB25" si="9">N14/Q14</f>
        <v>#REF!</v>
      </c>
    </row>
    <row r="15" spans="2:28">
      <c r="B15" s="269">
        <f t="shared" si="5"/>
        <v>32</v>
      </c>
      <c r="C15" s="261">
        <f>SUMIFS('Actual - 2026'!$K:$K,'Actual - 2026'!$C:$C,'Summary - Avg Ck'!B15)</f>
        <v>526652</v>
      </c>
      <c r="D15" s="277">
        <f>SUMIFS('Actual - 2026'!$L:$L,'Actual - 2026'!$C:$C,'Summary - Avg Ck'!B15)</f>
        <v>3850</v>
      </c>
      <c r="E15" s="290">
        <f t="shared" si="1"/>
        <v>136.79272727272726</v>
      </c>
      <c r="F15" s="260">
        <f t="shared" si="4"/>
        <v>139.83654552715655</v>
      </c>
      <c r="G15" s="200">
        <f t="shared" si="2"/>
        <v>2.2251316390240122E-2</v>
      </c>
      <c r="H15" s="261">
        <f>SUMIFS('Budget - 2026'!$R:$R,'Budget - 2026'!$D:$D,'Summary - Avg Ck'!B15)</f>
        <v>466934</v>
      </c>
      <c r="I15" s="277">
        <f>SUMIFS('Budget - 2026'!$S:$S,'Budget - 2026'!$D:$D,'Summary - Avg Ck'!B15)</f>
        <v>3351</v>
      </c>
      <c r="J15" s="260">
        <f t="shared" si="3"/>
        <v>139.34168904804537</v>
      </c>
      <c r="L15" s="296" t="e">
        <f>SUMIFS(#REF!,#REF!,'Summary - Avg Ck'!B15)</f>
        <v>#REF!</v>
      </c>
      <c r="M15" s="168" t="e">
        <f>SUMIFS(#REF!,#REF!,'Summary - Avg Ck'!B15)</f>
        <v>#REF!</v>
      </c>
      <c r="N15" s="168" t="e">
        <f>SUMIFS(#REF!,#REF!,'Summary - Avg Ck'!B15)</f>
        <v>#REF!</v>
      </c>
      <c r="O15" s="168" t="e">
        <f>SUMIFS(#REF!,#REF!,'Summary - Avg Ck'!B15)</f>
        <v>#REF!</v>
      </c>
      <c r="P15" s="168" t="e">
        <f>SUMIFS(#REF!,#REF!,'Summary - Avg Ck'!B15)</f>
        <v>#REF!</v>
      </c>
      <c r="Q15" s="168" t="e">
        <f>SUMIFS(#REF!,#REF!,'Summary - Avg Ck'!B15)</f>
        <v>#REF!</v>
      </c>
      <c r="R15" s="168"/>
      <c r="S15" s="168"/>
      <c r="T15" s="300"/>
      <c r="U15" s="168"/>
      <c r="V15" s="168"/>
      <c r="W15" s="168"/>
      <c r="Z15" s="168" t="e">
        <f t="shared" si="7"/>
        <v>#REF!</v>
      </c>
      <c r="AA15" s="168" t="e">
        <f t="shared" si="8"/>
        <v>#REF!</v>
      </c>
      <c r="AB15" s="168" t="e">
        <f t="shared" si="9"/>
        <v>#REF!</v>
      </c>
    </row>
    <row r="16" spans="2:28">
      <c r="B16" s="269">
        <f t="shared" si="5"/>
        <v>33</v>
      </c>
      <c r="C16" s="261">
        <f>SUMIFS('Actual - 2026'!$K:$K,'Actual - 2026'!$C:$C,'Summary - Avg Ck'!B16)</f>
        <v>525399.80000000005</v>
      </c>
      <c r="D16" s="277">
        <f>SUMIFS('Actual - 2026'!$L:$L,'Actual - 2026'!$C:$C,'Summary - Avg Ck'!B16)</f>
        <v>3938</v>
      </c>
      <c r="E16" s="290">
        <f t="shared" si="1"/>
        <v>133.4179278821737</v>
      </c>
      <c r="F16" s="260">
        <f t="shared" si="4"/>
        <v>136.91980432070392</v>
      </c>
      <c r="G16" s="200">
        <f t="shared" si="2"/>
        <v>2.6247420373841018E-2</v>
      </c>
      <c r="H16" s="261">
        <f>SUMIFS('Budget - 2026'!$R:$R,'Budget - 2026'!$D:$D,'Summary - Avg Ck'!B16)</f>
        <v>520635</v>
      </c>
      <c r="I16" s="277">
        <f>SUMIFS('Budget - 2026'!$S:$S,'Budget - 2026'!$D:$D,'Summary - Avg Ck'!B16)</f>
        <v>3749</v>
      </c>
      <c r="J16" s="260">
        <f t="shared" si="3"/>
        <v>138.873032808749</v>
      </c>
      <c r="L16" s="296" t="e">
        <f>SUMIFS(#REF!,#REF!,'Summary - Avg Ck'!B16)</f>
        <v>#REF!</v>
      </c>
      <c r="M16" s="168" t="e">
        <f>SUMIFS(#REF!,#REF!,'Summary - Avg Ck'!B16)</f>
        <v>#REF!</v>
      </c>
      <c r="N16" s="168" t="e">
        <f>SUMIFS(#REF!,#REF!,'Summary - Avg Ck'!B16)</f>
        <v>#REF!</v>
      </c>
      <c r="O16" s="168" t="e">
        <f>SUMIFS(#REF!,#REF!,'Summary - Avg Ck'!B16)</f>
        <v>#REF!</v>
      </c>
      <c r="P16" s="168" t="e">
        <f>SUMIFS(#REF!,#REF!,'Summary - Avg Ck'!B16)</f>
        <v>#REF!</v>
      </c>
      <c r="Q16" s="168" t="e">
        <f>SUMIFS(#REF!,#REF!,'Summary - Avg Ck'!B16)</f>
        <v>#REF!</v>
      </c>
      <c r="R16" s="168"/>
      <c r="S16" s="168"/>
      <c r="T16" s="300"/>
      <c r="U16" s="168"/>
      <c r="V16" s="168"/>
      <c r="W16" s="168"/>
      <c r="Z16" s="168" t="e">
        <f t="shared" si="7"/>
        <v>#REF!</v>
      </c>
      <c r="AA16" s="168" t="e">
        <f t="shared" si="8"/>
        <v>#REF!</v>
      </c>
      <c r="AB16" s="168" t="e">
        <f t="shared" si="9"/>
        <v>#REF!</v>
      </c>
    </row>
    <row r="17" spans="2:28">
      <c r="B17" s="269">
        <f t="shared" si="5"/>
        <v>34</v>
      </c>
      <c r="C17" s="261">
        <f>SUMIFS('Actual - 2026'!$K:$K,'Actual - 2026'!$C:$C,'Summary - Avg Ck'!B17)</f>
        <v>537706</v>
      </c>
      <c r="D17" s="277">
        <f>SUMIFS('Actual - 2026'!$L:$L,'Actual - 2026'!$C:$C,'Summary - Avg Ck'!B17)</f>
        <v>4050</v>
      </c>
      <c r="E17" s="290">
        <f t="shared" si="1"/>
        <v>132.76691358024692</v>
      </c>
      <c r="F17" s="260">
        <f t="shared" si="4"/>
        <v>135.07548645678455</v>
      </c>
      <c r="G17" s="200">
        <f t="shared" si="2"/>
        <v>1.7388164071030228E-2</v>
      </c>
      <c r="H17" s="261">
        <f>SUMIFS('Budget - 2026'!$R:$R,'Budget - 2026'!$D:$D,'Summary - Avg Ck'!B17)</f>
        <v>471976</v>
      </c>
      <c r="I17" s="277">
        <f>SUMIFS('Budget - 2026'!$S:$S,'Budget - 2026'!$D:$D,'Summary - Avg Ck'!B17)</f>
        <v>3386</v>
      </c>
      <c r="J17" s="260">
        <f t="shared" si="3"/>
        <v>139.39043118724157</v>
      </c>
      <c r="L17" s="296" t="e">
        <f>SUMIFS(#REF!,#REF!,'Summary - Avg Ck'!B17)</f>
        <v>#REF!</v>
      </c>
      <c r="M17" s="168" t="e">
        <f>SUMIFS(#REF!,#REF!,'Summary - Avg Ck'!B17)</f>
        <v>#REF!</v>
      </c>
      <c r="N17" s="168" t="e">
        <f>SUMIFS(#REF!,#REF!,'Summary - Avg Ck'!B17)</f>
        <v>#REF!</v>
      </c>
      <c r="O17" s="168" t="e">
        <f>SUMIFS(#REF!,#REF!,'Summary - Avg Ck'!B17)</f>
        <v>#REF!</v>
      </c>
      <c r="P17" s="168" t="e">
        <f>SUMIFS(#REF!,#REF!,'Summary - Avg Ck'!B17)</f>
        <v>#REF!</v>
      </c>
      <c r="Q17" s="168" t="e">
        <f>SUMIFS(#REF!,#REF!,'Summary - Avg Ck'!B17)</f>
        <v>#REF!</v>
      </c>
      <c r="R17" s="168"/>
      <c r="S17" s="168"/>
      <c r="T17" s="300"/>
      <c r="U17" s="168"/>
      <c r="V17" s="168"/>
      <c r="W17" s="168"/>
      <c r="Z17" s="168" t="e">
        <f t="shared" si="7"/>
        <v>#REF!</v>
      </c>
      <c r="AA17" s="168" t="e">
        <f t="shared" si="8"/>
        <v>#REF!</v>
      </c>
      <c r="AB17" s="168" t="e">
        <f t="shared" si="9"/>
        <v>#REF!</v>
      </c>
    </row>
    <row r="18" spans="2:28">
      <c r="B18" s="269">
        <f t="shared" si="5"/>
        <v>35</v>
      </c>
      <c r="C18" s="261">
        <f>SUMIFS('Actual - 2026'!$K:$K,'Actual - 2026'!$C:$C,'Summary - Avg Ck'!B18)</f>
        <v>0</v>
      </c>
      <c r="D18" s="277">
        <f>SUMIFS('Actual - 2026'!$L:$L,'Actual - 2026'!$C:$C,'Summary - Avg Ck'!B18)</f>
        <v>0</v>
      </c>
      <c r="E18" s="290">
        <f t="shared" si="1"/>
        <v>0</v>
      </c>
      <c r="F18" s="260">
        <f t="shared" si="4"/>
        <v>134.29276904882582</v>
      </c>
      <c r="G18" s="200" t="e">
        <f t="shared" si="2"/>
        <v>#DIV/0!</v>
      </c>
      <c r="H18" s="261">
        <f>SUMIFS('Budget - 2026'!$R:$R,'Budget - 2026'!$D:$D,'Summary - Avg Ck'!B18)</f>
        <v>552157</v>
      </c>
      <c r="I18" s="277">
        <f>SUMIFS('Budget - 2026'!$S:$S,'Budget - 2026'!$D:$D,'Summary - Avg Ck'!B18)</f>
        <v>3790</v>
      </c>
      <c r="J18" s="260">
        <f t="shared" si="3"/>
        <v>145.68786279683377</v>
      </c>
      <c r="L18" s="296" t="e">
        <f>SUMIFS(#REF!,#REF!,'Summary - Avg Ck'!B18)</f>
        <v>#REF!</v>
      </c>
      <c r="M18" s="168" t="e">
        <f>SUMIFS(#REF!,#REF!,'Summary - Avg Ck'!B18)</f>
        <v>#REF!</v>
      </c>
      <c r="N18" s="168" t="e">
        <f>SUMIFS(#REF!,#REF!,'Summary - Avg Ck'!B18)</f>
        <v>#REF!</v>
      </c>
      <c r="O18" s="168" t="e">
        <f>SUMIFS(#REF!,#REF!,'Summary - Avg Ck'!B18)</f>
        <v>#REF!</v>
      </c>
      <c r="P18" s="168" t="e">
        <f>SUMIFS(#REF!,#REF!,'Summary - Avg Ck'!B18)</f>
        <v>#REF!</v>
      </c>
      <c r="Q18" s="168" t="e">
        <f>SUMIFS(#REF!,#REF!,'Summary - Avg Ck'!B18)</f>
        <v>#REF!</v>
      </c>
      <c r="R18" s="168"/>
      <c r="S18" s="168"/>
      <c r="T18" s="300"/>
      <c r="U18" s="168"/>
      <c r="V18" s="168"/>
      <c r="W18" s="168"/>
      <c r="Z18" s="168" t="e">
        <f t="shared" si="7"/>
        <v>#REF!</v>
      </c>
      <c r="AA18" s="168" t="e">
        <f t="shared" si="8"/>
        <v>#REF!</v>
      </c>
      <c r="AB18" s="168" t="e">
        <f t="shared" si="9"/>
        <v>#REF!</v>
      </c>
    </row>
    <row r="19" spans="2:28">
      <c r="B19" s="269">
        <f t="shared" si="5"/>
        <v>36</v>
      </c>
      <c r="C19" s="261">
        <f>SUMIFS('Actual - 2026'!$K:$K,'Actual - 2026'!$C:$C,'Summary - Avg Ck'!B19)</f>
        <v>0</v>
      </c>
      <c r="D19" s="277">
        <f>SUMIFS('Actual - 2026'!$L:$L,'Actual - 2026'!$C:$C,'Summary - Avg Ck'!B19)</f>
        <v>0</v>
      </c>
      <c r="E19" s="290">
        <f t="shared" si="1"/>
        <v>0</v>
      </c>
      <c r="F19" s="260">
        <f t="shared" si="4"/>
        <v>133.08785678517776</v>
      </c>
      <c r="G19" s="200" t="e">
        <f t="shared" si="2"/>
        <v>#DIV/0!</v>
      </c>
      <c r="H19" s="261">
        <f>SUMIFS('Budget - 2026'!$R:$R,'Budget - 2026'!$D:$D,'Summary - Avg Ck'!B19)</f>
        <v>435252</v>
      </c>
      <c r="I19" s="277">
        <f>SUMIFS('Budget - 2026'!$S:$S,'Budget - 2026'!$D:$D,'Summary - Avg Ck'!B19)</f>
        <v>2940</v>
      </c>
      <c r="J19" s="260">
        <f t="shared" si="3"/>
        <v>148.04489795918369</v>
      </c>
      <c r="L19" s="296" t="e">
        <f>SUMIFS(#REF!,#REF!,'Summary - Avg Ck'!B19)</f>
        <v>#REF!</v>
      </c>
      <c r="M19" s="168" t="e">
        <f>SUMIFS(#REF!,#REF!,'Summary - Avg Ck'!B19)</f>
        <v>#REF!</v>
      </c>
      <c r="N19" s="168" t="e">
        <f>SUMIFS(#REF!,#REF!,'Summary - Avg Ck'!B19)</f>
        <v>#REF!</v>
      </c>
      <c r="O19" s="168" t="e">
        <f>SUMIFS(#REF!,#REF!,'Summary - Avg Ck'!B19)</f>
        <v>#REF!</v>
      </c>
      <c r="P19" s="168" t="e">
        <f>SUMIFS(#REF!,#REF!,'Summary - Avg Ck'!B19)</f>
        <v>#REF!</v>
      </c>
      <c r="Q19" s="168" t="e">
        <f>SUMIFS(#REF!,#REF!,'Summary - Avg Ck'!B19)</f>
        <v>#REF!</v>
      </c>
      <c r="R19" s="168"/>
      <c r="S19" s="168"/>
      <c r="T19" s="300"/>
      <c r="U19" s="168"/>
      <c r="V19" s="168"/>
      <c r="W19" s="168"/>
      <c r="Z19" s="168" t="e">
        <f t="shared" si="7"/>
        <v>#REF!</v>
      </c>
      <c r="AA19" s="168" t="e">
        <f t="shared" si="8"/>
        <v>#REF!</v>
      </c>
      <c r="AB19" s="168" t="e">
        <f t="shared" si="9"/>
        <v>#REF!</v>
      </c>
    </row>
    <row r="20" spans="2:28">
      <c r="B20" s="269">
        <f t="shared" si="5"/>
        <v>37</v>
      </c>
      <c r="C20" s="261">
        <f>SUMIFS('Actual - 2026'!$K:$K,'Actual - 2026'!$C:$C,'Summary - Avg Ck'!B20)</f>
        <v>0</v>
      </c>
      <c r="D20" s="277">
        <f>SUMIFS('Actual - 2026'!$L:$L,'Actual - 2026'!$C:$C,'Summary - Avg Ck'!B20)</f>
        <v>0</v>
      </c>
      <c r="E20" s="290">
        <f t="shared" si="1"/>
        <v>0</v>
      </c>
      <c r="F20" s="260">
        <f t="shared" si="4"/>
        <v>132.76691358024692</v>
      </c>
      <c r="G20" s="200" t="e">
        <f t="shared" si="2"/>
        <v>#DIV/0!</v>
      </c>
      <c r="H20" s="261">
        <f>SUMIFS('Budget - 2026'!$R:$R,'Budget - 2026'!$D:$D,'Summary - Avg Ck'!B20)</f>
        <v>495911</v>
      </c>
      <c r="I20" s="277">
        <f>SUMIFS('Budget - 2026'!$S:$S,'Budget - 2026'!$D:$D,'Summary - Avg Ck'!B20)</f>
        <v>3377</v>
      </c>
      <c r="J20" s="260">
        <f t="shared" si="3"/>
        <v>146.84957062481493</v>
      </c>
      <c r="L20" s="296" t="e">
        <f>SUMIFS(#REF!,#REF!,'Summary - Avg Ck'!B20)</f>
        <v>#REF!</v>
      </c>
      <c r="M20" s="168" t="e">
        <f>SUMIFS(#REF!,#REF!,'Summary - Avg Ck'!B20)</f>
        <v>#REF!</v>
      </c>
      <c r="N20" s="168" t="e">
        <f>SUMIFS(#REF!,#REF!,'Summary - Avg Ck'!B20)</f>
        <v>#REF!</v>
      </c>
      <c r="O20" s="168" t="e">
        <f>SUMIFS(#REF!,#REF!,'Summary - Avg Ck'!B20)</f>
        <v>#REF!</v>
      </c>
      <c r="P20" s="168" t="e">
        <f>SUMIFS(#REF!,#REF!,'Summary - Avg Ck'!B20)</f>
        <v>#REF!</v>
      </c>
      <c r="Q20" s="168" t="e">
        <f>SUMIFS(#REF!,#REF!,'Summary - Avg Ck'!B20)</f>
        <v>#REF!</v>
      </c>
      <c r="R20" s="168"/>
      <c r="S20" s="168"/>
      <c r="T20" s="300"/>
      <c r="U20" s="168"/>
      <c r="V20" s="168"/>
      <c r="W20" s="168"/>
      <c r="Z20" s="168" t="e">
        <f t="shared" si="7"/>
        <v>#REF!</v>
      </c>
      <c r="AA20" s="168" t="e">
        <f t="shared" si="8"/>
        <v>#REF!</v>
      </c>
      <c r="AB20" s="168" t="e">
        <f t="shared" si="9"/>
        <v>#REF!</v>
      </c>
    </row>
    <row r="21" spans="2:28">
      <c r="B21" s="269">
        <f t="shared" si="5"/>
        <v>38</v>
      </c>
      <c r="C21" s="261">
        <f>SUMIFS('Actual - 2026'!$K:$K,'Actual - 2026'!$C:$C,'Summary - Avg Ck'!B21)</f>
        <v>0</v>
      </c>
      <c r="D21" s="277">
        <f>SUMIFS('Actual - 2026'!$L:$L,'Actual - 2026'!$C:$C,'Summary - Avg Ck'!B21)</f>
        <v>0</v>
      </c>
      <c r="E21" s="290">
        <f t="shared" si="1"/>
        <v>0</v>
      </c>
      <c r="F21" s="260" t="e">
        <f t="shared" si="4"/>
        <v>#DIV/0!</v>
      </c>
      <c r="G21" s="200" t="e">
        <f t="shared" si="2"/>
        <v>#DIV/0!</v>
      </c>
      <c r="H21" s="261">
        <f>SUMIFS('Budget - 2026'!$R:$R,'Budget - 2026'!$D:$D,'Summary - Avg Ck'!B21)</f>
        <v>500317</v>
      </c>
      <c r="I21" s="277">
        <f>SUMIFS('Budget - 2026'!$S:$S,'Budget - 2026'!$D:$D,'Summary - Avg Ck'!B21)</f>
        <v>3375</v>
      </c>
      <c r="J21" s="260">
        <f t="shared" si="3"/>
        <v>148.24207407407408</v>
      </c>
      <c r="L21" s="296" t="e">
        <f>SUMIFS(#REF!,#REF!,'Summary - Avg Ck'!B21)</f>
        <v>#REF!</v>
      </c>
      <c r="M21" s="168" t="e">
        <f>SUMIFS(#REF!,#REF!,'Summary - Avg Ck'!B21)</f>
        <v>#REF!</v>
      </c>
      <c r="N21" s="168" t="e">
        <f>SUMIFS(#REF!,#REF!,'Summary - Avg Ck'!B21)</f>
        <v>#REF!</v>
      </c>
      <c r="O21" s="168" t="e">
        <f>SUMIFS(#REF!,#REF!,'Summary - Avg Ck'!B21)</f>
        <v>#REF!</v>
      </c>
      <c r="P21" s="168" t="e">
        <f>SUMIFS(#REF!,#REF!,'Summary - Avg Ck'!B21)</f>
        <v>#REF!</v>
      </c>
      <c r="Q21" s="168" t="e">
        <f>SUMIFS(#REF!,#REF!,'Summary - Avg Ck'!B21)</f>
        <v>#REF!</v>
      </c>
      <c r="R21" s="168"/>
      <c r="S21" s="168"/>
      <c r="T21" s="300"/>
      <c r="U21" s="168"/>
      <c r="V21" s="168"/>
      <c r="W21" s="168"/>
      <c r="Z21" s="168" t="e">
        <f t="shared" si="7"/>
        <v>#REF!</v>
      </c>
      <c r="AA21" s="168" t="e">
        <f t="shared" si="8"/>
        <v>#REF!</v>
      </c>
      <c r="AB21" s="168" t="e">
        <f t="shared" si="9"/>
        <v>#REF!</v>
      </c>
    </row>
    <row r="22" spans="2:28">
      <c r="B22" s="269">
        <f t="shared" si="5"/>
        <v>39</v>
      </c>
      <c r="C22" s="261">
        <f>SUMIFS('Actual - 2026'!$K:$K,'Actual - 2026'!$C:$C,'Summary - Avg Ck'!B22)</f>
        <v>0</v>
      </c>
      <c r="D22" s="277">
        <f>SUMIFS('Actual - 2026'!$L:$L,'Actual - 2026'!$C:$C,'Summary - Avg Ck'!B22)</f>
        <v>0</v>
      </c>
      <c r="E22" s="290">
        <f t="shared" si="1"/>
        <v>0</v>
      </c>
      <c r="F22" s="260" t="e">
        <f t="shared" si="4"/>
        <v>#DIV/0!</v>
      </c>
      <c r="G22" s="200" t="e">
        <f t="shared" si="2"/>
        <v>#DIV/0!</v>
      </c>
      <c r="H22" s="261">
        <f>SUMIFS('Budget - 2026'!$R:$R,'Budget - 2026'!$D:$D,'Summary - Avg Ck'!B22)</f>
        <v>514288</v>
      </c>
      <c r="I22" s="277">
        <f>SUMIFS('Budget - 2026'!$S:$S,'Budget - 2026'!$D:$D,'Summary - Avg Ck'!B22)</f>
        <v>3480</v>
      </c>
      <c r="J22" s="260">
        <f t="shared" si="3"/>
        <v>147.783908045977</v>
      </c>
      <c r="L22" s="296" t="e">
        <f>SUMIFS(#REF!,#REF!,'Summary - Avg Ck'!B22)</f>
        <v>#REF!</v>
      </c>
      <c r="M22" s="168" t="e">
        <f>SUMIFS(#REF!,#REF!,'Summary - Avg Ck'!B22)</f>
        <v>#REF!</v>
      </c>
      <c r="N22" s="168" t="e">
        <f>SUMIFS(#REF!,#REF!,'Summary - Avg Ck'!B22)</f>
        <v>#REF!</v>
      </c>
      <c r="O22" s="168" t="e">
        <f>SUMIFS(#REF!,#REF!,'Summary - Avg Ck'!B22)</f>
        <v>#REF!</v>
      </c>
      <c r="P22" s="168" t="e">
        <f>SUMIFS(#REF!,#REF!,'Summary - Avg Ck'!B22)</f>
        <v>#REF!</v>
      </c>
      <c r="Q22" s="168" t="e">
        <f>SUMIFS(#REF!,#REF!,'Summary - Avg Ck'!B22)</f>
        <v>#REF!</v>
      </c>
      <c r="R22" s="168"/>
      <c r="S22" s="168"/>
      <c r="T22" s="300"/>
      <c r="U22" s="168"/>
      <c r="V22" s="168"/>
      <c r="W22" s="168"/>
      <c r="Z22" s="168" t="e">
        <f t="shared" si="7"/>
        <v>#REF!</v>
      </c>
      <c r="AA22" s="168" t="e">
        <f t="shared" si="8"/>
        <v>#REF!</v>
      </c>
      <c r="AB22" s="168" t="e">
        <f t="shared" si="9"/>
        <v>#REF!</v>
      </c>
    </row>
    <row r="23" spans="2:28">
      <c r="B23" s="269">
        <f t="shared" si="5"/>
        <v>40</v>
      </c>
      <c r="C23" s="261">
        <f>SUMIFS('Actual - 2026'!$K:$K,'Actual - 2026'!$C:$C,'Summary - Avg Ck'!B23)</f>
        <v>0</v>
      </c>
      <c r="D23" s="277">
        <f>SUMIFS('Actual - 2026'!$L:$L,'Actual - 2026'!$C:$C,'Summary - Avg Ck'!B23)</f>
        <v>0</v>
      </c>
      <c r="E23" s="290">
        <f t="shared" si="1"/>
        <v>0</v>
      </c>
      <c r="F23" s="260" t="e">
        <f t="shared" si="4"/>
        <v>#DIV/0!</v>
      </c>
      <c r="G23" s="200" t="e">
        <f t="shared" si="2"/>
        <v>#DIV/0!</v>
      </c>
      <c r="H23" s="261">
        <f>SUMIFS('Budget - 2026'!$R:$R,'Budget - 2026'!$D:$D,'Summary - Avg Ck'!B23)</f>
        <v>459903</v>
      </c>
      <c r="I23" s="277">
        <f>SUMIFS('Budget - 2026'!$S:$S,'Budget - 2026'!$D:$D,'Summary - Avg Ck'!B23)</f>
        <v>2915</v>
      </c>
      <c r="J23" s="260">
        <f t="shared" si="3"/>
        <v>157.7711835334477</v>
      </c>
      <c r="L23" s="296" t="e">
        <f>SUMIFS(#REF!,#REF!,'Summary - Avg Ck'!B23)</f>
        <v>#REF!</v>
      </c>
      <c r="M23" s="168" t="e">
        <f>SUMIFS(#REF!,#REF!,'Summary - Avg Ck'!B23)</f>
        <v>#REF!</v>
      </c>
      <c r="N23" s="168" t="e">
        <f>SUMIFS(#REF!,#REF!,'Summary - Avg Ck'!B23)</f>
        <v>#REF!</v>
      </c>
      <c r="O23" s="168" t="e">
        <f>SUMIFS(#REF!,#REF!,'Summary - Avg Ck'!B23)</f>
        <v>#REF!</v>
      </c>
      <c r="P23" s="168" t="e">
        <f>SUMIFS(#REF!,#REF!,'Summary - Avg Ck'!B23)</f>
        <v>#REF!</v>
      </c>
      <c r="Q23" s="168" t="e">
        <f>SUMIFS(#REF!,#REF!,'Summary - Avg Ck'!B23)</f>
        <v>#REF!</v>
      </c>
      <c r="R23" s="168"/>
      <c r="S23" s="168"/>
      <c r="T23" s="300"/>
      <c r="U23" s="168"/>
      <c r="V23" s="168"/>
      <c r="W23" s="168"/>
      <c r="Z23" s="168" t="e">
        <f t="shared" si="7"/>
        <v>#REF!</v>
      </c>
      <c r="AA23" s="168" t="e">
        <f t="shared" si="8"/>
        <v>#REF!</v>
      </c>
      <c r="AB23" s="168" t="e">
        <f t="shared" si="9"/>
        <v>#REF!</v>
      </c>
    </row>
    <row r="24" spans="2:28">
      <c r="B24" s="269">
        <f>B25-1</f>
        <v>41</v>
      </c>
      <c r="C24" s="261">
        <f>SUMIFS('Actual - 2026'!$K:$K,'Actual - 2026'!$C:$C,'Summary - Avg Ck'!B24)</f>
        <v>0</v>
      </c>
      <c r="D24" s="277">
        <f>SUMIFS('Actual - 2026'!$L:$L,'Actual - 2026'!$C:$C,'Summary - Avg Ck'!B24)</f>
        <v>0</v>
      </c>
      <c r="E24" s="290">
        <f t="shared" si="1"/>
        <v>0</v>
      </c>
      <c r="F24" s="260" t="e">
        <f t="shared" si="4"/>
        <v>#DIV/0!</v>
      </c>
      <c r="G24" s="200" t="e">
        <f t="shared" si="2"/>
        <v>#DIV/0!</v>
      </c>
      <c r="H24" s="261">
        <f>SUMIFS('Budget - 2026'!$R:$R,'Budget - 2026'!$D:$D,'Summary - Avg Ck'!B24)</f>
        <v>566071</v>
      </c>
      <c r="I24" s="277">
        <f>SUMIFS('Budget - 2026'!$S:$S,'Budget - 2026'!$D:$D,'Summary - Avg Ck'!B24)</f>
        <v>3600</v>
      </c>
      <c r="J24" s="260">
        <f t="shared" si="3"/>
        <v>157.24194444444444</v>
      </c>
      <c r="L24" s="296" t="e">
        <f>SUMIFS(#REF!,#REF!,'Summary - Avg Ck'!B24)</f>
        <v>#REF!</v>
      </c>
      <c r="M24" s="168" t="e">
        <f>SUMIFS(#REF!,#REF!,'Summary - Avg Ck'!B24)</f>
        <v>#REF!</v>
      </c>
      <c r="N24" s="168" t="e">
        <f>SUMIFS(#REF!,#REF!,'Summary - Avg Ck'!B24)</f>
        <v>#REF!</v>
      </c>
      <c r="O24" s="168" t="e">
        <f>SUMIFS(#REF!,#REF!,'Summary - Avg Ck'!B24)</f>
        <v>#REF!</v>
      </c>
      <c r="P24" s="168" t="e">
        <f>SUMIFS(#REF!,#REF!,'Summary - Avg Ck'!B24)</f>
        <v>#REF!</v>
      </c>
      <c r="Q24" s="168" t="e">
        <f>SUMIFS(#REF!,#REF!,'Summary - Avg Ck'!B24)</f>
        <v>#REF!</v>
      </c>
      <c r="R24" s="168"/>
      <c r="S24" s="168"/>
      <c r="T24" s="300"/>
      <c r="U24" s="168"/>
      <c r="V24" s="168"/>
      <c r="W24" s="168"/>
      <c r="Z24" s="168" t="e">
        <f t="shared" si="7"/>
        <v>#REF!</v>
      </c>
      <c r="AA24" s="168" t="e">
        <f t="shared" si="8"/>
        <v>#REF!</v>
      </c>
      <c r="AB24" s="168" t="e">
        <f t="shared" si="9"/>
        <v>#REF!</v>
      </c>
    </row>
    <row r="25" spans="2:28">
      <c r="B25" s="259">
        <v>42</v>
      </c>
      <c r="C25" s="261">
        <f>SUMIFS('Actual - 2026'!$K:$K,'Actual - 2026'!$C:$C,'Summary - Avg Ck'!B25)</f>
        <v>0</v>
      </c>
      <c r="D25" s="277">
        <f>SUMIFS('Actual - 2026'!$L:$L,'Actual - 2026'!$C:$C,'Summary - Avg Ck'!B25)</f>
        <v>0</v>
      </c>
      <c r="E25" s="290">
        <f>IFERROR(C25/D25,0)</f>
        <v>0</v>
      </c>
      <c r="F25" s="260" t="e">
        <f t="shared" si="4"/>
        <v>#DIV/0!</v>
      </c>
      <c r="G25" s="200" t="e">
        <f t="shared" si="2"/>
        <v>#DIV/0!</v>
      </c>
      <c r="H25" s="261">
        <f>SUMIFS('Budget - 2026'!$R:$R,'Budget - 2026'!$D:$D,'Summary - Avg Ck'!B25)</f>
        <v>603868</v>
      </c>
      <c r="I25" s="277">
        <f>SUMIFS('Budget - 2026'!$S:$S,'Budget - 2026'!$D:$D,'Summary - Avg Ck'!B25)</f>
        <v>3820</v>
      </c>
      <c r="J25" s="260">
        <f t="shared" si="3"/>
        <v>158.08062827225132</v>
      </c>
      <c r="K25" s="273"/>
      <c r="L25" s="296" t="e">
        <f>SUMIFS(#REF!,#REF!,'Summary - Avg Ck'!B25)</f>
        <v>#REF!</v>
      </c>
      <c r="M25" s="168" t="e">
        <f>SUMIFS(#REF!,#REF!,'Summary - Avg Ck'!B25)</f>
        <v>#REF!</v>
      </c>
      <c r="N25" s="168" t="e">
        <f>SUMIFS(#REF!,#REF!,'Summary - Avg Ck'!B25)</f>
        <v>#REF!</v>
      </c>
      <c r="O25" s="168" t="e">
        <f>SUMIFS(#REF!,#REF!,'Summary - Avg Ck'!B25)</f>
        <v>#REF!</v>
      </c>
      <c r="P25" s="168" t="e">
        <f>SUMIFS(#REF!,#REF!,'Summary - Avg Ck'!B25)</f>
        <v>#REF!</v>
      </c>
      <c r="Q25" s="168" t="e">
        <f>SUMIFS(#REF!,#REF!,'Summary - Avg Ck'!B25)</f>
        <v>#REF!</v>
      </c>
      <c r="R25" s="168"/>
      <c r="S25" s="168"/>
      <c r="T25" s="300"/>
      <c r="U25" s="168"/>
      <c r="V25" s="168"/>
      <c r="W25" s="168"/>
      <c r="Z25" s="168" t="e">
        <f t="shared" si="7"/>
        <v>#REF!</v>
      </c>
      <c r="AA25" s="168" t="e">
        <f t="shared" si="8"/>
        <v>#REF!</v>
      </c>
      <c r="AB25" s="168" t="e">
        <f t="shared" si="9"/>
        <v>#REF!</v>
      </c>
    </row>
    <row r="26" spans="2:28">
      <c r="E26" s="260"/>
      <c r="F26" s="260"/>
      <c r="G26" s="260"/>
      <c r="J26" s="260"/>
      <c r="K26" s="273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</row>
    <row r="27" spans="2:28" ht="21">
      <c r="B27" s="421" t="s">
        <v>9</v>
      </c>
      <c r="C27" s="421"/>
      <c r="D27" s="421"/>
      <c r="E27" s="421"/>
      <c r="F27" s="421"/>
      <c r="G27" s="421"/>
      <c r="H27" s="421"/>
      <c r="I27" s="421"/>
      <c r="J27" s="421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</row>
    <row r="28" spans="2:28">
      <c r="B28" s="272"/>
      <c r="C28" s="272"/>
      <c r="D28" s="274"/>
      <c r="E28" s="272"/>
      <c r="F28" s="272"/>
      <c r="G28" s="272"/>
      <c r="H28" s="272"/>
      <c r="I28" s="274"/>
      <c r="J28" s="272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</row>
    <row r="29" spans="2:28" s="285" customFormat="1">
      <c r="B29" s="281" t="s">
        <v>9</v>
      </c>
      <c r="C29" s="282" t="str">
        <f>C7</f>
        <v>Sales</v>
      </c>
      <c r="D29" s="282" t="str">
        <f>D7</f>
        <v>Covers</v>
      </c>
      <c r="E29" s="281" t="s">
        <v>218</v>
      </c>
      <c r="F29" s="283" t="s">
        <v>219</v>
      </c>
      <c r="G29" s="281" t="s">
        <v>220</v>
      </c>
      <c r="H29" s="282" t="str">
        <f>H7</f>
        <v>Sales</v>
      </c>
      <c r="I29" s="282" t="str">
        <f>I7</f>
        <v>LY Covers</v>
      </c>
      <c r="J29" s="282" t="str">
        <f>J7</f>
        <v>LY Avg Check</v>
      </c>
      <c r="L29" s="295" t="s">
        <v>223</v>
      </c>
      <c r="M29" s="295" t="s">
        <v>224</v>
      </c>
      <c r="N29" s="295" t="s">
        <v>225</v>
      </c>
      <c r="O29" s="295" t="s">
        <v>223</v>
      </c>
      <c r="P29" s="295" t="s">
        <v>224</v>
      </c>
      <c r="Q29" s="295" t="s">
        <v>225</v>
      </c>
      <c r="R29" s="295" t="s">
        <v>226</v>
      </c>
      <c r="S29" s="295" t="s">
        <v>227</v>
      </c>
      <c r="T29" s="295" t="s">
        <v>228</v>
      </c>
      <c r="U29" s="295" t="s">
        <v>226</v>
      </c>
      <c r="V29" s="295" t="s">
        <v>227</v>
      </c>
      <c r="W29" s="295" t="s">
        <v>228</v>
      </c>
    </row>
    <row r="30" spans="2:28">
      <c r="B30" s="267"/>
      <c r="C30" s="267"/>
      <c r="D30" s="276"/>
      <c r="E30" s="267"/>
      <c r="F30" s="271"/>
      <c r="G30" s="267"/>
      <c r="H30" s="267"/>
      <c r="I30" s="276"/>
      <c r="J30" s="271"/>
      <c r="L30" s="420" t="s">
        <v>71</v>
      </c>
      <c r="M30" s="420"/>
      <c r="N30" s="420"/>
      <c r="O30" s="420" t="s">
        <v>63</v>
      </c>
      <c r="P30" s="420"/>
      <c r="Q30" s="420"/>
      <c r="R30" s="420" t="s">
        <v>71</v>
      </c>
      <c r="S30" s="420"/>
      <c r="T30" s="420"/>
      <c r="U30" s="420" t="s">
        <v>63</v>
      </c>
      <c r="V30" s="420"/>
      <c r="W30" s="420"/>
    </row>
    <row r="31" spans="2:28" ht="14.45" customHeight="1" outlineLevel="1">
      <c r="B31" s="269">
        <f t="shared" ref="B31:B47" si="10">B9</f>
        <v>26</v>
      </c>
      <c r="C31">
        <f>SUMIFS('Actual - 2026'!$W:$W,'Actual - 2026'!$C:$C,'Summary - Avg Ck'!B9)</f>
        <v>323459.28000000003</v>
      </c>
      <c r="D31" s="278">
        <f>SUMIFS('Actual - 2026'!$X:$X,'Actual - 2026'!$C:$C,'Summary - Avg Ck'!B9)</f>
        <v>1105</v>
      </c>
      <c r="E31" s="260">
        <f t="shared" ref="E31" si="11">IFERROR(C31/D31,0)</f>
        <v>292.72333031674208</v>
      </c>
      <c r="F31" s="260">
        <f t="shared" ref="F31:F47" si="12">SUM(C28:C31)/SUM(D28:D31)</f>
        <v>292.72333031674208</v>
      </c>
      <c r="G31" s="270">
        <f t="shared" ref="G31:G47" si="13">(F31-E31)/E31</f>
        <v>0</v>
      </c>
      <c r="H31">
        <f>SUMIFS('Budget - 2026'!$AS:$AS,'Budget - 2026'!$D:$D,'Summary - Avg Ck'!B31)</f>
        <v>209711</v>
      </c>
      <c r="I31" s="278">
        <f>SUMIFS('Budget - 2026'!$AT:$AT,'Budget - 2026'!$D:$D,'Summary - Avg Ck'!B31)</f>
        <v>1035</v>
      </c>
      <c r="J31" s="260">
        <f t="shared" ref="J31:J47" si="14">IFERROR(H31/I31,0)</f>
        <v>202.6193236714976</v>
      </c>
      <c r="L31" s="296" t="e">
        <f>SUMIFS(#REF!,#REF!,'Summary - Avg Ck'!B31)</f>
        <v>#REF!</v>
      </c>
      <c r="M31" s="280" t="e">
        <f>SUMIFS(#REF!,#REF!,'Summary - Avg Ck'!B31)</f>
        <v>#REF!</v>
      </c>
      <c r="N31" s="280" t="e">
        <f>SUMIFS(#REF!,#REF!,'Summary - Avg Ck'!B31)</f>
        <v>#REF!</v>
      </c>
      <c r="O31" s="297" t="e">
        <f>SUMIFS(#REF!,#REF!,'Summary - Avg Ck'!B31)</f>
        <v>#REF!</v>
      </c>
      <c r="P31" s="297" t="e">
        <f>SUMIFS(#REF!,#REF!,'Summary - Avg Ck'!B31)</f>
        <v>#REF!</v>
      </c>
      <c r="Q31" s="297" t="e">
        <f>SUMIFS(#REF!,#REF!,'Summary - Avg Ck'!B31)</f>
        <v>#REF!</v>
      </c>
      <c r="R31" s="168"/>
      <c r="S31" s="168"/>
      <c r="T31" s="168"/>
      <c r="U31" s="168"/>
      <c r="V31" s="168"/>
      <c r="W31" s="168"/>
    </row>
    <row r="32" spans="2:28" ht="14.45" customHeight="1" outlineLevel="1">
      <c r="B32" s="269">
        <f t="shared" si="10"/>
        <v>27</v>
      </c>
      <c r="C32">
        <f>SUMIFS('Actual - 2026'!$W:$W,'Actual - 2026'!$C:$C,'Summary - Avg Ck'!B10)</f>
        <v>205993.04</v>
      </c>
      <c r="D32" s="278">
        <f>SUMIFS('Actual - 2026'!$X:$X,'Actual - 2026'!$C:$C,'Summary - Avg Ck'!B10)</f>
        <v>922</v>
      </c>
      <c r="E32" s="260">
        <f t="shared" ref="E32:E47" si="15">IFERROR(C32/D32,0)</f>
        <v>223.41978308026032</v>
      </c>
      <c r="F32" s="260">
        <f t="shared" si="12"/>
        <v>261.19996053280715</v>
      </c>
      <c r="G32" s="270">
        <f t="shared" si="13"/>
        <v>0.16909951720333941</v>
      </c>
      <c r="H32">
        <f>SUMIFS('Budget - 2026'!$AS:$AS,'Budget - 2026'!$D:$D,'Summary - Avg Ck'!B32)</f>
        <v>184809.87</v>
      </c>
      <c r="I32" s="278">
        <f>SUMIFS('Budget - 2026'!$AT:$AT,'Budget - 2026'!$D:$D,'Summary - Avg Ck'!B32)</f>
        <v>776</v>
      </c>
      <c r="J32" s="260">
        <f t="shared" si="14"/>
        <v>238.15704896907215</v>
      </c>
      <c r="L32" s="296" t="e">
        <f>SUMIFS(#REF!,#REF!,'Summary - Avg Ck'!B32)</f>
        <v>#REF!</v>
      </c>
      <c r="M32" s="280" t="e">
        <f>SUMIFS(#REF!,#REF!,'Summary - Avg Ck'!B32)</f>
        <v>#REF!</v>
      </c>
      <c r="N32" s="280" t="e">
        <f>SUMIFS(#REF!,#REF!,'Summary - Avg Ck'!B32)</f>
        <v>#REF!</v>
      </c>
      <c r="O32" s="297" t="e">
        <f>SUMIFS(#REF!,#REF!,'Summary - Avg Ck'!B32)</f>
        <v>#REF!</v>
      </c>
      <c r="P32" s="297" t="e">
        <f>SUMIFS(#REF!,#REF!,'Summary - Avg Ck'!B32)</f>
        <v>#REF!</v>
      </c>
      <c r="Q32" s="297" t="e">
        <f>SUMIFS(#REF!,#REF!,'Summary - Avg Ck'!B32)</f>
        <v>#REF!</v>
      </c>
      <c r="R32" s="299"/>
      <c r="S32" s="299"/>
      <c r="T32" s="299"/>
      <c r="U32" s="168"/>
      <c r="V32" s="168"/>
      <c r="W32" s="168"/>
    </row>
    <row r="33" spans="2:23" ht="14.45" customHeight="1" outlineLevel="1">
      <c r="B33" s="269">
        <f t="shared" si="10"/>
        <v>28</v>
      </c>
      <c r="C33">
        <f>SUMIFS('Actual - 2026'!$W:$W,'Actual - 2026'!$C:$C,'Summary - Avg Ck'!B11)</f>
        <v>338281.25</v>
      </c>
      <c r="D33" s="278">
        <f>SUMIFS('Actual - 2026'!$X:$X,'Actual - 2026'!$C:$C,'Summary - Avg Ck'!B11)</f>
        <v>1085</v>
      </c>
      <c r="E33" s="260">
        <f t="shared" si="15"/>
        <v>311.7799539170507</v>
      </c>
      <c r="F33" s="260">
        <f t="shared" si="12"/>
        <v>278.83469473007716</v>
      </c>
      <c r="G33" s="270">
        <f t="shared" si="13"/>
        <v>-0.10566830475489343</v>
      </c>
      <c r="H33">
        <f>SUMIFS('Budget - 2026'!$AS:$AS,'Budget - 2026'!$D:$D,'Summary - Avg Ck'!B33)</f>
        <v>201178.43999999997</v>
      </c>
      <c r="I33" s="278">
        <f>SUMIFS('Budget - 2026'!$AT:$AT,'Budget - 2026'!$D:$D,'Summary - Avg Ck'!B33)</f>
        <v>788</v>
      </c>
      <c r="J33" s="260">
        <f t="shared" si="14"/>
        <v>255.30258883248729</v>
      </c>
      <c r="L33" s="296" t="e">
        <f>SUMIFS(#REF!,#REF!,'Summary - Avg Ck'!B33)</f>
        <v>#REF!</v>
      </c>
      <c r="M33" s="280" t="e">
        <f>SUMIFS(#REF!,#REF!,'Summary - Avg Ck'!B33)</f>
        <v>#REF!</v>
      </c>
      <c r="N33" s="280" t="e">
        <f>SUMIFS(#REF!,#REF!,'Summary - Avg Ck'!B33)</f>
        <v>#REF!</v>
      </c>
      <c r="O33" s="297" t="e">
        <f>SUMIFS(#REF!,#REF!,'Summary - Avg Ck'!B33)</f>
        <v>#REF!</v>
      </c>
      <c r="P33" s="297" t="e">
        <f>SUMIFS(#REF!,#REF!,'Summary - Avg Ck'!B33)</f>
        <v>#REF!</v>
      </c>
      <c r="Q33" s="297" t="e">
        <f>SUMIFS(#REF!,#REF!,'Summary - Avg Ck'!B33)</f>
        <v>#REF!</v>
      </c>
      <c r="R33" s="297"/>
      <c r="S33" s="297"/>
      <c r="T33" s="297"/>
      <c r="U33" s="168"/>
      <c r="V33" s="168"/>
      <c r="W33" s="168"/>
    </row>
    <row r="34" spans="2:23" ht="14.45" customHeight="1" outlineLevel="1">
      <c r="B34" s="269">
        <f t="shared" si="10"/>
        <v>29</v>
      </c>
      <c r="C34">
        <f>SUMIFS('Actual - 2026'!$W:$W,'Actual - 2026'!$C:$C,'Summary - Avg Ck'!B12)</f>
        <v>233056.01</v>
      </c>
      <c r="D34" s="278">
        <f>SUMIFS('Actual - 2026'!$X:$X,'Actual - 2026'!$C:$C,'Summary - Avg Ck'!B12)</f>
        <v>1002</v>
      </c>
      <c r="E34" s="260">
        <f t="shared" si="15"/>
        <v>232.59082834331338</v>
      </c>
      <c r="F34" s="260">
        <f t="shared" si="12"/>
        <v>267.57160427807486</v>
      </c>
      <c r="G34" s="270">
        <f t="shared" si="13"/>
        <v>0.15039619654790712</v>
      </c>
      <c r="H34">
        <f>SUMIFS('Budget - 2026'!$AS:$AS,'Budget - 2026'!$D:$D,'Summary - Avg Ck'!B34)</f>
        <v>192750.13</v>
      </c>
      <c r="I34" s="278">
        <f>SUMIFS('Budget - 2026'!$AT:$AT,'Budget - 2026'!$D:$D,'Summary - Avg Ck'!B34)</f>
        <v>909</v>
      </c>
      <c r="J34" s="260">
        <f t="shared" si="14"/>
        <v>212.04634763476349</v>
      </c>
      <c r="L34" s="296" t="e">
        <f>SUMIFS(#REF!,#REF!,'Summary - Avg Ck'!B34)</f>
        <v>#REF!</v>
      </c>
      <c r="M34" s="280" t="e">
        <f>SUMIFS(#REF!,#REF!,'Summary - Avg Ck'!B34)</f>
        <v>#REF!</v>
      </c>
      <c r="N34" s="280" t="e">
        <f>SUMIFS(#REF!,#REF!,'Summary - Avg Ck'!B34)</f>
        <v>#REF!</v>
      </c>
      <c r="O34" s="297" t="e">
        <f>SUMIFS(#REF!,#REF!,'Summary - Avg Ck'!B34)</f>
        <v>#REF!</v>
      </c>
      <c r="P34" s="297" t="e">
        <f>SUMIFS(#REF!,#REF!,'Summary - Avg Ck'!B34)</f>
        <v>#REF!</v>
      </c>
      <c r="Q34" s="297" t="e">
        <f>SUMIFS(#REF!,#REF!,'Summary - Avg Ck'!B34)</f>
        <v>#REF!</v>
      </c>
      <c r="R34" s="297"/>
      <c r="S34" s="297"/>
      <c r="T34" s="297"/>
      <c r="U34" s="168"/>
      <c r="V34" s="168"/>
      <c r="W34" s="168"/>
    </row>
    <row r="35" spans="2:23">
      <c r="B35" s="269">
        <f t="shared" si="10"/>
        <v>30</v>
      </c>
      <c r="C35">
        <f>SUMIFS('Actual - 2026'!$W:$W,'Actual - 2026'!$C:$C,'Summary - Avg Ck'!B13)</f>
        <v>243731.4</v>
      </c>
      <c r="D35" s="278">
        <f>SUMIFS('Actual - 2026'!$X:$X,'Actual - 2026'!$C:$C,'Summary - Avg Ck'!B13)</f>
        <v>981</v>
      </c>
      <c r="E35" s="290">
        <f t="shared" si="15"/>
        <v>248.45198776758409</v>
      </c>
      <c r="F35" s="260">
        <f t="shared" si="12"/>
        <v>255.90518796992484</v>
      </c>
      <c r="G35" s="200">
        <f t="shared" si="13"/>
        <v>2.9998553319335462E-2</v>
      </c>
      <c r="H35">
        <f>SUMIFS('Budget - 2026'!$AS:$AS,'Budget - 2026'!$D:$D,'Summary - Avg Ck'!B35)</f>
        <v>234800.15</v>
      </c>
      <c r="I35" s="278">
        <f>SUMIFS('Budget - 2026'!$AT:$AT,'Budget - 2026'!$D:$D,'Summary - Avg Ck'!B35)</f>
        <v>993</v>
      </c>
      <c r="J35" s="260">
        <f t="shared" si="14"/>
        <v>236.4553373615307</v>
      </c>
      <c r="L35" s="296" t="e">
        <f>SUMIFS(#REF!,#REF!,'Summary - Avg Ck'!B35)</f>
        <v>#REF!</v>
      </c>
      <c r="M35" s="280" t="e">
        <f>SUMIFS(#REF!,#REF!,'Summary - Avg Ck'!B35)</f>
        <v>#REF!</v>
      </c>
      <c r="N35" s="280" t="e">
        <f>SUMIFS(#REF!,#REF!,'Summary - Avg Ck'!B35)</f>
        <v>#REF!</v>
      </c>
      <c r="O35" s="297" t="e">
        <f>SUMIFS(#REF!,#REF!,'Summary - Avg Ck'!B35)</f>
        <v>#REF!</v>
      </c>
      <c r="P35" s="297" t="e">
        <f>SUMIFS(#REF!,#REF!,'Summary - Avg Ck'!B35)</f>
        <v>#REF!</v>
      </c>
      <c r="Q35" s="297" t="e">
        <f>SUMIFS(#REF!,#REF!,'Summary - Avg Ck'!B35)</f>
        <v>#REF!</v>
      </c>
      <c r="R35" s="297"/>
      <c r="S35" s="297"/>
      <c r="T35" s="297"/>
      <c r="U35" s="168"/>
      <c r="V35" s="168"/>
      <c r="W35" s="168"/>
    </row>
    <row r="36" spans="2:23">
      <c r="B36" s="269">
        <f t="shared" si="10"/>
        <v>31</v>
      </c>
      <c r="C36">
        <f>SUMIFS('Actual - 2026'!$W:$W,'Actual - 2026'!$C:$C,'Summary - Avg Ck'!B14)</f>
        <v>174126</v>
      </c>
      <c r="D36" s="278">
        <f>SUMIFS('Actual - 2026'!$X:$X,'Actual - 2026'!$C:$C,'Summary - Avg Ck'!B14)</f>
        <v>771</v>
      </c>
      <c r="E36" s="290">
        <f t="shared" si="15"/>
        <v>225.8443579766537</v>
      </c>
      <c r="F36" s="260">
        <f t="shared" si="12"/>
        <v>257.66987757228446</v>
      </c>
      <c r="G36" s="200">
        <f t="shared" si="13"/>
        <v>0.14091793074113756</v>
      </c>
      <c r="H36">
        <f>SUMIFS('Budget - 2026'!$AS:$AS,'Budget - 2026'!$D:$D,'Summary - Avg Ck'!B36)</f>
        <v>241708.19</v>
      </c>
      <c r="I36" s="278">
        <f>SUMIFS('Budget - 2026'!$AT:$AT,'Budget - 2026'!$D:$D,'Summary - Avg Ck'!B36)</f>
        <v>906</v>
      </c>
      <c r="J36" s="260">
        <f t="shared" si="14"/>
        <v>266.7860816777042</v>
      </c>
      <c r="L36" s="296" t="e">
        <f>SUMIFS(#REF!,#REF!,'Summary - Avg Ck'!B36)</f>
        <v>#REF!</v>
      </c>
      <c r="M36" s="280" t="e">
        <f>SUMIFS(#REF!,#REF!,'Summary - Avg Ck'!B36)</f>
        <v>#REF!</v>
      </c>
      <c r="N36" s="280" t="e">
        <f>SUMIFS(#REF!,#REF!,'Summary - Avg Ck'!B36)</f>
        <v>#REF!</v>
      </c>
      <c r="O36" s="297" t="e">
        <f>SUMIFS(#REF!,#REF!,'Summary - Avg Ck'!B36)</f>
        <v>#REF!</v>
      </c>
      <c r="P36" s="297" t="e">
        <f>SUMIFS(#REF!,#REF!,'Summary - Avg Ck'!B36)</f>
        <v>#REF!</v>
      </c>
      <c r="Q36" s="297" t="e">
        <f>SUMIFS(#REF!,#REF!,'Summary - Avg Ck'!B36)</f>
        <v>#REF!</v>
      </c>
      <c r="R36" s="297"/>
      <c r="S36" s="297"/>
      <c r="T36" s="297"/>
      <c r="U36" s="168"/>
      <c r="V36" s="168"/>
      <c r="W36" s="168"/>
    </row>
    <row r="37" spans="2:23">
      <c r="B37" s="269">
        <f t="shared" si="10"/>
        <v>32</v>
      </c>
      <c r="C37">
        <f>SUMIFS('Actual - 2026'!$W:$W,'Actual - 2026'!$C:$C,'Summary - Avg Ck'!B15)</f>
        <v>176817.5</v>
      </c>
      <c r="D37" s="278">
        <f>SUMIFS('Actual - 2026'!$X:$X,'Actual - 2026'!$C:$C,'Summary - Avg Ck'!B15)</f>
        <v>856</v>
      </c>
      <c r="E37" s="290">
        <f t="shared" si="15"/>
        <v>206.5625</v>
      </c>
      <c r="F37" s="260">
        <f t="shared" si="12"/>
        <v>229.28834072022161</v>
      </c>
      <c r="G37" s="200">
        <f t="shared" si="13"/>
        <v>0.11001919864555092</v>
      </c>
      <c r="H37">
        <f>SUMIFS('Budget - 2026'!$AS:$AS,'Budget - 2026'!$D:$D,'Summary - Avg Ck'!B37)</f>
        <v>224181.06</v>
      </c>
      <c r="I37" s="278">
        <f>SUMIFS('Budget - 2026'!$AT:$AT,'Budget - 2026'!$D:$D,'Summary - Avg Ck'!B37)</f>
        <v>864</v>
      </c>
      <c r="J37" s="260">
        <f t="shared" si="14"/>
        <v>259.46881944444442</v>
      </c>
      <c r="L37" s="296" t="e">
        <f>SUMIFS(#REF!,#REF!,'Summary - Avg Ck'!B37)</f>
        <v>#REF!</v>
      </c>
      <c r="M37" s="280" t="e">
        <f>SUMIFS(#REF!,#REF!,'Summary - Avg Ck'!B37)</f>
        <v>#REF!</v>
      </c>
      <c r="N37" s="280" t="e">
        <f>SUMIFS(#REF!,#REF!,'Summary - Avg Ck'!B37)</f>
        <v>#REF!</v>
      </c>
      <c r="O37" s="297" t="e">
        <f>SUMIFS(#REF!,#REF!,'Summary - Avg Ck'!B37)</f>
        <v>#REF!</v>
      </c>
      <c r="P37" s="297" t="e">
        <f>SUMIFS(#REF!,#REF!,'Summary - Avg Ck'!B37)</f>
        <v>#REF!</v>
      </c>
      <c r="Q37" s="297" t="e">
        <f>SUMIFS(#REF!,#REF!,'Summary - Avg Ck'!B37)</f>
        <v>#REF!</v>
      </c>
      <c r="R37" s="297"/>
      <c r="S37" s="297"/>
      <c r="T37" s="297"/>
      <c r="U37" s="168"/>
      <c r="V37" s="168"/>
      <c r="W37" s="168"/>
    </row>
    <row r="38" spans="2:23">
      <c r="B38" s="269">
        <f t="shared" si="10"/>
        <v>33</v>
      </c>
      <c r="C38">
        <f>SUMIFS('Actual - 2026'!$W:$W,'Actual - 2026'!$C:$C,'Summary - Avg Ck'!B16)</f>
        <v>133033</v>
      </c>
      <c r="D38" s="278">
        <f>SUMIFS('Actual - 2026'!$X:$X,'Actual - 2026'!$C:$C,'Summary - Avg Ck'!B16)</f>
        <v>816</v>
      </c>
      <c r="E38" s="290">
        <f t="shared" si="15"/>
        <v>163.03063725490196</v>
      </c>
      <c r="F38" s="260">
        <f t="shared" si="12"/>
        <v>212.53151285046729</v>
      </c>
      <c r="G38" s="200">
        <f t="shared" si="13"/>
        <v>0.30362928360618274</v>
      </c>
      <c r="H38">
        <f>SUMIFS('Budget - 2026'!$AS:$AS,'Budget - 2026'!$D:$D,'Summary - Avg Ck'!B38)</f>
        <v>287119.06</v>
      </c>
      <c r="I38" s="278">
        <f>SUMIFS('Budget - 2026'!$AT:$AT,'Budget - 2026'!$D:$D,'Summary - Avg Ck'!B38)</f>
        <v>1029</v>
      </c>
      <c r="J38" s="260">
        <f t="shared" si="14"/>
        <v>279.02726919339165</v>
      </c>
      <c r="L38" s="296" t="e">
        <f>SUMIFS(#REF!,#REF!,'Summary - Avg Ck'!B38)</f>
        <v>#REF!</v>
      </c>
      <c r="M38" s="280" t="e">
        <f>SUMIFS(#REF!,#REF!,'Summary - Avg Ck'!B38)</f>
        <v>#REF!</v>
      </c>
      <c r="N38" s="280" t="e">
        <f>SUMIFS(#REF!,#REF!,'Summary - Avg Ck'!B38)</f>
        <v>#REF!</v>
      </c>
      <c r="O38" s="297" t="e">
        <f>SUMIFS(#REF!,#REF!,'Summary - Avg Ck'!B38)</f>
        <v>#REF!</v>
      </c>
      <c r="P38" s="297" t="e">
        <f>SUMIFS(#REF!,#REF!,'Summary - Avg Ck'!B38)</f>
        <v>#REF!</v>
      </c>
      <c r="Q38" s="297" t="e">
        <f>SUMIFS(#REF!,#REF!,'Summary - Avg Ck'!B38)</f>
        <v>#REF!</v>
      </c>
      <c r="R38" s="297"/>
      <c r="S38" s="297"/>
      <c r="T38" s="297"/>
      <c r="U38" s="168"/>
      <c r="V38" s="168"/>
      <c r="W38" s="168"/>
    </row>
    <row r="39" spans="2:23">
      <c r="B39" s="269">
        <f t="shared" si="10"/>
        <v>34</v>
      </c>
      <c r="C39">
        <f>SUMIFS('Actual - 2026'!$W:$W,'Actual - 2026'!$C:$C,'Summary - Avg Ck'!B17)</f>
        <v>191603</v>
      </c>
      <c r="D39" s="278">
        <f>SUMIFS('Actual - 2026'!$X:$X,'Actual - 2026'!$C:$C,'Summary - Avg Ck'!B17)</f>
        <v>0</v>
      </c>
      <c r="E39" s="290">
        <f t="shared" si="15"/>
        <v>0</v>
      </c>
      <c r="F39" s="260">
        <f t="shared" si="12"/>
        <v>276.53683995088005</v>
      </c>
      <c r="G39" s="200" t="e">
        <f t="shared" si="13"/>
        <v>#DIV/0!</v>
      </c>
      <c r="H39">
        <f>SUMIFS('Budget - 2026'!$AS:$AS,'Budget - 2026'!$D:$D,'Summary - Avg Ck'!B39)</f>
        <v>225616.5</v>
      </c>
      <c r="I39" s="278">
        <f>SUMIFS('Budget - 2026'!$AT:$AT,'Budget - 2026'!$D:$D,'Summary - Avg Ck'!B39)</f>
        <v>953</v>
      </c>
      <c r="J39" s="260">
        <f t="shared" si="14"/>
        <v>236.74344176285413</v>
      </c>
      <c r="L39" s="296" t="e">
        <f>SUMIFS(#REF!,#REF!,'Summary - Avg Ck'!B39)</f>
        <v>#REF!</v>
      </c>
      <c r="M39" s="280" t="e">
        <f>SUMIFS(#REF!,#REF!,'Summary - Avg Ck'!B39)</f>
        <v>#REF!</v>
      </c>
      <c r="N39" s="280" t="e">
        <f>SUMIFS(#REF!,#REF!,'Summary - Avg Ck'!B39)</f>
        <v>#REF!</v>
      </c>
      <c r="O39" s="297" t="e">
        <f>SUMIFS(#REF!,#REF!,'Summary - Avg Ck'!B39)</f>
        <v>#REF!</v>
      </c>
      <c r="P39" s="297" t="e">
        <f>SUMIFS(#REF!,#REF!,'Summary - Avg Ck'!B39)</f>
        <v>#REF!</v>
      </c>
      <c r="Q39" s="297" t="e">
        <f>SUMIFS(#REF!,#REF!,'Summary - Avg Ck'!B39)</f>
        <v>#REF!</v>
      </c>
      <c r="R39" s="297"/>
      <c r="S39" s="298"/>
      <c r="T39" s="297"/>
      <c r="U39" s="168"/>
      <c r="V39" s="168"/>
      <c r="W39" s="168"/>
    </row>
    <row r="40" spans="2:23">
      <c r="B40" s="269">
        <f t="shared" si="10"/>
        <v>35</v>
      </c>
      <c r="C40">
        <f>SUMIFS('Actual - 2026'!$W:$W,'Actual - 2026'!$C:$C,'Summary - Avg Ck'!B18)</f>
        <v>0</v>
      </c>
      <c r="D40" s="278">
        <f>SUMIFS('Actual - 2026'!$X:$X,'Actual - 2026'!$C:$C,'Summary - Avg Ck'!B18)</f>
        <v>0</v>
      </c>
      <c r="E40" s="290">
        <f t="shared" si="15"/>
        <v>0</v>
      </c>
      <c r="F40" s="260">
        <f t="shared" si="12"/>
        <v>299.9123803827751</v>
      </c>
      <c r="G40" s="200" t="e">
        <f>(F40-E40)/E40</f>
        <v>#DIV/0!</v>
      </c>
      <c r="H40">
        <f>SUMIFS('Budget - 2026'!$AS:$AS,'Budget - 2026'!$D:$D,'Summary - Avg Ck'!B40)</f>
        <v>271633.64</v>
      </c>
      <c r="I40" s="278">
        <f>SUMIFS('Budget - 2026'!$AT:$AT,'Budget - 2026'!$D:$D,'Summary - Avg Ck'!B40)</f>
        <v>1211</v>
      </c>
      <c r="J40" s="260">
        <f t="shared" si="14"/>
        <v>224.30523534269201</v>
      </c>
      <c r="L40" s="296" t="e">
        <f>SUMIFS(#REF!,#REF!,'Summary - Avg Ck'!B40)</f>
        <v>#REF!</v>
      </c>
      <c r="M40" s="280" t="e">
        <f>SUMIFS(#REF!,#REF!,'Summary - Avg Ck'!B40)</f>
        <v>#REF!</v>
      </c>
      <c r="N40" s="280" t="e">
        <f>SUMIFS(#REF!,#REF!,'Summary - Avg Ck'!B40)</f>
        <v>#REF!</v>
      </c>
      <c r="O40" s="297" t="e">
        <f>SUMIFS(#REF!,#REF!,'Summary - Avg Ck'!B40)</f>
        <v>#REF!</v>
      </c>
      <c r="P40" s="297" t="e">
        <f>SUMIFS(#REF!,#REF!,'Summary - Avg Ck'!B40)</f>
        <v>#REF!</v>
      </c>
      <c r="Q40" s="297" t="e">
        <f>SUMIFS(#REF!,#REF!,'Summary - Avg Ck'!B40)</f>
        <v>#REF!</v>
      </c>
      <c r="R40" s="297"/>
      <c r="S40" s="297"/>
      <c r="T40" s="297"/>
      <c r="U40" s="168"/>
      <c r="V40" s="168"/>
      <c r="W40" s="168"/>
    </row>
    <row r="41" spans="2:23">
      <c r="B41" s="269">
        <f t="shared" si="10"/>
        <v>36</v>
      </c>
      <c r="C41">
        <f>SUMIFS('Actual - 2026'!$W:$W,'Actual - 2026'!$C:$C,'Summary - Avg Ck'!B19)</f>
        <v>0</v>
      </c>
      <c r="D41" s="278">
        <f>SUMIFS('Actual - 2026'!$X:$X,'Actual - 2026'!$C:$C,'Summary - Avg Ck'!B19)</f>
        <v>0</v>
      </c>
      <c r="E41" s="290">
        <f t="shared" si="15"/>
        <v>0</v>
      </c>
      <c r="F41" s="260">
        <f t="shared" si="12"/>
        <v>397.83823529411762</v>
      </c>
      <c r="G41" s="200" t="e">
        <f t="shared" si="13"/>
        <v>#DIV/0!</v>
      </c>
      <c r="H41">
        <f>SUMIFS('Budget - 2026'!$AS:$AS,'Budget - 2026'!$D:$D,'Summary - Avg Ck'!B41)</f>
        <v>193364.36</v>
      </c>
      <c r="I41" s="278">
        <f>SUMIFS('Budget - 2026'!$AT:$AT,'Budget - 2026'!$D:$D,'Summary - Avg Ck'!B41)</f>
        <v>796</v>
      </c>
      <c r="J41" s="260">
        <f t="shared" si="14"/>
        <v>242.92005025125627</v>
      </c>
      <c r="L41" s="296" t="e">
        <f>SUMIFS(#REF!,#REF!,'Summary - Avg Ck'!B41)</f>
        <v>#REF!</v>
      </c>
      <c r="M41" s="280" t="e">
        <f>SUMIFS(#REF!,#REF!,'Summary - Avg Ck'!B41)</f>
        <v>#REF!</v>
      </c>
      <c r="N41" s="280" t="e">
        <f>SUMIFS(#REF!,#REF!,'Summary - Avg Ck'!B41)</f>
        <v>#REF!</v>
      </c>
      <c r="O41" s="297" t="e">
        <f>SUMIFS(#REF!,#REF!,'Summary - Avg Ck'!B41)</f>
        <v>#REF!</v>
      </c>
      <c r="P41" s="297" t="e">
        <f>SUMIFS(#REF!,#REF!,'Summary - Avg Ck'!B41)</f>
        <v>#REF!</v>
      </c>
      <c r="Q41" s="297" t="e">
        <f>SUMIFS(#REF!,#REF!,'Summary - Avg Ck'!B41)</f>
        <v>#REF!</v>
      </c>
      <c r="R41" s="297"/>
      <c r="S41" s="298"/>
      <c r="T41" s="297"/>
      <c r="U41" s="168"/>
      <c r="V41" s="168"/>
      <c r="W41" s="168"/>
    </row>
    <row r="42" spans="2:23">
      <c r="B42" s="269">
        <f t="shared" si="10"/>
        <v>37</v>
      </c>
      <c r="C42">
        <f>SUMIFS('Actual - 2026'!$W:$W,'Actual - 2026'!$C:$C,'Summary - Avg Ck'!B20)</f>
        <v>0</v>
      </c>
      <c r="D42" s="278">
        <f>SUMIFS('Actual - 2026'!$X:$X,'Actual - 2026'!$C:$C,'Summary - Avg Ck'!B20)</f>
        <v>0</v>
      </c>
      <c r="E42" s="290">
        <f t="shared" si="15"/>
        <v>0</v>
      </c>
      <c r="F42" s="260" t="e">
        <f t="shared" si="12"/>
        <v>#DIV/0!</v>
      </c>
      <c r="G42" s="200" t="e">
        <f t="shared" si="13"/>
        <v>#DIV/0!</v>
      </c>
      <c r="H42">
        <f>SUMIFS('Budget - 2026'!$AS:$AS,'Budget - 2026'!$D:$D,'Summary - Avg Ck'!B42)</f>
        <v>272955.15000000002</v>
      </c>
      <c r="I42" s="278">
        <f>SUMIFS('Budget - 2026'!$AT:$AT,'Budget - 2026'!$D:$D,'Summary - Avg Ck'!B42)</f>
        <v>1038</v>
      </c>
      <c r="J42" s="260">
        <f t="shared" si="14"/>
        <v>262.96257225433527</v>
      </c>
      <c r="L42" s="296" t="e">
        <f>SUMIFS(#REF!,#REF!,'Summary - Avg Ck'!B42)</f>
        <v>#REF!</v>
      </c>
      <c r="M42" s="280" t="e">
        <f>SUMIFS(#REF!,#REF!,'Summary - Avg Ck'!B42)</f>
        <v>#REF!</v>
      </c>
      <c r="N42" s="280" t="e">
        <f>SUMIFS(#REF!,#REF!,'Summary - Avg Ck'!B42)</f>
        <v>#REF!</v>
      </c>
      <c r="O42" s="297" t="e">
        <f>SUMIFS(#REF!,#REF!,'Summary - Avg Ck'!B42)</f>
        <v>#REF!</v>
      </c>
      <c r="P42" s="297" t="e">
        <f>SUMIFS(#REF!,#REF!,'Summary - Avg Ck'!B42)</f>
        <v>#REF!</v>
      </c>
      <c r="Q42" s="297" t="e">
        <f>SUMIFS(#REF!,#REF!,'Summary - Avg Ck'!B42)</f>
        <v>#REF!</v>
      </c>
      <c r="R42" s="297"/>
      <c r="S42" s="297"/>
      <c r="T42" s="297"/>
      <c r="U42" s="168"/>
      <c r="V42" s="168"/>
      <c r="W42" s="168">
        <f>26000/33287</f>
        <v>0.78108570913569864</v>
      </c>
    </row>
    <row r="43" spans="2:23">
      <c r="B43" s="269">
        <f t="shared" si="10"/>
        <v>38</v>
      </c>
      <c r="C43">
        <f>SUMIFS('Actual - 2026'!$W:$W,'Actual - 2026'!$C:$C,'Summary - Avg Ck'!B21)</f>
        <v>0</v>
      </c>
      <c r="D43" s="278">
        <f>SUMIFS('Actual - 2026'!$X:$X,'Actual - 2026'!$C:$C,'Summary - Avg Ck'!B21)</f>
        <v>0</v>
      </c>
      <c r="E43" s="290">
        <f t="shared" si="15"/>
        <v>0</v>
      </c>
      <c r="F43" s="260" t="e">
        <f t="shared" si="12"/>
        <v>#DIV/0!</v>
      </c>
      <c r="G43" s="200" t="e">
        <f t="shared" si="13"/>
        <v>#DIV/0!</v>
      </c>
      <c r="H43">
        <f>SUMIFS('Budget - 2026'!$AS:$AS,'Budget - 2026'!$D:$D,'Summary - Avg Ck'!B43)</f>
        <v>243839.53999999995</v>
      </c>
      <c r="I43" s="278">
        <f>SUMIFS('Budget - 2026'!$AT:$AT,'Budget - 2026'!$D:$D,'Summary - Avg Ck'!B43)</f>
        <v>948</v>
      </c>
      <c r="J43" s="260">
        <f t="shared" si="14"/>
        <v>257.21470464135018</v>
      </c>
      <c r="L43" s="296" t="e">
        <f>SUMIFS(#REF!,#REF!,'Summary - Avg Ck'!B43)</f>
        <v>#REF!</v>
      </c>
      <c r="M43" s="280" t="e">
        <f>SUMIFS(#REF!,#REF!,'Summary - Avg Ck'!B43)</f>
        <v>#REF!</v>
      </c>
      <c r="N43" s="280" t="e">
        <f>SUMIFS(#REF!,#REF!,'Summary - Avg Ck'!B43)</f>
        <v>#REF!</v>
      </c>
      <c r="O43" s="297" t="e">
        <f>SUMIFS(#REF!,#REF!,'Summary - Avg Ck'!B43)</f>
        <v>#REF!</v>
      </c>
      <c r="P43" s="297" t="e">
        <f>SUMIFS(#REF!,#REF!,'Summary - Avg Ck'!B43)</f>
        <v>#REF!</v>
      </c>
      <c r="Q43" s="297" t="e">
        <f>SUMIFS(#REF!,#REF!,'Summary - Avg Ck'!B43)</f>
        <v>#REF!</v>
      </c>
      <c r="R43" s="297"/>
      <c r="S43" s="297"/>
      <c r="T43" s="297"/>
      <c r="U43" s="168"/>
      <c r="V43" s="168"/>
      <c r="W43" s="168"/>
    </row>
    <row r="44" spans="2:23">
      <c r="B44" s="269">
        <f t="shared" si="10"/>
        <v>39</v>
      </c>
      <c r="C44">
        <f>SUMIFS('Actual - 2026'!$W:$W,'Actual - 2026'!$C:$C,'Summary - Avg Ck'!B22)</f>
        <v>0</v>
      </c>
      <c r="D44" s="278">
        <f>SUMIFS('Actual - 2026'!$X:$X,'Actual - 2026'!$C:$C,'Summary - Avg Ck'!B22)</f>
        <v>0</v>
      </c>
      <c r="E44" s="290">
        <f t="shared" si="15"/>
        <v>0</v>
      </c>
      <c r="F44" s="260" t="e">
        <f t="shared" si="12"/>
        <v>#DIV/0!</v>
      </c>
      <c r="G44" s="200" t="e">
        <f t="shared" si="13"/>
        <v>#DIV/0!</v>
      </c>
      <c r="H44">
        <f>SUMIFS('Budget - 2026'!$AS:$AS,'Budget - 2026'!$D:$D,'Summary - Avg Ck'!B44)</f>
        <v>283447.82999999996</v>
      </c>
      <c r="I44" s="278">
        <f>SUMIFS('Budget - 2026'!$AT:$AT,'Budget - 2026'!$D:$D,'Summary - Avg Ck'!B44)</f>
        <v>1039</v>
      </c>
      <c r="J44" s="260">
        <f t="shared" si="14"/>
        <v>272.80830606352259</v>
      </c>
      <c r="L44" s="296" t="e">
        <f>SUMIFS(#REF!,#REF!,'Summary - Avg Ck'!B44)</f>
        <v>#REF!</v>
      </c>
      <c r="M44" s="280" t="e">
        <f>SUMIFS(#REF!,#REF!,'Summary - Avg Ck'!B44)</f>
        <v>#REF!</v>
      </c>
      <c r="N44" s="280" t="e">
        <f>SUMIFS(#REF!,#REF!,'Summary - Avg Ck'!B44)</f>
        <v>#REF!</v>
      </c>
      <c r="O44" s="297" t="e">
        <f>SUMIFS(#REF!,#REF!,'Summary - Avg Ck'!B44)</f>
        <v>#REF!</v>
      </c>
      <c r="P44" s="297" t="e">
        <f>SUMIFS(#REF!,#REF!,'Summary - Avg Ck'!B44)</f>
        <v>#REF!</v>
      </c>
      <c r="Q44" s="297" t="e">
        <f>SUMIFS(#REF!,#REF!,'Summary - Avg Ck'!B44)</f>
        <v>#REF!</v>
      </c>
      <c r="R44" s="297"/>
      <c r="S44" s="297"/>
      <c r="T44" s="297"/>
      <c r="U44" s="168"/>
      <c r="V44" s="168"/>
      <c r="W44" s="168"/>
    </row>
    <row r="45" spans="2:23">
      <c r="B45" s="269">
        <f t="shared" si="10"/>
        <v>40</v>
      </c>
      <c r="C45">
        <f>SUMIFS('Actual - 2026'!$W:$W,'Actual - 2026'!$C:$C,'Summary - Avg Ck'!B23)</f>
        <v>0</v>
      </c>
      <c r="D45" s="278">
        <f>SUMIFS('Actual - 2026'!$X:$X,'Actual - 2026'!$C:$C,'Summary - Avg Ck'!B23)</f>
        <v>0</v>
      </c>
      <c r="E45" s="290">
        <f t="shared" si="15"/>
        <v>0</v>
      </c>
      <c r="F45" s="260" t="e">
        <f t="shared" si="12"/>
        <v>#DIV/0!</v>
      </c>
      <c r="G45" s="200" t="e">
        <f t="shared" si="13"/>
        <v>#DIV/0!</v>
      </c>
      <c r="H45">
        <f>SUMIFS('Budget - 2026'!$AS:$AS,'Budget - 2026'!$D:$D,'Summary - Avg Ck'!B45)</f>
        <v>269766.25</v>
      </c>
      <c r="I45" s="278">
        <f>SUMIFS('Budget - 2026'!$AT:$AT,'Budget - 2026'!$D:$D,'Summary - Avg Ck'!B45)</f>
        <v>1084</v>
      </c>
      <c r="J45" s="260">
        <f t="shared" si="14"/>
        <v>248.86185424354244</v>
      </c>
      <c r="L45" s="296" t="e">
        <f>SUMIFS(#REF!,#REF!,'Summary - Avg Ck'!B45)</f>
        <v>#REF!</v>
      </c>
      <c r="M45" s="280" t="e">
        <f>SUMIFS(#REF!,#REF!,'Summary - Avg Ck'!B45)</f>
        <v>#REF!</v>
      </c>
      <c r="N45" s="280" t="e">
        <f>SUMIFS(#REF!,#REF!,'Summary - Avg Ck'!B45)</f>
        <v>#REF!</v>
      </c>
      <c r="O45" s="297" t="e">
        <f>SUMIFS(#REF!,#REF!,'Summary - Avg Ck'!B45)</f>
        <v>#REF!</v>
      </c>
      <c r="P45" s="297" t="e">
        <f>SUMIFS(#REF!,#REF!,'Summary - Avg Ck'!B45)</f>
        <v>#REF!</v>
      </c>
      <c r="Q45" s="297" t="e">
        <f>SUMIFS(#REF!,#REF!,'Summary - Avg Ck'!B45)</f>
        <v>#REF!</v>
      </c>
      <c r="R45" s="297"/>
      <c r="S45" s="297"/>
      <c r="T45" s="297"/>
      <c r="U45" s="168"/>
      <c r="V45" s="168"/>
      <c r="W45" s="168"/>
    </row>
    <row r="46" spans="2:23">
      <c r="B46" s="269">
        <f t="shared" si="10"/>
        <v>41</v>
      </c>
      <c r="C46">
        <f>SUMIFS('Actual - 2026'!$W:$W,'Actual - 2026'!$C:$C,'Summary - Avg Ck'!B24)</f>
        <v>0</v>
      </c>
      <c r="D46" s="278">
        <f>SUMIFS('Actual - 2026'!$X:$X,'Actual - 2026'!$C:$C,'Summary - Avg Ck'!B24)</f>
        <v>0</v>
      </c>
      <c r="E46" s="290">
        <f t="shared" si="15"/>
        <v>0</v>
      </c>
      <c r="F46" s="260" t="e">
        <f t="shared" si="12"/>
        <v>#DIV/0!</v>
      </c>
      <c r="G46" s="200" t="e">
        <f t="shared" si="13"/>
        <v>#DIV/0!</v>
      </c>
      <c r="H46">
        <f>SUMIFS('Budget - 2026'!$AS:$AS,'Budget - 2026'!$D:$D,'Summary - Avg Ck'!B46)</f>
        <v>304498.25</v>
      </c>
      <c r="I46" s="278">
        <f>SUMIFS('Budget - 2026'!$AT:$AT,'Budget - 2026'!$D:$D,'Summary - Avg Ck'!B46)</f>
        <v>1129</v>
      </c>
      <c r="J46" s="260">
        <f t="shared" si="14"/>
        <v>269.7061558901683</v>
      </c>
      <c r="L46" s="296" t="e">
        <f>SUMIFS(#REF!,#REF!,'Summary - Avg Ck'!B46)</f>
        <v>#REF!</v>
      </c>
      <c r="M46" s="280" t="e">
        <f>SUMIFS(#REF!,#REF!,'Summary - Avg Ck'!B46)</f>
        <v>#REF!</v>
      </c>
      <c r="N46" s="280" t="e">
        <f>SUMIFS(#REF!,#REF!,'Summary - Avg Ck'!B46)</f>
        <v>#REF!</v>
      </c>
      <c r="O46" s="297" t="e">
        <f>SUMIFS(#REF!,#REF!,'Summary - Avg Ck'!B46)</f>
        <v>#REF!</v>
      </c>
      <c r="P46" s="297" t="e">
        <f>SUMIFS(#REF!,#REF!,'Summary - Avg Ck'!B46)</f>
        <v>#REF!</v>
      </c>
      <c r="Q46" s="297" t="e">
        <f>SUMIFS(#REF!,#REF!,'Summary - Avg Ck'!B46)</f>
        <v>#REF!</v>
      </c>
      <c r="R46" s="168"/>
      <c r="S46" s="168"/>
      <c r="T46" s="168"/>
      <c r="U46" s="168"/>
      <c r="V46" s="168"/>
      <c r="W46" s="168"/>
    </row>
    <row r="47" spans="2:23">
      <c r="B47" s="269">
        <f t="shared" si="10"/>
        <v>42</v>
      </c>
      <c r="C47">
        <f>SUMIFS('Actual - 2026'!$W:$W,'Actual - 2026'!$C:$C,'Summary - Avg Ck'!B25)</f>
        <v>0</v>
      </c>
      <c r="D47" s="278">
        <f>SUMIFS('Actual - 2026'!$X:$X,'Actual - 2026'!$C:$C,'Summary - Avg Ck'!B25)</f>
        <v>0</v>
      </c>
      <c r="E47" s="290">
        <f t="shared" si="15"/>
        <v>0</v>
      </c>
      <c r="F47" s="260" t="e">
        <f t="shared" si="12"/>
        <v>#DIV/0!</v>
      </c>
      <c r="G47" s="200" t="e">
        <f t="shared" si="13"/>
        <v>#DIV/0!</v>
      </c>
      <c r="H47">
        <f>SUMIFS('Budget - 2026'!$AS:$AS,'Budget - 2026'!$D:$D,'Summary - Avg Ck'!B47)</f>
        <v>323936</v>
      </c>
      <c r="I47" s="278">
        <f>SUMIFS('Budget - 2026'!$AT:$AT,'Budget - 2026'!$D:$D,'Summary - Avg Ck'!B47)</f>
        <v>1265</v>
      </c>
      <c r="J47" s="260">
        <f t="shared" si="14"/>
        <v>256.07588932806323</v>
      </c>
      <c r="L47" s="296" t="e">
        <f>SUMIFS(#REF!,#REF!,'Summary - Avg Ck'!B47)</f>
        <v>#REF!</v>
      </c>
      <c r="M47" s="280" t="e">
        <f>SUMIFS(#REF!,#REF!,'Summary - Avg Ck'!B47)</f>
        <v>#REF!</v>
      </c>
      <c r="N47" s="280" t="e">
        <f>SUMIFS(#REF!,#REF!,'Summary - Avg Ck'!B47)</f>
        <v>#REF!</v>
      </c>
      <c r="O47" s="297" t="e">
        <f>SUMIFS(#REF!,#REF!,'Summary - Avg Ck'!B47)</f>
        <v>#REF!</v>
      </c>
      <c r="P47" s="297" t="e">
        <f>SUMIFS(#REF!,#REF!,'Summary - Avg Ck'!B47)</f>
        <v>#REF!</v>
      </c>
      <c r="Q47" s="297" t="e">
        <f>SUMIFS(#REF!,#REF!,'Summary - Avg Ck'!B47)</f>
        <v>#REF!</v>
      </c>
      <c r="R47" s="168"/>
      <c r="S47" s="168"/>
      <c r="T47" s="168"/>
      <c r="U47" s="168"/>
      <c r="V47" s="168"/>
      <c r="W47" s="168"/>
    </row>
    <row r="48" spans="2:23">
      <c r="B48" s="269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</row>
    <row r="49" spans="2:28" ht="21">
      <c r="B49" s="421" t="s">
        <v>11</v>
      </c>
      <c r="C49" s="421"/>
      <c r="D49" s="421"/>
      <c r="E49" s="421"/>
      <c r="F49" s="421"/>
      <c r="G49" s="421"/>
      <c r="H49" s="421"/>
      <c r="I49" s="421"/>
      <c r="J49" s="421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</row>
    <row r="50" spans="2:28">
      <c r="B50" s="272"/>
      <c r="C50" s="272"/>
      <c r="D50" s="274"/>
      <c r="E50" s="272"/>
      <c r="F50" s="272"/>
      <c r="G50" s="272"/>
      <c r="H50" s="272"/>
      <c r="I50" s="274"/>
      <c r="J50" s="272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</row>
    <row r="51" spans="2:28">
      <c r="B51" s="267" t="s">
        <v>2</v>
      </c>
      <c r="C51" s="276" t="str">
        <f>C29</f>
        <v>Sales</v>
      </c>
      <c r="D51" s="276" t="str">
        <f>D29</f>
        <v>Covers</v>
      </c>
      <c r="E51" s="267" t="s">
        <v>218</v>
      </c>
      <c r="F51" s="271" t="s">
        <v>219</v>
      </c>
      <c r="G51" s="267" t="s">
        <v>220</v>
      </c>
      <c r="H51" s="276" t="str">
        <f>H29</f>
        <v>Sales</v>
      </c>
      <c r="I51" s="276" t="str">
        <f>I29</f>
        <v>LY Covers</v>
      </c>
      <c r="J51" s="276" t="str">
        <f>J29</f>
        <v>LY Avg Check</v>
      </c>
      <c r="L51" s="295" t="s">
        <v>223</v>
      </c>
      <c r="M51" s="295" t="s">
        <v>224</v>
      </c>
      <c r="N51" s="295" t="s">
        <v>225</v>
      </c>
      <c r="O51" s="295" t="s">
        <v>223</v>
      </c>
      <c r="P51" s="295" t="s">
        <v>224</v>
      </c>
      <c r="Q51" s="295" t="s">
        <v>225</v>
      </c>
      <c r="R51" s="295" t="s">
        <v>226</v>
      </c>
      <c r="S51" s="295" t="s">
        <v>227</v>
      </c>
      <c r="T51" s="295" t="s">
        <v>228</v>
      </c>
      <c r="U51" s="295" t="s">
        <v>226</v>
      </c>
      <c r="V51" s="295" t="s">
        <v>227</v>
      </c>
      <c r="W51" s="295" t="s">
        <v>228</v>
      </c>
    </row>
    <row r="52" spans="2:28">
      <c r="B52" s="267"/>
      <c r="C52" s="267"/>
      <c r="D52" s="276"/>
      <c r="E52" s="267"/>
      <c r="F52" s="271"/>
      <c r="G52" s="267"/>
      <c r="H52" s="267"/>
      <c r="I52" s="276"/>
      <c r="J52" s="271"/>
      <c r="L52" s="420" t="s">
        <v>71</v>
      </c>
      <c r="M52" s="420"/>
      <c r="N52" s="420"/>
      <c r="O52" s="420" t="s">
        <v>63</v>
      </c>
      <c r="P52" s="420"/>
      <c r="Q52" s="420"/>
      <c r="R52" s="420" t="s">
        <v>71</v>
      </c>
      <c r="S52" s="420"/>
      <c r="T52" s="420"/>
      <c r="U52" s="420" t="s">
        <v>63</v>
      </c>
      <c r="V52" s="420"/>
      <c r="W52" s="420"/>
    </row>
    <row r="53" spans="2:28" ht="14.45" customHeight="1" outlineLevel="1">
      <c r="B53" s="269">
        <f t="shared" ref="B53:B69" si="16">B31</f>
        <v>26</v>
      </c>
      <c r="C53">
        <f>SUMIFS('Actual - 2026'!$AR:$AR,'Actual - 2026'!$C:$C,'Summary - Avg Ck'!B31)</f>
        <v>827205.81</v>
      </c>
      <c r="D53" s="278">
        <f>SUMIFS('Actual - 2026'!$AS:$AS,'Actual - 2026'!$C:$C,'Summary - Avg Ck'!B31)</f>
        <v>3853</v>
      </c>
      <c r="E53" s="260">
        <f t="shared" ref="E53" si="17">IFERROR(C53/D53,0)</f>
        <v>214.69135997923698</v>
      </c>
      <c r="F53" s="260">
        <f t="shared" ref="F53:F69" si="18">SUM(C50:C53)/SUM(D50:D53)</f>
        <v>214.69135997923698</v>
      </c>
      <c r="G53" s="270">
        <f t="shared" ref="G53:G69" si="19">(F53-E53)/E53</f>
        <v>0</v>
      </c>
      <c r="H53">
        <f>SUMIFS('Budget - 2026'!$CI:$CI,'Budget - 2026'!$D:$D,'Summary - Avg Ck'!B53)</f>
        <v>496113.8</v>
      </c>
      <c r="I53" s="278">
        <f>SUMIFS('Budget - 2026'!$CJ:$CJ,'Budget - 2026'!$D:$D,'Summary - Avg Ck'!B53)</f>
        <v>3275</v>
      </c>
      <c r="J53" s="260">
        <f>IFERROR(H53/I53,0)</f>
        <v>151.48512977099236</v>
      </c>
      <c r="L53" s="280" t="e">
        <f>SUMIFS(#REF!,#REF!,'Summary - Avg Ck'!B53)</f>
        <v>#REF!</v>
      </c>
      <c r="M53" s="168" t="e">
        <f>SUMIFS(#REF!,#REF!,'Summary - Avg Ck'!B53)</f>
        <v>#REF!</v>
      </c>
      <c r="N53" s="168" t="e">
        <f>SUMIFS(#REF!,#REF!,'Summary - Avg Ck'!B53)</f>
        <v>#REF!</v>
      </c>
      <c r="O53" s="168" t="e">
        <f>SUMIFS(#REF!,#REF!,'Summary - Avg Ck'!B53)</f>
        <v>#REF!</v>
      </c>
      <c r="P53" s="168" t="e">
        <f>SUMIFS(#REF!,#REF!,'Summary - Avg Ck'!B53)</f>
        <v>#REF!</v>
      </c>
      <c r="Q53" s="168" t="e">
        <f>SUMIFS(#REF!,#REF!,'Summary - Avg Ck'!B53)</f>
        <v>#REF!</v>
      </c>
      <c r="R53" s="168"/>
      <c r="S53" s="168"/>
      <c r="T53" s="168"/>
      <c r="U53" s="168"/>
      <c r="V53" s="168"/>
      <c r="W53" s="168"/>
    </row>
    <row r="54" spans="2:28" ht="14.45" customHeight="1" outlineLevel="1">
      <c r="B54" s="269">
        <f t="shared" si="16"/>
        <v>27</v>
      </c>
      <c r="C54">
        <f>SUMIFS('Actual - 2026'!$AR:$AR,'Actual - 2026'!$C:$C,'Summary - Avg Ck'!B32)</f>
        <v>556211.36</v>
      </c>
      <c r="D54" s="278">
        <f>SUMIFS('Actual - 2026'!$AS:$AS,'Actual - 2026'!$C:$C,'Summary - Avg Ck'!B32)</f>
        <v>3266</v>
      </c>
      <c r="E54" s="260">
        <f t="shared" ref="E54:E69" si="20">IFERROR(C54/D54,0)</f>
        <v>170.30353949785669</v>
      </c>
      <c r="F54" s="260">
        <f t="shared" si="18"/>
        <v>194.32745750807698</v>
      </c>
      <c r="G54" s="270">
        <f t="shared" si="19"/>
        <v>0.14106528896026047</v>
      </c>
      <c r="H54">
        <f>SUMIFS('Budget - 2026'!$CI:$CI,'Budget - 2026'!$D:$D,'Summary - Avg Ck'!B54)</f>
        <v>399337.52</v>
      </c>
      <c r="I54" s="278">
        <f>SUMIFS('Budget - 2026'!$CJ:$CJ,'Budget - 2026'!$D:$D,'Summary - Avg Ck'!B54)</f>
        <v>2998</v>
      </c>
      <c r="J54" s="260">
        <f t="shared" ref="J54:J69" si="21">IFERROR(H54/I54,0)</f>
        <v>133.20130753835892</v>
      </c>
      <c r="L54" s="280" t="e">
        <f>SUMIFS(#REF!,#REF!,'Summary - Avg Ck'!B54)</f>
        <v>#REF!</v>
      </c>
      <c r="M54" s="168" t="e">
        <f>SUMIFS(#REF!,#REF!,'Summary - Avg Ck'!B54)</f>
        <v>#REF!</v>
      </c>
      <c r="N54" s="168" t="e">
        <f>SUMIFS(#REF!,#REF!,'Summary - Avg Ck'!B54)</f>
        <v>#REF!</v>
      </c>
      <c r="O54" s="168" t="e">
        <f>SUMIFS(#REF!,#REF!,'Summary - Avg Ck'!B54)</f>
        <v>#REF!</v>
      </c>
      <c r="P54" s="168" t="e">
        <f>SUMIFS(#REF!,#REF!,'Summary - Avg Ck'!B54)</f>
        <v>#REF!</v>
      </c>
      <c r="Q54" s="168" t="e">
        <f>SUMIFS(#REF!,#REF!,'Summary - Avg Ck'!B54)</f>
        <v>#REF!</v>
      </c>
      <c r="R54" s="299"/>
      <c r="S54" s="299"/>
      <c r="T54" s="299"/>
      <c r="U54" s="168"/>
      <c r="V54" s="168"/>
      <c r="W54" s="168"/>
    </row>
    <row r="55" spans="2:28" ht="14.45" customHeight="1" outlineLevel="1">
      <c r="B55" s="269">
        <f t="shared" si="16"/>
        <v>28</v>
      </c>
      <c r="C55">
        <f>SUMIFS('Actual - 2026'!$AR:$AR,'Actual - 2026'!$C:$C,'Summary - Avg Ck'!B33)</f>
        <v>728635.33999999985</v>
      </c>
      <c r="D55" s="278">
        <f>SUMIFS('Actual - 2026'!$AS:$AS,'Actual - 2026'!$C:$C,'Summary - Avg Ck'!B33)</f>
        <v>3686</v>
      </c>
      <c r="E55" s="260">
        <f t="shared" si="20"/>
        <v>197.67643516006507</v>
      </c>
      <c r="F55" s="260">
        <f t="shared" si="18"/>
        <v>195.46992225821376</v>
      </c>
      <c r="G55" s="270">
        <f t="shared" si="19"/>
        <v>-1.1162245515327239E-2</v>
      </c>
      <c r="H55">
        <f>SUMIFS('Budget - 2026'!$CI:$CI,'Budget - 2026'!$D:$D,'Summary - Avg Ck'!B55)</f>
        <v>451289.53</v>
      </c>
      <c r="I55" s="278">
        <f>SUMIFS('Budget - 2026'!$CJ:$CJ,'Budget - 2026'!$D:$D,'Summary - Avg Ck'!B55)</f>
        <v>3211</v>
      </c>
      <c r="J55" s="260">
        <f t="shared" si="21"/>
        <v>140.54485518530055</v>
      </c>
      <c r="L55" s="280" t="e">
        <f>SUMIFS(#REF!,#REF!,'Summary - Avg Ck'!B55)</f>
        <v>#REF!</v>
      </c>
      <c r="M55" s="168" t="e">
        <f>SUMIFS(#REF!,#REF!,'Summary - Avg Ck'!B55)</f>
        <v>#REF!</v>
      </c>
      <c r="N55" s="168" t="e">
        <f>SUMIFS(#REF!,#REF!,'Summary - Avg Ck'!B55)</f>
        <v>#REF!</v>
      </c>
      <c r="O55" s="168" t="e">
        <f>SUMIFS(#REF!,#REF!,'Summary - Avg Ck'!B55)</f>
        <v>#REF!</v>
      </c>
      <c r="P55" s="168" t="e">
        <f>SUMIFS(#REF!,#REF!,'Summary - Avg Ck'!B55)</f>
        <v>#REF!</v>
      </c>
      <c r="Q55" s="168" t="e">
        <f>SUMIFS(#REF!,#REF!,'Summary - Avg Ck'!B55)</f>
        <v>#REF!</v>
      </c>
      <c r="R55" s="297"/>
      <c r="S55" s="297"/>
      <c r="T55" s="297"/>
      <c r="U55" s="168"/>
      <c r="V55" s="168"/>
      <c r="W55" s="168"/>
    </row>
    <row r="56" spans="2:28" ht="14.45" customHeight="1" outlineLevel="1">
      <c r="B56" s="269">
        <f t="shared" si="16"/>
        <v>29</v>
      </c>
      <c r="C56">
        <f>SUMIFS('Actual - 2026'!$AR:$AR,'Actual - 2026'!$C:$C,'Summary - Avg Ck'!B34)</f>
        <v>527411.91</v>
      </c>
      <c r="D56" s="278">
        <f>SUMIFS('Actual - 2026'!$AS:$AS,'Actual - 2026'!$C:$C,'Summary - Avg Ck'!B34)</f>
        <v>3101</v>
      </c>
      <c r="E56" s="260">
        <f t="shared" si="20"/>
        <v>170.07801031925186</v>
      </c>
      <c r="F56" s="260">
        <f t="shared" si="18"/>
        <v>189.80759528261183</v>
      </c>
      <c r="G56" s="270">
        <f t="shared" si="19"/>
        <v>0.11600315012108707</v>
      </c>
      <c r="H56">
        <f>SUMIFS('Budget - 2026'!$CI:$CI,'Budget - 2026'!$D:$D,'Summary - Avg Ck'!B56)</f>
        <v>435055.79000000004</v>
      </c>
      <c r="I56" s="278">
        <f>SUMIFS('Budget - 2026'!$CJ:$CJ,'Budget - 2026'!$D:$D,'Summary - Avg Ck'!B56)</f>
        <v>2884</v>
      </c>
      <c r="J56" s="260">
        <f t="shared" si="21"/>
        <v>150.85152219140085</v>
      </c>
      <c r="L56" s="280" t="e">
        <f>SUMIFS(#REF!,#REF!,'Summary - Avg Ck'!B56)</f>
        <v>#REF!</v>
      </c>
      <c r="M56" s="168" t="e">
        <f>SUMIFS(#REF!,#REF!,'Summary - Avg Ck'!B56)</f>
        <v>#REF!</v>
      </c>
      <c r="N56" s="168" t="e">
        <f>SUMIFS(#REF!,#REF!,'Summary - Avg Ck'!B56)</f>
        <v>#REF!</v>
      </c>
      <c r="O56" s="168" t="e">
        <f>SUMIFS(#REF!,#REF!,'Summary - Avg Ck'!B56)</f>
        <v>#REF!</v>
      </c>
      <c r="P56" s="168" t="e">
        <f>SUMIFS(#REF!,#REF!,'Summary - Avg Ck'!B56)</f>
        <v>#REF!</v>
      </c>
      <c r="Q56" s="168" t="e">
        <f>SUMIFS(#REF!,#REF!,'Summary - Avg Ck'!B56)</f>
        <v>#REF!</v>
      </c>
      <c r="R56" s="297"/>
      <c r="S56" s="297"/>
      <c r="T56" s="297"/>
      <c r="U56" s="168"/>
      <c r="V56" s="168"/>
      <c r="W56" s="168"/>
    </row>
    <row r="57" spans="2:28">
      <c r="B57" s="269">
        <f t="shared" si="16"/>
        <v>30</v>
      </c>
      <c r="C57">
        <f>SUMIFS('Actual - 2026'!$AR:$AR,'Actual - 2026'!$C:$C,'Summary - Avg Ck'!B35)</f>
        <v>485548.81</v>
      </c>
      <c r="D57" s="278">
        <f>SUMIFS('Actual - 2026'!$AS:$AS,'Actual - 2026'!$C:$C,'Summary - Avg Ck'!B35)</f>
        <v>3108</v>
      </c>
      <c r="E57" s="290">
        <f t="shared" si="20"/>
        <v>156.22548584298585</v>
      </c>
      <c r="F57" s="260">
        <f t="shared" si="18"/>
        <v>174.59216017019983</v>
      </c>
      <c r="G57" s="200">
        <f t="shared" si="19"/>
        <v>0.11756516056332435</v>
      </c>
      <c r="H57">
        <f>SUMIFS('Budget - 2026'!$CI:$CI,'Budget - 2026'!$D:$D,'Summary - Avg Ck'!B57)</f>
        <v>453918.84</v>
      </c>
      <c r="I57" s="278">
        <f>SUMIFS('Budget - 2026'!$CJ:$CJ,'Budget - 2026'!$D:$D,'Summary - Avg Ck'!B57)</f>
        <v>3159</v>
      </c>
      <c r="J57" s="260">
        <f t="shared" si="21"/>
        <v>143.69067426400761</v>
      </c>
      <c r="L57" s="280" t="e">
        <f>SUMIFS(#REF!,#REF!,'Summary - Avg Ck'!B57)</f>
        <v>#REF!</v>
      </c>
      <c r="M57" s="168" t="e">
        <f>SUMIFS(#REF!,#REF!,'Summary - Avg Ck'!B57)</f>
        <v>#REF!</v>
      </c>
      <c r="N57" s="168" t="e">
        <f>SUMIFS(#REF!,#REF!,'Summary - Avg Ck'!B57)</f>
        <v>#REF!</v>
      </c>
      <c r="O57" s="168" t="e">
        <f>SUMIFS(#REF!,#REF!,'Summary - Avg Ck'!B57)</f>
        <v>#REF!</v>
      </c>
      <c r="P57" s="168" t="e">
        <f>SUMIFS(#REF!,#REF!,'Summary - Avg Ck'!B57)</f>
        <v>#REF!</v>
      </c>
      <c r="Q57" s="168" t="e">
        <f>SUMIFS(#REF!,#REF!,'Summary - Avg Ck'!B57)</f>
        <v>#REF!</v>
      </c>
      <c r="R57" s="297"/>
      <c r="S57" s="297"/>
      <c r="T57" s="297"/>
      <c r="U57" s="168"/>
      <c r="V57" s="168"/>
      <c r="W57" s="168"/>
      <c r="Z57" s="168" t="e">
        <f>L57/O57</f>
        <v>#REF!</v>
      </c>
      <c r="AA57" s="168" t="e">
        <f t="shared" ref="AA57:AA69" si="22">M57/P57</f>
        <v>#REF!</v>
      </c>
      <c r="AB57" s="168" t="e">
        <f t="shared" ref="AB57:AB69" si="23">N57/Q57</f>
        <v>#REF!</v>
      </c>
    </row>
    <row r="58" spans="2:28">
      <c r="B58" s="269">
        <f t="shared" si="16"/>
        <v>31</v>
      </c>
      <c r="C58">
        <f>SUMIFS('Actual - 2026'!$AR:$AR,'Actual - 2026'!$C:$C,'Summary - Avg Ck'!B36)</f>
        <v>455530.85000000003</v>
      </c>
      <c r="D58" s="278">
        <f>SUMIFS('Actual - 2026'!$AS:$AS,'Actual - 2026'!$C:$C,'Summary - Avg Ck'!B36)</f>
        <v>2903</v>
      </c>
      <c r="E58" s="290">
        <f t="shared" si="20"/>
        <v>156.91727523251811</v>
      </c>
      <c r="F58" s="260">
        <f t="shared" si="18"/>
        <v>171.67736443194249</v>
      </c>
      <c r="G58" s="200">
        <f t="shared" si="19"/>
        <v>9.4062869607906871E-2</v>
      </c>
      <c r="H58">
        <f>SUMIFS('Budget - 2026'!$CI:$CI,'Budget - 2026'!$D:$D,'Summary - Avg Ck'!B58)</f>
        <v>387650.75</v>
      </c>
      <c r="I58" s="278">
        <f>SUMIFS('Budget - 2026'!$CJ:$CJ,'Budget - 2026'!$D:$D,'Summary - Avg Ck'!B58)</f>
        <v>2791</v>
      </c>
      <c r="J58" s="260">
        <f t="shared" si="21"/>
        <v>138.89313865997849</v>
      </c>
      <c r="L58" s="280" t="e">
        <f>SUMIFS(#REF!,#REF!,'Summary - Avg Ck'!B58)</f>
        <v>#REF!</v>
      </c>
      <c r="M58" s="168" t="e">
        <f>SUMIFS(#REF!,#REF!,'Summary - Avg Ck'!B58)</f>
        <v>#REF!</v>
      </c>
      <c r="N58" s="168" t="e">
        <f>SUMIFS(#REF!,#REF!,'Summary - Avg Ck'!B58)</f>
        <v>#REF!</v>
      </c>
      <c r="O58" s="168" t="e">
        <f>SUMIFS(#REF!,#REF!,'Summary - Avg Ck'!B58)</f>
        <v>#REF!</v>
      </c>
      <c r="P58" s="168" t="e">
        <f>SUMIFS(#REF!,#REF!,'Summary - Avg Ck'!B58)</f>
        <v>#REF!</v>
      </c>
      <c r="Q58" s="168" t="e">
        <f>SUMIFS(#REF!,#REF!,'Summary - Avg Ck'!B58)</f>
        <v>#REF!</v>
      </c>
      <c r="R58" s="297"/>
      <c r="S58" s="297"/>
      <c r="T58" s="297"/>
      <c r="U58" s="168"/>
      <c r="V58" s="168"/>
      <c r="W58" s="168"/>
      <c r="Z58" s="168" t="e">
        <f t="shared" ref="Z58:Z69" si="24">L58/O58</f>
        <v>#REF!</v>
      </c>
      <c r="AA58" s="168" t="e">
        <f t="shared" si="22"/>
        <v>#REF!</v>
      </c>
      <c r="AB58" s="168" t="e">
        <f t="shared" si="23"/>
        <v>#REF!</v>
      </c>
    </row>
    <row r="59" spans="2:28">
      <c r="B59" s="269">
        <f t="shared" si="16"/>
        <v>32</v>
      </c>
      <c r="C59">
        <f>SUMIFS('Actual - 2026'!$AR:$AR,'Actual - 2026'!$C:$C,'Summary - Avg Ck'!B37)</f>
        <v>439726.29</v>
      </c>
      <c r="D59" s="278">
        <f>SUMIFS('Actual - 2026'!$AS:$AS,'Actual - 2026'!$C:$C,'Summary - Avg Ck'!B37)</f>
        <v>2721</v>
      </c>
      <c r="E59" s="290">
        <f t="shared" si="20"/>
        <v>161.60466372657112</v>
      </c>
      <c r="F59" s="260">
        <f t="shared" si="18"/>
        <v>161.2623899264768</v>
      </c>
      <c r="G59" s="200">
        <f t="shared" si="19"/>
        <v>-2.1179698172166151E-3</v>
      </c>
      <c r="H59">
        <f>SUMIFS('Budget - 2026'!$CI:$CI,'Budget - 2026'!$D:$D,'Summary - Avg Ck'!B59)</f>
        <v>421854.13</v>
      </c>
      <c r="I59" s="278">
        <f>SUMIFS('Budget - 2026'!$CJ:$CJ,'Budget - 2026'!$D:$D,'Summary - Avg Ck'!B59)</f>
        <v>3041</v>
      </c>
      <c r="J59" s="260">
        <f t="shared" si="21"/>
        <v>138.72217362709634</v>
      </c>
      <c r="L59" s="280" t="e">
        <f>SUMIFS(#REF!,#REF!,'Summary - Avg Ck'!B59)</f>
        <v>#REF!</v>
      </c>
      <c r="M59" s="168" t="e">
        <f>SUMIFS(#REF!,#REF!,'Summary - Avg Ck'!B59)</f>
        <v>#REF!</v>
      </c>
      <c r="N59" s="168" t="e">
        <f>SUMIFS(#REF!,#REF!,'Summary - Avg Ck'!B59)</f>
        <v>#REF!</v>
      </c>
      <c r="O59" s="168" t="e">
        <f>SUMIFS(#REF!,#REF!,'Summary - Avg Ck'!B59)</f>
        <v>#REF!</v>
      </c>
      <c r="P59" s="168" t="e">
        <f>SUMIFS(#REF!,#REF!,'Summary - Avg Ck'!B59)</f>
        <v>#REF!</v>
      </c>
      <c r="Q59" s="168" t="e">
        <f>SUMIFS(#REF!,#REF!,'Summary - Avg Ck'!B59)</f>
        <v>#REF!</v>
      </c>
      <c r="R59" s="297"/>
      <c r="S59" s="297"/>
      <c r="T59" s="297"/>
      <c r="U59" s="168"/>
      <c r="V59" s="168"/>
      <c r="W59" s="168"/>
      <c r="Z59" s="168" t="e">
        <f t="shared" si="24"/>
        <v>#REF!</v>
      </c>
      <c r="AA59" s="168" t="e">
        <f t="shared" si="22"/>
        <v>#REF!</v>
      </c>
      <c r="AB59" s="168" t="e">
        <f t="shared" si="23"/>
        <v>#REF!</v>
      </c>
    </row>
    <row r="60" spans="2:28">
      <c r="B60" s="269">
        <f t="shared" si="16"/>
        <v>33</v>
      </c>
      <c r="C60">
        <f>SUMIFS('Actual - 2026'!$AR:$AR,'Actual - 2026'!$C:$C,'Summary - Avg Ck'!B38)</f>
        <v>372957.05999999994</v>
      </c>
      <c r="D60" s="278">
        <f>SUMIFS('Actual - 2026'!$AS:$AS,'Actual - 2026'!$C:$C,'Summary - Avg Ck'!B38)</f>
        <v>2581</v>
      </c>
      <c r="E60" s="290">
        <f t="shared" si="20"/>
        <v>144.50099186361874</v>
      </c>
      <c r="F60" s="260">
        <f t="shared" si="18"/>
        <v>155.02192256695835</v>
      </c>
      <c r="G60" s="200">
        <f t="shared" si="19"/>
        <v>7.2808709252801251E-2</v>
      </c>
      <c r="H60">
        <f>SUMIFS('Budget - 2026'!$CI:$CI,'Budget - 2026'!$D:$D,'Summary - Avg Ck'!B60)</f>
        <v>561814.43999999994</v>
      </c>
      <c r="I60" s="278">
        <f>SUMIFS('Budget - 2026'!$CJ:$CJ,'Budget - 2026'!$D:$D,'Summary - Avg Ck'!B60)</f>
        <v>3647</v>
      </c>
      <c r="J60" s="260">
        <f t="shared" si="21"/>
        <v>154.04837948999176</v>
      </c>
      <c r="L60" s="280" t="e">
        <f>SUMIFS(#REF!,#REF!,'Summary - Avg Ck'!B60)</f>
        <v>#REF!</v>
      </c>
      <c r="M60" s="168" t="e">
        <f>SUMIFS(#REF!,#REF!,'Summary - Avg Ck'!B60)</f>
        <v>#REF!</v>
      </c>
      <c r="N60" s="168" t="e">
        <f>SUMIFS(#REF!,#REF!,'Summary - Avg Ck'!B60)</f>
        <v>#REF!</v>
      </c>
      <c r="O60" s="168" t="e">
        <f>SUMIFS(#REF!,#REF!,'Summary - Avg Ck'!B60)</f>
        <v>#REF!</v>
      </c>
      <c r="P60" s="168" t="e">
        <f>SUMIFS(#REF!,#REF!,'Summary - Avg Ck'!B60)</f>
        <v>#REF!</v>
      </c>
      <c r="Q60" s="168" t="e">
        <f>SUMIFS(#REF!,#REF!,'Summary - Avg Ck'!B60)</f>
        <v>#REF!</v>
      </c>
      <c r="R60" s="297"/>
      <c r="S60" s="297"/>
      <c r="T60" s="297"/>
      <c r="U60" s="168"/>
      <c r="V60" s="168"/>
      <c r="W60" s="168"/>
      <c r="Z60" s="168" t="e">
        <f t="shared" si="24"/>
        <v>#REF!</v>
      </c>
      <c r="AA60" s="168" t="e">
        <f t="shared" si="22"/>
        <v>#REF!</v>
      </c>
      <c r="AB60" s="168" t="e">
        <f t="shared" si="23"/>
        <v>#REF!</v>
      </c>
    </row>
    <row r="61" spans="2:28">
      <c r="B61" s="269">
        <f t="shared" si="16"/>
        <v>34</v>
      </c>
      <c r="C61">
        <f>SUMIFS('Actual - 2026'!$AR:$AR,'Actual - 2026'!$C:$C,'Summary - Avg Ck'!B39)</f>
        <v>386565.86</v>
      </c>
      <c r="D61" s="278">
        <f>SUMIFS('Actual - 2026'!$AS:$AS,'Actual - 2026'!$C:$C,'Summary - Avg Ck'!B39)</f>
        <v>0</v>
      </c>
      <c r="E61" s="290">
        <f t="shared" si="20"/>
        <v>0</v>
      </c>
      <c r="F61" s="260">
        <f t="shared" si="18"/>
        <v>201.67947105423522</v>
      </c>
      <c r="G61" s="200" t="e">
        <f t="shared" si="19"/>
        <v>#DIV/0!</v>
      </c>
      <c r="H61">
        <f>SUMIFS('Budget - 2026'!$CI:$CI,'Budget - 2026'!$D:$D,'Summary - Avg Ck'!B61)</f>
        <v>493511.75</v>
      </c>
      <c r="I61" s="278">
        <f>SUMIFS('Budget - 2026'!$CJ:$CJ,'Budget - 2026'!$D:$D,'Summary - Avg Ck'!B61)</f>
        <v>3463</v>
      </c>
      <c r="J61" s="260">
        <f t="shared" si="21"/>
        <v>142.50989026855328</v>
      </c>
      <c r="L61" s="280" t="e">
        <f>SUMIFS(#REF!,#REF!,'Summary - Avg Ck'!B61)</f>
        <v>#REF!</v>
      </c>
      <c r="M61" s="168" t="e">
        <f>SUMIFS(#REF!,#REF!,'Summary - Avg Ck'!B61)</f>
        <v>#REF!</v>
      </c>
      <c r="N61" s="168" t="e">
        <f>SUMIFS(#REF!,#REF!,'Summary - Avg Ck'!B61)</f>
        <v>#REF!</v>
      </c>
      <c r="O61" s="168" t="e">
        <f>SUMIFS(#REF!,#REF!,'Summary - Avg Ck'!B61)</f>
        <v>#REF!</v>
      </c>
      <c r="P61" s="168" t="e">
        <f>SUMIFS(#REF!,#REF!,'Summary - Avg Ck'!B61)</f>
        <v>#REF!</v>
      </c>
      <c r="Q61" s="168" t="e">
        <f>SUMIFS(#REF!,#REF!,'Summary - Avg Ck'!B61)</f>
        <v>#REF!</v>
      </c>
      <c r="R61" s="297"/>
      <c r="S61" s="298"/>
      <c r="T61" s="297"/>
      <c r="U61" s="168"/>
      <c r="V61" s="168"/>
      <c r="W61" s="168"/>
      <c r="Z61" s="168" t="e">
        <f t="shared" si="24"/>
        <v>#REF!</v>
      </c>
      <c r="AA61" s="168" t="e">
        <f t="shared" si="22"/>
        <v>#REF!</v>
      </c>
      <c r="AB61" s="168" t="e">
        <f t="shared" si="23"/>
        <v>#REF!</v>
      </c>
    </row>
    <row r="62" spans="2:28">
      <c r="B62" s="269">
        <f t="shared" si="16"/>
        <v>35</v>
      </c>
      <c r="C62">
        <f>SUMIFS('Actual - 2026'!$AR:$AR,'Actual - 2026'!$C:$C,'Summary - Avg Ck'!B40)</f>
        <v>0</v>
      </c>
      <c r="D62" s="278">
        <f>SUMIFS('Actual - 2026'!$AS:$AS,'Actual - 2026'!$C:$C,'Summary - Avg Ck'!B40)</f>
        <v>0</v>
      </c>
      <c r="E62" s="290">
        <f t="shared" si="20"/>
        <v>0</v>
      </c>
      <c r="F62" s="260">
        <f t="shared" si="18"/>
        <v>226.18808185590342</v>
      </c>
      <c r="G62" s="200" t="e">
        <f t="shared" si="19"/>
        <v>#DIV/0!</v>
      </c>
      <c r="H62">
        <f>SUMIFS('Budget - 2026'!$CI:$CI,'Budget - 2026'!$D:$D,'Summary - Avg Ck'!B62)</f>
        <v>554626.54</v>
      </c>
      <c r="I62" s="278">
        <f>SUMIFS('Budget - 2026'!$CJ:$CJ,'Budget - 2026'!$D:$D,'Summary - Avg Ck'!B62)</f>
        <v>3489</v>
      </c>
      <c r="J62" s="260">
        <f t="shared" si="21"/>
        <v>158.9643278876469</v>
      </c>
      <c r="L62" s="280" t="e">
        <f>SUMIFS(#REF!,#REF!,'Summary - Avg Ck'!B62)</f>
        <v>#REF!</v>
      </c>
      <c r="M62" s="168" t="e">
        <f>SUMIFS(#REF!,#REF!,'Summary - Avg Ck'!B62)</f>
        <v>#REF!</v>
      </c>
      <c r="N62" s="168" t="e">
        <f>SUMIFS(#REF!,#REF!,'Summary - Avg Ck'!B62)</f>
        <v>#REF!</v>
      </c>
      <c r="O62" s="168" t="e">
        <f>SUMIFS(#REF!,#REF!,'Summary - Avg Ck'!B62)</f>
        <v>#REF!</v>
      </c>
      <c r="P62" s="168" t="e">
        <f>SUMIFS(#REF!,#REF!,'Summary - Avg Ck'!B62)</f>
        <v>#REF!</v>
      </c>
      <c r="Q62" s="168" t="e">
        <f>SUMIFS(#REF!,#REF!,'Summary - Avg Ck'!B62)</f>
        <v>#REF!</v>
      </c>
      <c r="R62" s="297"/>
      <c r="S62" s="297"/>
      <c r="T62" s="297"/>
      <c r="U62" s="168"/>
      <c r="V62" s="168"/>
      <c r="W62" s="168"/>
      <c r="Z62" s="168" t="e">
        <f t="shared" si="24"/>
        <v>#REF!</v>
      </c>
      <c r="AA62" s="168" t="e">
        <f t="shared" si="22"/>
        <v>#REF!</v>
      </c>
      <c r="AB62" s="168" t="e">
        <f t="shared" si="23"/>
        <v>#REF!</v>
      </c>
    </row>
    <row r="63" spans="2:28">
      <c r="B63" s="269">
        <f t="shared" si="16"/>
        <v>36</v>
      </c>
      <c r="C63">
        <f>SUMIFS('Actual - 2026'!$AR:$AR,'Actual - 2026'!$C:$C,'Summary - Avg Ck'!B41)</f>
        <v>0</v>
      </c>
      <c r="D63" s="278">
        <f>SUMIFS('Actual - 2026'!$AS:$AS,'Actual - 2026'!$C:$C,'Summary - Avg Ck'!B41)</f>
        <v>0</v>
      </c>
      <c r="E63" s="290">
        <f t="shared" si="20"/>
        <v>0</v>
      </c>
      <c r="F63" s="260">
        <f t="shared" si="18"/>
        <v>294.27466873304917</v>
      </c>
      <c r="G63" s="200" t="e">
        <f t="shared" si="19"/>
        <v>#DIV/0!</v>
      </c>
      <c r="H63">
        <f>SUMIFS('Budget - 2026'!$CI:$CI,'Budget - 2026'!$D:$D,'Summary - Avg Ck'!B63)</f>
        <v>397557.26</v>
      </c>
      <c r="I63" s="278">
        <f>SUMIFS('Budget - 2026'!$CJ:$CJ,'Budget - 2026'!$D:$D,'Summary - Avg Ck'!B63)</f>
        <v>2678</v>
      </c>
      <c r="J63" s="260">
        <f t="shared" si="21"/>
        <v>148.45304705003736</v>
      </c>
      <c r="L63" s="280" t="e">
        <f>SUMIFS(#REF!,#REF!,'Summary - Avg Ck'!B63)</f>
        <v>#REF!</v>
      </c>
      <c r="M63" s="168" t="e">
        <f>SUMIFS(#REF!,#REF!,'Summary - Avg Ck'!B63)</f>
        <v>#REF!</v>
      </c>
      <c r="N63" s="168" t="e">
        <f>SUMIFS(#REF!,#REF!,'Summary - Avg Ck'!B63)</f>
        <v>#REF!</v>
      </c>
      <c r="O63" s="168" t="e">
        <f>SUMIFS(#REF!,#REF!,'Summary - Avg Ck'!B63)</f>
        <v>#REF!</v>
      </c>
      <c r="P63" s="168" t="e">
        <f>SUMIFS(#REF!,#REF!,'Summary - Avg Ck'!B63)</f>
        <v>#REF!</v>
      </c>
      <c r="Q63" s="168" t="e">
        <f>SUMIFS(#REF!,#REF!,'Summary - Avg Ck'!B63)</f>
        <v>#REF!</v>
      </c>
      <c r="R63" s="297"/>
      <c r="S63" s="298"/>
      <c r="T63" s="297"/>
      <c r="U63" s="168"/>
      <c r="V63" s="168"/>
      <c r="W63" s="168"/>
      <c r="Z63" s="168" t="e">
        <f t="shared" si="24"/>
        <v>#REF!</v>
      </c>
      <c r="AA63" s="168" t="e">
        <f t="shared" si="22"/>
        <v>#REF!</v>
      </c>
      <c r="AB63" s="168" t="e">
        <f t="shared" si="23"/>
        <v>#REF!</v>
      </c>
    </row>
    <row r="64" spans="2:28">
      <c r="B64" s="269">
        <f t="shared" si="16"/>
        <v>37</v>
      </c>
      <c r="C64">
        <f>SUMIFS('Actual - 2026'!$AR:$AR,'Actual - 2026'!$C:$C,'Summary - Avg Ck'!B42)</f>
        <v>0</v>
      </c>
      <c r="D64" s="278">
        <f>SUMIFS('Actual - 2026'!$AS:$AS,'Actual - 2026'!$C:$C,'Summary - Avg Ck'!B42)</f>
        <v>0</v>
      </c>
      <c r="E64" s="290">
        <f t="shared" si="20"/>
        <v>0</v>
      </c>
      <c r="F64" s="260" t="e">
        <f t="shared" si="18"/>
        <v>#DIV/0!</v>
      </c>
      <c r="G64" s="200" t="e">
        <f t="shared" si="19"/>
        <v>#DIV/0!</v>
      </c>
      <c r="H64">
        <f>SUMIFS('Budget - 2026'!$CI:$CI,'Budget - 2026'!$D:$D,'Summary - Avg Ck'!B64)</f>
        <v>481710.5</v>
      </c>
      <c r="I64" s="278">
        <f>SUMIFS('Budget - 2026'!$CJ:$CJ,'Budget - 2026'!$D:$D,'Summary - Avg Ck'!B64)</f>
        <v>3283</v>
      </c>
      <c r="J64" s="260">
        <f t="shared" si="21"/>
        <v>146.72875418824245</v>
      </c>
      <c r="L64" s="280" t="e">
        <f>SUMIFS(#REF!,#REF!,'Summary - Avg Ck'!B64)</f>
        <v>#REF!</v>
      </c>
      <c r="M64" s="168" t="e">
        <f>SUMIFS(#REF!,#REF!,'Summary - Avg Ck'!B64)</f>
        <v>#REF!</v>
      </c>
      <c r="N64" s="168" t="e">
        <f>SUMIFS(#REF!,#REF!,'Summary - Avg Ck'!B64)</f>
        <v>#REF!</v>
      </c>
      <c r="O64" s="168" t="e">
        <f>SUMIFS(#REF!,#REF!,'Summary - Avg Ck'!B64)</f>
        <v>#REF!</v>
      </c>
      <c r="P64" s="168" t="e">
        <f>SUMIFS(#REF!,#REF!,'Summary - Avg Ck'!B64)</f>
        <v>#REF!</v>
      </c>
      <c r="Q64" s="168" t="e">
        <f>SUMIFS(#REF!,#REF!,'Summary - Avg Ck'!B64)</f>
        <v>#REF!</v>
      </c>
      <c r="R64" s="297"/>
      <c r="S64" s="297"/>
      <c r="T64" s="297"/>
      <c r="U64" s="168"/>
      <c r="V64" s="168"/>
      <c r="W64" s="168"/>
      <c r="Z64" s="168" t="e">
        <f t="shared" si="24"/>
        <v>#REF!</v>
      </c>
      <c r="AA64" s="168" t="e">
        <f t="shared" si="22"/>
        <v>#REF!</v>
      </c>
      <c r="AB64" s="168" t="e">
        <f t="shared" si="23"/>
        <v>#REF!</v>
      </c>
    </row>
    <row r="65" spans="2:28">
      <c r="B65" s="269">
        <f t="shared" si="16"/>
        <v>38</v>
      </c>
      <c r="C65">
        <f>SUMIFS('Actual - 2026'!$AR:$AR,'Actual - 2026'!$C:$C,'Summary - Avg Ck'!B43)</f>
        <v>0</v>
      </c>
      <c r="D65" s="278">
        <f>SUMIFS('Actual - 2026'!$AS:$AS,'Actual - 2026'!$C:$C,'Summary - Avg Ck'!B43)</f>
        <v>0</v>
      </c>
      <c r="E65" s="290">
        <f t="shared" si="20"/>
        <v>0</v>
      </c>
      <c r="F65" s="260" t="e">
        <f t="shared" si="18"/>
        <v>#DIV/0!</v>
      </c>
      <c r="G65" s="200" t="e">
        <f t="shared" si="19"/>
        <v>#DIV/0!</v>
      </c>
      <c r="H65">
        <f>SUMIFS('Budget - 2026'!$CI:$CI,'Budget - 2026'!$D:$D,'Summary - Avg Ck'!B65)</f>
        <v>502088.24</v>
      </c>
      <c r="I65" s="278">
        <f>SUMIFS('Budget - 2026'!$CJ:$CJ,'Budget - 2026'!$D:$D,'Summary - Avg Ck'!B65)</f>
        <v>3704</v>
      </c>
      <c r="J65" s="260">
        <f t="shared" si="21"/>
        <v>135.55298056155507</v>
      </c>
      <c r="L65" s="280" t="e">
        <f>SUMIFS(#REF!,#REF!,'Summary - Avg Ck'!B65)</f>
        <v>#REF!</v>
      </c>
      <c r="M65" s="168" t="e">
        <f>SUMIFS(#REF!,#REF!,'Summary - Avg Ck'!B65)</f>
        <v>#REF!</v>
      </c>
      <c r="N65" s="168" t="e">
        <f>SUMIFS(#REF!,#REF!,'Summary - Avg Ck'!B65)</f>
        <v>#REF!</v>
      </c>
      <c r="O65" s="168" t="e">
        <f>SUMIFS(#REF!,#REF!,'Summary - Avg Ck'!B65)</f>
        <v>#REF!</v>
      </c>
      <c r="P65" s="168" t="e">
        <f>SUMIFS(#REF!,#REF!,'Summary - Avg Ck'!B65)</f>
        <v>#REF!</v>
      </c>
      <c r="Q65" s="168" t="e">
        <f>SUMIFS(#REF!,#REF!,'Summary - Avg Ck'!B65)</f>
        <v>#REF!</v>
      </c>
      <c r="R65" s="297"/>
      <c r="S65" s="297"/>
      <c r="T65" s="297"/>
      <c r="U65" s="168"/>
      <c r="V65" s="168"/>
      <c r="W65" s="168"/>
      <c r="Z65" s="168" t="e">
        <f t="shared" si="24"/>
        <v>#REF!</v>
      </c>
      <c r="AA65" s="168" t="e">
        <f t="shared" si="22"/>
        <v>#REF!</v>
      </c>
      <c r="AB65" s="168" t="e">
        <f t="shared" si="23"/>
        <v>#REF!</v>
      </c>
    </row>
    <row r="66" spans="2:28">
      <c r="B66" s="269">
        <f t="shared" si="16"/>
        <v>39</v>
      </c>
      <c r="C66">
        <f>SUMIFS('Actual - 2026'!$AR:$AR,'Actual - 2026'!$C:$C,'Summary - Avg Ck'!B44)</f>
        <v>0</v>
      </c>
      <c r="D66" s="278">
        <f>SUMIFS('Actual - 2026'!$AS:$AS,'Actual - 2026'!$C:$C,'Summary - Avg Ck'!B44)</f>
        <v>0</v>
      </c>
      <c r="E66" s="290">
        <f t="shared" si="20"/>
        <v>0</v>
      </c>
      <c r="F66" s="260" t="e">
        <f t="shared" si="18"/>
        <v>#DIV/0!</v>
      </c>
      <c r="G66" s="200" t="e">
        <f t="shared" si="19"/>
        <v>#DIV/0!</v>
      </c>
      <c r="H66">
        <f>SUMIFS('Budget - 2026'!$CI:$CI,'Budget - 2026'!$D:$D,'Summary - Avg Ck'!B66)</f>
        <v>516060.21</v>
      </c>
      <c r="I66" s="278">
        <f>SUMIFS('Budget - 2026'!$CJ:$CJ,'Budget - 2026'!$D:$D,'Summary - Avg Ck'!B66)</f>
        <v>3191</v>
      </c>
      <c r="J66" s="260">
        <f t="shared" si="21"/>
        <v>161.72366342839237</v>
      </c>
      <c r="L66" s="280" t="e">
        <f>SUMIFS(#REF!,#REF!,'Summary - Avg Ck'!B66)</f>
        <v>#REF!</v>
      </c>
      <c r="M66" s="168" t="e">
        <f>SUMIFS(#REF!,#REF!,'Summary - Avg Ck'!B66)</f>
        <v>#REF!</v>
      </c>
      <c r="N66" s="168" t="e">
        <f>SUMIFS(#REF!,#REF!,'Summary - Avg Ck'!B66)</f>
        <v>#REF!</v>
      </c>
      <c r="O66" s="168" t="e">
        <f>SUMIFS(#REF!,#REF!,'Summary - Avg Ck'!B66)</f>
        <v>#REF!</v>
      </c>
      <c r="P66" s="168" t="e">
        <f>SUMIFS(#REF!,#REF!,'Summary - Avg Ck'!B66)</f>
        <v>#REF!</v>
      </c>
      <c r="Q66" s="168" t="e">
        <f>SUMIFS(#REF!,#REF!,'Summary - Avg Ck'!B66)</f>
        <v>#REF!</v>
      </c>
      <c r="R66" s="297"/>
      <c r="S66" s="297"/>
      <c r="T66" s="297"/>
      <c r="U66" s="168"/>
      <c r="V66" s="168"/>
      <c r="W66" s="168"/>
      <c r="Z66" s="168" t="e">
        <f t="shared" si="24"/>
        <v>#REF!</v>
      </c>
      <c r="AA66" s="168" t="e">
        <f t="shared" si="22"/>
        <v>#REF!</v>
      </c>
      <c r="AB66" s="168" t="e">
        <f t="shared" si="23"/>
        <v>#REF!</v>
      </c>
    </row>
    <row r="67" spans="2:28">
      <c r="B67" s="269">
        <f t="shared" si="16"/>
        <v>40</v>
      </c>
      <c r="C67">
        <f>SUMIFS('Actual - 2026'!$AR:$AR,'Actual - 2026'!$C:$C,'Summary - Avg Ck'!B45)</f>
        <v>0</v>
      </c>
      <c r="D67" s="278">
        <f>SUMIFS('Actual - 2026'!$AS:$AS,'Actual - 2026'!$C:$C,'Summary - Avg Ck'!B45)</f>
        <v>0</v>
      </c>
      <c r="E67" s="290">
        <f t="shared" si="20"/>
        <v>0</v>
      </c>
      <c r="F67" s="260" t="e">
        <f t="shared" si="18"/>
        <v>#DIV/0!</v>
      </c>
      <c r="G67" s="200" t="e">
        <f t="shared" si="19"/>
        <v>#DIV/0!</v>
      </c>
      <c r="H67">
        <f>SUMIFS('Budget - 2026'!$CI:$CI,'Budget - 2026'!$D:$D,'Summary - Avg Ck'!B67)</f>
        <v>491620.20999999996</v>
      </c>
      <c r="I67" s="278">
        <f>SUMIFS('Budget - 2026'!$CJ:$CJ,'Budget - 2026'!$D:$D,'Summary - Avg Ck'!B67)</f>
        <v>2983</v>
      </c>
      <c r="J67" s="260">
        <f t="shared" si="21"/>
        <v>164.80731143144484</v>
      </c>
      <c r="L67" s="280" t="e">
        <f>SUMIFS(#REF!,#REF!,'Summary - Avg Ck'!B67)</f>
        <v>#REF!</v>
      </c>
      <c r="M67" s="168" t="e">
        <f>SUMIFS(#REF!,#REF!,'Summary - Avg Ck'!B67)</f>
        <v>#REF!</v>
      </c>
      <c r="N67" s="168" t="e">
        <f>SUMIFS(#REF!,#REF!,'Summary - Avg Ck'!B67)</f>
        <v>#REF!</v>
      </c>
      <c r="O67" s="168" t="e">
        <f>SUMIFS(#REF!,#REF!,'Summary - Avg Ck'!B67)</f>
        <v>#REF!</v>
      </c>
      <c r="P67" s="168" t="e">
        <f>SUMIFS(#REF!,#REF!,'Summary - Avg Ck'!B67)</f>
        <v>#REF!</v>
      </c>
      <c r="Q67" s="168" t="e">
        <f>SUMIFS(#REF!,#REF!,'Summary - Avg Ck'!B67)</f>
        <v>#REF!</v>
      </c>
      <c r="R67" s="297"/>
      <c r="S67" s="297"/>
      <c r="T67" s="297"/>
      <c r="U67" s="168"/>
      <c r="V67" s="168"/>
      <c r="W67" s="168"/>
      <c r="Z67" s="168" t="e">
        <f t="shared" si="24"/>
        <v>#REF!</v>
      </c>
      <c r="AA67" s="168" t="e">
        <f t="shared" si="22"/>
        <v>#REF!</v>
      </c>
      <c r="AB67" s="168" t="e">
        <f t="shared" si="23"/>
        <v>#REF!</v>
      </c>
    </row>
    <row r="68" spans="2:28">
      <c r="B68" s="269">
        <f t="shared" si="16"/>
        <v>41</v>
      </c>
      <c r="C68">
        <f>SUMIFS('Actual - 2026'!$AR:$AR,'Actual - 2026'!$C:$C,'Summary - Avg Ck'!B46)</f>
        <v>0</v>
      </c>
      <c r="D68" s="278">
        <f>SUMIFS('Actual - 2026'!$AS:$AS,'Actual - 2026'!$C:$C,'Summary - Avg Ck'!B46)</f>
        <v>0</v>
      </c>
      <c r="E68" s="290">
        <f t="shared" si="20"/>
        <v>0</v>
      </c>
      <c r="F68" s="260" t="e">
        <f t="shared" si="18"/>
        <v>#DIV/0!</v>
      </c>
      <c r="G68" s="200" t="e">
        <f t="shared" si="19"/>
        <v>#DIV/0!</v>
      </c>
      <c r="H68">
        <f>SUMIFS('Budget - 2026'!$CI:$CI,'Budget - 2026'!$D:$D,'Summary - Avg Ck'!B68)</f>
        <v>495789.84</v>
      </c>
      <c r="I68" s="278">
        <f>SUMIFS('Budget - 2026'!$CJ:$CJ,'Budget - 2026'!$D:$D,'Summary - Avg Ck'!B68)</f>
        <v>3123</v>
      </c>
      <c r="J68" s="260">
        <f t="shared" si="21"/>
        <v>158.7543515850144</v>
      </c>
      <c r="L68" s="280" t="e">
        <f>SUMIFS(#REF!,#REF!,'Summary - Avg Ck'!B68)</f>
        <v>#REF!</v>
      </c>
      <c r="M68" s="168" t="e">
        <f>SUMIFS(#REF!,#REF!,'Summary - Avg Ck'!B68)</f>
        <v>#REF!</v>
      </c>
      <c r="N68" s="168" t="e">
        <f>SUMIFS(#REF!,#REF!,'Summary - Avg Ck'!B68)</f>
        <v>#REF!</v>
      </c>
      <c r="O68" s="168" t="e">
        <f>SUMIFS(#REF!,#REF!,'Summary - Avg Ck'!B68)</f>
        <v>#REF!</v>
      </c>
      <c r="P68" s="168" t="e">
        <f>SUMIFS(#REF!,#REF!,'Summary - Avg Ck'!B68)</f>
        <v>#REF!</v>
      </c>
      <c r="Q68" s="168" t="e">
        <f>SUMIFS(#REF!,#REF!,'Summary - Avg Ck'!B68)</f>
        <v>#REF!</v>
      </c>
      <c r="R68" s="168"/>
      <c r="S68" s="168"/>
      <c r="T68" s="168"/>
      <c r="U68" s="168"/>
      <c r="V68" s="168"/>
      <c r="W68" s="168"/>
      <c r="Z68" s="168" t="e">
        <f t="shared" si="24"/>
        <v>#REF!</v>
      </c>
      <c r="AA68" s="168" t="e">
        <f t="shared" si="22"/>
        <v>#REF!</v>
      </c>
      <c r="AB68" s="168" t="e">
        <f t="shared" si="23"/>
        <v>#REF!</v>
      </c>
    </row>
    <row r="69" spans="2:28">
      <c r="B69" s="269">
        <f t="shared" si="16"/>
        <v>42</v>
      </c>
      <c r="C69">
        <f>SUMIFS('Actual - 2026'!$AR:$AR,'Actual - 2026'!$C:$C,'Summary - Avg Ck'!B47)</f>
        <v>0</v>
      </c>
      <c r="D69" s="278">
        <f>SUMIFS('Actual - 2026'!$AS:$AS,'Actual - 2026'!$C:$C,'Summary - Avg Ck'!B47)</f>
        <v>0</v>
      </c>
      <c r="E69" s="290">
        <f t="shared" si="20"/>
        <v>0</v>
      </c>
      <c r="F69" s="260" t="e">
        <f t="shared" si="18"/>
        <v>#DIV/0!</v>
      </c>
      <c r="G69" s="200" t="e">
        <f t="shared" si="19"/>
        <v>#DIV/0!</v>
      </c>
      <c r="H69">
        <f>SUMIFS('Budget - 2026'!$CI:$CI,'Budget - 2026'!$D:$D,'Summary - Avg Ck'!B69)</f>
        <v>481493.53</v>
      </c>
      <c r="I69" s="278">
        <f>SUMIFS('Budget - 2026'!$CJ:$CJ,'Budget - 2026'!$D:$D,'Summary - Avg Ck'!B69)</f>
        <v>2997</v>
      </c>
      <c r="J69" s="260">
        <f t="shared" si="21"/>
        <v>160.65850183516852</v>
      </c>
      <c r="L69" s="280" t="e">
        <f>SUMIFS(#REF!,#REF!,'Summary - Avg Ck'!B69)</f>
        <v>#REF!</v>
      </c>
      <c r="M69" s="168" t="e">
        <f>SUMIFS(#REF!,#REF!,'Summary - Avg Ck'!B69)</f>
        <v>#REF!</v>
      </c>
      <c r="N69" s="168" t="e">
        <f>SUMIFS(#REF!,#REF!,'Summary - Avg Ck'!B69)</f>
        <v>#REF!</v>
      </c>
      <c r="O69" s="168" t="e">
        <f>SUMIFS(#REF!,#REF!,'Summary - Avg Ck'!B69)</f>
        <v>#REF!</v>
      </c>
      <c r="P69" s="168" t="e">
        <f>SUMIFS(#REF!,#REF!,'Summary - Avg Ck'!B69)</f>
        <v>#REF!</v>
      </c>
      <c r="Q69" s="168" t="e">
        <f>SUMIFS(#REF!,#REF!,'Summary - Avg Ck'!B69)</f>
        <v>#REF!</v>
      </c>
      <c r="R69" s="168"/>
      <c r="S69" s="168"/>
      <c r="T69" s="168"/>
      <c r="U69" s="168"/>
      <c r="V69" s="168"/>
      <c r="W69" s="168"/>
      <c r="Z69" s="168" t="e">
        <f t="shared" si="24"/>
        <v>#REF!</v>
      </c>
      <c r="AA69" s="168" t="e">
        <f t="shared" si="22"/>
        <v>#REF!</v>
      </c>
      <c r="AB69" s="168" t="e">
        <f t="shared" si="23"/>
        <v>#REF!</v>
      </c>
    </row>
    <row r="70" spans="2:28"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</row>
    <row r="71" spans="2:28" ht="21">
      <c r="B71" s="421" t="s">
        <v>229</v>
      </c>
      <c r="C71" s="421"/>
      <c r="D71" s="421"/>
      <c r="E71" s="421"/>
      <c r="F71" s="421"/>
      <c r="G71" s="421"/>
      <c r="H71" s="421"/>
      <c r="I71" s="421"/>
      <c r="J71" s="421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</row>
    <row r="72" spans="2:28">
      <c r="B72" s="272"/>
      <c r="C72" s="272"/>
      <c r="D72" s="274"/>
      <c r="E72" s="272"/>
      <c r="F72" s="272"/>
      <c r="G72" s="272"/>
      <c r="H72" s="272"/>
      <c r="I72" s="274"/>
      <c r="J72" s="272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</row>
    <row r="73" spans="2:28">
      <c r="B73" s="267" t="s">
        <v>2</v>
      </c>
      <c r="C73" s="276" t="str">
        <f>C51</f>
        <v>Sales</v>
      </c>
      <c r="D73" s="276" t="str">
        <f>D51</f>
        <v>Covers</v>
      </c>
      <c r="E73" s="267" t="s">
        <v>218</v>
      </c>
      <c r="F73" s="271" t="s">
        <v>219</v>
      </c>
      <c r="G73" s="267" t="s">
        <v>220</v>
      </c>
      <c r="H73" s="276" t="str">
        <f t="shared" ref="H73:J73" si="25">H51</f>
        <v>Sales</v>
      </c>
      <c r="I73" s="276" t="str">
        <f t="shared" si="25"/>
        <v>LY Covers</v>
      </c>
      <c r="J73" s="276" t="str">
        <f t="shared" si="25"/>
        <v>LY Avg Check</v>
      </c>
      <c r="L73" s="295" t="s">
        <v>223</v>
      </c>
      <c r="M73" s="295" t="s">
        <v>224</v>
      </c>
      <c r="N73" s="295" t="s">
        <v>225</v>
      </c>
      <c r="O73" s="295" t="s">
        <v>223</v>
      </c>
      <c r="P73" s="295" t="s">
        <v>224</v>
      </c>
      <c r="Q73" s="295" t="s">
        <v>225</v>
      </c>
      <c r="R73" s="295" t="s">
        <v>226</v>
      </c>
      <c r="S73" s="295" t="s">
        <v>227</v>
      </c>
      <c r="T73" s="295" t="s">
        <v>228</v>
      </c>
      <c r="U73" s="295" t="s">
        <v>226</v>
      </c>
      <c r="V73" s="295" t="s">
        <v>227</v>
      </c>
      <c r="W73" s="295" t="s">
        <v>228</v>
      </c>
    </row>
    <row r="74" spans="2:28">
      <c r="B74" s="267"/>
      <c r="C74" s="267"/>
      <c r="D74" s="276"/>
      <c r="E74" s="267"/>
      <c r="F74" s="271"/>
      <c r="G74" s="267"/>
      <c r="H74" s="267"/>
      <c r="I74" s="276"/>
      <c r="J74" s="271"/>
      <c r="L74" s="420" t="s">
        <v>71</v>
      </c>
      <c r="M74" s="420"/>
      <c r="N74" s="420"/>
      <c r="O74" s="420" t="s">
        <v>63</v>
      </c>
      <c r="P74" s="420"/>
      <c r="Q74" s="420"/>
      <c r="R74" s="420" t="s">
        <v>71</v>
      </c>
      <c r="S74" s="420"/>
      <c r="T74" s="420"/>
      <c r="U74" s="420" t="s">
        <v>63</v>
      </c>
      <c r="V74" s="420"/>
      <c r="W74" s="420"/>
    </row>
    <row r="75" spans="2:28" ht="14.45" customHeight="1" outlineLevel="1">
      <c r="B75" s="269">
        <f t="shared" ref="B75:B91" si="26">B53</f>
        <v>26</v>
      </c>
      <c r="C75">
        <f>SUMIFS('Actual - 2026'!$BA:$BA,'Actual - 2026'!$C:$C,'Summary - Avg Ck'!B53)</f>
        <v>255339.51</v>
      </c>
      <c r="D75" s="278">
        <f>SUMIFS('Actual - 2026'!$BB:$BB,'Actual - 2026'!$C:$C,'Summary - Avg Ck'!B53)</f>
        <v>1856</v>
      </c>
      <c r="E75" s="260">
        <f t="shared" ref="E75" si="27">IFERROR(C75/D75,0)</f>
        <v>137.57516702586207</v>
      </c>
      <c r="F75" s="260">
        <f t="shared" ref="F75:F91" si="28">SUM(C72:C75)/SUM(D72:D75)</f>
        <v>137.57516702586207</v>
      </c>
      <c r="G75" s="270">
        <f t="shared" ref="G75:G91" si="29">(F75-E75)/E75</f>
        <v>0</v>
      </c>
      <c r="H75">
        <v>0</v>
      </c>
      <c r="I75">
        <v>0</v>
      </c>
      <c r="J75" s="2">
        <v>0</v>
      </c>
      <c r="L75" s="280" t="e">
        <f>SUMIFS(#REF!,#REF!,'Summary - Avg Ck'!B75)</f>
        <v>#REF!</v>
      </c>
      <c r="M75" s="280" t="e">
        <f>SUMIFS(#REF!,#REF!,'Summary - Avg Ck'!B75)</f>
        <v>#REF!</v>
      </c>
      <c r="N75" s="280" t="e">
        <f>SUMIFS(#REF!,#REF!,'Summary - Avg Ck'!B75)</f>
        <v>#REF!</v>
      </c>
      <c r="O75" s="297" t="e">
        <f>SUMIFS(#REF!,#REF!,'Summary - Avg Ck'!B75)</f>
        <v>#REF!</v>
      </c>
      <c r="P75" s="297" t="e">
        <f>SUMIFS(#REF!,#REF!,'Summary - Avg Ck'!B75)</f>
        <v>#REF!</v>
      </c>
      <c r="Q75" s="297" t="e">
        <f>SUMIFS(#REF!,#REF!,'Summary - Avg Ck'!B75)</f>
        <v>#REF!</v>
      </c>
      <c r="R75" s="168"/>
      <c r="S75" s="168"/>
      <c r="T75" s="168"/>
      <c r="U75" s="168"/>
      <c r="V75" s="168"/>
      <c r="W75" s="168"/>
    </row>
    <row r="76" spans="2:28" ht="14.45" customHeight="1" outlineLevel="1">
      <c r="B76" s="269">
        <f t="shared" si="26"/>
        <v>27</v>
      </c>
      <c r="C76">
        <f>SUMIFS('Actual - 2026'!$BA:$BA,'Actual - 2026'!$C:$C,'Summary - Avg Ck'!B54)</f>
        <v>194003.46</v>
      </c>
      <c r="D76" s="278">
        <f>SUMIFS('Actual - 2026'!$BB:$BB,'Actual - 2026'!$C:$C,'Summary - Avg Ck'!B54)</f>
        <v>1483</v>
      </c>
      <c r="E76" s="260">
        <f t="shared" ref="E76:E91" si="30">IFERROR(C76/D76,0)</f>
        <v>130.81824679703303</v>
      </c>
      <c r="F76" s="260">
        <f t="shared" si="28"/>
        <v>134.57411500449234</v>
      </c>
      <c r="G76" s="270">
        <f t="shared" si="29"/>
        <v>2.8710583572386622E-2</v>
      </c>
      <c r="H76">
        <v>0</v>
      </c>
      <c r="I76">
        <v>0</v>
      </c>
      <c r="J76" s="2">
        <v>0</v>
      </c>
      <c r="L76" s="280" t="e">
        <f>SUMIFS(#REF!,#REF!,'Summary - Avg Ck'!B76)</f>
        <v>#REF!</v>
      </c>
      <c r="M76" s="280" t="e">
        <f>SUMIFS(#REF!,#REF!,'Summary - Avg Ck'!B76)</f>
        <v>#REF!</v>
      </c>
      <c r="N76" s="280" t="e">
        <f>SUMIFS(#REF!,#REF!,'Summary - Avg Ck'!B76)</f>
        <v>#REF!</v>
      </c>
      <c r="O76" s="297" t="e">
        <f>SUMIFS(#REF!,#REF!,'Summary - Avg Ck'!B76)</f>
        <v>#REF!</v>
      </c>
      <c r="P76" s="297" t="e">
        <f>SUMIFS(#REF!,#REF!,'Summary - Avg Ck'!B76)</f>
        <v>#REF!</v>
      </c>
      <c r="Q76" s="297" t="e">
        <f>SUMIFS(#REF!,#REF!,'Summary - Avg Ck'!B76)</f>
        <v>#REF!</v>
      </c>
      <c r="R76" s="299"/>
      <c r="S76" s="299"/>
      <c r="T76" s="299"/>
      <c r="U76" s="168"/>
      <c r="V76" s="168"/>
      <c r="W76" s="168"/>
    </row>
    <row r="77" spans="2:28" ht="14.45" customHeight="1" outlineLevel="1">
      <c r="B77" s="269">
        <f t="shared" si="26"/>
        <v>28</v>
      </c>
      <c r="C77">
        <f>SUMIFS('Actual - 2026'!$BA:$BA,'Actual - 2026'!$C:$C,'Summary - Avg Ck'!B55)</f>
        <v>228037.41999999998</v>
      </c>
      <c r="D77" s="278">
        <f>SUMIFS('Actual - 2026'!$BB:$BB,'Actual - 2026'!$C:$C,'Summary - Avg Ck'!B55)</f>
        <v>1677</v>
      </c>
      <c r="E77" s="260">
        <f t="shared" si="30"/>
        <v>135.97937984496124</v>
      </c>
      <c r="F77" s="260">
        <f t="shared" si="28"/>
        <v>135.04393740031895</v>
      </c>
      <c r="G77" s="270">
        <f t="shared" si="29"/>
        <v>-6.879296299989371E-3</v>
      </c>
      <c r="H77">
        <v>0</v>
      </c>
      <c r="I77">
        <v>0</v>
      </c>
      <c r="J77" s="2">
        <v>0</v>
      </c>
      <c r="L77" s="280" t="e">
        <f>SUMIFS(#REF!,#REF!,'Summary - Avg Ck'!B77)</f>
        <v>#REF!</v>
      </c>
      <c r="M77" s="280" t="e">
        <f>SUMIFS(#REF!,#REF!,'Summary - Avg Ck'!B77)</f>
        <v>#REF!</v>
      </c>
      <c r="N77" s="280" t="e">
        <f>SUMIFS(#REF!,#REF!,'Summary - Avg Ck'!B77)</f>
        <v>#REF!</v>
      </c>
      <c r="O77" s="297" t="e">
        <f>SUMIFS(#REF!,#REF!,'Summary - Avg Ck'!B77)</f>
        <v>#REF!</v>
      </c>
      <c r="P77" s="297" t="e">
        <f>SUMIFS(#REF!,#REF!,'Summary - Avg Ck'!B77)</f>
        <v>#REF!</v>
      </c>
      <c r="Q77" s="297" t="e">
        <f>SUMIFS(#REF!,#REF!,'Summary - Avg Ck'!B77)</f>
        <v>#REF!</v>
      </c>
      <c r="R77" s="297"/>
      <c r="S77" s="297"/>
      <c r="T77" s="297"/>
      <c r="U77" s="168"/>
      <c r="V77" s="168"/>
      <c r="W77" s="168"/>
    </row>
    <row r="78" spans="2:28" ht="14.45" customHeight="1" outlineLevel="1">
      <c r="B78" s="269">
        <f t="shared" si="26"/>
        <v>29</v>
      </c>
      <c r="C78">
        <f>SUMIFS('Actual - 2026'!$BA:$BA,'Actual - 2026'!$C:$C,'Summary - Avg Ck'!B56)</f>
        <v>242135.79</v>
      </c>
      <c r="D78" s="278">
        <f>SUMIFS('Actual - 2026'!$BB:$BB,'Actual - 2026'!$C:$C,'Summary - Avg Ck'!B56)</f>
        <v>1884</v>
      </c>
      <c r="E78" s="260">
        <f t="shared" si="30"/>
        <v>128.52218152866243</v>
      </c>
      <c r="F78" s="260">
        <f t="shared" si="28"/>
        <v>133.2632144927536</v>
      </c>
      <c r="G78" s="270">
        <f t="shared" si="29"/>
        <v>3.6888830454794699E-2</v>
      </c>
      <c r="H78">
        <v>0</v>
      </c>
      <c r="I78">
        <v>0</v>
      </c>
      <c r="J78" s="2">
        <v>0</v>
      </c>
      <c r="L78" s="280" t="e">
        <f>SUMIFS(#REF!,#REF!,'Summary - Avg Ck'!B78)</f>
        <v>#REF!</v>
      </c>
      <c r="M78" s="280" t="e">
        <f>SUMIFS(#REF!,#REF!,'Summary - Avg Ck'!B78)</f>
        <v>#REF!</v>
      </c>
      <c r="N78" s="280" t="e">
        <f>SUMIFS(#REF!,#REF!,'Summary - Avg Ck'!B78)</f>
        <v>#REF!</v>
      </c>
      <c r="O78" s="297" t="e">
        <f>SUMIFS(#REF!,#REF!,'Summary - Avg Ck'!B78)</f>
        <v>#REF!</v>
      </c>
      <c r="P78" s="297" t="e">
        <f>SUMIFS(#REF!,#REF!,'Summary - Avg Ck'!B78)</f>
        <v>#REF!</v>
      </c>
      <c r="Q78" s="297" t="e">
        <f>SUMIFS(#REF!,#REF!,'Summary - Avg Ck'!B78)</f>
        <v>#REF!</v>
      </c>
      <c r="R78" s="297"/>
      <c r="S78" s="297"/>
      <c r="T78" s="297"/>
      <c r="U78" s="168"/>
      <c r="V78" s="168"/>
      <c r="W78" s="168"/>
    </row>
    <row r="79" spans="2:28">
      <c r="B79" s="269">
        <f t="shared" si="26"/>
        <v>30</v>
      </c>
      <c r="C79">
        <f>SUMIFS('Actual - 2026'!$BA:$BA,'Actual - 2026'!$C:$C,'Summary - Avg Ck'!B57)</f>
        <v>246122.5</v>
      </c>
      <c r="D79" s="278">
        <f>SUMIFS('Actual - 2026'!$BB:$BB,'Actual - 2026'!$C:$C,'Summary - Avg Ck'!B57)</f>
        <v>1985</v>
      </c>
      <c r="E79" s="290">
        <f t="shared" si="30"/>
        <v>123.9911838790932</v>
      </c>
      <c r="F79" s="260">
        <f t="shared" si="28"/>
        <v>129.50621283255086</v>
      </c>
      <c r="G79" s="200">
        <f t="shared" si="29"/>
        <v>4.4479202318412382E-2</v>
      </c>
      <c r="H79">
        <v>0</v>
      </c>
      <c r="I79">
        <v>0</v>
      </c>
      <c r="J79" s="2">
        <v>0</v>
      </c>
      <c r="L79" s="280" t="e">
        <f>SUMIFS(#REF!,#REF!,'Summary - Avg Ck'!B79)</f>
        <v>#REF!</v>
      </c>
      <c r="M79" s="280" t="e">
        <f>SUMIFS(#REF!,#REF!,'Summary - Avg Ck'!B79)</f>
        <v>#REF!</v>
      </c>
      <c r="N79" s="280" t="e">
        <f>SUMIFS(#REF!,#REF!,'Summary - Avg Ck'!B79)</f>
        <v>#REF!</v>
      </c>
      <c r="O79" s="297" t="e">
        <f>SUMIFS(#REF!,#REF!,'Summary - Avg Ck'!B79)</f>
        <v>#REF!</v>
      </c>
      <c r="P79" s="297" t="e">
        <f>SUMIFS(#REF!,#REF!,'Summary - Avg Ck'!B79)</f>
        <v>#REF!</v>
      </c>
      <c r="Q79" s="297" t="e">
        <f>SUMIFS(#REF!,#REF!,'Summary - Avg Ck'!B79)</f>
        <v>#REF!</v>
      </c>
      <c r="R79" s="297"/>
      <c r="S79" s="297"/>
      <c r="T79" s="297"/>
      <c r="U79" s="168"/>
      <c r="V79" s="168"/>
      <c r="W79" s="168"/>
    </row>
    <row r="80" spans="2:28">
      <c r="B80" s="269">
        <f t="shared" si="26"/>
        <v>31</v>
      </c>
      <c r="C80">
        <f>SUMIFS('Actual - 2026'!$BA:$BA,'Actual - 2026'!$C:$C,'Summary - Avg Ck'!B58)</f>
        <v>220859.23</v>
      </c>
      <c r="D80" s="278">
        <f>SUMIFS('Actual - 2026'!$BB:$BB,'Actual - 2026'!$C:$C,'Summary - Avg Ck'!B58)</f>
        <v>1785</v>
      </c>
      <c r="E80" s="290">
        <f t="shared" si="30"/>
        <v>123.73066106442577</v>
      </c>
      <c r="F80" s="260">
        <f t="shared" si="28"/>
        <v>127.83453007775201</v>
      </c>
      <c r="G80" s="200">
        <f t="shared" si="29"/>
        <v>3.3167761151695244E-2</v>
      </c>
      <c r="H80">
        <v>0</v>
      </c>
      <c r="I80">
        <v>0</v>
      </c>
      <c r="J80" s="2">
        <v>0</v>
      </c>
      <c r="L80" s="280" t="e">
        <f>SUMIFS(#REF!,#REF!,'Summary - Avg Ck'!B80)</f>
        <v>#REF!</v>
      </c>
      <c r="M80" s="280" t="e">
        <f>SUMIFS(#REF!,#REF!,'Summary - Avg Ck'!B80)</f>
        <v>#REF!</v>
      </c>
      <c r="N80" s="280" t="e">
        <f>SUMIFS(#REF!,#REF!,'Summary - Avg Ck'!B80)</f>
        <v>#REF!</v>
      </c>
      <c r="O80" s="297" t="e">
        <f>SUMIFS(#REF!,#REF!,'Summary - Avg Ck'!B80)</f>
        <v>#REF!</v>
      </c>
      <c r="P80" s="297" t="e">
        <f>SUMIFS(#REF!,#REF!,'Summary - Avg Ck'!B80)</f>
        <v>#REF!</v>
      </c>
      <c r="Q80" s="297" t="e">
        <f>SUMIFS(#REF!,#REF!,'Summary - Avg Ck'!B80)</f>
        <v>#REF!</v>
      </c>
      <c r="R80" s="297"/>
      <c r="S80" s="297"/>
      <c r="T80" s="297"/>
      <c r="U80" s="168"/>
      <c r="V80" s="168"/>
      <c r="W80" s="168"/>
    </row>
    <row r="81" spans="2:23">
      <c r="B81" s="269">
        <f t="shared" si="26"/>
        <v>32</v>
      </c>
      <c r="C81">
        <f>SUMIFS('Actual - 2026'!$BA:$BA,'Actual - 2026'!$C:$C,'Summary - Avg Ck'!B59)</f>
        <v>259994.25</v>
      </c>
      <c r="D81" s="278">
        <f>SUMIFS('Actual - 2026'!$BB:$BB,'Actual - 2026'!$C:$C,'Summary - Avg Ck'!B59)</f>
        <v>2090</v>
      </c>
      <c r="E81" s="290">
        <f t="shared" si="30"/>
        <v>124.39916267942584</v>
      </c>
      <c r="F81" s="260">
        <f t="shared" si="28"/>
        <v>125.14356534090909</v>
      </c>
      <c r="G81" s="200">
        <f t="shared" si="29"/>
        <v>5.9839845015802907E-3</v>
      </c>
      <c r="H81">
        <v>0</v>
      </c>
      <c r="I81">
        <v>0</v>
      </c>
      <c r="J81" s="2">
        <v>0</v>
      </c>
      <c r="L81" s="280" t="e">
        <f>SUMIFS(#REF!,#REF!,'Summary - Avg Ck'!B81)</f>
        <v>#REF!</v>
      </c>
      <c r="M81" s="280" t="e">
        <f>SUMIFS(#REF!,#REF!,'Summary - Avg Ck'!B81)</f>
        <v>#REF!</v>
      </c>
      <c r="N81" s="280" t="e">
        <f>SUMIFS(#REF!,#REF!,'Summary - Avg Ck'!B81)</f>
        <v>#REF!</v>
      </c>
      <c r="O81" s="297" t="e">
        <f>SUMIFS(#REF!,#REF!,'Summary - Avg Ck'!B81)</f>
        <v>#REF!</v>
      </c>
      <c r="P81" s="297" t="e">
        <f>SUMIFS(#REF!,#REF!,'Summary - Avg Ck'!B81)</f>
        <v>#REF!</v>
      </c>
      <c r="Q81" s="297" t="e">
        <f>SUMIFS(#REF!,#REF!,'Summary - Avg Ck'!B81)</f>
        <v>#REF!</v>
      </c>
      <c r="R81" s="297"/>
      <c r="S81" s="297"/>
      <c r="T81" s="297"/>
      <c r="U81" s="168"/>
      <c r="V81" s="168"/>
      <c r="W81" s="168"/>
    </row>
    <row r="82" spans="2:23">
      <c r="B82" s="269">
        <f t="shared" si="26"/>
        <v>33</v>
      </c>
      <c r="C82">
        <f>SUMIFS('Actual - 2026'!$BA:$BA,'Actual - 2026'!$C:$C,'Summary - Avg Ck'!B60)</f>
        <v>288374.75</v>
      </c>
      <c r="D82" s="278">
        <f>SUMIFS('Actual - 2026'!$BB:$BB,'Actual - 2026'!$C:$C,'Summary - Avg Ck'!B60)</f>
        <v>2336</v>
      </c>
      <c r="E82" s="290">
        <f t="shared" si="30"/>
        <v>123.44809503424658</v>
      </c>
      <c r="F82" s="260">
        <f t="shared" si="28"/>
        <v>123.88369082479258</v>
      </c>
      <c r="G82" s="200">
        <f t="shared" si="29"/>
        <v>3.5285744217046157E-3</v>
      </c>
      <c r="H82">
        <v>0</v>
      </c>
      <c r="I82">
        <v>0</v>
      </c>
      <c r="J82" s="2">
        <v>0</v>
      </c>
      <c r="L82" s="280" t="e">
        <f>SUMIFS(#REF!,#REF!,'Summary - Avg Ck'!B82)</f>
        <v>#REF!</v>
      </c>
      <c r="M82" s="280" t="e">
        <f>SUMIFS(#REF!,#REF!,'Summary - Avg Ck'!B82)</f>
        <v>#REF!</v>
      </c>
      <c r="N82" s="280" t="e">
        <f>SUMIFS(#REF!,#REF!,'Summary - Avg Ck'!B82)</f>
        <v>#REF!</v>
      </c>
      <c r="O82" s="297" t="e">
        <f>SUMIFS(#REF!,#REF!,'Summary - Avg Ck'!B82)</f>
        <v>#REF!</v>
      </c>
      <c r="P82" s="297" t="e">
        <f>SUMIFS(#REF!,#REF!,'Summary - Avg Ck'!B82)</f>
        <v>#REF!</v>
      </c>
      <c r="Q82" s="297" t="e">
        <f>SUMIFS(#REF!,#REF!,'Summary - Avg Ck'!B82)</f>
        <v>#REF!</v>
      </c>
      <c r="R82" s="297"/>
      <c r="S82" s="297"/>
      <c r="T82" s="297"/>
      <c r="U82" s="168"/>
      <c r="V82" s="168"/>
      <c r="W82" s="168"/>
    </row>
    <row r="83" spans="2:23">
      <c r="B83" s="269">
        <f t="shared" si="26"/>
        <v>34</v>
      </c>
      <c r="C83">
        <f>SUMIFS('Actual - 2026'!$BA:$BA,'Actual - 2026'!$C:$C,'Summary - Avg Ck'!B61)</f>
        <v>282014.92000000004</v>
      </c>
      <c r="D83" s="278">
        <f>SUMIFS('Actual - 2026'!$BB:$BB,'Actual - 2026'!$C:$C,'Summary - Avg Ck'!B61)</f>
        <v>0</v>
      </c>
      <c r="E83" s="290">
        <f t="shared" si="30"/>
        <v>0</v>
      </c>
      <c r="F83" s="260">
        <f t="shared" si="28"/>
        <v>169.25505554661083</v>
      </c>
      <c r="G83" s="200" t="e">
        <f t="shared" si="29"/>
        <v>#DIV/0!</v>
      </c>
      <c r="H83">
        <v>0</v>
      </c>
      <c r="I83">
        <v>0</v>
      </c>
      <c r="J83" s="2">
        <v>0</v>
      </c>
      <c r="L83" s="280" t="e">
        <f>SUMIFS(#REF!,#REF!,'Summary - Avg Ck'!B83)</f>
        <v>#REF!</v>
      </c>
      <c r="M83" s="280" t="e">
        <f>SUMIFS(#REF!,#REF!,'Summary - Avg Ck'!B83)</f>
        <v>#REF!</v>
      </c>
      <c r="N83" s="280" t="e">
        <f>SUMIFS(#REF!,#REF!,'Summary - Avg Ck'!B83)</f>
        <v>#REF!</v>
      </c>
      <c r="O83" s="297" t="e">
        <f>SUMIFS(#REF!,#REF!,'Summary - Avg Ck'!B83)</f>
        <v>#REF!</v>
      </c>
      <c r="P83" s="297" t="e">
        <f>SUMIFS(#REF!,#REF!,'Summary - Avg Ck'!B83)</f>
        <v>#REF!</v>
      </c>
      <c r="Q83" s="297" t="e">
        <f>SUMIFS(#REF!,#REF!,'Summary - Avg Ck'!B83)</f>
        <v>#REF!</v>
      </c>
      <c r="R83" s="297"/>
      <c r="S83" s="298"/>
      <c r="T83" s="297"/>
      <c r="U83" s="168"/>
      <c r="V83" s="168"/>
      <c r="W83" s="168"/>
    </row>
    <row r="84" spans="2:23">
      <c r="B84" s="269">
        <f t="shared" si="26"/>
        <v>35</v>
      </c>
      <c r="C84">
        <f>SUMIFS('Actual - 2026'!$BA:$BA,'Actual - 2026'!$C:$C,'Summary - Avg Ck'!B62)</f>
        <v>0</v>
      </c>
      <c r="D84" s="278">
        <f>SUMIFS('Actual - 2026'!$BB:$BB,'Actual - 2026'!$C:$C,'Summary - Avg Ck'!B62)</f>
        <v>0</v>
      </c>
      <c r="E84" s="290">
        <f t="shared" si="30"/>
        <v>0</v>
      </c>
      <c r="F84" s="260">
        <f t="shared" si="28"/>
        <v>187.61498418436511</v>
      </c>
      <c r="G84" s="200" t="e">
        <f t="shared" si="29"/>
        <v>#DIV/0!</v>
      </c>
      <c r="H84">
        <v>0</v>
      </c>
      <c r="I84">
        <v>0</v>
      </c>
      <c r="J84" s="2">
        <v>0</v>
      </c>
      <c r="L84" s="280" t="e">
        <f>SUMIFS(#REF!,#REF!,'Summary - Avg Ck'!B84)</f>
        <v>#REF!</v>
      </c>
      <c r="M84" s="280" t="e">
        <f>SUMIFS(#REF!,#REF!,'Summary - Avg Ck'!B84)</f>
        <v>#REF!</v>
      </c>
      <c r="N84" s="280" t="e">
        <f>SUMIFS(#REF!,#REF!,'Summary - Avg Ck'!B84)</f>
        <v>#REF!</v>
      </c>
      <c r="O84" s="297" t="e">
        <f>SUMIFS(#REF!,#REF!,'Summary - Avg Ck'!B84)</f>
        <v>#REF!</v>
      </c>
      <c r="P84" s="297" t="e">
        <f>SUMIFS(#REF!,#REF!,'Summary - Avg Ck'!B84)</f>
        <v>#REF!</v>
      </c>
      <c r="Q84" s="297" t="e">
        <f>SUMIFS(#REF!,#REF!,'Summary - Avg Ck'!B84)</f>
        <v>#REF!</v>
      </c>
      <c r="R84" s="297"/>
      <c r="S84" s="297"/>
      <c r="T84" s="297"/>
      <c r="U84" s="168"/>
      <c r="V84" s="168"/>
      <c r="W84" s="168"/>
    </row>
    <row r="85" spans="2:23">
      <c r="B85" s="269">
        <f t="shared" si="26"/>
        <v>36</v>
      </c>
      <c r="C85">
        <f>SUMIFS('Actual - 2026'!$BA:$BA,'Actual - 2026'!$C:$C,'Summary - Avg Ck'!B63)</f>
        <v>0</v>
      </c>
      <c r="D85" s="278">
        <f>SUMIFS('Actual - 2026'!$BB:$BB,'Actual - 2026'!$C:$C,'Summary - Avg Ck'!B63)</f>
        <v>0</v>
      </c>
      <c r="E85" s="290">
        <f t="shared" si="30"/>
        <v>0</v>
      </c>
      <c r="F85" s="260">
        <f t="shared" si="28"/>
        <v>244.17366010273975</v>
      </c>
      <c r="G85" s="200" t="e">
        <f t="shared" si="29"/>
        <v>#DIV/0!</v>
      </c>
      <c r="H85">
        <v>0</v>
      </c>
      <c r="I85">
        <v>0</v>
      </c>
      <c r="J85" s="2">
        <v>0</v>
      </c>
      <c r="L85" s="280" t="e">
        <f>SUMIFS(#REF!,#REF!,'Summary - Avg Ck'!B85)</f>
        <v>#REF!</v>
      </c>
      <c r="M85" s="280" t="e">
        <f>SUMIFS(#REF!,#REF!,'Summary - Avg Ck'!B85)</f>
        <v>#REF!</v>
      </c>
      <c r="N85" s="280" t="e">
        <f>SUMIFS(#REF!,#REF!,'Summary - Avg Ck'!B85)</f>
        <v>#REF!</v>
      </c>
      <c r="O85" s="297" t="e">
        <f>SUMIFS(#REF!,#REF!,'Summary - Avg Ck'!B85)</f>
        <v>#REF!</v>
      </c>
      <c r="P85" s="297" t="e">
        <f>SUMIFS(#REF!,#REF!,'Summary - Avg Ck'!B85)</f>
        <v>#REF!</v>
      </c>
      <c r="Q85" s="297" t="e">
        <f>SUMIFS(#REF!,#REF!,'Summary - Avg Ck'!B85)</f>
        <v>#REF!</v>
      </c>
      <c r="R85" s="297"/>
      <c r="S85" s="298"/>
      <c r="T85" s="297"/>
      <c r="U85" s="168"/>
      <c r="V85" s="168"/>
      <c r="W85" s="168"/>
    </row>
    <row r="86" spans="2:23">
      <c r="B86" s="269">
        <f t="shared" si="26"/>
        <v>37</v>
      </c>
      <c r="C86">
        <f>SUMIFS('Actual - 2026'!$BA:$BA,'Actual - 2026'!$C:$C,'Summary - Avg Ck'!B64)</f>
        <v>0</v>
      </c>
      <c r="D86" s="278">
        <f>SUMIFS('Actual - 2026'!$BB:$BB,'Actual - 2026'!$C:$C,'Summary - Avg Ck'!B64)</f>
        <v>0</v>
      </c>
      <c r="E86" s="290">
        <f t="shared" si="30"/>
        <v>0</v>
      </c>
      <c r="F86" s="260" t="e">
        <f t="shared" si="28"/>
        <v>#DIV/0!</v>
      </c>
      <c r="G86" s="200" t="e">
        <f t="shared" si="29"/>
        <v>#DIV/0!</v>
      </c>
      <c r="H86">
        <v>0</v>
      </c>
      <c r="I86">
        <v>0</v>
      </c>
      <c r="J86" s="2">
        <v>0</v>
      </c>
      <c r="L86" s="280" t="e">
        <f>SUMIFS(#REF!,#REF!,'Summary - Avg Ck'!B86)</f>
        <v>#REF!</v>
      </c>
      <c r="M86" s="280" t="e">
        <f>SUMIFS(#REF!,#REF!,'Summary - Avg Ck'!B86)</f>
        <v>#REF!</v>
      </c>
      <c r="N86" s="280" t="e">
        <f>SUMIFS(#REF!,#REF!,'Summary - Avg Ck'!B86)</f>
        <v>#REF!</v>
      </c>
      <c r="O86" s="297" t="e">
        <f>SUMIFS(#REF!,#REF!,'Summary - Avg Ck'!B86)</f>
        <v>#REF!</v>
      </c>
      <c r="P86" s="297" t="e">
        <f>SUMIFS(#REF!,#REF!,'Summary - Avg Ck'!B86)</f>
        <v>#REF!</v>
      </c>
      <c r="Q86" s="297" t="e">
        <f>SUMIFS(#REF!,#REF!,'Summary - Avg Ck'!B86)</f>
        <v>#REF!</v>
      </c>
      <c r="R86" s="297"/>
      <c r="S86" s="297"/>
      <c r="T86" s="297"/>
      <c r="U86" s="168"/>
      <c r="V86" s="168"/>
      <c r="W86" s="168"/>
    </row>
    <row r="87" spans="2:23">
      <c r="B87" s="269">
        <f t="shared" si="26"/>
        <v>38</v>
      </c>
      <c r="C87">
        <f>SUMIFS('Actual - 2026'!$BA:$BA,'Actual - 2026'!$C:$C,'Summary - Avg Ck'!B65)</f>
        <v>0</v>
      </c>
      <c r="D87" s="278">
        <f>SUMIFS('Actual - 2026'!$BB:$BB,'Actual - 2026'!$C:$C,'Summary - Avg Ck'!B65)</f>
        <v>0</v>
      </c>
      <c r="E87" s="290">
        <f t="shared" si="30"/>
        <v>0</v>
      </c>
      <c r="F87" s="260" t="e">
        <f t="shared" si="28"/>
        <v>#DIV/0!</v>
      </c>
      <c r="G87" s="200" t="e">
        <f t="shared" si="29"/>
        <v>#DIV/0!</v>
      </c>
      <c r="H87">
        <v>0</v>
      </c>
      <c r="I87">
        <v>0</v>
      </c>
      <c r="J87" s="2">
        <v>0</v>
      </c>
      <c r="L87" s="280" t="e">
        <f>SUMIFS(#REF!,#REF!,'Summary - Avg Ck'!B87)</f>
        <v>#REF!</v>
      </c>
      <c r="M87" s="280" t="e">
        <f>SUMIFS(#REF!,#REF!,'Summary - Avg Ck'!B87)</f>
        <v>#REF!</v>
      </c>
      <c r="N87" s="280" t="e">
        <f>SUMIFS(#REF!,#REF!,'Summary - Avg Ck'!B87)</f>
        <v>#REF!</v>
      </c>
      <c r="O87" s="297" t="e">
        <f>SUMIFS(#REF!,#REF!,'Summary - Avg Ck'!B87)</f>
        <v>#REF!</v>
      </c>
      <c r="P87" s="297" t="e">
        <f>SUMIFS(#REF!,#REF!,'Summary - Avg Ck'!B87)</f>
        <v>#REF!</v>
      </c>
      <c r="Q87" s="297" t="e">
        <f>SUMIFS(#REF!,#REF!,'Summary - Avg Ck'!B87)</f>
        <v>#REF!</v>
      </c>
      <c r="R87" s="297"/>
      <c r="S87" s="297"/>
      <c r="T87" s="297"/>
      <c r="U87" s="168"/>
      <c r="V87" s="168"/>
      <c r="W87" s="168"/>
    </row>
    <row r="88" spans="2:23">
      <c r="B88" s="269">
        <f t="shared" si="26"/>
        <v>39</v>
      </c>
      <c r="C88">
        <f>SUMIFS('Actual - 2026'!$BA:$BA,'Actual - 2026'!$C:$C,'Summary - Avg Ck'!B66)</f>
        <v>0</v>
      </c>
      <c r="D88" s="278">
        <f>SUMIFS('Actual - 2026'!$BB:$BB,'Actual - 2026'!$C:$C,'Summary - Avg Ck'!B66)</f>
        <v>0</v>
      </c>
      <c r="E88" s="290">
        <f t="shared" si="30"/>
        <v>0</v>
      </c>
      <c r="F88" s="260" t="e">
        <f t="shared" si="28"/>
        <v>#DIV/0!</v>
      </c>
      <c r="G88" s="200" t="e">
        <f t="shared" si="29"/>
        <v>#DIV/0!</v>
      </c>
      <c r="H88">
        <v>0</v>
      </c>
      <c r="I88">
        <v>0</v>
      </c>
      <c r="J88" s="2">
        <v>0</v>
      </c>
      <c r="L88" s="280" t="e">
        <f>SUMIFS(#REF!,#REF!,'Summary - Avg Ck'!B88)</f>
        <v>#REF!</v>
      </c>
      <c r="M88" s="280" t="e">
        <f>SUMIFS(#REF!,#REF!,'Summary - Avg Ck'!B88)</f>
        <v>#REF!</v>
      </c>
      <c r="N88" s="280" t="e">
        <f>SUMIFS(#REF!,#REF!,'Summary - Avg Ck'!B88)</f>
        <v>#REF!</v>
      </c>
      <c r="O88" s="297" t="e">
        <f>SUMIFS(#REF!,#REF!,'Summary - Avg Ck'!B88)</f>
        <v>#REF!</v>
      </c>
      <c r="P88" s="297" t="e">
        <f>SUMIFS(#REF!,#REF!,'Summary - Avg Ck'!B88)</f>
        <v>#REF!</v>
      </c>
      <c r="Q88" s="297" t="e">
        <f>SUMIFS(#REF!,#REF!,'Summary - Avg Ck'!B88)</f>
        <v>#REF!</v>
      </c>
      <c r="R88" s="297"/>
      <c r="S88" s="297"/>
      <c r="T88" s="297"/>
      <c r="U88" s="168"/>
      <c r="V88" s="168"/>
      <c r="W88" s="168"/>
    </row>
    <row r="89" spans="2:23">
      <c r="B89" s="269">
        <f t="shared" si="26"/>
        <v>40</v>
      </c>
      <c r="C89">
        <f>SUMIFS('Actual - 2026'!$BA:$BA,'Actual - 2026'!$C:$C,'Summary - Avg Ck'!B67)</f>
        <v>0</v>
      </c>
      <c r="D89" s="278">
        <f>SUMIFS('Actual - 2026'!$BB:$BB,'Actual - 2026'!$C:$C,'Summary - Avg Ck'!B67)</f>
        <v>0</v>
      </c>
      <c r="E89" s="290">
        <f t="shared" si="30"/>
        <v>0</v>
      </c>
      <c r="F89" s="260" t="e">
        <f t="shared" si="28"/>
        <v>#DIV/0!</v>
      </c>
      <c r="G89" s="200" t="e">
        <f t="shared" si="29"/>
        <v>#DIV/0!</v>
      </c>
      <c r="H89">
        <v>0</v>
      </c>
      <c r="I89">
        <v>0</v>
      </c>
      <c r="J89" s="2">
        <v>0</v>
      </c>
      <c r="L89" s="280" t="e">
        <f>SUMIFS(#REF!,#REF!,'Summary - Avg Ck'!B89)</f>
        <v>#REF!</v>
      </c>
      <c r="M89" s="280" t="e">
        <f>SUMIFS(#REF!,#REF!,'Summary - Avg Ck'!B89)</f>
        <v>#REF!</v>
      </c>
      <c r="N89" s="280" t="e">
        <f>SUMIFS(#REF!,#REF!,'Summary - Avg Ck'!B89)</f>
        <v>#REF!</v>
      </c>
      <c r="O89" s="297" t="e">
        <f>SUMIFS(#REF!,#REF!,'Summary - Avg Ck'!B89)</f>
        <v>#REF!</v>
      </c>
      <c r="P89" s="297" t="e">
        <f>SUMIFS(#REF!,#REF!,'Summary - Avg Ck'!B89)</f>
        <v>#REF!</v>
      </c>
      <c r="Q89" s="297" t="e">
        <f>SUMIFS(#REF!,#REF!,'Summary - Avg Ck'!B89)</f>
        <v>#REF!</v>
      </c>
      <c r="R89" s="297"/>
      <c r="S89" s="297"/>
      <c r="T89" s="297"/>
      <c r="U89" s="168"/>
      <c r="V89" s="168"/>
      <c r="W89" s="168"/>
    </row>
    <row r="90" spans="2:23">
      <c r="B90" s="269">
        <f t="shared" si="26"/>
        <v>41</v>
      </c>
      <c r="C90">
        <f>SUMIFS('Actual - 2026'!$BA:$BA,'Actual - 2026'!$C:$C,'Summary - Avg Ck'!B68)</f>
        <v>0</v>
      </c>
      <c r="D90" s="278">
        <f>SUMIFS('Actual - 2026'!$BB:$BB,'Actual - 2026'!$C:$C,'Summary - Avg Ck'!B68)</f>
        <v>0</v>
      </c>
      <c r="E90" s="290">
        <f t="shared" si="30"/>
        <v>0</v>
      </c>
      <c r="F90" s="260" t="e">
        <f t="shared" si="28"/>
        <v>#DIV/0!</v>
      </c>
      <c r="G90" s="200" t="e">
        <f t="shared" si="29"/>
        <v>#DIV/0!</v>
      </c>
      <c r="H90">
        <v>0</v>
      </c>
      <c r="I90">
        <v>0</v>
      </c>
      <c r="J90" s="2">
        <v>0</v>
      </c>
      <c r="L90" s="280" t="e">
        <f>SUMIFS(#REF!,#REF!,'Summary - Avg Ck'!B90)</f>
        <v>#REF!</v>
      </c>
      <c r="M90" s="280" t="e">
        <f>SUMIFS(#REF!,#REF!,'Summary - Avg Ck'!B90)</f>
        <v>#REF!</v>
      </c>
      <c r="N90" s="280" t="e">
        <f>SUMIFS(#REF!,#REF!,'Summary - Avg Ck'!B90)</f>
        <v>#REF!</v>
      </c>
      <c r="O90" s="297" t="e">
        <f>SUMIFS(#REF!,#REF!,'Summary - Avg Ck'!B90)</f>
        <v>#REF!</v>
      </c>
      <c r="P90" s="297" t="e">
        <f>SUMIFS(#REF!,#REF!,'Summary - Avg Ck'!B90)</f>
        <v>#REF!</v>
      </c>
      <c r="Q90" s="297" t="e">
        <f>SUMIFS(#REF!,#REF!,'Summary - Avg Ck'!B90)</f>
        <v>#REF!</v>
      </c>
      <c r="R90" s="168"/>
      <c r="S90" s="168"/>
      <c r="T90" s="168"/>
      <c r="U90" s="168"/>
      <c r="V90" s="168"/>
      <c r="W90" s="168"/>
    </row>
    <row r="91" spans="2:23">
      <c r="B91" s="269">
        <f t="shared" si="26"/>
        <v>42</v>
      </c>
      <c r="C91">
        <f>SUMIFS('Actual - 2026'!$BA:$BA,'Actual - 2026'!$C:$C,'Summary - Avg Ck'!B69)</f>
        <v>0</v>
      </c>
      <c r="D91" s="278">
        <f>SUMIFS('Actual - 2026'!$BB:$BB,'Actual - 2026'!$C:$C,'Summary - Avg Ck'!B69)</f>
        <v>0</v>
      </c>
      <c r="E91" s="290">
        <f t="shared" si="30"/>
        <v>0</v>
      </c>
      <c r="F91" s="260" t="e">
        <f t="shared" si="28"/>
        <v>#DIV/0!</v>
      </c>
      <c r="G91" s="200" t="e">
        <f t="shared" si="29"/>
        <v>#DIV/0!</v>
      </c>
      <c r="H91">
        <v>0</v>
      </c>
      <c r="I91">
        <v>0</v>
      </c>
      <c r="J91" s="2">
        <v>0</v>
      </c>
      <c r="L91" s="280" t="e">
        <f>SUMIFS(#REF!,#REF!,'Summary - Avg Ck'!B91)</f>
        <v>#REF!</v>
      </c>
      <c r="M91" s="280" t="e">
        <f>SUMIFS(#REF!,#REF!,'Summary - Avg Ck'!B91)</f>
        <v>#REF!</v>
      </c>
      <c r="N91" s="280" t="e">
        <f>SUMIFS(#REF!,#REF!,'Summary - Avg Ck'!B91)</f>
        <v>#REF!</v>
      </c>
      <c r="O91" s="297" t="e">
        <f>SUMIFS(#REF!,#REF!,'Summary - Avg Ck'!B91)</f>
        <v>#REF!</v>
      </c>
      <c r="P91" s="297" t="e">
        <f>SUMIFS(#REF!,#REF!,'Summary - Avg Ck'!B91)</f>
        <v>#REF!</v>
      </c>
      <c r="Q91" s="297" t="e">
        <f>SUMIFS(#REF!,#REF!,'Summary - Avg Ck'!B91)</f>
        <v>#REF!</v>
      </c>
      <c r="R91" s="168"/>
      <c r="S91" s="168"/>
      <c r="T91" s="168"/>
      <c r="U91" s="168"/>
      <c r="V91" s="168"/>
      <c r="W91" s="168"/>
    </row>
    <row r="92" spans="2:23"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</row>
    <row r="93" spans="2:23" ht="21">
      <c r="B93" s="421" t="s">
        <v>79</v>
      </c>
      <c r="C93" s="421"/>
      <c r="D93" s="421"/>
      <c r="E93" s="421"/>
      <c r="F93" s="421"/>
      <c r="G93" s="421"/>
      <c r="H93" s="421"/>
      <c r="I93" s="421"/>
      <c r="J93" s="421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</row>
    <row r="94" spans="2:23">
      <c r="B94" s="272"/>
      <c r="C94" s="272"/>
      <c r="D94" s="274"/>
      <c r="E94" s="272"/>
      <c r="F94" s="272"/>
      <c r="G94" s="272"/>
      <c r="H94" s="272"/>
      <c r="I94" s="274"/>
      <c r="J94" s="272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</row>
    <row r="95" spans="2:23">
      <c r="B95" s="267" t="s">
        <v>2</v>
      </c>
      <c r="C95" s="276" t="str">
        <f>C73</f>
        <v>Sales</v>
      </c>
      <c r="D95" s="276" t="s">
        <v>63</v>
      </c>
      <c r="E95" s="267" t="s">
        <v>218</v>
      </c>
      <c r="F95" s="271" t="s">
        <v>219</v>
      </c>
      <c r="G95" s="267" t="s">
        <v>220</v>
      </c>
      <c r="H95" s="276" t="str">
        <f t="shared" ref="H95:J95" si="31">H73</f>
        <v>Sales</v>
      </c>
      <c r="I95" s="276" t="str">
        <f t="shared" si="31"/>
        <v>LY Covers</v>
      </c>
      <c r="J95" s="276" t="str">
        <f t="shared" si="31"/>
        <v>LY Avg Check</v>
      </c>
      <c r="L95" s="295" t="s">
        <v>223</v>
      </c>
      <c r="M95" s="295" t="s">
        <v>224</v>
      </c>
      <c r="N95" s="295" t="s">
        <v>225</v>
      </c>
      <c r="O95" s="295" t="s">
        <v>223</v>
      </c>
      <c r="P95" s="295" t="s">
        <v>224</v>
      </c>
      <c r="Q95" s="295" t="s">
        <v>225</v>
      </c>
      <c r="R95" s="295" t="s">
        <v>226</v>
      </c>
      <c r="S95" s="295" t="s">
        <v>227</v>
      </c>
      <c r="T95" s="295" t="s">
        <v>228</v>
      </c>
      <c r="U95" s="295" t="s">
        <v>226</v>
      </c>
      <c r="V95" s="295" t="s">
        <v>227</v>
      </c>
      <c r="W95" s="295" t="s">
        <v>228</v>
      </c>
    </row>
    <row r="96" spans="2:23">
      <c r="B96" s="267"/>
      <c r="C96" s="267"/>
      <c r="D96" s="276"/>
      <c r="E96" s="267"/>
      <c r="F96" s="271"/>
      <c r="G96" s="267"/>
      <c r="H96" s="267"/>
      <c r="I96" s="276"/>
      <c r="J96" s="271"/>
      <c r="L96" s="420" t="s">
        <v>71</v>
      </c>
      <c r="M96" s="420"/>
      <c r="N96" s="420"/>
      <c r="O96" s="420" t="s">
        <v>63</v>
      </c>
      <c r="P96" s="420"/>
      <c r="Q96" s="420"/>
      <c r="R96" s="420" t="s">
        <v>71</v>
      </c>
      <c r="S96" s="420"/>
      <c r="T96" s="420"/>
      <c r="U96" s="420" t="s">
        <v>63</v>
      </c>
      <c r="V96" s="420"/>
      <c r="W96" s="420"/>
    </row>
    <row r="97" spans="2:23" ht="14.45" customHeight="1" outlineLevel="1">
      <c r="B97" s="269">
        <f t="shared" ref="B97:B113" si="32">B75</f>
        <v>26</v>
      </c>
      <c r="C97">
        <f>SUMIFS('Actual - 2026'!$AI:$AI,'Actual - 2026'!$C:$C,'Summary - Avg Ck'!B75)</f>
        <v>220388.31</v>
      </c>
      <c r="D97" s="278">
        <f>SUMIFS('Actual - 2026'!$AJ:$AJ,'Actual - 2026'!$C:$C,'Summary - Avg Ck'!B75)</f>
        <v>1962</v>
      </c>
      <c r="E97" s="260">
        <f t="shared" ref="E97" si="33">IFERROR(C97/D97,0)</f>
        <v>112.32839449541284</v>
      </c>
      <c r="F97" s="260">
        <f>SUM(C94:C97)/SUM(D94:D97)</f>
        <v>112.32839449541284</v>
      </c>
      <c r="G97" s="270">
        <f t="shared" ref="G97:G113" si="34">(F97-E97)/E97</f>
        <v>0</v>
      </c>
      <c r="H97">
        <f>SUMIFS('Budget - 2026'!$BQ:$BQ,'Budget - 2026'!$D:$D,'Summary - Avg Ck'!B97)</f>
        <v>218587.22999999998</v>
      </c>
      <c r="I97" s="278">
        <f>SUMIFS('Budget - 2026'!$BR:$BR,'Budget - 2026'!$D:$D,'Summary - Avg Ck'!B97)</f>
        <v>2047</v>
      </c>
      <c r="J97" s="260">
        <f>IFERROR(H97/I97,0)</f>
        <v>106.78418661455788</v>
      </c>
      <c r="L97" s="280" t="e">
        <f>SUMIFS(#REF!,#REF!,'Summary - Avg Ck'!B97)</f>
        <v>#REF!</v>
      </c>
      <c r="M97" s="280" t="e">
        <f>SUMIFS(#REF!,#REF!,'Summary - Avg Ck'!B97)</f>
        <v>#REF!</v>
      </c>
      <c r="N97" s="280" t="e">
        <f>SUMIFS(#REF!,#REF!,'Summary - Avg Ck'!B97)</f>
        <v>#REF!</v>
      </c>
      <c r="O97" s="297" t="e">
        <f>SUMIFS(#REF!,#REF!,'Summary - Avg Ck'!B97)</f>
        <v>#REF!</v>
      </c>
      <c r="P97" s="297" t="e">
        <f>SUMIFS(#REF!,#REF!,'Summary - Avg Ck'!B97)</f>
        <v>#REF!</v>
      </c>
      <c r="Q97" s="297" t="e">
        <f>SUMIFS(#REF!,#REF!,'Summary - Avg Ck'!B97)</f>
        <v>#REF!</v>
      </c>
      <c r="R97" s="168"/>
      <c r="S97" s="168"/>
      <c r="T97" s="168"/>
      <c r="U97" s="168"/>
      <c r="V97" s="168"/>
      <c r="W97" s="168"/>
    </row>
    <row r="98" spans="2:23" ht="14.45" customHeight="1" outlineLevel="1">
      <c r="B98" s="269">
        <f t="shared" si="32"/>
        <v>27</v>
      </c>
      <c r="C98">
        <f>SUMIFS('Actual - 2026'!$AI:$AI,'Actual - 2026'!$C:$C,'Summary - Avg Ck'!B76)</f>
        <v>163522.54</v>
      </c>
      <c r="D98" s="278">
        <f>SUMIFS('Actual - 2026'!$AJ:$AJ,'Actual - 2026'!$C:$C,'Summary - Avg Ck'!B76)</f>
        <v>1453</v>
      </c>
      <c r="E98" s="260">
        <f t="shared" ref="E98:E113" si="35">IFERROR(C98/D98,0)</f>
        <v>112.54132140399174</v>
      </c>
      <c r="F98" s="260">
        <f>SUM(C95:C98)/SUM(D95:D98)</f>
        <v>112.4189897510981</v>
      </c>
      <c r="G98" s="270">
        <f t="shared" si="34"/>
        <v>-1.0869932160696163E-3</v>
      </c>
      <c r="H98">
        <f>SUMIFS('Budget - 2026'!$BQ:$BQ,'Budget - 2026'!$D:$D,'Summary - Avg Ck'!B98)</f>
        <v>187124.24</v>
      </c>
      <c r="I98" s="278">
        <f>SUMIFS('Budget - 2026'!$BR:$BR,'Budget - 2026'!$D:$D,'Summary - Avg Ck'!B98)</f>
        <v>1771</v>
      </c>
      <c r="J98" s="260">
        <f t="shared" ref="J98:J113" si="36">IFERROR(H98/I98,0)</f>
        <v>105.66021456804064</v>
      </c>
      <c r="L98" s="280" t="e">
        <f>SUMIFS(#REF!,#REF!,'Summary - Avg Ck'!B98)</f>
        <v>#REF!</v>
      </c>
      <c r="M98" s="280" t="e">
        <f>SUMIFS(#REF!,#REF!,'Summary - Avg Ck'!B98)</f>
        <v>#REF!</v>
      </c>
      <c r="N98" s="280" t="e">
        <f>SUMIFS(#REF!,#REF!,'Summary - Avg Ck'!B98)</f>
        <v>#REF!</v>
      </c>
      <c r="O98" s="297" t="e">
        <f>SUMIFS(#REF!,#REF!,'Summary - Avg Ck'!B98)</f>
        <v>#REF!</v>
      </c>
      <c r="P98" s="297" t="e">
        <f>SUMIFS(#REF!,#REF!,'Summary - Avg Ck'!B98)</f>
        <v>#REF!</v>
      </c>
      <c r="Q98" s="297" t="e">
        <f>SUMIFS(#REF!,#REF!,'Summary - Avg Ck'!B98)</f>
        <v>#REF!</v>
      </c>
      <c r="R98" s="299"/>
      <c r="S98" s="299"/>
      <c r="T98" s="299"/>
      <c r="U98" s="168"/>
      <c r="V98" s="168"/>
      <c r="W98" s="168"/>
    </row>
    <row r="99" spans="2:23" ht="14.45" customHeight="1" outlineLevel="1">
      <c r="B99" s="269">
        <f t="shared" si="32"/>
        <v>28</v>
      </c>
      <c r="C99">
        <f>SUMIFS('Actual - 2026'!$AI:$AI,'Actual - 2026'!$C:$C,'Summary - Avg Ck'!B77)</f>
        <v>210330.16999999995</v>
      </c>
      <c r="D99" s="278">
        <f>SUMIFS('Actual - 2026'!$AJ:$AJ,'Actual - 2026'!$C:$C,'Summary - Avg Ck'!B77)</f>
        <v>1781</v>
      </c>
      <c r="E99" s="260">
        <f t="shared" si="35"/>
        <v>118.09667040988207</v>
      </c>
      <c r="F99" s="260">
        <f>SUM(C96:C99)/SUM(D96:D99)</f>
        <v>114.36509237875286</v>
      </c>
      <c r="G99" s="270">
        <f t="shared" si="34"/>
        <v>-3.1597656548469064E-2</v>
      </c>
      <c r="H99">
        <f>SUMIFS('Budget - 2026'!$BQ:$BQ,'Budget - 2026'!$D:$D,'Summary - Avg Ck'!B99)</f>
        <v>186681.44999999998</v>
      </c>
      <c r="I99" s="278">
        <f>SUMIFS('Budget - 2026'!$BR:$BR,'Budget - 2026'!$D:$D,'Summary - Avg Ck'!B99)</f>
        <v>1712</v>
      </c>
      <c r="J99" s="260">
        <f t="shared" si="36"/>
        <v>109.04290303738317</v>
      </c>
      <c r="L99" s="280" t="e">
        <f>SUMIFS(#REF!,#REF!,'Summary - Avg Ck'!B99)</f>
        <v>#REF!</v>
      </c>
      <c r="M99" s="280" t="e">
        <f>SUMIFS(#REF!,#REF!,'Summary - Avg Ck'!B99)</f>
        <v>#REF!</v>
      </c>
      <c r="N99" s="280" t="e">
        <f>SUMIFS(#REF!,#REF!,'Summary - Avg Ck'!B99)</f>
        <v>#REF!</v>
      </c>
      <c r="O99" s="297" t="e">
        <f>SUMIFS(#REF!,#REF!,'Summary - Avg Ck'!B99)</f>
        <v>#REF!</v>
      </c>
      <c r="P99" s="297" t="e">
        <f>SUMIFS(#REF!,#REF!,'Summary - Avg Ck'!B99)</f>
        <v>#REF!</v>
      </c>
      <c r="Q99" s="297" t="e">
        <f>SUMIFS(#REF!,#REF!,'Summary - Avg Ck'!B99)</f>
        <v>#REF!</v>
      </c>
      <c r="R99" s="297"/>
      <c r="S99" s="297"/>
      <c r="T99" s="297"/>
      <c r="U99" s="168"/>
      <c r="V99" s="168"/>
      <c r="W99" s="168"/>
    </row>
    <row r="100" spans="2:23" ht="14.45" customHeight="1" outlineLevel="1">
      <c r="B100" s="269">
        <f t="shared" si="32"/>
        <v>29</v>
      </c>
      <c r="C100">
        <f>SUMIFS('Actual - 2026'!$AI:$AI,'Actual - 2026'!$C:$C,'Summary - Avg Ck'!B78)</f>
        <v>233410.96</v>
      </c>
      <c r="D100" s="278">
        <f>SUMIFS('Actual - 2026'!$AJ:$AJ,'Actual - 2026'!$C:$C,'Summary - Avg Ck'!B78)</f>
        <v>2044</v>
      </c>
      <c r="E100" s="260">
        <f t="shared" si="35"/>
        <v>114.193228962818</v>
      </c>
      <c r="F100" s="260">
        <f>SUM(C97:C100)/SUM(D97:D100)</f>
        <v>114.3165718232044</v>
      </c>
      <c r="G100" s="270">
        <f t="shared" si="34"/>
        <v>1.0801241151221189E-3</v>
      </c>
      <c r="H100">
        <f>SUMIFS('Budget - 2026'!$BQ:$BQ,'Budget - 2026'!$D:$D,'Summary - Avg Ck'!B100)</f>
        <v>209157.17</v>
      </c>
      <c r="I100" s="278">
        <f>SUMIFS('Budget - 2026'!$BR:$BR,'Budget - 2026'!$D:$D,'Summary - Avg Ck'!B100)</f>
        <v>1997</v>
      </c>
      <c r="J100" s="260">
        <f t="shared" si="36"/>
        <v>104.7356885327992</v>
      </c>
      <c r="L100" s="280" t="e">
        <f>SUMIFS(#REF!,#REF!,'Summary - Avg Ck'!B100)</f>
        <v>#REF!</v>
      </c>
      <c r="M100" s="280" t="e">
        <f>SUMIFS(#REF!,#REF!,'Summary - Avg Ck'!B100)</f>
        <v>#REF!</v>
      </c>
      <c r="N100" s="280" t="e">
        <f>SUMIFS(#REF!,#REF!,'Summary - Avg Ck'!B100)</f>
        <v>#REF!</v>
      </c>
      <c r="O100" s="297" t="e">
        <f>SUMIFS(#REF!,#REF!,'Summary - Avg Ck'!B100)</f>
        <v>#REF!</v>
      </c>
      <c r="P100" s="297" t="e">
        <f>SUMIFS(#REF!,#REF!,'Summary - Avg Ck'!B100)</f>
        <v>#REF!</v>
      </c>
      <c r="Q100" s="297" t="e">
        <f>SUMIFS(#REF!,#REF!,'Summary - Avg Ck'!B100)</f>
        <v>#REF!</v>
      </c>
      <c r="R100" s="297"/>
      <c r="S100" s="297"/>
      <c r="T100" s="297"/>
      <c r="U100" s="168"/>
      <c r="V100" s="168"/>
      <c r="W100" s="168"/>
    </row>
    <row r="101" spans="2:23">
      <c r="B101" s="269">
        <f t="shared" si="32"/>
        <v>30</v>
      </c>
      <c r="C101">
        <f>SUMIFS('Actual - 2026'!$AI:$AI,'Actual - 2026'!$C:$C,'Summary - Avg Ck'!B79)</f>
        <v>222091.13</v>
      </c>
      <c r="D101" s="278">
        <f>SUMIFS('Actual - 2026'!$AJ:$AJ,'Actual - 2026'!$C:$C,'Summary - Avg Ck'!B79)</f>
        <v>2004</v>
      </c>
      <c r="E101" s="290">
        <f t="shared" si="35"/>
        <v>110.82391716566866</v>
      </c>
      <c r="F101" s="260">
        <f>IFERROR(SUM(C98:C101)/SUM(D98:D101),0)</f>
        <v>113.89107388080197</v>
      </c>
      <c r="G101" s="200">
        <f t="shared" si="34"/>
        <v>2.7675945712587212E-2</v>
      </c>
      <c r="H101">
        <f>SUMIFS('Budget - 2026'!$BQ:$BQ,'Budget - 2026'!$D:$D,'Summary - Avg Ck'!B101)</f>
        <v>214415.12</v>
      </c>
      <c r="I101" s="278">
        <f>SUMIFS('Budget - 2026'!$BR:$BR,'Budget - 2026'!$D:$D,'Summary - Avg Ck'!B101)</f>
        <v>1856</v>
      </c>
      <c r="J101" s="260">
        <f t="shared" si="36"/>
        <v>115.52538793103449</v>
      </c>
      <c r="L101" s="280" t="e">
        <f>SUMIFS(#REF!,#REF!,'Summary - Avg Ck'!B101)</f>
        <v>#REF!</v>
      </c>
      <c r="M101" s="280" t="e">
        <f>SUMIFS(#REF!,#REF!,'Summary - Avg Ck'!B101)</f>
        <v>#REF!</v>
      </c>
      <c r="N101" s="280" t="e">
        <f>SUMIFS(#REF!,#REF!,'Summary - Avg Ck'!B101)</f>
        <v>#REF!</v>
      </c>
      <c r="O101" s="297" t="e">
        <f>SUMIFS(#REF!,#REF!,'Summary - Avg Ck'!B101)</f>
        <v>#REF!</v>
      </c>
      <c r="P101" s="297" t="e">
        <f>SUMIFS(#REF!,#REF!,'Summary - Avg Ck'!B101)</f>
        <v>#REF!</v>
      </c>
      <c r="Q101" s="297" t="e">
        <f>SUMIFS(#REF!,#REF!,'Summary - Avg Ck'!B101)</f>
        <v>#REF!</v>
      </c>
      <c r="R101" s="297"/>
      <c r="S101" s="297"/>
      <c r="T101" s="297"/>
      <c r="U101" s="168"/>
      <c r="V101" s="168"/>
      <c r="W101" s="168"/>
    </row>
    <row r="102" spans="2:23">
      <c r="B102" s="269">
        <f t="shared" si="32"/>
        <v>31</v>
      </c>
      <c r="C102">
        <f>SUMIFS('Actual - 2026'!$AI:$AI,'Actual - 2026'!$C:$C,'Summary - Avg Ck'!B80)</f>
        <v>228717.62</v>
      </c>
      <c r="D102" s="278">
        <f>SUMIFS('Actual - 2026'!$AJ:$AJ,'Actual - 2026'!$C:$C,'Summary - Avg Ck'!B80)</f>
        <v>2102</v>
      </c>
      <c r="E102" s="290">
        <f t="shared" si="35"/>
        <v>108.80952426260704</v>
      </c>
      <c r="F102" s="260">
        <f t="shared" ref="F102:F113" si="37">IFERROR(SUM(C99:C102)/SUM(D99:D102),0)</f>
        <v>112.79156222418358</v>
      </c>
      <c r="G102" s="200">
        <f t="shared" si="34"/>
        <v>3.6596409997768788E-2</v>
      </c>
      <c r="H102">
        <f>SUMIFS('Budget - 2026'!$BQ:$BQ,'Budget - 2026'!$D:$D,'Summary - Avg Ck'!B102)</f>
        <v>224938.96</v>
      </c>
      <c r="I102" s="278">
        <f>SUMIFS('Budget - 2026'!$BR:$BR,'Budget - 2026'!$D:$D,'Summary - Avg Ck'!B102)</f>
        <v>2161</v>
      </c>
      <c r="J102" s="260">
        <f t="shared" si="36"/>
        <v>104.0902174919019</v>
      </c>
      <c r="L102" s="280" t="e">
        <f>SUMIFS(#REF!,#REF!,'Summary - Avg Ck'!B102)</f>
        <v>#REF!</v>
      </c>
      <c r="M102" s="280" t="e">
        <f>SUMIFS(#REF!,#REF!,'Summary - Avg Ck'!B102)</f>
        <v>#REF!</v>
      </c>
      <c r="N102" s="280" t="e">
        <f>SUMIFS(#REF!,#REF!,'Summary - Avg Ck'!B102)</f>
        <v>#REF!</v>
      </c>
      <c r="O102" s="297" t="e">
        <f>SUMIFS(#REF!,#REF!,'Summary - Avg Ck'!B102)</f>
        <v>#REF!</v>
      </c>
      <c r="P102" s="297" t="e">
        <f>SUMIFS(#REF!,#REF!,'Summary - Avg Ck'!B102)</f>
        <v>#REF!</v>
      </c>
      <c r="Q102" s="297" t="e">
        <f>SUMIFS(#REF!,#REF!,'Summary - Avg Ck'!B102)</f>
        <v>#REF!</v>
      </c>
      <c r="R102" s="297"/>
      <c r="S102" s="297"/>
      <c r="T102" s="297"/>
      <c r="U102" s="168"/>
      <c r="V102" s="168"/>
      <c r="W102" s="168"/>
    </row>
    <row r="103" spans="2:23">
      <c r="B103" s="269">
        <f t="shared" si="32"/>
        <v>32</v>
      </c>
      <c r="C103">
        <f>SUMIFS('Actual - 2026'!$AI:$AI,'Actual - 2026'!$C:$C,'Summary - Avg Ck'!B81)</f>
        <v>219819.07000000004</v>
      </c>
      <c r="D103" s="278">
        <f>SUMIFS('Actual - 2026'!$AJ:$AJ,'Actual - 2026'!$C:$C,'Summary - Avg Ck'!B81)</f>
        <v>2112</v>
      </c>
      <c r="E103" s="290">
        <f t="shared" si="35"/>
        <v>104.08099905303033</v>
      </c>
      <c r="F103" s="260">
        <f t="shared" si="37"/>
        <v>109.42129992737836</v>
      </c>
      <c r="G103" s="200">
        <f t="shared" si="34"/>
        <v>5.13090854520631E-2</v>
      </c>
      <c r="H103">
        <f>SUMIFS('Budget - 2026'!$BQ:$BQ,'Budget - 2026'!$D:$D,'Summary - Avg Ck'!B103)</f>
        <v>209856.42</v>
      </c>
      <c r="I103" s="278">
        <f>SUMIFS('Budget - 2026'!$BR:$BR,'Budget - 2026'!$D:$D,'Summary - Avg Ck'!B103)</f>
        <v>1832</v>
      </c>
      <c r="J103" s="260">
        <f t="shared" si="36"/>
        <v>114.55044759825329</v>
      </c>
      <c r="L103" s="280" t="e">
        <f>SUMIFS(#REF!,#REF!,'Summary - Avg Ck'!B103)</f>
        <v>#REF!</v>
      </c>
      <c r="M103" s="280" t="e">
        <f>SUMIFS(#REF!,#REF!,'Summary - Avg Ck'!B103)</f>
        <v>#REF!</v>
      </c>
      <c r="N103" s="280" t="e">
        <f>SUMIFS(#REF!,#REF!,'Summary - Avg Ck'!B103)</f>
        <v>#REF!</v>
      </c>
      <c r="O103" s="297" t="e">
        <f>SUMIFS(#REF!,#REF!,'Summary - Avg Ck'!B103)</f>
        <v>#REF!</v>
      </c>
      <c r="P103" s="297" t="e">
        <f>SUMIFS(#REF!,#REF!,'Summary - Avg Ck'!B103)</f>
        <v>#REF!</v>
      </c>
      <c r="Q103" s="297" t="e">
        <f>SUMIFS(#REF!,#REF!,'Summary - Avg Ck'!B103)</f>
        <v>#REF!</v>
      </c>
      <c r="R103" s="297"/>
      <c r="S103" s="297"/>
      <c r="T103" s="297"/>
      <c r="U103" s="168"/>
      <c r="V103" s="168"/>
      <c r="W103" s="168"/>
    </row>
    <row r="104" spans="2:23">
      <c r="B104" s="269">
        <f t="shared" si="32"/>
        <v>33</v>
      </c>
      <c r="C104">
        <f>SUMIFS('Actual - 2026'!$AI:$AI,'Actual - 2026'!$C:$C,'Summary - Avg Ck'!B82)</f>
        <v>207885.03999999998</v>
      </c>
      <c r="D104" s="278">
        <f>SUMIFS('Actual - 2026'!$AJ:$AJ,'Actual - 2026'!$C:$C,'Summary - Avg Ck'!B82)</f>
        <v>2095</v>
      </c>
      <c r="E104" s="290">
        <f t="shared" si="35"/>
        <v>99.229136038186141</v>
      </c>
      <c r="F104" s="260">
        <f t="shared" si="37"/>
        <v>105.67940093828943</v>
      </c>
      <c r="G104" s="200">
        <f t="shared" si="34"/>
        <v>6.5003739401913674E-2</v>
      </c>
      <c r="H104">
        <f>SUMIFS('Budget - 2026'!$BQ:$BQ,'Budget - 2026'!$D:$D,'Summary - Avg Ck'!B104)</f>
        <v>210230.6</v>
      </c>
      <c r="I104" s="278">
        <f>SUMIFS('Budget - 2026'!$BR:$BR,'Budget - 2026'!$D:$D,'Summary - Avg Ck'!B104)</f>
        <v>2015</v>
      </c>
      <c r="J104" s="260">
        <f t="shared" si="36"/>
        <v>104.33280397022332</v>
      </c>
      <c r="L104" s="280" t="e">
        <f>SUMIFS(#REF!,#REF!,'Summary - Avg Ck'!B104)</f>
        <v>#REF!</v>
      </c>
      <c r="M104" s="280" t="e">
        <f>SUMIFS(#REF!,#REF!,'Summary - Avg Ck'!B104)</f>
        <v>#REF!</v>
      </c>
      <c r="N104" s="280" t="e">
        <f>SUMIFS(#REF!,#REF!,'Summary - Avg Ck'!B104)</f>
        <v>#REF!</v>
      </c>
      <c r="O104" s="297" t="e">
        <f>SUMIFS(#REF!,#REF!,'Summary - Avg Ck'!B104)</f>
        <v>#REF!</v>
      </c>
      <c r="P104" s="297" t="e">
        <f>SUMIFS(#REF!,#REF!,'Summary - Avg Ck'!B104)</f>
        <v>#REF!</v>
      </c>
      <c r="Q104" s="297" t="e">
        <f>SUMIFS(#REF!,#REF!,'Summary - Avg Ck'!B104)</f>
        <v>#REF!</v>
      </c>
      <c r="R104" s="297"/>
      <c r="S104" s="297"/>
      <c r="T104" s="297"/>
      <c r="U104" s="168"/>
      <c r="V104" s="168"/>
      <c r="W104" s="168"/>
    </row>
    <row r="105" spans="2:23">
      <c r="B105" s="269">
        <f t="shared" si="32"/>
        <v>34</v>
      </c>
      <c r="C105">
        <f>SUMIFS('Actual - 2026'!$AI:$AI,'Actual - 2026'!$C:$C,'Summary - Avg Ck'!B83)</f>
        <v>263440.24</v>
      </c>
      <c r="D105" s="278">
        <f>SUMIFS('Actual - 2026'!$AJ:$AJ,'Actual - 2026'!$C:$C,'Summary - Avg Ck'!B83)</f>
        <v>0</v>
      </c>
      <c r="E105" s="290">
        <f t="shared" si="35"/>
        <v>0</v>
      </c>
      <c r="F105" s="260">
        <f t="shared" si="37"/>
        <v>145.80154858139167</v>
      </c>
      <c r="G105" s="200" t="e">
        <f t="shared" si="34"/>
        <v>#DIV/0!</v>
      </c>
      <c r="H105">
        <f>SUMIFS('Budget - 2026'!$BQ:$BQ,'Budget - 2026'!$D:$D,'Summary - Avg Ck'!B105)</f>
        <v>253094.62</v>
      </c>
      <c r="I105" s="278">
        <f>SUMIFS('Budget - 2026'!$BR:$BR,'Budget - 2026'!$D:$D,'Summary - Avg Ck'!B105)</f>
        <v>2324</v>
      </c>
      <c r="J105" s="260">
        <f t="shared" si="36"/>
        <v>108.90474182444062</v>
      </c>
      <c r="L105" s="280" t="e">
        <f>SUMIFS(#REF!,#REF!,'Summary - Avg Ck'!B105)</f>
        <v>#REF!</v>
      </c>
      <c r="M105" s="280" t="e">
        <f>SUMIFS(#REF!,#REF!,'Summary - Avg Ck'!B105)</f>
        <v>#REF!</v>
      </c>
      <c r="N105" s="280" t="e">
        <f>SUMIFS(#REF!,#REF!,'Summary - Avg Ck'!B105)</f>
        <v>#REF!</v>
      </c>
      <c r="O105" s="297" t="e">
        <f>SUMIFS(#REF!,#REF!,'Summary - Avg Ck'!B105)</f>
        <v>#REF!</v>
      </c>
      <c r="P105" s="297" t="e">
        <f>SUMIFS(#REF!,#REF!,'Summary - Avg Ck'!B105)</f>
        <v>#REF!</v>
      </c>
      <c r="Q105" s="297" t="e">
        <f>SUMIFS(#REF!,#REF!,'Summary - Avg Ck'!B105)</f>
        <v>#REF!</v>
      </c>
      <c r="R105" s="297"/>
      <c r="S105" s="298"/>
      <c r="T105" s="297"/>
      <c r="U105" s="168"/>
      <c r="V105" s="168"/>
      <c r="W105" s="168"/>
    </row>
    <row r="106" spans="2:23">
      <c r="B106" s="269">
        <f t="shared" si="32"/>
        <v>35</v>
      </c>
      <c r="C106">
        <f>SUMIFS('Actual - 2026'!$AI:$AI,'Actual - 2026'!$C:$C,'Summary - Avg Ck'!B84)</f>
        <v>0</v>
      </c>
      <c r="D106" s="278">
        <f>SUMIFS('Actual - 2026'!$AJ:$AJ,'Actual - 2026'!$C:$C,'Summary - Avg Ck'!B84)</f>
        <v>0</v>
      </c>
      <c r="E106" s="290">
        <f t="shared" si="35"/>
        <v>0</v>
      </c>
      <c r="F106" s="260">
        <f t="shared" si="37"/>
        <v>164.28437128595198</v>
      </c>
      <c r="G106" s="200" t="e">
        <f t="shared" si="34"/>
        <v>#DIV/0!</v>
      </c>
      <c r="H106">
        <f>SUMIFS('Budget - 2026'!$BQ:$BQ,'Budget - 2026'!$D:$D,'Summary - Avg Ck'!B106)</f>
        <v>227829.29</v>
      </c>
      <c r="I106" s="278">
        <f>SUMIFS('Budget - 2026'!$BR:$BR,'Budget - 2026'!$D:$D,'Summary - Avg Ck'!B106)</f>
        <v>2196</v>
      </c>
      <c r="J106" s="260">
        <f t="shared" si="36"/>
        <v>103.74739981785063</v>
      </c>
      <c r="L106" s="280" t="e">
        <f>SUMIFS(#REF!,#REF!,'Summary - Avg Ck'!B106)</f>
        <v>#REF!</v>
      </c>
      <c r="M106" s="280" t="e">
        <f>SUMIFS(#REF!,#REF!,'Summary - Avg Ck'!B106)</f>
        <v>#REF!</v>
      </c>
      <c r="N106" s="280" t="e">
        <f>SUMIFS(#REF!,#REF!,'Summary - Avg Ck'!B106)</f>
        <v>#REF!</v>
      </c>
      <c r="O106" s="297" t="e">
        <f>SUMIFS(#REF!,#REF!,'Summary - Avg Ck'!B106)</f>
        <v>#REF!</v>
      </c>
      <c r="P106" s="297" t="e">
        <f>SUMIFS(#REF!,#REF!,'Summary - Avg Ck'!B106)</f>
        <v>#REF!</v>
      </c>
      <c r="Q106" s="297" t="e">
        <f>SUMIFS(#REF!,#REF!,'Summary - Avg Ck'!B106)</f>
        <v>#REF!</v>
      </c>
      <c r="R106" s="297"/>
      <c r="S106" s="297"/>
      <c r="T106" s="297"/>
      <c r="U106" s="168"/>
      <c r="V106" s="168"/>
      <c r="W106" s="168"/>
    </row>
    <row r="107" spans="2:23">
      <c r="B107" s="269">
        <f t="shared" si="32"/>
        <v>36</v>
      </c>
      <c r="C107">
        <f>SUMIFS('Actual - 2026'!$AI:$AI,'Actual - 2026'!$C:$C,'Summary - Avg Ck'!B85)</f>
        <v>0</v>
      </c>
      <c r="D107" s="278">
        <f>SUMIFS('Actual - 2026'!$AJ:$AJ,'Actual - 2026'!$C:$C,'Summary - Avg Ck'!B85)</f>
        <v>0</v>
      </c>
      <c r="E107" s="290">
        <f t="shared" si="35"/>
        <v>0</v>
      </c>
      <c r="F107" s="260">
        <f t="shared" si="37"/>
        <v>224.97626730310262</v>
      </c>
      <c r="G107" s="200" t="e">
        <f t="shared" si="34"/>
        <v>#DIV/0!</v>
      </c>
      <c r="H107">
        <f>SUMIFS('Budget - 2026'!$BQ:$BQ,'Budget - 2026'!$D:$D,'Summary - Avg Ck'!B107)</f>
        <v>230610.44999999998</v>
      </c>
      <c r="I107" s="278">
        <f>SUMIFS('Budget - 2026'!$BR:$BR,'Budget - 2026'!$D:$D,'Summary - Avg Ck'!B107)</f>
        <v>2104</v>
      </c>
      <c r="J107" s="260">
        <f t="shared" si="36"/>
        <v>109.60572718631178</v>
      </c>
      <c r="L107" s="280" t="e">
        <f>SUMIFS(#REF!,#REF!,'Summary - Avg Ck'!B107)</f>
        <v>#REF!</v>
      </c>
      <c r="M107" s="280" t="e">
        <f>SUMIFS(#REF!,#REF!,'Summary - Avg Ck'!B107)</f>
        <v>#REF!</v>
      </c>
      <c r="N107" s="280" t="e">
        <f>SUMIFS(#REF!,#REF!,'Summary - Avg Ck'!B107)</f>
        <v>#REF!</v>
      </c>
      <c r="O107" s="297" t="e">
        <f>SUMIFS(#REF!,#REF!,'Summary - Avg Ck'!B107)</f>
        <v>#REF!</v>
      </c>
      <c r="P107" s="297" t="e">
        <f>SUMIFS(#REF!,#REF!,'Summary - Avg Ck'!B107)</f>
        <v>#REF!</v>
      </c>
      <c r="Q107" s="297" t="e">
        <f>SUMIFS(#REF!,#REF!,'Summary - Avg Ck'!B107)</f>
        <v>#REF!</v>
      </c>
      <c r="R107" s="297"/>
      <c r="S107" s="298"/>
      <c r="T107" s="297"/>
      <c r="U107" s="168"/>
      <c r="V107" s="168"/>
      <c r="W107" s="168"/>
    </row>
    <row r="108" spans="2:23">
      <c r="B108" s="269">
        <f t="shared" si="32"/>
        <v>37</v>
      </c>
      <c r="C108">
        <f>SUMIFS('Actual - 2026'!$AI:$AI,'Actual - 2026'!$C:$C,'Summary - Avg Ck'!B86)</f>
        <v>0</v>
      </c>
      <c r="D108" s="278">
        <f>SUMIFS('Actual - 2026'!$AJ:$AJ,'Actual - 2026'!$C:$C,'Summary - Avg Ck'!B86)</f>
        <v>0</v>
      </c>
      <c r="E108" s="290">
        <f t="shared" si="35"/>
        <v>0</v>
      </c>
      <c r="F108" s="260">
        <f t="shared" si="37"/>
        <v>0</v>
      </c>
      <c r="G108" s="200" t="e">
        <f t="shared" si="34"/>
        <v>#DIV/0!</v>
      </c>
      <c r="H108">
        <f>SUMIFS('Budget - 2026'!$BQ:$BQ,'Budget - 2026'!$D:$D,'Summary - Avg Ck'!B108)</f>
        <v>221980.72</v>
      </c>
      <c r="I108" s="278">
        <f>SUMIFS('Budget - 2026'!$BR:$BR,'Budget - 2026'!$D:$D,'Summary - Avg Ck'!B108)</f>
        <v>2012</v>
      </c>
      <c r="J108" s="260">
        <f t="shared" si="36"/>
        <v>110.32838966202783</v>
      </c>
      <c r="L108" s="280" t="e">
        <f>SUMIFS(#REF!,#REF!,'Summary - Avg Ck'!B108)</f>
        <v>#REF!</v>
      </c>
      <c r="M108" s="280" t="e">
        <f>SUMIFS(#REF!,#REF!,'Summary - Avg Ck'!B108)</f>
        <v>#REF!</v>
      </c>
      <c r="N108" s="280" t="e">
        <f>SUMIFS(#REF!,#REF!,'Summary - Avg Ck'!B108)</f>
        <v>#REF!</v>
      </c>
      <c r="O108" s="297" t="e">
        <f>SUMIFS(#REF!,#REF!,'Summary - Avg Ck'!B108)</f>
        <v>#REF!</v>
      </c>
      <c r="P108" s="297" t="e">
        <f>SUMIFS(#REF!,#REF!,'Summary - Avg Ck'!B108)</f>
        <v>#REF!</v>
      </c>
      <c r="Q108" s="297" t="e">
        <f>SUMIFS(#REF!,#REF!,'Summary - Avg Ck'!B108)</f>
        <v>#REF!</v>
      </c>
      <c r="R108" s="297"/>
      <c r="S108" s="297"/>
      <c r="T108" s="297"/>
      <c r="U108" s="168"/>
      <c r="V108" s="168"/>
      <c r="W108" s="168"/>
    </row>
    <row r="109" spans="2:23">
      <c r="B109" s="269">
        <f t="shared" si="32"/>
        <v>38</v>
      </c>
      <c r="C109">
        <f>SUMIFS('Actual - 2026'!$AI:$AI,'Actual - 2026'!$C:$C,'Summary - Avg Ck'!B87)</f>
        <v>0</v>
      </c>
      <c r="D109" s="278">
        <f>SUMIFS('Actual - 2026'!$AJ:$AJ,'Actual - 2026'!$C:$C,'Summary - Avg Ck'!B87)</f>
        <v>0</v>
      </c>
      <c r="E109" s="290">
        <f t="shared" si="35"/>
        <v>0</v>
      </c>
      <c r="F109" s="260">
        <f t="shared" si="37"/>
        <v>0</v>
      </c>
      <c r="G109" s="200" t="e">
        <f t="shared" si="34"/>
        <v>#DIV/0!</v>
      </c>
      <c r="H109">
        <f>SUMIFS('Budget - 2026'!$BQ:$BQ,'Budget - 2026'!$D:$D,'Summary - Avg Ck'!B109)</f>
        <v>242489.54</v>
      </c>
      <c r="I109" s="278">
        <f>SUMIFS('Budget - 2026'!$BR:$BR,'Budget - 2026'!$D:$D,'Summary - Avg Ck'!B109)</f>
        <v>2279</v>
      </c>
      <c r="J109" s="260">
        <f t="shared" si="36"/>
        <v>106.40172882843353</v>
      </c>
      <c r="L109" s="280" t="e">
        <f>SUMIFS(#REF!,#REF!,'Summary - Avg Ck'!B109)</f>
        <v>#REF!</v>
      </c>
      <c r="M109" s="280" t="e">
        <f>SUMIFS(#REF!,#REF!,'Summary - Avg Ck'!B109)</f>
        <v>#REF!</v>
      </c>
      <c r="N109" s="280" t="e">
        <f>SUMIFS(#REF!,#REF!,'Summary - Avg Ck'!B109)</f>
        <v>#REF!</v>
      </c>
      <c r="O109" s="297" t="e">
        <f>SUMIFS(#REF!,#REF!,'Summary - Avg Ck'!B109)</f>
        <v>#REF!</v>
      </c>
      <c r="P109" s="297" t="e">
        <f>SUMIFS(#REF!,#REF!,'Summary - Avg Ck'!B109)</f>
        <v>#REF!</v>
      </c>
      <c r="Q109" s="297" t="e">
        <f>SUMIFS(#REF!,#REF!,'Summary - Avg Ck'!B109)</f>
        <v>#REF!</v>
      </c>
      <c r="R109" s="297"/>
      <c r="S109" s="297"/>
      <c r="T109" s="297"/>
      <c r="U109" s="168"/>
      <c r="V109" s="168"/>
      <c r="W109" s="168"/>
    </row>
    <row r="110" spans="2:23">
      <c r="B110" s="269">
        <f t="shared" si="32"/>
        <v>39</v>
      </c>
      <c r="C110">
        <f>SUMIFS('Actual - 2026'!$AI:$AI,'Actual - 2026'!$C:$C,'Summary - Avg Ck'!B88)</f>
        <v>0</v>
      </c>
      <c r="D110" s="278">
        <f>SUMIFS('Actual - 2026'!$AJ:$AJ,'Actual - 2026'!$C:$C,'Summary - Avg Ck'!B88)</f>
        <v>0</v>
      </c>
      <c r="E110" s="290">
        <f t="shared" si="35"/>
        <v>0</v>
      </c>
      <c r="F110" s="260">
        <f t="shared" si="37"/>
        <v>0</v>
      </c>
      <c r="G110" s="200" t="e">
        <f t="shared" si="34"/>
        <v>#DIV/0!</v>
      </c>
      <c r="H110">
        <f>SUMIFS('Budget - 2026'!$BQ:$BQ,'Budget - 2026'!$D:$D,'Summary - Avg Ck'!B110)</f>
        <v>252756.7</v>
      </c>
      <c r="I110" s="278">
        <f>SUMIFS('Budget - 2026'!$BR:$BR,'Budget - 2026'!$D:$D,'Summary - Avg Ck'!B110)</f>
        <v>2552</v>
      </c>
      <c r="J110" s="260">
        <f t="shared" si="36"/>
        <v>99.042594043887149</v>
      </c>
      <c r="L110" s="280" t="e">
        <f>SUMIFS(#REF!,#REF!,'Summary - Avg Ck'!B110)</f>
        <v>#REF!</v>
      </c>
      <c r="M110" s="280" t="e">
        <f>SUMIFS(#REF!,#REF!,'Summary - Avg Ck'!B110)</f>
        <v>#REF!</v>
      </c>
      <c r="N110" s="280" t="e">
        <f>SUMIFS(#REF!,#REF!,'Summary - Avg Ck'!B110)</f>
        <v>#REF!</v>
      </c>
      <c r="O110" s="297" t="e">
        <f>SUMIFS(#REF!,#REF!,'Summary - Avg Ck'!B110)</f>
        <v>#REF!</v>
      </c>
      <c r="P110" s="297" t="e">
        <f>SUMIFS(#REF!,#REF!,'Summary - Avg Ck'!B110)</f>
        <v>#REF!</v>
      </c>
      <c r="Q110" s="297" t="e">
        <f>SUMIFS(#REF!,#REF!,'Summary - Avg Ck'!B110)</f>
        <v>#REF!</v>
      </c>
      <c r="R110" s="297"/>
      <c r="S110" s="297"/>
      <c r="T110" s="297"/>
      <c r="U110" s="168"/>
      <c r="V110" s="168"/>
      <c r="W110" s="168"/>
    </row>
    <row r="111" spans="2:23">
      <c r="B111" s="269">
        <f t="shared" si="32"/>
        <v>40</v>
      </c>
      <c r="C111">
        <f>SUMIFS('Actual - 2026'!$AI:$AI,'Actual - 2026'!$C:$C,'Summary - Avg Ck'!B89)</f>
        <v>0</v>
      </c>
      <c r="D111" s="278">
        <f>SUMIFS('Actual - 2026'!$AJ:$AJ,'Actual - 2026'!$C:$C,'Summary - Avg Ck'!B89)</f>
        <v>0</v>
      </c>
      <c r="E111" s="290">
        <f t="shared" si="35"/>
        <v>0</v>
      </c>
      <c r="F111" s="260">
        <f t="shared" si="37"/>
        <v>0</v>
      </c>
      <c r="G111" s="200" t="e">
        <f t="shared" si="34"/>
        <v>#DIV/0!</v>
      </c>
      <c r="H111">
        <f>SUMIFS('Budget - 2026'!$BQ:$BQ,'Budget - 2026'!$D:$D,'Summary - Avg Ck'!B111)</f>
        <v>219009.55000000002</v>
      </c>
      <c r="I111" s="278">
        <f>SUMIFS('Budget - 2026'!$BR:$BR,'Budget - 2026'!$D:$D,'Summary - Avg Ck'!B111)</f>
        <v>2099</v>
      </c>
      <c r="J111" s="260">
        <f t="shared" si="36"/>
        <v>104.33994759409244</v>
      </c>
      <c r="L111" s="280" t="e">
        <f>SUMIFS(#REF!,#REF!,'Summary - Avg Ck'!B111)</f>
        <v>#REF!</v>
      </c>
      <c r="M111" s="280" t="e">
        <f>SUMIFS(#REF!,#REF!,'Summary - Avg Ck'!B111)</f>
        <v>#REF!</v>
      </c>
      <c r="N111" s="280" t="e">
        <f>SUMIFS(#REF!,#REF!,'Summary - Avg Ck'!B111)</f>
        <v>#REF!</v>
      </c>
      <c r="O111" s="297" t="e">
        <f>SUMIFS(#REF!,#REF!,'Summary - Avg Ck'!B111)</f>
        <v>#REF!</v>
      </c>
      <c r="P111" s="297" t="e">
        <f>SUMIFS(#REF!,#REF!,'Summary - Avg Ck'!B111)</f>
        <v>#REF!</v>
      </c>
      <c r="Q111" s="297" t="e">
        <f>SUMIFS(#REF!,#REF!,'Summary - Avg Ck'!B111)</f>
        <v>#REF!</v>
      </c>
      <c r="R111" s="297"/>
      <c r="S111" s="297"/>
      <c r="T111" s="297"/>
      <c r="U111" s="168"/>
      <c r="V111" s="168"/>
      <c r="W111" s="168"/>
    </row>
    <row r="112" spans="2:23">
      <c r="B112" s="269">
        <f t="shared" si="32"/>
        <v>41</v>
      </c>
      <c r="C112">
        <f>SUMIFS('Actual - 2026'!$AI:$AI,'Actual - 2026'!$C:$C,'Summary - Avg Ck'!B90)</f>
        <v>0</v>
      </c>
      <c r="D112" s="278">
        <f>SUMIFS('Actual - 2026'!$AJ:$AJ,'Actual - 2026'!$C:$C,'Summary - Avg Ck'!B90)</f>
        <v>0</v>
      </c>
      <c r="E112" s="290">
        <f t="shared" si="35"/>
        <v>0</v>
      </c>
      <c r="F112" s="260">
        <f t="shared" si="37"/>
        <v>0</v>
      </c>
      <c r="G112" s="200" t="e">
        <f t="shared" si="34"/>
        <v>#DIV/0!</v>
      </c>
      <c r="H112">
        <f>SUMIFS('Budget - 2026'!$BQ:$BQ,'Budget - 2026'!$D:$D,'Summary - Avg Ck'!B112)</f>
        <v>236246.37</v>
      </c>
      <c r="I112" s="278">
        <f>SUMIFS('Budget - 2026'!$BR:$BR,'Budget - 2026'!$D:$D,'Summary - Avg Ck'!B112)</f>
        <v>2339</v>
      </c>
      <c r="J112" s="260">
        <f t="shared" si="36"/>
        <v>101.00315091919623</v>
      </c>
      <c r="L112" s="280" t="e">
        <f>SUMIFS(#REF!,#REF!,'Summary - Avg Ck'!B112)</f>
        <v>#REF!</v>
      </c>
      <c r="M112" s="280" t="e">
        <f>SUMIFS(#REF!,#REF!,'Summary - Avg Ck'!B112)</f>
        <v>#REF!</v>
      </c>
      <c r="N112" s="280" t="e">
        <f>SUMIFS(#REF!,#REF!,'Summary - Avg Ck'!B112)</f>
        <v>#REF!</v>
      </c>
      <c r="O112" s="297" t="e">
        <f>SUMIFS(#REF!,#REF!,'Summary - Avg Ck'!B112)</f>
        <v>#REF!</v>
      </c>
      <c r="P112" s="297" t="e">
        <f>SUMIFS(#REF!,#REF!,'Summary - Avg Ck'!B112)</f>
        <v>#REF!</v>
      </c>
      <c r="Q112" s="297" t="e">
        <f>SUMIFS(#REF!,#REF!,'Summary - Avg Ck'!B112)</f>
        <v>#REF!</v>
      </c>
      <c r="R112" s="168"/>
      <c r="S112" s="168"/>
      <c r="T112" s="168"/>
      <c r="U112" s="168"/>
      <c r="V112" s="168"/>
      <c r="W112" s="168"/>
    </row>
    <row r="113" spans="2:23">
      <c r="B113" s="269">
        <f t="shared" si="32"/>
        <v>42</v>
      </c>
      <c r="C113">
        <f>SUMIFS('Actual - 2026'!$AI:$AI,'Actual - 2026'!$C:$C,'Summary - Avg Ck'!B91)</f>
        <v>0</v>
      </c>
      <c r="D113" s="278">
        <f>SUMIFS('Actual - 2026'!$AJ:$AJ,'Actual - 2026'!$C:$C,'Summary - Avg Ck'!B91)</f>
        <v>0</v>
      </c>
      <c r="E113" s="290">
        <f t="shared" si="35"/>
        <v>0</v>
      </c>
      <c r="F113" s="260">
        <f t="shared" si="37"/>
        <v>0</v>
      </c>
      <c r="G113" s="200" t="e">
        <f t="shared" si="34"/>
        <v>#DIV/0!</v>
      </c>
      <c r="H113">
        <f>SUMIFS('Budget - 2026'!$BQ:$BQ,'Budget - 2026'!$D:$D,'Summary - Avg Ck'!B113)</f>
        <v>239202.97</v>
      </c>
      <c r="I113" s="278">
        <f>SUMIFS('Budget - 2026'!$BR:$BR,'Budget - 2026'!$D:$D,'Summary - Avg Ck'!B113)</f>
        <v>2203</v>
      </c>
      <c r="J113" s="260">
        <f t="shared" si="36"/>
        <v>108.58055832955061</v>
      </c>
      <c r="L113" s="280" t="e">
        <f>SUMIFS(#REF!,#REF!,'Summary - Avg Ck'!B113)</f>
        <v>#REF!</v>
      </c>
      <c r="M113" s="280" t="e">
        <f>SUMIFS(#REF!,#REF!,'Summary - Avg Ck'!B113)</f>
        <v>#REF!</v>
      </c>
      <c r="N113" s="280" t="e">
        <f>SUMIFS(#REF!,#REF!,'Summary - Avg Ck'!B113)</f>
        <v>#REF!</v>
      </c>
      <c r="O113" s="297" t="e">
        <f>SUMIFS(#REF!,#REF!,'Summary - Avg Ck'!B113)</f>
        <v>#REF!</v>
      </c>
      <c r="P113" s="297" t="e">
        <f>SUMIFS(#REF!,#REF!,'Summary - Avg Ck'!B113)</f>
        <v>#REF!</v>
      </c>
      <c r="Q113" s="297" t="e">
        <f>SUMIFS(#REF!,#REF!,'Summary - Avg Ck'!B113)</f>
        <v>#REF!</v>
      </c>
      <c r="R113" s="168"/>
      <c r="S113" s="168"/>
      <c r="T113" s="168"/>
      <c r="U113" s="168"/>
      <c r="V113" s="168"/>
      <c r="W113" s="168"/>
    </row>
    <row r="114" spans="2:23"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</row>
  </sheetData>
  <mergeCells count="27">
    <mergeCell ref="B93:J93"/>
    <mergeCell ref="L8:N8"/>
    <mergeCell ref="O8:Q8"/>
    <mergeCell ref="L3:W3"/>
    <mergeCell ref="R8:T8"/>
    <mergeCell ref="U8:W8"/>
    <mergeCell ref="B5:J5"/>
    <mergeCell ref="B27:J27"/>
    <mergeCell ref="B49:J49"/>
    <mergeCell ref="B71:J71"/>
    <mergeCell ref="B3:J3"/>
    <mergeCell ref="O30:Q30"/>
    <mergeCell ref="R30:T30"/>
    <mergeCell ref="U30:W30"/>
    <mergeCell ref="L52:N52"/>
    <mergeCell ref="O52:Q52"/>
    <mergeCell ref="L30:N30"/>
    <mergeCell ref="L74:N74"/>
    <mergeCell ref="O74:Q74"/>
    <mergeCell ref="R74:T74"/>
    <mergeCell ref="U74:W74"/>
    <mergeCell ref="L96:N96"/>
    <mergeCell ref="O96:Q96"/>
    <mergeCell ref="R96:T96"/>
    <mergeCell ref="U96:W96"/>
    <mergeCell ref="R52:T52"/>
    <mergeCell ref="U52:W52"/>
  </mergeCells>
  <conditionalFormatting sqref="G9:G25">
    <cfRule type="cellIs" dxfId="256" priority="17" operator="lessThan">
      <formula>-0.05</formula>
    </cfRule>
  </conditionalFormatting>
  <conditionalFormatting sqref="G13:G25">
    <cfRule type="iconSet" priority="18">
      <iconSet iconSet="3Arrows">
        <cfvo type="percent" val="0"/>
        <cfvo type="num" val="0.01"/>
        <cfvo type="num" val="0.01"/>
      </iconSet>
    </cfRule>
  </conditionalFormatting>
  <conditionalFormatting sqref="G31:G47">
    <cfRule type="cellIs" dxfId="255" priority="7" operator="lessThan">
      <formula>-0.05</formula>
    </cfRule>
  </conditionalFormatting>
  <conditionalFormatting sqref="G35:G47">
    <cfRule type="iconSet" priority="8">
      <iconSet iconSet="3Arrows">
        <cfvo type="percent" val="0"/>
        <cfvo type="num" val="0.01"/>
        <cfvo type="num" val="0.01"/>
      </iconSet>
    </cfRule>
  </conditionalFormatting>
  <conditionalFormatting sqref="G53:G69">
    <cfRule type="cellIs" dxfId="254" priority="5" operator="lessThan">
      <formula>-0.05</formula>
    </cfRule>
  </conditionalFormatting>
  <conditionalFormatting sqref="G57:G69">
    <cfRule type="iconSet" priority="6">
      <iconSet iconSet="3Arrows">
        <cfvo type="percent" val="0"/>
        <cfvo type="num" val="0.01"/>
        <cfvo type="num" val="0.01"/>
      </iconSet>
    </cfRule>
  </conditionalFormatting>
  <conditionalFormatting sqref="G75:G91">
    <cfRule type="cellIs" dxfId="253" priority="3" operator="lessThan">
      <formula>-0.05</formula>
    </cfRule>
  </conditionalFormatting>
  <conditionalFormatting sqref="G79:G91">
    <cfRule type="iconSet" priority="4">
      <iconSet iconSet="3Arrows">
        <cfvo type="percent" val="0"/>
        <cfvo type="num" val="0.01"/>
        <cfvo type="num" val="0.01"/>
      </iconSet>
    </cfRule>
  </conditionalFormatting>
  <conditionalFormatting sqref="G97:G113">
    <cfRule type="cellIs" dxfId="252" priority="1" operator="lessThan">
      <formula>-0.05</formula>
    </cfRule>
  </conditionalFormatting>
  <conditionalFormatting sqref="G101:G113">
    <cfRule type="iconSet" priority="2">
      <iconSet iconSet="3Arrows">
        <cfvo type="percent" val="0"/>
        <cfvo type="num" val="0.01"/>
        <cfvo type="num" val="0.01"/>
      </iconSet>
    </cfRule>
  </conditionalFormatting>
  <pageMargins left="0.7" right="0.7" top="0.75" bottom="0.75" header="0.3" footer="0.3"/>
  <pageSetup scale="4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4526-0335-44B2-9917-71EEC9037666}">
  <sheetPr>
    <tabColor theme="9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E753-9FA6-47FF-B3C6-7FE8C021051F}">
  <sheetPr>
    <tabColor theme="9"/>
    <pageSetUpPr fitToPage="1"/>
  </sheetPr>
  <dimension ref="B1:W91"/>
  <sheetViews>
    <sheetView workbookViewId="0"/>
  </sheetViews>
  <sheetFormatPr defaultRowHeight="15" outlineLevelRow="1" outlineLevelCol="1"/>
  <cols>
    <col min="2" max="2" width="11.5703125" bestFit="1" customWidth="1"/>
    <col min="3" max="3" width="11.5703125" hidden="1" customWidth="1" outlineLevel="1"/>
    <col min="4" max="4" width="6.42578125" style="278" bestFit="1" customWidth="1" collapsed="1"/>
    <col min="5" max="7" width="9.42578125" customWidth="1"/>
    <col min="8" max="8" width="11.5703125" hidden="1" customWidth="1" outlineLevel="1"/>
    <col min="9" max="9" width="11.5703125" style="278" customWidth="1" collapsed="1"/>
    <col min="10" max="10" width="11.5703125" style="2" bestFit="1" customWidth="1"/>
    <col min="11" max="11" width="1" customWidth="1"/>
    <col min="12" max="12" width="12.28515625" customWidth="1"/>
    <col min="13" max="14" width="11.42578125" customWidth="1"/>
    <col min="15" max="17" width="9.5703125" customWidth="1"/>
  </cols>
  <sheetData>
    <row r="1" spans="2:23">
      <c r="L1" t="s">
        <v>214</v>
      </c>
      <c r="N1" t="s">
        <v>215</v>
      </c>
    </row>
    <row r="3" spans="2:23">
      <c r="B3" s="422" t="s">
        <v>216</v>
      </c>
      <c r="C3" s="422"/>
      <c r="D3" s="422"/>
      <c r="E3" s="422"/>
      <c r="F3" s="422"/>
      <c r="G3" s="422"/>
      <c r="H3" s="422"/>
      <c r="I3" s="422"/>
      <c r="J3" s="422"/>
      <c r="K3" s="266"/>
      <c r="L3" s="422" t="s">
        <v>217</v>
      </c>
      <c r="M3" s="422"/>
      <c r="N3" s="422"/>
      <c r="O3" s="422"/>
      <c r="P3" s="422"/>
      <c r="Q3" s="422"/>
      <c r="R3" s="422"/>
      <c r="S3" s="422"/>
      <c r="T3" s="422"/>
      <c r="U3" s="422"/>
      <c r="V3" s="422"/>
      <c r="W3" s="422"/>
    </row>
    <row r="4" spans="2:23">
      <c r="B4" s="266"/>
      <c r="C4" s="266"/>
      <c r="D4" s="275"/>
      <c r="E4" s="266"/>
      <c r="F4" s="266"/>
      <c r="G4" s="266"/>
      <c r="H4" s="266"/>
      <c r="I4" s="275"/>
      <c r="J4" s="279"/>
      <c r="K4" s="266"/>
    </row>
    <row r="5" spans="2:23" ht="21">
      <c r="B5" s="421" t="s">
        <v>230</v>
      </c>
      <c r="C5" s="421"/>
      <c r="D5" s="421"/>
      <c r="E5" s="421"/>
      <c r="F5" s="421"/>
      <c r="G5" s="421"/>
      <c r="H5" s="421"/>
      <c r="I5" s="421"/>
      <c r="J5" s="421"/>
      <c r="K5" s="266"/>
    </row>
    <row r="6" spans="2:23">
      <c r="B6" s="266"/>
      <c r="C6" s="266"/>
      <c r="D6" s="275"/>
      <c r="E6" s="266"/>
      <c r="F6" s="266"/>
      <c r="G6" s="266"/>
      <c r="H6" s="266"/>
      <c r="I6" s="275"/>
      <c r="J6" s="279"/>
      <c r="K6" s="266"/>
    </row>
    <row r="7" spans="2:23" s="268" customFormat="1">
      <c r="B7" s="281" t="s">
        <v>8</v>
      </c>
      <c r="C7" s="281" t="s">
        <v>71</v>
      </c>
      <c r="D7" s="282" t="s">
        <v>63</v>
      </c>
      <c r="E7" s="281" t="s">
        <v>218</v>
      </c>
      <c r="F7" s="283" t="s">
        <v>219</v>
      </c>
      <c r="G7" s="281" t="s">
        <v>220</v>
      </c>
      <c r="H7" s="281" t="s">
        <v>71</v>
      </c>
      <c r="I7" s="282" t="s">
        <v>221</v>
      </c>
      <c r="J7" s="283" t="s">
        <v>222</v>
      </c>
      <c r="K7" s="281"/>
      <c r="L7" s="284" t="s">
        <v>223</v>
      </c>
      <c r="M7" s="284" t="s">
        <v>224</v>
      </c>
      <c r="N7" s="284" t="s">
        <v>225</v>
      </c>
      <c r="O7" s="284" t="s">
        <v>223</v>
      </c>
      <c r="P7" s="284" t="s">
        <v>224</v>
      </c>
      <c r="Q7" s="284" t="s">
        <v>225</v>
      </c>
      <c r="R7" s="284" t="s">
        <v>226</v>
      </c>
      <c r="S7" s="284" t="s">
        <v>227</v>
      </c>
      <c r="T7" s="284" t="s">
        <v>228</v>
      </c>
      <c r="U7" s="284" t="s">
        <v>226</v>
      </c>
      <c r="V7" s="284" t="s">
        <v>227</v>
      </c>
      <c r="W7" s="284" t="s">
        <v>228</v>
      </c>
    </row>
    <row r="8" spans="2:23" s="289" customFormat="1" ht="12">
      <c r="B8" s="286"/>
      <c r="C8" s="286"/>
      <c r="D8" s="287"/>
      <c r="E8" s="287"/>
      <c r="F8" s="286"/>
      <c r="G8" s="286"/>
      <c r="H8" s="286"/>
      <c r="I8" s="287"/>
      <c r="J8" s="288"/>
      <c r="L8" s="423" t="s">
        <v>71</v>
      </c>
      <c r="M8" s="423"/>
      <c r="N8" s="423"/>
      <c r="O8" s="423" t="s">
        <v>63</v>
      </c>
      <c r="P8" s="423"/>
      <c r="Q8" s="423"/>
      <c r="R8" s="423" t="s">
        <v>71</v>
      </c>
      <c r="S8" s="423"/>
      <c r="T8" s="423"/>
      <c r="U8" s="423" t="s">
        <v>63</v>
      </c>
      <c r="V8" s="423"/>
      <c r="W8" s="423"/>
    </row>
    <row r="9" spans="2:23" ht="14.45" customHeight="1" outlineLevel="1">
      <c r="B9" s="269">
        <f t="shared" ref="B9:B11" si="0">B10-1</f>
        <v>25</v>
      </c>
      <c r="C9" s="261">
        <f>SUMIFS('Actual - 2026'!$K:$K,'Actual - 2026'!$C:$C,'MILA 2F - Avg Ck'!B9)</f>
        <v>644853.84</v>
      </c>
      <c r="D9" s="277">
        <f>SUMIFS('Actual - 2026'!$L:$L,'Actual - 2026'!$C:$C,'MILA 2F - Avg Ck'!B9)</f>
        <v>4171</v>
      </c>
      <c r="E9" s="260">
        <f t="shared" ref="E9:E24" si="1">IFERROR(C9/D9,0)</f>
        <v>154.60413330136657</v>
      </c>
      <c r="F9" s="260">
        <f>SUM(C7:C9)/SUM(D7:D9)</f>
        <v>154.60413330136657</v>
      </c>
      <c r="G9" s="270">
        <f t="shared" ref="G9:G25" si="2">(F9-E9)/E9</f>
        <v>0</v>
      </c>
      <c r="H9" s="261">
        <f>SUMIFS('Budget - 2026'!$R:$R,'Budget - 2026'!$D:$D,'MILA 2F - Avg Ck'!B9)</f>
        <v>741370</v>
      </c>
      <c r="I9" s="277">
        <f>SUMIFS('Budget - 2026'!$S:$S,'Budget - 2026'!$D:$D,'MILA 2F - Avg Ck'!B9)</f>
        <v>4943</v>
      </c>
      <c r="J9" s="260">
        <f>IFERROR(H9/I9,0)</f>
        <v>149.98381549666195</v>
      </c>
      <c r="L9" s="291" t="e">
        <f>SUMIFS(#REF!,#REF!,'MILA 2F - Avg Ck'!B9)</f>
        <v>#REF!</v>
      </c>
      <c r="M9" t="e">
        <f>SUMIFS(#REF!,#REF!,'MILA 2F - Avg Ck'!B9)</f>
        <v>#REF!</v>
      </c>
      <c r="N9" t="e">
        <f>SUMIFS(#REF!,#REF!,'MILA 2F - Avg Ck'!B9)</f>
        <v>#REF!</v>
      </c>
      <c r="O9" t="e">
        <f>SUMIFS(#REF!,#REF!,'MILA 2F - Avg Ck'!B9)</f>
        <v>#REF!</v>
      </c>
      <c r="P9" t="e">
        <f>SUMIFS(#REF!,#REF!,'MILA 2F - Avg Ck'!B9)</f>
        <v>#REF!</v>
      </c>
      <c r="Q9" t="e">
        <f>SUMIFS(#REF!,#REF!,'MILA 2F - Avg Ck'!B9)</f>
        <v>#REF!</v>
      </c>
    </row>
    <row r="10" spans="2:23" ht="14.45" customHeight="1" outlineLevel="1">
      <c r="B10" s="269">
        <f t="shared" si="0"/>
        <v>26</v>
      </c>
      <c r="C10" s="261">
        <f>SUMIFS('Actual - 2026'!$K:$K,'Actual - 2026'!$C:$C,'MILA 2F - Avg Ck'!B10)</f>
        <v>657002.75</v>
      </c>
      <c r="D10" s="277">
        <f>SUMIFS('Actual - 2026'!$L:$L,'Actual - 2026'!$C:$C,'MILA 2F - Avg Ck'!B10)</f>
        <v>4179</v>
      </c>
      <c r="E10" s="260">
        <f t="shared" si="1"/>
        <v>157.21530270399617</v>
      </c>
      <c r="F10" s="260">
        <f>SUM(C8:C10)/SUM(D8:D10)</f>
        <v>155.91096886227544</v>
      </c>
      <c r="G10" s="270">
        <f t="shared" si="2"/>
        <v>-8.2964814447899129E-3</v>
      </c>
      <c r="H10" s="261">
        <f>SUMIFS('Budget - 2026'!$R:$R,'Budget - 2026'!$D:$D,'MILA 2F - Avg Ck'!B10)</f>
        <v>625184</v>
      </c>
      <c r="I10" s="277">
        <f>SUMIFS('Budget - 2026'!$S:$S,'Budget - 2026'!$D:$D,'MILA 2F - Avg Ck'!B10)</f>
        <v>4196</v>
      </c>
      <c r="J10" s="260">
        <f t="shared" ref="J10:J25" si="3">IFERROR(H10/I10,0)</f>
        <v>148.99523355576738</v>
      </c>
      <c r="L10" s="291" t="e">
        <f>SUMIFS(#REF!,#REF!,'MILA 2F - Avg Ck'!B10)</f>
        <v>#REF!</v>
      </c>
      <c r="M10" t="e">
        <f>SUMIFS(#REF!,#REF!,'MILA 2F - Avg Ck'!B10)</f>
        <v>#REF!</v>
      </c>
      <c r="N10" t="e">
        <f>SUMIFS(#REF!,#REF!,'MILA 2F - Avg Ck'!B10)</f>
        <v>#REF!</v>
      </c>
      <c r="O10" t="e">
        <f>SUMIFS(#REF!,#REF!,'MILA 2F - Avg Ck'!B10)</f>
        <v>#REF!</v>
      </c>
      <c r="P10" t="e">
        <f>SUMIFS(#REF!,#REF!,'MILA 2F - Avg Ck'!B10)</f>
        <v>#REF!</v>
      </c>
      <c r="Q10" t="e">
        <f>SUMIFS(#REF!,#REF!,'MILA 2F - Avg Ck'!B10)</f>
        <v>#REF!</v>
      </c>
    </row>
    <row r="11" spans="2:23" ht="14.45" customHeight="1" outlineLevel="1">
      <c r="B11" s="269">
        <f t="shared" si="0"/>
        <v>27</v>
      </c>
      <c r="C11" s="261">
        <f>SUMIFS('Actual - 2026'!$K:$K,'Actual - 2026'!$C:$C,'MILA 2F - Avg Ck'!B11)</f>
        <v>583369.5</v>
      </c>
      <c r="D11" s="277">
        <f>SUMIFS('Actual - 2026'!$L:$L,'Actual - 2026'!$C:$C,'MILA 2F - Avg Ck'!B11)</f>
        <v>3984</v>
      </c>
      <c r="E11" s="260">
        <f t="shared" si="1"/>
        <v>146.4280873493976</v>
      </c>
      <c r="F11" s="260">
        <f>SUM(C9:C11)/SUM(D9:D11)</f>
        <v>152.84790741041024</v>
      </c>
      <c r="G11" s="270">
        <f t="shared" si="2"/>
        <v>4.3842818527664487E-2</v>
      </c>
      <c r="H11" s="261">
        <f>SUMIFS('Budget - 2026'!$R:$R,'Budget - 2026'!$D:$D,'MILA 2F - Avg Ck'!B11)</f>
        <v>699345</v>
      </c>
      <c r="I11" s="277">
        <f>SUMIFS('Budget - 2026'!$S:$S,'Budget - 2026'!$D:$D,'MILA 2F - Avg Ck'!B11)</f>
        <v>4520</v>
      </c>
      <c r="J11" s="260">
        <f t="shared" si="3"/>
        <v>154.72234513274336</v>
      </c>
      <c r="L11" s="291" t="e">
        <f>SUMIFS(#REF!,#REF!,'MILA 2F - Avg Ck'!B11)</f>
        <v>#REF!</v>
      </c>
      <c r="M11" t="e">
        <f>SUMIFS(#REF!,#REF!,'MILA 2F - Avg Ck'!B11)</f>
        <v>#REF!</v>
      </c>
      <c r="N11" t="e">
        <f>SUMIFS(#REF!,#REF!,'MILA 2F - Avg Ck'!B11)</f>
        <v>#REF!</v>
      </c>
      <c r="O11" t="e">
        <f>SUMIFS(#REF!,#REF!,'MILA 2F - Avg Ck'!B11)</f>
        <v>#REF!</v>
      </c>
      <c r="P11" t="e">
        <f>SUMIFS(#REF!,#REF!,'MILA 2F - Avg Ck'!B11)</f>
        <v>#REF!</v>
      </c>
      <c r="Q11" t="e">
        <f>SUMIFS(#REF!,#REF!,'MILA 2F - Avg Ck'!B11)</f>
        <v>#REF!</v>
      </c>
    </row>
    <row r="12" spans="2:23" ht="14.45" customHeight="1" outlineLevel="1">
      <c r="B12" s="269">
        <f>B13-1</f>
        <v>28</v>
      </c>
      <c r="C12" s="261">
        <f>SUMIFS('Actual - 2026'!$K:$K,'Actual - 2026'!$C:$C,'MILA 2F - Avg Ck'!B12)</f>
        <v>648301.75</v>
      </c>
      <c r="D12" s="277">
        <f>SUMIFS('Actual - 2026'!$L:$L,'Actual - 2026'!$C:$C,'MILA 2F - Avg Ck'!B12)</f>
        <v>3734</v>
      </c>
      <c r="E12" s="260">
        <f t="shared" si="1"/>
        <v>173.62125066952331</v>
      </c>
      <c r="F12" s="260">
        <f t="shared" ref="F12:F25" si="4">SUM(C9:C12)/SUM(D9:D12)</f>
        <v>157.67536967886483</v>
      </c>
      <c r="G12" s="270">
        <f t="shared" si="2"/>
        <v>-9.184291052603015E-2</v>
      </c>
      <c r="H12" s="261">
        <f>SUMIFS('Budget - 2026'!$R:$R,'Budget - 2026'!$D:$D,'MILA 2F - Avg Ck'!B12)</f>
        <v>707036</v>
      </c>
      <c r="I12" s="277">
        <f>SUMIFS('Budget - 2026'!$S:$S,'Budget - 2026'!$D:$D,'MILA 2F - Avg Ck'!B12)</f>
        <v>4567</v>
      </c>
      <c r="J12" s="260">
        <f t="shared" si="3"/>
        <v>154.81410116049923</v>
      </c>
      <c r="L12" s="291" t="e">
        <f>SUMIFS(#REF!,#REF!,'MILA 2F - Avg Ck'!B12)</f>
        <v>#REF!</v>
      </c>
      <c r="M12" t="e">
        <f>SUMIFS(#REF!,#REF!,'MILA 2F - Avg Ck'!B12)</f>
        <v>#REF!</v>
      </c>
      <c r="N12" t="e">
        <f>SUMIFS(#REF!,#REF!,'MILA 2F - Avg Ck'!B12)</f>
        <v>#REF!</v>
      </c>
      <c r="O12" t="e">
        <f>SUMIFS(#REF!,#REF!,'MILA 2F - Avg Ck'!B12)</f>
        <v>#REF!</v>
      </c>
      <c r="P12" t="e">
        <f>SUMIFS(#REF!,#REF!,'MILA 2F - Avg Ck'!B12)</f>
        <v>#REF!</v>
      </c>
      <c r="Q12" t="e">
        <f>SUMIFS(#REF!,#REF!,'MILA 2F - Avg Ck'!B12)</f>
        <v>#REF!</v>
      </c>
    </row>
    <row r="13" spans="2:23">
      <c r="B13" s="269">
        <f t="shared" ref="B13:B23" si="5">B14-1</f>
        <v>29</v>
      </c>
      <c r="C13" s="261">
        <f>SUMIFS('Actual - 2026'!$K:$K,'Actual - 2026'!$C:$C,'MILA 2F - Avg Ck'!B13)</f>
        <v>541152.36</v>
      </c>
      <c r="D13" s="277">
        <f>SUMIFS('Actual - 2026'!$L:$L,'Actual - 2026'!$C:$C,'MILA 2F - Avg Ck'!B13)</f>
        <v>3733</v>
      </c>
      <c r="E13" s="290">
        <f t="shared" si="1"/>
        <v>144.96446825609428</v>
      </c>
      <c r="F13" s="260">
        <f t="shared" si="4"/>
        <v>155.45914011516314</v>
      </c>
      <c r="G13" s="200">
        <f t="shared" si="2"/>
        <v>7.2394787393894128E-2</v>
      </c>
      <c r="H13" s="261">
        <f>SUMIFS('Budget - 2026'!$R:$R,'Budget - 2026'!$D:$D,'MILA 2F - Avg Ck'!B13)</f>
        <v>575651</v>
      </c>
      <c r="I13" s="277">
        <f>SUMIFS('Budget - 2026'!$S:$S,'Budget - 2026'!$D:$D,'MILA 2F - Avg Ck'!B13)</f>
        <v>3988</v>
      </c>
      <c r="J13" s="260">
        <f t="shared" si="3"/>
        <v>144.34578736208627</v>
      </c>
      <c r="L13" s="291" t="e">
        <f>SUMIFS(#REF!,#REF!,'MILA 2F - Avg Ck'!B13)</f>
        <v>#REF!</v>
      </c>
      <c r="M13" t="e">
        <f>SUMIFS(#REF!,#REF!,'MILA 2F - Avg Ck'!B13)</f>
        <v>#REF!</v>
      </c>
      <c r="N13" t="e">
        <f>SUMIFS(#REF!,#REF!,'MILA 2F - Avg Ck'!B13)</f>
        <v>#REF!</v>
      </c>
      <c r="O13" t="e">
        <f>SUMIFS(#REF!,#REF!,'MILA 2F - Avg Ck'!B13)</f>
        <v>#REF!</v>
      </c>
      <c r="P13" t="e">
        <f>SUMIFS(#REF!,#REF!,'MILA 2F - Avg Ck'!B13)</f>
        <v>#REF!</v>
      </c>
      <c r="Q13" t="e">
        <f>SUMIFS(#REF!,#REF!,'MILA 2F - Avg Ck'!B13)</f>
        <v>#REF!</v>
      </c>
      <c r="T13" s="169"/>
    </row>
    <row r="14" spans="2:23">
      <c r="B14" s="269">
        <f t="shared" si="5"/>
        <v>30</v>
      </c>
      <c r="C14" s="261">
        <f>SUMIFS('Actual - 2026'!$K:$K,'Actual - 2026'!$C:$C,'MILA 2F - Avg Ck'!B14)</f>
        <v>533375</v>
      </c>
      <c r="D14" s="277">
        <f>SUMIFS('Actual - 2026'!$L:$L,'Actual - 2026'!$C:$C,'MILA 2F - Avg Ck'!B14)</f>
        <v>3810</v>
      </c>
      <c r="E14" s="290">
        <f t="shared" si="1"/>
        <v>139.99343832020998</v>
      </c>
      <c r="F14" s="260">
        <f t="shared" si="4"/>
        <v>151.11713583644584</v>
      </c>
      <c r="G14" s="200">
        <f t="shared" si="2"/>
        <v>7.9458706420170888E-2</v>
      </c>
      <c r="H14" s="261">
        <f>SUMIFS('Budget - 2026'!$R:$R,'Budget - 2026'!$D:$D,'MILA 2F - Avg Ck'!B14)</f>
        <v>509173</v>
      </c>
      <c r="I14" s="277">
        <f>SUMIFS('Budget - 2026'!$S:$S,'Budget - 2026'!$D:$D,'MILA 2F - Avg Ck'!B14)</f>
        <v>3534</v>
      </c>
      <c r="J14" s="260">
        <f t="shared" si="3"/>
        <v>144.07838143746463</v>
      </c>
      <c r="L14" s="291" t="e">
        <f>SUMIFS(#REF!,#REF!,'MILA 2F - Avg Ck'!B14)</f>
        <v>#REF!</v>
      </c>
      <c r="M14" t="e">
        <f>SUMIFS(#REF!,#REF!,'MILA 2F - Avg Ck'!B14)</f>
        <v>#REF!</v>
      </c>
      <c r="N14" t="e">
        <f>SUMIFS(#REF!,#REF!,'MILA 2F - Avg Ck'!B14)</f>
        <v>#REF!</v>
      </c>
      <c r="O14" t="e">
        <f>SUMIFS(#REF!,#REF!,'MILA 2F - Avg Ck'!B14)</f>
        <v>#REF!</v>
      </c>
      <c r="P14" t="e">
        <f>SUMIFS(#REF!,#REF!,'MILA 2F - Avg Ck'!B14)</f>
        <v>#REF!</v>
      </c>
      <c r="Q14" t="e">
        <f>SUMIFS(#REF!,#REF!,'MILA 2F - Avg Ck'!B14)</f>
        <v>#REF!</v>
      </c>
      <c r="T14" s="169"/>
    </row>
    <row r="15" spans="2:23">
      <c r="B15" s="269">
        <f t="shared" si="5"/>
        <v>31</v>
      </c>
      <c r="C15" s="261">
        <f>SUMIFS('Actual - 2026'!$K:$K,'Actual - 2026'!$C:$C,'MILA 2F - Avg Ck'!B15)</f>
        <v>499724.9</v>
      </c>
      <c r="D15" s="277">
        <f>SUMIFS('Actual - 2026'!$L:$L,'Actual - 2026'!$C:$C,'MILA 2F - Avg Ck'!B15)</f>
        <v>3631</v>
      </c>
      <c r="E15" s="290">
        <f t="shared" si="1"/>
        <v>137.62734783806116</v>
      </c>
      <c r="F15" s="260">
        <f t="shared" si="4"/>
        <v>149.08465320633215</v>
      </c>
      <c r="G15" s="200">
        <f t="shared" si="2"/>
        <v>8.3248755049412135E-2</v>
      </c>
      <c r="H15" s="261">
        <f>SUMIFS('Budget - 2026'!$R:$R,'Budget - 2026'!$D:$D,'MILA 2F - Avg Ck'!B15)</f>
        <v>474576</v>
      </c>
      <c r="I15" s="277">
        <f>SUMIFS('Budget - 2026'!$S:$S,'Budget - 2026'!$D:$D,'MILA 2F - Avg Ck'!B15)</f>
        <v>3416</v>
      </c>
      <c r="J15" s="260">
        <f t="shared" si="3"/>
        <v>138.92740046838406</v>
      </c>
      <c r="L15" s="291" t="e">
        <f>SUMIFS(#REF!,#REF!,'MILA 2F - Avg Ck'!B15)</f>
        <v>#REF!</v>
      </c>
      <c r="M15" t="e">
        <f>SUMIFS(#REF!,#REF!,'MILA 2F - Avg Ck'!B15)</f>
        <v>#REF!</v>
      </c>
      <c r="N15" t="e">
        <f>SUMIFS(#REF!,#REF!,'MILA 2F - Avg Ck'!B15)</f>
        <v>#REF!</v>
      </c>
      <c r="O15" t="e">
        <f>SUMIFS(#REF!,#REF!,'MILA 2F - Avg Ck'!B15)</f>
        <v>#REF!</v>
      </c>
      <c r="P15" t="e">
        <f>SUMIFS(#REF!,#REF!,'MILA 2F - Avg Ck'!B15)</f>
        <v>#REF!</v>
      </c>
      <c r="Q15" t="e">
        <f>SUMIFS(#REF!,#REF!,'MILA 2F - Avg Ck'!B15)</f>
        <v>#REF!</v>
      </c>
      <c r="T15" s="169"/>
    </row>
    <row r="16" spans="2:23">
      <c r="B16" s="269">
        <f t="shared" si="5"/>
        <v>32</v>
      </c>
      <c r="C16" s="261">
        <f>SUMIFS('Actual - 2026'!$K:$K,'Actual - 2026'!$C:$C,'MILA 2F - Avg Ck'!B16)</f>
        <v>526652</v>
      </c>
      <c r="D16" s="277">
        <f>SUMIFS('Actual - 2026'!$L:$L,'Actual - 2026'!$C:$C,'MILA 2F - Avg Ck'!B16)</f>
        <v>3850</v>
      </c>
      <c r="E16" s="290">
        <f t="shared" si="1"/>
        <v>136.79272727272726</v>
      </c>
      <c r="F16" s="260">
        <f t="shared" si="4"/>
        <v>139.83654552715655</v>
      </c>
      <c r="G16" s="200">
        <f t="shared" si="2"/>
        <v>2.2251316390240122E-2</v>
      </c>
      <c r="H16" s="261">
        <f>SUMIFS('Budget - 2026'!$R:$R,'Budget - 2026'!$D:$D,'MILA 2F - Avg Ck'!B16)</f>
        <v>466934</v>
      </c>
      <c r="I16" s="277">
        <f>SUMIFS('Budget - 2026'!$S:$S,'Budget - 2026'!$D:$D,'MILA 2F - Avg Ck'!B16)</f>
        <v>3351</v>
      </c>
      <c r="J16" s="260">
        <f t="shared" si="3"/>
        <v>139.34168904804537</v>
      </c>
      <c r="L16" s="291" t="e">
        <f>SUMIFS(#REF!,#REF!,'MILA 2F - Avg Ck'!B16)</f>
        <v>#REF!</v>
      </c>
      <c r="M16" t="e">
        <f>SUMIFS(#REF!,#REF!,'MILA 2F - Avg Ck'!B16)</f>
        <v>#REF!</v>
      </c>
      <c r="N16" t="e">
        <f>SUMIFS(#REF!,#REF!,'MILA 2F - Avg Ck'!B16)</f>
        <v>#REF!</v>
      </c>
      <c r="O16" t="e">
        <f>SUMIFS(#REF!,#REF!,'MILA 2F - Avg Ck'!B16)</f>
        <v>#REF!</v>
      </c>
      <c r="P16" t="e">
        <f>SUMIFS(#REF!,#REF!,'MILA 2F - Avg Ck'!B16)</f>
        <v>#REF!</v>
      </c>
      <c r="Q16" t="e">
        <f>SUMIFS(#REF!,#REF!,'MILA 2F - Avg Ck'!B16)</f>
        <v>#REF!</v>
      </c>
      <c r="T16" s="169"/>
    </row>
    <row r="17" spans="2:23">
      <c r="B17" s="269">
        <f t="shared" si="5"/>
        <v>33</v>
      </c>
      <c r="C17" s="261">
        <f>SUMIFS('Actual - 2026'!$K:$K,'Actual - 2026'!$C:$C,'MILA 2F - Avg Ck'!B17)</f>
        <v>525399.80000000005</v>
      </c>
      <c r="D17" s="277">
        <f>SUMIFS('Actual - 2026'!$L:$L,'Actual - 2026'!$C:$C,'MILA 2F - Avg Ck'!B17)</f>
        <v>3938</v>
      </c>
      <c r="E17" s="290">
        <f t="shared" si="1"/>
        <v>133.4179278821737</v>
      </c>
      <c r="F17" s="260">
        <f t="shared" si="4"/>
        <v>136.91980432070392</v>
      </c>
      <c r="G17" s="200">
        <f t="shared" si="2"/>
        <v>2.6247420373841018E-2</v>
      </c>
      <c r="H17" s="261">
        <f>SUMIFS('Budget - 2026'!$R:$R,'Budget - 2026'!$D:$D,'MILA 2F - Avg Ck'!B17)</f>
        <v>520635</v>
      </c>
      <c r="I17" s="277">
        <f>SUMIFS('Budget - 2026'!$S:$S,'Budget - 2026'!$D:$D,'MILA 2F - Avg Ck'!B17)</f>
        <v>3749</v>
      </c>
      <c r="J17" s="260">
        <f t="shared" si="3"/>
        <v>138.873032808749</v>
      </c>
      <c r="L17" s="291" t="e">
        <f>SUMIFS(#REF!,#REF!,'MILA 2F - Avg Ck'!B17)</f>
        <v>#REF!</v>
      </c>
      <c r="M17" t="e">
        <f>SUMIFS(#REF!,#REF!,'MILA 2F - Avg Ck'!B17)</f>
        <v>#REF!</v>
      </c>
      <c r="N17" t="e">
        <f>SUMIFS(#REF!,#REF!,'MILA 2F - Avg Ck'!B17)</f>
        <v>#REF!</v>
      </c>
      <c r="O17" t="e">
        <f>SUMIFS(#REF!,#REF!,'MILA 2F - Avg Ck'!B17)</f>
        <v>#REF!</v>
      </c>
      <c r="P17" t="e">
        <f>SUMIFS(#REF!,#REF!,'MILA 2F - Avg Ck'!B17)</f>
        <v>#REF!</v>
      </c>
      <c r="Q17" t="e">
        <f>SUMIFS(#REF!,#REF!,'MILA 2F - Avg Ck'!B17)</f>
        <v>#REF!</v>
      </c>
      <c r="T17" s="169"/>
    </row>
    <row r="18" spans="2:23">
      <c r="B18" s="269">
        <f t="shared" si="5"/>
        <v>34</v>
      </c>
      <c r="C18" s="261">
        <f>SUMIFS('Actual - 2026'!$K:$K,'Actual - 2026'!$C:$C,'MILA 2F - Avg Ck'!B18)</f>
        <v>537706</v>
      </c>
      <c r="D18" s="277">
        <f>SUMIFS('Actual - 2026'!$L:$L,'Actual - 2026'!$C:$C,'MILA 2F - Avg Ck'!B18)</f>
        <v>4050</v>
      </c>
      <c r="E18" s="290">
        <f t="shared" si="1"/>
        <v>132.76691358024692</v>
      </c>
      <c r="F18" s="260">
        <f t="shared" si="4"/>
        <v>135.07548645678455</v>
      </c>
      <c r="G18" s="200">
        <f t="shared" si="2"/>
        <v>1.7388164071030228E-2</v>
      </c>
      <c r="H18" s="261">
        <f>SUMIFS('Budget - 2026'!$R:$R,'Budget - 2026'!$D:$D,'MILA 2F - Avg Ck'!B18)</f>
        <v>471976</v>
      </c>
      <c r="I18" s="277">
        <f>SUMIFS('Budget - 2026'!$S:$S,'Budget - 2026'!$D:$D,'MILA 2F - Avg Ck'!B18)</f>
        <v>3386</v>
      </c>
      <c r="J18" s="260">
        <f t="shared" si="3"/>
        <v>139.39043118724157</v>
      </c>
      <c r="L18" s="291" t="e">
        <f>SUMIFS(#REF!,#REF!,'MILA 2F - Avg Ck'!B18)</f>
        <v>#REF!</v>
      </c>
      <c r="M18" t="e">
        <f>SUMIFS(#REF!,#REF!,'MILA 2F - Avg Ck'!B18)</f>
        <v>#REF!</v>
      </c>
      <c r="N18" t="e">
        <f>SUMIFS(#REF!,#REF!,'MILA 2F - Avg Ck'!B18)</f>
        <v>#REF!</v>
      </c>
      <c r="O18" t="e">
        <f>SUMIFS(#REF!,#REF!,'MILA 2F - Avg Ck'!B18)</f>
        <v>#REF!</v>
      </c>
      <c r="P18" t="e">
        <f>SUMIFS(#REF!,#REF!,'MILA 2F - Avg Ck'!B18)</f>
        <v>#REF!</v>
      </c>
      <c r="Q18" t="e">
        <f>SUMIFS(#REF!,#REF!,'MILA 2F - Avg Ck'!B18)</f>
        <v>#REF!</v>
      </c>
      <c r="T18" s="169"/>
    </row>
    <row r="19" spans="2:23">
      <c r="B19" s="269">
        <f t="shared" si="5"/>
        <v>35</v>
      </c>
      <c r="C19" s="261">
        <f>SUMIFS('Actual - 2026'!$K:$K,'Actual - 2026'!$C:$C,'MILA 2F - Avg Ck'!B19)</f>
        <v>0</v>
      </c>
      <c r="D19" s="277">
        <f>SUMIFS('Actual - 2026'!$L:$L,'Actual - 2026'!$C:$C,'MILA 2F - Avg Ck'!B19)</f>
        <v>0</v>
      </c>
      <c r="E19" s="290">
        <f t="shared" si="1"/>
        <v>0</v>
      </c>
      <c r="F19" s="260">
        <f t="shared" si="4"/>
        <v>134.29276904882582</v>
      </c>
      <c r="G19" s="200" t="e">
        <f t="shared" si="2"/>
        <v>#DIV/0!</v>
      </c>
      <c r="H19" s="261">
        <f>SUMIFS('Budget - 2026'!$R:$R,'Budget - 2026'!$D:$D,'MILA 2F - Avg Ck'!B19)</f>
        <v>552157</v>
      </c>
      <c r="I19" s="277">
        <f>SUMIFS('Budget - 2026'!$S:$S,'Budget - 2026'!$D:$D,'MILA 2F - Avg Ck'!B19)</f>
        <v>3790</v>
      </c>
      <c r="J19" s="260">
        <f t="shared" si="3"/>
        <v>145.68786279683377</v>
      </c>
      <c r="L19" s="291" t="e">
        <f>SUMIFS(#REF!,#REF!,'MILA 2F - Avg Ck'!B19)</f>
        <v>#REF!</v>
      </c>
      <c r="M19" t="e">
        <f>SUMIFS(#REF!,#REF!,'MILA 2F - Avg Ck'!B19)</f>
        <v>#REF!</v>
      </c>
      <c r="N19" t="e">
        <f>SUMIFS(#REF!,#REF!,'MILA 2F - Avg Ck'!B19)</f>
        <v>#REF!</v>
      </c>
      <c r="O19" t="e">
        <f>SUMIFS(#REF!,#REF!,'MILA 2F - Avg Ck'!B19)</f>
        <v>#REF!</v>
      </c>
      <c r="P19" t="e">
        <f>SUMIFS(#REF!,#REF!,'MILA 2F - Avg Ck'!B19)</f>
        <v>#REF!</v>
      </c>
      <c r="Q19" t="e">
        <f>SUMIFS(#REF!,#REF!,'MILA 2F - Avg Ck'!B19)</f>
        <v>#REF!</v>
      </c>
      <c r="T19" s="169"/>
    </row>
    <row r="20" spans="2:23">
      <c r="B20" s="269">
        <f t="shared" si="5"/>
        <v>36</v>
      </c>
      <c r="C20" s="261">
        <f>SUMIFS('Actual - 2026'!$K:$K,'Actual - 2026'!$C:$C,'MILA 2F - Avg Ck'!B20)</f>
        <v>0</v>
      </c>
      <c r="D20" s="277">
        <f>SUMIFS('Actual - 2026'!$L:$L,'Actual - 2026'!$C:$C,'MILA 2F - Avg Ck'!B20)</f>
        <v>0</v>
      </c>
      <c r="E20" s="290">
        <f t="shared" si="1"/>
        <v>0</v>
      </c>
      <c r="F20" s="260">
        <f t="shared" si="4"/>
        <v>133.08785678517776</v>
      </c>
      <c r="G20" s="200" t="e">
        <f t="shared" si="2"/>
        <v>#DIV/0!</v>
      </c>
      <c r="H20" s="261">
        <f>SUMIFS('Budget - 2026'!$R:$R,'Budget - 2026'!$D:$D,'MILA 2F - Avg Ck'!B20)</f>
        <v>435252</v>
      </c>
      <c r="I20" s="277">
        <f>SUMIFS('Budget - 2026'!$S:$S,'Budget - 2026'!$D:$D,'MILA 2F - Avg Ck'!B20)</f>
        <v>2940</v>
      </c>
      <c r="J20" s="260">
        <f t="shared" si="3"/>
        <v>148.04489795918369</v>
      </c>
      <c r="L20" s="291" t="e">
        <f>SUMIFS(#REF!,#REF!,'MILA 2F - Avg Ck'!B20)</f>
        <v>#REF!</v>
      </c>
      <c r="M20" t="e">
        <f>SUMIFS(#REF!,#REF!,'MILA 2F - Avg Ck'!B20)</f>
        <v>#REF!</v>
      </c>
      <c r="N20" t="e">
        <f>SUMIFS(#REF!,#REF!,'MILA 2F - Avg Ck'!B20)</f>
        <v>#REF!</v>
      </c>
      <c r="O20" t="e">
        <f>SUMIFS(#REF!,#REF!,'MILA 2F - Avg Ck'!B20)</f>
        <v>#REF!</v>
      </c>
      <c r="P20" t="e">
        <f>SUMIFS(#REF!,#REF!,'MILA 2F - Avg Ck'!B20)</f>
        <v>#REF!</v>
      </c>
      <c r="Q20" t="e">
        <f>SUMIFS(#REF!,#REF!,'MILA 2F - Avg Ck'!B20)</f>
        <v>#REF!</v>
      </c>
      <c r="T20" s="169"/>
    </row>
    <row r="21" spans="2:23">
      <c r="B21" s="269">
        <f t="shared" si="5"/>
        <v>37</v>
      </c>
      <c r="C21" s="261">
        <f>SUMIFS('Actual - 2026'!$K:$K,'Actual - 2026'!$C:$C,'MILA 2F - Avg Ck'!B21)</f>
        <v>0</v>
      </c>
      <c r="D21" s="277">
        <f>SUMIFS('Actual - 2026'!$L:$L,'Actual - 2026'!$C:$C,'MILA 2F - Avg Ck'!B21)</f>
        <v>0</v>
      </c>
      <c r="E21" s="290">
        <f t="shared" si="1"/>
        <v>0</v>
      </c>
      <c r="F21" s="260">
        <f t="shared" si="4"/>
        <v>132.76691358024692</v>
      </c>
      <c r="G21" s="200" t="e">
        <f t="shared" si="2"/>
        <v>#DIV/0!</v>
      </c>
      <c r="H21" s="261">
        <f>SUMIFS('Budget - 2026'!$R:$R,'Budget - 2026'!$D:$D,'MILA 2F - Avg Ck'!B21)</f>
        <v>495911</v>
      </c>
      <c r="I21" s="277">
        <f>SUMIFS('Budget - 2026'!$S:$S,'Budget - 2026'!$D:$D,'MILA 2F - Avg Ck'!B21)</f>
        <v>3377</v>
      </c>
      <c r="J21" s="260">
        <f t="shared" si="3"/>
        <v>146.84957062481493</v>
      </c>
      <c r="L21" s="291" t="e">
        <f>SUMIFS(#REF!,#REF!,'MILA 2F - Avg Ck'!B21)</f>
        <v>#REF!</v>
      </c>
      <c r="M21" t="e">
        <f>SUMIFS(#REF!,#REF!,'MILA 2F - Avg Ck'!B21)</f>
        <v>#REF!</v>
      </c>
      <c r="N21" t="e">
        <f>SUMIFS(#REF!,#REF!,'MILA 2F - Avg Ck'!B21)</f>
        <v>#REF!</v>
      </c>
      <c r="O21" t="e">
        <f>SUMIFS(#REF!,#REF!,'MILA 2F - Avg Ck'!B21)</f>
        <v>#REF!</v>
      </c>
      <c r="P21" t="e">
        <f>SUMIFS(#REF!,#REF!,'MILA 2F - Avg Ck'!B21)</f>
        <v>#REF!</v>
      </c>
      <c r="Q21" t="e">
        <f>SUMIFS(#REF!,#REF!,'MILA 2F - Avg Ck'!B21)</f>
        <v>#REF!</v>
      </c>
      <c r="T21" s="169"/>
    </row>
    <row r="22" spans="2:23">
      <c r="B22" s="269">
        <f t="shared" si="5"/>
        <v>38</v>
      </c>
      <c r="C22" s="261">
        <f>SUMIFS('Actual - 2026'!$K:$K,'Actual - 2026'!$C:$C,'MILA 2F - Avg Ck'!B22)</f>
        <v>0</v>
      </c>
      <c r="D22" s="277">
        <f>SUMIFS('Actual - 2026'!$L:$L,'Actual - 2026'!$C:$C,'MILA 2F - Avg Ck'!B22)</f>
        <v>0</v>
      </c>
      <c r="E22" s="290">
        <f t="shared" si="1"/>
        <v>0</v>
      </c>
      <c r="F22" s="260" t="e">
        <f t="shared" si="4"/>
        <v>#DIV/0!</v>
      </c>
      <c r="G22" s="200" t="e">
        <f t="shared" si="2"/>
        <v>#DIV/0!</v>
      </c>
      <c r="H22" s="261">
        <f>SUMIFS('Budget - 2026'!$R:$R,'Budget - 2026'!$D:$D,'MILA 2F - Avg Ck'!B22)</f>
        <v>500317</v>
      </c>
      <c r="I22" s="277">
        <f>SUMIFS('Budget - 2026'!$S:$S,'Budget - 2026'!$D:$D,'MILA 2F - Avg Ck'!B22)</f>
        <v>3375</v>
      </c>
      <c r="J22" s="260">
        <f t="shared" si="3"/>
        <v>148.24207407407408</v>
      </c>
      <c r="L22" s="291" t="e">
        <f>SUMIFS(#REF!,#REF!,'MILA 2F - Avg Ck'!B22)</f>
        <v>#REF!</v>
      </c>
      <c r="M22" t="e">
        <f>SUMIFS(#REF!,#REF!,'MILA 2F - Avg Ck'!B22)</f>
        <v>#REF!</v>
      </c>
      <c r="N22" t="e">
        <f>SUMIFS(#REF!,#REF!,'MILA 2F - Avg Ck'!B22)</f>
        <v>#REF!</v>
      </c>
      <c r="O22" t="e">
        <f>SUMIFS(#REF!,#REF!,'MILA 2F - Avg Ck'!B22)</f>
        <v>#REF!</v>
      </c>
      <c r="P22" t="e">
        <f>SUMIFS(#REF!,#REF!,'MILA 2F - Avg Ck'!B22)</f>
        <v>#REF!</v>
      </c>
      <c r="Q22" t="e">
        <f>SUMIFS(#REF!,#REF!,'MILA 2F - Avg Ck'!B22)</f>
        <v>#REF!</v>
      </c>
      <c r="T22" s="169"/>
    </row>
    <row r="23" spans="2:23">
      <c r="B23" s="269">
        <f t="shared" si="5"/>
        <v>39</v>
      </c>
      <c r="C23" s="261">
        <f>SUMIFS('Actual - 2026'!$K:$K,'Actual - 2026'!$C:$C,'MILA 2F - Avg Ck'!B23)</f>
        <v>0</v>
      </c>
      <c r="D23" s="277">
        <f>SUMIFS('Actual - 2026'!$L:$L,'Actual - 2026'!$C:$C,'MILA 2F - Avg Ck'!B23)</f>
        <v>0</v>
      </c>
      <c r="E23" s="290">
        <f t="shared" si="1"/>
        <v>0</v>
      </c>
      <c r="F23" s="260" t="e">
        <f t="shared" si="4"/>
        <v>#DIV/0!</v>
      </c>
      <c r="G23" s="200" t="e">
        <f t="shared" si="2"/>
        <v>#DIV/0!</v>
      </c>
      <c r="H23" s="261">
        <f>SUMIFS('Budget - 2026'!$R:$R,'Budget - 2026'!$D:$D,'MILA 2F - Avg Ck'!B23)</f>
        <v>514288</v>
      </c>
      <c r="I23" s="277">
        <f>SUMIFS('Budget - 2026'!$S:$S,'Budget - 2026'!$D:$D,'MILA 2F - Avg Ck'!B23)</f>
        <v>3480</v>
      </c>
      <c r="J23" s="260">
        <f t="shared" si="3"/>
        <v>147.783908045977</v>
      </c>
      <c r="L23" s="291" t="e">
        <f>SUMIFS(#REF!,#REF!,'MILA 2F - Avg Ck'!B23)</f>
        <v>#REF!</v>
      </c>
      <c r="M23" t="e">
        <f>SUMIFS(#REF!,#REF!,'MILA 2F - Avg Ck'!B23)</f>
        <v>#REF!</v>
      </c>
      <c r="N23" t="e">
        <f>SUMIFS(#REF!,#REF!,'MILA 2F - Avg Ck'!B23)</f>
        <v>#REF!</v>
      </c>
      <c r="O23" t="e">
        <f>SUMIFS(#REF!,#REF!,'MILA 2F - Avg Ck'!B23)</f>
        <v>#REF!</v>
      </c>
      <c r="P23" t="e">
        <f>SUMIFS(#REF!,#REF!,'MILA 2F - Avg Ck'!B23)</f>
        <v>#REF!</v>
      </c>
      <c r="Q23" t="e">
        <f>SUMIFS(#REF!,#REF!,'MILA 2F - Avg Ck'!B23)</f>
        <v>#REF!</v>
      </c>
      <c r="T23" s="169"/>
    </row>
    <row r="24" spans="2:23">
      <c r="B24" s="269">
        <f>B25-1</f>
        <v>40</v>
      </c>
      <c r="C24" s="261">
        <f>SUMIFS('Actual - 2026'!$K:$K,'Actual - 2026'!$C:$C,'MILA 2F - Avg Ck'!B24)</f>
        <v>0</v>
      </c>
      <c r="D24" s="277">
        <f>SUMIFS('Actual - 2026'!$L:$L,'Actual - 2026'!$C:$C,'MILA 2F - Avg Ck'!B24)</f>
        <v>0</v>
      </c>
      <c r="E24" s="290">
        <f t="shared" si="1"/>
        <v>0</v>
      </c>
      <c r="F24" s="260" t="e">
        <f t="shared" si="4"/>
        <v>#DIV/0!</v>
      </c>
      <c r="G24" s="200" t="e">
        <f t="shared" si="2"/>
        <v>#DIV/0!</v>
      </c>
      <c r="H24" s="261">
        <f>SUMIFS('Budget - 2026'!$R:$R,'Budget - 2026'!$D:$D,'MILA 2F - Avg Ck'!B24)</f>
        <v>459903</v>
      </c>
      <c r="I24" s="277">
        <f>SUMIFS('Budget - 2026'!$S:$S,'Budget - 2026'!$D:$D,'MILA 2F - Avg Ck'!B24)</f>
        <v>2915</v>
      </c>
      <c r="J24" s="260">
        <f t="shared" si="3"/>
        <v>157.7711835334477</v>
      </c>
      <c r="L24" s="291" t="e">
        <f>SUMIFS(#REF!,#REF!,'MILA 2F - Avg Ck'!B24)</f>
        <v>#REF!</v>
      </c>
      <c r="M24" s="293" t="e">
        <f>SUMIFS(#REF!,#REF!,'MILA 2F - Avg Ck'!B24)</f>
        <v>#REF!</v>
      </c>
      <c r="N24" s="293" t="e">
        <f>SUMIFS(#REF!,#REF!,'MILA 2F - Avg Ck'!B24)</f>
        <v>#REF!</v>
      </c>
      <c r="O24" t="e">
        <f>SUMIFS(#REF!,#REF!,'MILA 2F - Avg Ck'!B24)</f>
        <v>#REF!</v>
      </c>
      <c r="P24" t="e">
        <f>SUMIFS(#REF!,#REF!,'MILA 2F - Avg Ck'!B24)</f>
        <v>#REF!</v>
      </c>
      <c r="Q24" t="e">
        <f>SUMIFS(#REF!,#REF!,'MILA 2F - Avg Ck'!B24)</f>
        <v>#REF!</v>
      </c>
      <c r="T24" s="169"/>
    </row>
    <row r="25" spans="2:23">
      <c r="B25" s="259">
        <v>41</v>
      </c>
      <c r="C25" s="261">
        <f>SUMIFS('Actual - 2026'!$K:$K,'Actual - 2026'!$C:$C,'MILA 2F - Avg Ck'!B25)</f>
        <v>0</v>
      </c>
      <c r="D25" s="277">
        <f>SUMIFS('Actual - 2026'!$L:$L,'Actual - 2026'!$C:$C,'MILA 2F - Avg Ck'!B25)</f>
        <v>0</v>
      </c>
      <c r="E25" s="290">
        <f>IFERROR(C25/D25,0)</f>
        <v>0</v>
      </c>
      <c r="F25" s="260" t="e">
        <f t="shared" si="4"/>
        <v>#DIV/0!</v>
      </c>
      <c r="G25" s="200" t="e">
        <f t="shared" si="2"/>
        <v>#DIV/0!</v>
      </c>
      <c r="H25" s="261">
        <f>SUMIFS('Budget - 2026'!$R:$R,'Budget - 2026'!$D:$D,'MILA 2F - Avg Ck'!B25)</f>
        <v>566071</v>
      </c>
      <c r="I25" s="277">
        <f>SUMIFS('Budget - 2026'!$S:$S,'Budget - 2026'!$D:$D,'MILA 2F - Avg Ck'!B25)</f>
        <v>3600</v>
      </c>
      <c r="J25" s="260">
        <f t="shared" si="3"/>
        <v>157.24194444444444</v>
      </c>
      <c r="K25" s="273"/>
      <c r="L25" s="291" t="e">
        <f>SUMIFS(#REF!,#REF!,'MILA 2F - Avg Ck'!B25)</f>
        <v>#REF!</v>
      </c>
      <c r="M25" s="293" t="e">
        <f>SUMIFS(#REF!,#REF!,'MILA 2F - Avg Ck'!B25)</f>
        <v>#REF!</v>
      </c>
      <c r="N25" s="293" t="e">
        <f>SUMIFS(#REF!,#REF!,'MILA 2F - Avg Ck'!B25)</f>
        <v>#REF!</v>
      </c>
      <c r="O25" t="e">
        <f>SUMIFS(#REF!,#REF!,'MILA 2F - Avg Ck'!B25)</f>
        <v>#REF!</v>
      </c>
      <c r="P25" t="e">
        <f>SUMIFS(#REF!,#REF!,'MILA 2F - Avg Ck'!B25)</f>
        <v>#REF!</v>
      </c>
      <c r="Q25" t="e">
        <f>SUMIFS(#REF!,#REF!,'MILA 2F - Avg Ck'!B25)</f>
        <v>#REF!</v>
      </c>
      <c r="T25" s="169"/>
    </row>
    <row r="26" spans="2:23">
      <c r="E26" s="260"/>
      <c r="F26" s="260"/>
      <c r="G26" s="260"/>
      <c r="J26" s="260"/>
      <c r="K26" s="273"/>
    </row>
    <row r="27" spans="2:23" ht="21">
      <c r="B27" s="421" t="s">
        <v>207</v>
      </c>
      <c r="C27" s="421"/>
      <c r="D27" s="421"/>
      <c r="E27" s="421"/>
      <c r="F27" s="421"/>
      <c r="G27" s="421"/>
      <c r="H27" s="421"/>
      <c r="I27" s="421"/>
      <c r="J27" s="421"/>
    </row>
    <row r="28" spans="2:23">
      <c r="B28" s="272"/>
      <c r="C28" s="272"/>
      <c r="D28" s="274"/>
      <c r="E28" s="272"/>
      <c r="F28" s="272"/>
      <c r="G28" s="272"/>
      <c r="H28" s="272"/>
      <c r="I28" s="274"/>
      <c r="J28" s="272"/>
    </row>
    <row r="29" spans="2:23" s="285" customFormat="1">
      <c r="B29" s="281" t="s">
        <v>9</v>
      </c>
      <c r="C29" s="282" t="str">
        <f>C7</f>
        <v>Sales</v>
      </c>
      <c r="D29" s="282" t="str">
        <f>D7</f>
        <v>Covers</v>
      </c>
      <c r="E29" s="281" t="s">
        <v>218</v>
      </c>
      <c r="F29" s="283" t="s">
        <v>219</v>
      </c>
      <c r="G29" s="281" t="s">
        <v>220</v>
      </c>
      <c r="H29" s="282" t="str">
        <f>H7</f>
        <v>Sales</v>
      </c>
      <c r="I29" s="282" t="str">
        <f>I7</f>
        <v>LY Covers</v>
      </c>
      <c r="J29" s="282" t="str">
        <f>J7</f>
        <v>LY Avg Check</v>
      </c>
      <c r="L29" s="284" t="s">
        <v>223</v>
      </c>
      <c r="M29" s="284" t="s">
        <v>224</v>
      </c>
      <c r="N29" s="284" t="s">
        <v>225</v>
      </c>
      <c r="O29" s="284" t="s">
        <v>223</v>
      </c>
      <c r="P29" s="284" t="s">
        <v>224</v>
      </c>
      <c r="Q29" s="284" t="s">
        <v>225</v>
      </c>
      <c r="R29" s="284" t="s">
        <v>226</v>
      </c>
      <c r="S29" s="284" t="s">
        <v>227</v>
      </c>
      <c r="T29" s="284" t="s">
        <v>228</v>
      </c>
      <c r="U29" s="284" t="s">
        <v>226</v>
      </c>
      <c r="V29" s="284" t="s">
        <v>227</v>
      </c>
      <c r="W29" s="284" t="s">
        <v>228</v>
      </c>
    </row>
    <row r="30" spans="2:23">
      <c r="B30" s="267"/>
      <c r="C30" s="267"/>
      <c r="D30" s="276"/>
      <c r="E30" s="267"/>
      <c r="F30" s="271"/>
      <c r="G30" s="267"/>
      <c r="H30" s="267"/>
      <c r="I30" s="276"/>
      <c r="J30" s="271"/>
      <c r="L30" s="423" t="s">
        <v>71</v>
      </c>
      <c r="M30" s="423"/>
      <c r="N30" s="423"/>
      <c r="O30" s="423" t="s">
        <v>63</v>
      </c>
      <c r="P30" s="423"/>
      <c r="Q30" s="423"/>
      <c r="R30" s="423" t="s">
        <v>71</v>
      </c>
      <c r="S30" s="423"/>
      <c r="T30" s="423"/>
      <c r="U30" s="423" t="s">
        <v>63</v>
      </c>
      <c r="V30" s="423"/>
      <c r="W30" s="423"/>
    </row>
    <row r="31" spans="2:23" ht="14.45" customHeight="1" outlineLevel="1">
      <c r="B31" s="269">
        <f t="shared" ref="B31:B47" si="6">B9</f>
        <v>25</v>
      </c>
      <c r="C31">
        <f>SUMIFS('Actual - 2026'!$W:$W,'Actual - 2026'!$C:$C,'MILA 2F - Avg Ck'!B9)</f>
        <v>219792.4</v>
      </c>
      <c r="D31" s="278">
        <f>SUMIFS('Actual - 2026'!$X:$X,'Actual - 2026'!$C:$C,'MILA 2F - Avg Ck'!B9)</f>
        <v>839</v>
      </c>
      <c r="E31" s="260">
        <f t="shared" ref="E31:E47" si="7">IFERROR(C31/D31,0)</f>
        <v>261.9694874851013</v>
      </c>
      <c r="F31" s="260">
        <f t="shared" ref="F31:F47" si="8">SUM(C28:C31)/SUM(D28:D31)</f>
        <v>261.9694874851013</v>
      </c>
      <c r="G31" s="270">
        <f t="shared" ref="G31:G47" si="9">(F31-E31)/E31</f>
        <v>0</v>
      </c>
      <c r="H31">
        <f>SUMIFS('Budget - 2026'!$AS:$AS,'Budget - 2026'!$D:$D,'MILA 2F - Avg Ck'!B31)</f>
        <v>275660</v>
      </c>
      <c r="I31" s="278">
        <f>SUMIFS('Budget - 2026'!$AT:$AT,'Budget - 2026'!$D:$D,'MILA 2F - Avg Ck'!B31)</f>
        <v>1004</v>
      </c>
      <c r="J31" s="260">
        <f t="shared" ref="J31:J47" si="10">IFERROR(H31/I31,0)</f>
        <v>274.56175298804783</v>
      </c>
      <c r="L31" s="291" t="e">
        <f>SUMIFS(#REF!,#REF!,'MILA 2F - Avg Ck'!B31)</f>
        <v>#REF!</v>
      </c>
      <c r="M31" s="260" t="e">
        <f>SUMIFS(#REF!,#REF!,'MILA 2F - Avg Ck'!B31)</f>
        <v>#REF!</v>
      </c>
      <c r="N31" s="260" t="e">
        <f>SUMIFS(#REF!,#REF!,'MILA 2F - Avg Ck'!B31)</f>
        <v>#REF!</v>
      </c>
      <c r="O31" s="263" t="e">
        <f>SUMIFS(#REF!,#REF!,'MILA 2F - Avg Ck'!B31)</f>
        <v>#REF!</v>
      </c>
      <c r="P31" s="263" t="e">
        <f>SUMIFS(#REF!,#REF!,'MILA 2F - Avg Ck'!B31)</f>
        <v>#REF!</v>
      </c>
      <c r="Q31" s="263" t="e">
        <f>SUMIFS(#REF!,#REF!,'MILA 2F - Avg Ck'!B31)</f>
        <v>#REF!</v>
      </c>
    </row>
    <row r="32" spans="2:23" ht="14.45" customHeight="1" outlineLevel="1">
      <c r="B32" s="269">
        <f t="shared" si="6"/>
        <v>26</v>
      </c>
      <c r="C32">
        <f>SUMIFS('Actual - 2026'!$W:$W,'Actual - 2026'!$C:$C,'MILA 2F - Avg Ck'!B10)</f>
        <v>323459.28000000003</v>
      </c>
      <c r="D32" s="278">
        <f>SUMIFS('Actual - 2026'!$X:$X,'Actual - 2026'!$C:$C,'MILA 2F - Avg Ck'!B10)</f>
        <v>1105</v>
      </c>
      <c r="E32" s="260">
        <f t="shared" si="7"/>
        <v>292.72333031674208</v>
      </c>
      <c r="F32" s="260">
        <f t="shared" si="8"/>
        <v>279.45045267489712</v>
      </c>
      <c r="G32" s="270">
        <f t="shared" si="9"/>
        <v>-4.5342739259911412E-2</v>
      </c>
      <c r="H32">
        <f>SUMIFS('Budget - 2026'!$AS:$AS,'Budget - 2026'!$D:$D,'MILA 2F - Avg Ck'!B32)</f>
        <v>209711</v>
      </c>
      <c r="I32" s="278">
        <f>SUMIFS('Budget - 2026'!$AT:$AT,'Budget - 2026'!$D:$D,'MILA 2F - Avg Ck'!B32)</f>
        <v>1035</v>
      </c>
      <c r="J32" s="260">
        <f t="shared" si="10"/>
        <v>202.6193236714976</v>
      </c>
      <c r="L32" s="291" t="e">
        <f>SUMIFS(#REF!,#REF!,'MILA 2F - Avg Ck'!B32)</f>
        <v>#REF!</v>
      </c>
      <c r="M32" s="260" t="e">
        <f>SUMIFS(#REF!,#REF!,'MILA 2F - Avg Ck'!B32)</f>
        <v>#REF!</v>
      </c>
      <c r="N32" s="260" t="e">
        <f>SUMIFS(#REF!,#REF!,'MILA 2F - Avg Ck'!B32)</f>
        <v>#REF!</v>
      </c>
      <c r="O32" s="263" t="e">
        <f>SUMIFS(#REF!,#REF!,'MILA 2F - Avg Ck'!B32)</f>
        <v>#REF!</v>
      </c>
      <c r="P32" s="263" t="e">
        <f>SUMIFS(#REF!,#REF!,'MILA 2F - Avg Ck'!B32)</f>
        <v>#REF!</v>
      </c>
      <c r="Q32" s="263" t="e">
        <f>SUMIFS(#REF!,#REF!,'MILA 2F - Avg Ck'!B32)</f>
        <v>#REF!</v>
      </c>
      <c r="R32" s="262"/>
      <c r="S32" s="262"/>
      <c r="T32" s="262"/>
    </row>
    <row r="33" spans="2:20" ht="14.45" customHeight="1" outlineLevel="1">
      <c r="B33" s="269">
        <f t="shared" si="6"/>
        <v>27</v>
      </c>
      <c r="C33">
        <f>SUMIFS('Actual - 2026'!$W:$W,'Actual - 2026'!$C:$C,'MILA 2F - Avg Ck'!B11)</f>
        <v>205993.04</v>
      </c>
      <c r="D33" s="278">
        <f>SUMIFS('Actual - 2026'!$X:$X,'Actual - 2026'!$C:$C,'MILA 2F - Avg Ck'!B11)</f>
        <v>922</v>
      </c>
      <c r="E33" s="260">
        <f t="shared" si="7"/>
        <v>223.41978308026032</v>
      </c>
      <c r="F33" s="260">
        <f t="shared" si="8"/>
        <v>261.42523377529659</v>
      </c>
      <c r="G33" s="270">
        <f t="shared" si="9"/>
        <v>0.17010781306408918</v>
      </c>
      <c r="H33">
        <f>SUMIFS('Budget - 2026'!$AS:$AS,'Budget - 2026'!$D:$D,'MILA 2F - Avg Ck'!B33)</f>
        <v>184809.87</v>
      </c>
      <c r="I33" s="278">
        <f>SUMIFS('Budget - 2026'!$AT:$AT,'Budget - 2026'!$D:$D,'MILA 2F - Avg Ck'!B33)</f>
        <v>776</v>
      </c>
      <c r="J33" s="260">
        <f t="shared" si="10"/>
        <v>238.15704896907215</v>
      </c>
      <c r="L33" s="291" t="e">
        <f>SUMIFS(#REF!,#REF!,'MILA 2F - Avg Ck'!B33)</f>
        <v>#REF!</v>
      </c>
      <c r="M33" s="260" t="e">
        <f>SUMIFS(#REF!,#REF!,'MILA 2F - Avg Ck'!B33)</f>
        <v>#REF!</v>
      </c>
      <c r="N33" s="260" t="e">
        <f>SUMIFS(#REF!,#REF!,'MILA 2F - Avg Ck'!B33)</f>
        <v>#REF!</v>
      </c>
      <c r="O33" s="263" t="e">
        <f>SUMIFS(#REF!,#REF!,'MILA 2F - Avg Ck'!B33)</f>
        <v>#REF!</v>
      </c>
      <c r="P33" s="263" t="e">
        <f>SUMIFS(#REF!,#REF!,'MILA 2F - Avg Ck'!B33)</f>
        <v>#REF!</v>
      </c>
      <c r="Q33" s="263" t="e">
        <f>SUMIFS(#REF!,#REF!,'MILA 2F - Avg Ck'!B33)</f>
        <v>#REF!</v>
      </c>
      <c r="R33" s="263"/>
      <c r="S33" s="263"/>
      <c r="T33" s="263"/>
    </row>
    <row r="34" spans="2:20" ht="14.45" customHeight="1" outlineLevel="1">
      <c r="B34" s="269">
        <f t="shared" si="6"/>
        <v>28</v>
      </c>
      <c r="C34">
        <f>SUMIFS('Actual - 2026'!$W:$W,'Actual - 2026'!$C:$C,'MILA 2F - Avg Ck'!B12)</f>
        <v>338281.25</v>
      </c>
      <c r="D34" s="278">
        <f>SUMIFS('Actual - 2026'!$X:$X,'Actual - 2026'!$C:$C,'MILA 2F - Avg Ck'!B12)</f>
        <v>1085</v>
      </c>
      <c r="E34" s="260">
        <f t="shared" si="7"/>
        <v>311.7799539170507</v>
      </c>
      <c r="F34" s="260">
        <f t="shared" si="8"/>
        <v>275.25334598835741</v>
      </c>
      <c r="G34" s="270">
        <f t="shared" si="9"/>
        <v>-0.11715508797082967</v>
      </c>
      <c r="H34">
        <f>SUMIFS('Budget - 2026'!$AS:$AS,'Budget - 2026'!$D:$D,'MILA 2F - Avg Ck'!B34)</f>
        <v>201178.43999999997</v>
      </c>
      <c r="I34" s="278">
        <f>SUMIFS('Budget - 2026'!$AT:$AT,'Budget - 2026'!$D:$D,'MILA 2F - Avg Ck'!B34)</f>
        <v>788</v>
      </c>
      <c r="J34" s="260">
        <f t="shared" si="10"/>
        <v>255.30258883248729</v>
      </c>
      <c r="L34" s="291" t="e">
        <f>SUMIFS(#REF!,#REF!,'MILA 2F - Avg Ck'!B34)</f>
        <v>#REF!</v>
      </c>
      <c r="M34" s="260" t="e">
        <f>SUMIFS(#REF!,#REF!,'MILA 2F - Avg Ck'!B34)</f>
        <v>#REF!</v>
      </c>
      <c r="N34" s="260" t="e">
        <f>SUMIFS(#REF!,#REF!,'MILA 2F - Avg Ck'!B34)</f>
        <v>#REF!</v>
      </c>
      <c r="O34" s="263" t="e">
        <f>SUMIFS(#REF!,#REF!,'MILA 2F - Avg Ck'!B34)</f>
        <v>#REF!</v>
      </c>
      <c r="P34" s="263" t="e">
        <f>SUMIFS(#REF!,#REF!,'MILA 2F - Avg Ck'!B34)</f>
        <v>#REF!</v>
      </c>
      <c r="Q34" s="263" t="e">
        <f>SUMIFS(#REF!,#REF!,'MILA 2F - Avg Ck'!B34)</f>
        <v>#REF!</v>
      </c>
      <c r="R34" s="263"/>
      <c r="S34" s="263"/>
      <c r="T34" s="263"/>
    </row>
    <row r="35" spans="2:20">
      <c r="B35" s="269">
        <f t="shared" si="6"/>
        <v>29</v>
      </c>
      <c r="C35">
        <f>SUMIFS('Actual - 2026'!$W:$W,'Actual - 2026'!$C:$C,'MILA 2F - Avg Ck'!B13)</f>
        <v>233056.01</v>
      </c>
      <c r="D35" s="278">
        <f>SUMIFS('Actual - 2026'!$X:$X,'Actual - 2026'!$C:$C,'MILA 2F - Avg Ck'!B13)</f>
        <v>1002</v>
      </c>
      <c r="E35" s="290">
        <f t="shared" si="7"/>
        <v>232.59082834331338</v>
      </c>
      <c r="F35" s="260">
        <f t="shared" si="8"/>
        <v>267.57160427807486</v>
      </c>
      <c r="G35" s="200">
        <f t="shared" si="9"/>
        <v>0.15039619654790712</v>
      </c>
      <c r="H35">
        <f>SUMIFS('Budget - 2026'!$AS:$AS,'Budget - 2026'!$D:$D,'MILA 2F - Avg Ck'!B35)</f>
        <v>192750.13</v>
      </c>
      <c r="I35" s="278">
        <f>SUMIFS('Budget - 2026'!$AT:$AT,'Budget - 2026'!$D:$D,'MILA 2F - Avg Ck'!B35)</f>
        <v>909</v>
      </c>
      <c r="J35" s="260">
        <f t="shared" si="10"/>
        <v>212.04634763476349</v>
      </c>
      <c r="L35" s="291" t="e">
        <f>SUMIFS(#REF!,#REF!,'MILA 2F - Avg Ck'!B35)</f>
        <v>#REF!</v>
      </c>
      <c r="M35" s="260" t="e">
        <f>SUMIFS(#REF!,#REF!,'MILA 2F - Avg Ck'!B35)</f>
        <v>#REF!</v>
      </c>
      <c r="N35" s="260" t="e">
        <f>SUMIFS(#REF!,#REF!,'MILA 2F - Avg Ck'!B35)</f>
        <v>#REF!</v>
      </c>
      <c r="O35" s="263" t="e">
        <f>SUMIFS(#REF!,#REF!,'MILA 2F - Avg Ck'!B35)</f>
        <v>#REF!</v>
      </c>
      <c r="P35" s="263" t="e">
        <f>SUMIFS(#REF!,#REF!,'MILA 2F - Avg Ck'!B35)</f>
        <v>#REF!</v>
      </c>
      <c r="Q35" s="263" t="e">
        <f>SUMIFS(#REF!,#REF!,'MILA 2F - Avg Ck'!B35)</f>
        <v>#REF!</v>
      </c>
      <c r="R35" s="263"/>
      <c r="S35" s="263"/>
      <c r="T35" s="263"/>
    </row>
    <row r="36" spans="2:20">
      <c r="B36" s="269">
        <f t="shared" si="6"/>
        <v>30</v>
      </c>
      <c r="C36">
        <f>SUMIFS('Actual - 2026'!$W:$W,'Actual - 2026'!$C:$C,'MILA 2F - Avg Ck'!B14)</f>
        <v>243731.4</v>
      </c>
      <c r="D36" s="278">
        <f>SUMIFS('Actual - 2026'!$X:$X,'Actual - 2026'!$C:$C,'MILA 2F - Avg Ck'!B14)</f>
        <v>981</v>
      </c>
      <c r="E36" s="290">
        <f t="shared" si="7"/>
        <v>248.45198776758409</v>
      </c>
      <c r="F36" s="260">
        <f t="shared" si="8"/>
        <v>255.90518796992484</v>
      </c>
      <c r="G36" s="200">
        <f t="shared" si="9"/>
        <v>2.9998553319335462E-2</v>
      </c>
      <c r="H36">
        <f>SUMIFS('Budget - 2026'!$AS:$AS,'Budget - 2026'!$D:$D,'MILA 2F - Avg Ck'!B36)</f>
        <v>234800.15</v>
      </c>
      <c r="I36" s="278">
        <f>SUMIFS('Budget - 2026'!$AT:$AT,'Budget - 2026'!$D:$D,'MILA 2F - Avg Ck'!B36)</f>
        <v>993</v>
      </c>
      <c r="J36" s="260">
        <f t="shared" si="10"/>
        <v>236.4553373615307</v>
      </c>
      <c r="L36" s="291" t="e">
        <f>SUMIFS(#REF!,#REF!,'MILA 2F - Avg Ck'!B36)</f>
        <v>#REF!</v>
      </c>
      <c r="M36" s="260" t="e">
        <f>SUMIFS(#REF!,#REF!,'MILA 2F - Avg Ck'!B36)</f>
        <v>#REF!</v>
      </c>
      <c r="N36" s="260" t="e">
        <f>SUMIFS(#REF!,#REF!,'MILA 2F - Avg Ck'!B36)</f>
        <v>#REF!</v>
      </c>
      <c r="O36" s="263" t="e">
        <f>SUMIFS(#REF!,#REF!,'MILA 2F - Avg Ck'!B36)</f>
        <v>#REF!</v>
      </c>
      <c r="P36" s="263" t="e">
        <f>SUMIFS(#REF!,#REF!,'MILA 2F - Avg Ck'!B36)</f>
        <v>#REF!</v>
      </c>
      <c r="Q36" s="263" t="e">
        <f>SUMIFS(#REF!,#REF!,'MILA 2F - Avg Ck'!B36)</f>
        <v>#REF!</v>
      </c>
      <c r="R36" s="263"/>
      <c r="S36" s="263"/>
      <c r="T36" s="263"/>
    </row>
    <row r="37" spans="2:20">
      <c r="B37" s="269">
        <f t="shared" si="6"/>
        <v>31</v>
      </c>
      <c r="C37">
        <f>SUMIFS('Actual - 2026'!$W:$W,'Actual - 2026'!$C:$C,'MILA 2F - Avg Ck'!B15)</f>
        <v>174126</v>
      </c>
      <c r="D37" s="278">
        <f>SUMIFS('Actual - 2026'!$X:$X,'Actual - 2026'!$C:$C,'MILA 2F - Avg Ck'!B15)</f>
        <v>771</v>
      </c>
      <c r="E37" s="290">
        <f t="shared" si="7"/>
        <v>225.8443579766537</v>
      </c>
      <c r="F37" s="260">
        <f t="shared" si="8"/>
        <v>257.66987757228446</v>
      </c>
      <c r="G37" s="200">
        <f t="shared" si="9"/>
        <v>0.14091793074113756</v>
      </c>
      <c r="H37">
        <f>SUMIFS('Budget - 2026'!$AS:$AS,'Budget - 2026'!$D:$D,'MILA 2F - Avg Ck'!B37)</f>
        <v>241708.19</v>
      </c>
      <c r="I37" s="278">
        <f>SUMIFS('Budget - 2026'!$AT:$AT,'Budget - 2026'!$D:$D,'MILA 2F - Avg Ck'!B37)</f>
        <v>906</v>
      </c>
      <c r="J37" s="260">
        <f t="shared" si="10"/>
        <v>266.7860816777042</v>
      </c>
      <c r="L37" s="291" t="e">
        <f>SUMIFS(#REF!,#REF!,'MILA 2F - Avg Ck'!B37)</f>
        <v>#REF!</v>
      </c>
      <c r="M37" s="260" t="e">
        <f>SUMIFS(#REF!,#REF!,'MILA 2F - Avg Ck'!B37)</f>
        <v>#REF!</v>
      </c>
      <c r="N37" s="260" t="e">
        <f>SUMIFS(#REF!,#REF!,'MILA 2F - Avg Ck'!B37)</f>
        <v>#REF!</v>
      </c>
      <c r="O37" s="263" t="e">
        <f>SUMIFS(#REF!,#REF!,'MILA 2F - Avg Ck'!B37)</f>
        <v>#REF!</v>
      </c>
      <c r="P37" s="263" t="e">
        <f>SUMIFS(#REF!,#REF!,'MILA 2F - Avg Ck'!B37)</f>
        <v>#REF!</v>
      </c>
      <c r="Q37" s="263" t="e">
        <f>SUMIFS(#REF!,#REF!,'MILA 2F - Avg Ck'!B37)</f>
        <v>#REF!</v>
      </c>
      <c r="R37" s="263"/>
      <c r="S37" s="264"/>
      <c r="T37" s="263"/>
    </row>
    <row r="38" spans="2:20">
      <c r="B38" s="269">
        <f t="shared" si="6"/>
        <v>32</v>
      </c>
      <c r="C38">
        <f>SUMIFS('Actual - 2026'!$W:$W,'Actual - 2026'!$C:$C,'MILA 2F - Avg Ck'!B16)</f>
        <v>176817.5</v>
      </c>
      <c r="D38" s="278">
        <f>SUMIFS('Actual - 2026'!$X:$X,'Actual - 2026'!$C:$C,'MILA 2F - Avg Ck'!B16)</f>
        <v>856</v>
      </c>
      <c r="E38" s="290">
        <f t="shared" si="7"/>
        <v>206.5625</v>
      </c>
      <c r="F38" s="260">
        <f t="shared" si="8"/>
        <v>229.28834072022161</v>
      </c>
      <c r="G38" s="200">
        <f t="shared" si="9"/>
        <v>0.11001919864555092</v>
      </c>
      <c r="H38">
        <f>SUMIFS('Budget - 2026'!$AS:$AS,'Budget - 2026'!$D:$D,'MILA 2F - Avg Ck'!B38)</f>
        <v>224181.06</v>
      </c>
      <c r="I38" s="278">
        <f>SUMIFS('Budget - 2026'!$AT:$AT,'Budget - 2026'!$D:$D,'MILA 2F - Avg Ck'!B38)</f>
        <v>864</v>
      </c>
      <c r="J38" s="260">
        <f t="shared" si="10"/>
        <v>259.46881944444442</v>
      </c>
      <c r="L38" s="291" t="e">
        <f>SUMIFS(#REF!,#REF!,'MILA 2F - Avg Ck'!B38)</f>
        <v>#REF!</v>
      </c>
      <c r="M38" s="260" t="e">
        <f>SUMIFS(#REF!,#REF!,'MILA 2F - Avg Ck'!B38)</f>
        <v>#REF!</v>
      </c>
      <c r="N38" s="260" t="e">
        <f>SUMIFS(#REF!,#REF!,'MILA 2F - Avg Ck'!B38)</f>
        <v>#REF!</v>
      </c>
      <c r="O38" s="263" t="e">
        <f>SUMIFS(#REF!,#REF!,'MILA 2F - Avg Ck'!B38)</f>
        <v>#REF!</v>
      </c>
      <c r="P38" s="263" t="e">
        <f>SUMIFS(#REF!,#REF!,'MILA 2F - Avg Ck'!B38)</f>
        <v>#REF!</v>
      </c>
      <c r="Q38" s="263" t="e">
        <f>SUMIFS(#REF!,#REF!,'MILA 2F - Avg Ck'!B38)</f>
        <v>#REF!</v>
      </c>
      <c r="R38" s="263"/>
      <c r="S38" s="264"/>
      <c r="T38" s="263"/>
    </row>
    <row r="39" spans="2:20">
      <c r="B39" s="269">
        <f t="shared" si="6"/>
        <v>33</v>
      </c>
      <c r="C39">
        <f>SUMIFS('Actual - 2026'!$W:$W,'Actual - 2026'!$C:$C,'MILA 2F - Avg Ck'!B17)</f>
        <v>133033</v>
      </c>
      <c r="D39" s="278">
        <f>SUMIFS('Actual - 2026'!$X:$X,'Actual - 2026'!$C:$C,'MILA 2F - Avg Ck'!B17)</f>
        <v>816</v>
      </c>
      <c r="E39" s="290">
        <f t="shared" si="7"/>
        <v>163.03063725490196</v>
      </c>
      <c r="F39" s="260">
        <f t="shared" si="8"/>
        <v>212.53151285046729</v>
      </c>
      <c r="G39" s="200">
        <f t="shared" si="9"/>
        <v>0.30362928360618274</v>
      </c>
      <c r="H39">
        <f>SUMIFS('Budget - 2026'!$AS:$AS,'Budget - 2026'!$D:$D,'MILA 2F - Avg Ck'!B39)</f>
        <v>287119.06</v>
      </c>
      <c r="I39" s="278">
        <f>SUMIFS('Budget - 2026'!$AT:$AT,'Budget - 2026'!$D:$D,'MILA 2F - Avg Ck'!B39)</f>
        <v>1029</v>
      </c>
      <c r="J39" s="260">
        <f t="shared" si="10"/>
        <v>279.02726919339165</v>
      </c>
      <c r="L39" s="291" t="e">
        <f>SUMIFS(#REF!,#REF!,'MILA 2F - Avg Ck'!B39)</f>
        <v>#REF!</v>
      </c>
      <c r="M39" s="260" t="e">
        <f>SUMIFS(#REF!,#REF!,'MILA 2F - Avg Ck'!B39)</f>
        <v>#REF!</v>
      </c>
      <c r="N39" s="260" t="e">
        <f>SUMIFS(#REF!,#REF!,'MILA 2F - Avg Ck'!B39)</f>
        <v>#REF!</v>
      </c>
      <c r="O39" s="263" t="e">
        <f>SUMIFS(#REF!,#REF!,'MILA 2F - Avg Ck'!B39)</f>
        <v>#REF!</v>
      </c>
      <c r="P39" s="263" t="e">
        <f>SUMIFS(#REF!,#REF!,'MILA 2F - Avg Ck'!B39)</f>
        <v>#REF!</v>
      </c>
      <c r="Q39" s="263" t="e">
        <f>SUMIFS(#REF!,#REF!,'MILA 2F - Avg Ck'!B39)</f>
        <v>#REF!</v>
      </c>
      <c r="R39" s="263"/>
      <c r="S39" s="265"/>
      <c r="T39" s="263"/>
    </row>
    <row r="40" spans="2:20">
      <c r="B40" s="269">
        <f t="shared" si="6"/>
        <v>34</v>
      </c>
      <c r="C40">
        <f>SUMIFS('Actual - 2026'!$W:$W,'Actual - 2026'!$C:$C,'MILA 2F - Avg Ck'!B18)</f>
        <v>191603</v>
      </c>
      <c r="D40" s="278">
        <f>SUMIFS('Actual - 2026'!$X:$X,'Actual - 2026'!$C:$C,'MILA 2F - Avg Ck'!B18)</f>
        <v>0</v>
      </c>
      <c r="E40" s="290">
        <f t="shared" si="7"/>
        <v>0</v>
      </c>
      <c r="F40" s="260">
        <f t="shared" si="8"/>
        <v>276.53683995088005</v>
      </c>
      <c r="G40" s="200" t="e">
        <f t="shared" si="9"/>
        <v>#DIV/0!</v>
      </c>
      <c r="H40">
        <f>SUMIFS('Budget - 2026'!$AS:$AS,'Budget - 2026'!$D:$D,'MILA 2F - Avg Ck'!B40)</f>
        <v>225616.5</v>
      </c>
      <c r="I40" s="278">
        <f>SUMIFS('Budget - 2026'!$AT:$AT,'Budget - 2026'!$D:$D,'MILA 2F - Avg Ck'!B40)</f>
        <v>953</v>
      </c>
      <c r="J40" s="260">
        <f t="shared" si="10"/>
        <v>236.74344176285413</v>
      </c>
      <c r="L40" s="291" t="e">
        <f>SUMIFS(#REF!,#REF!,'MILA 2F - Avg Ck'!B40)</f>
        <v>#REF!</v>
      </c>
      <c r="M40" s="260" t="e">
        <f>SUMIFS(#REF!,#REF!,'MILA 2F - Avg Ck'!B40)</f>
        <v>#REF!</v>
      </c>
      <c r="N40" s="260" t="e">
        <f>SUMIFS(#REF!,#REF!,'MILA 2F - Avg Ck'!B40)</f>
        <v>#REF!</v>
      </c>
      <c r="O40" s="263" t="e">
        <f>SUMIFS(#REF!,#REF!,'MILA 2F - Avg Ck'!B40)</f>
        <v>#REF!</v>
      </c>
      <c r="P40" s="263" t="e">
        <f>SUMIFS(#REF!,#REF!,'MILA 2F - Avg Ck'!B40)</f>
        <v>#REF!</v>
      </c>
      <c r="Q40" s="263" t="e">
        <f>SUMIFS(#REF!,#REF!,'MILA 2F - Avg Ck'!B40)</f>
        <v>#REF!</v>
      </c>
      <c r="R40" s="263"/>
      <c r="S40" s="264"/>
      <c r="T40" s="263"/>
    </row>
    <row r="41" spans="2:20">
      <c r="B41" s="269">
        <f t="shared" si="6"/>
        <v>35</v>
      </c>
      <c r="C41">
        <f>SUMIFS('Actual - 2026'!$W:$W,'Actual - 2026'!$C:$C,'MILA 2F - Avg Ck'!B19)</f>
        <v>0</v>
      </c>
      <c r="D41" s="278">
        <f>SUMIFS('Actual - 2026'!$X:$X,'Actual - 2026'!$C:$C,'MILA 2F - Avg Ck'!B19)</f>
        <v>0</v>
      </c>
      <c r="E41" s="290">
        <f t="shared" si="7"/>
        <v>0</v>
      </c>
      <c r="F41" s="260">
        <f t="shared" si="8"/>
        <v>299.9123803827751</v>
      </c>
      <c r="G41" s="200" t="e">
        <f t="shared" si="9"/>
        <v>#DIV/0!</v>
      </c>
      <c r="H41">
        <f>SUMIFS('Budget - 2026'!$AS:$AS,'Budget - 2026'!$D:$D,'MILA 2F - Avg Ck'!B41)</f>
        <v>271633.64</v>
      </c>
      <c r="I41" s="278">
        <f>SUMIFS('Budget - 2026'!$AT:$AT,'Budget - 2026'!$D:$D,'MILA 2F - Avg Ck'!B41)</f>
        <v>1211</v>
      </c>
      <c r="J41" s="260">
        <f t="shared" si="10"/>
        <v>224.30523534269201</v>
      </c>
      <c r="L41" s="291" t="e">
        <f>SUMIFS(#REF!,#REF!,'MILA 2F - Avg Ck'!B41)</f>
        <v>#REF!</v>
      </c>
      <c r="M41" s="260" t="e">
        <f>SUMIFS(#REF!,#REF!,'MILA 2F - Avg Ck'!B41)</f>
        <v>#REF!</v>
      </c>
      <c r="N41" s="260" t="e">
        <f>SUMIFS(#REF!,#REF!,'MILA 2F - Avg Ck'!B41)</f>
        <v>#REF!</v>
      </c>
      <c r="O41" s="263" t="e">
        <f>SUMIFS(#REF!,#REF!,'MILA 2F - Avg Ck'!B41)</f>
        <v>#REF!</v>
      </c>
      <c r="P41" s="263" t="e">
        <f>SUMIFS(#REF!,#REF!,'MILA 2F - Avg Ck'!B41)</f>
        <v>#REF!</v>
      </c>
      <c r="Q41" s="263" t="e">
        <f>SUMIFS(#REF!,#REF!,'MILA 2F - Avg Ck'!B41)</f>
        <v>#REF!</v>
      </c>
      <c r="R41" s="263"/>
      <c r="S41" s="265"/>
      <c r="T41" s="263"/>
    </row>
    <row r="42" spans="2:20">
      <c r="B42" s="269">
        <f t="shared" si="6"/>
        <v>36</v>
      </c>
      <c r="C42">
        <f>SUMIFS('Actual - 2026'!$W:$W,'Actual - 2026'!$C:$C,'MILA 2F - Avg Ck'!B20)</f>
        <v>0</v>
      </c>
      <c r="D42" s="278">
        <f>SUMIFS('Actual - 2026'!$X:$X,'Actual - 2026'!$C:$C,'MILA 2F - Avg Ck'!B20)</f>
        <v>0</v>
      </c>
      <c r="E42" s="290">
        <f t="shared" si="7"/>
        <v>0</v>
      </c>
      <c r="F42" s="260">
        <f t="shared" si="8"/>
        <v>397.83823529411762</v>
      </c>
      <c r="G42" s="200" t="e">
        <f t="shared" si="9"/>
        <v>#DIV/0!</v>
      </c>
      <c r="H42">
        <f>SUMIFS('Budget - 2026'!$AS:$AS,'Budget - 2026'!$D:$D,'MILA 2F - Avg Ck'!B42)</f>
        <v>193364.36</v>
      </c>
      <c r="I42" s="278">
        <f>SUMIFS('Budget - 2026'!$AT:$AT,'Budget - 2026'!$D:$D,'MILA 2F - Avg Ck'!B42)</f>
        <v>796</v>
      </c>
      <c r="J42" s="260">
        <f t="shared" si="10"/>
        <v>242.92005025125627</v>
      </c>
      <c r="L42" s="291" t="e">
        <f>SUMIFS(#REF!,#REF!,'MILA 2F - Avg Ck'!B42)</f>
        <v>#REF!</v>
      </c>
      <c r="M42" s="260" t="e">
        <f>SUMIFS(#REF!,#REF!,'MILA 2F - Avg Ck'!B42)</f>
        <v>#REF!</v>
      </c>
      <c r="N42" s="260" t="e">
        <f>SUMIFS(#REF!,#REF!,'MILA 2F - Avg Ck'!B42)</f>
        <v>#REF!</v>
      </c>
      <c r="O42" s="263" t="e">
        <f>SUMIFS(#REF!,#REF!,'MILA 2F - Avg Ck'!B42)</f>
        <v>#REF!</v>
      </c>
      <c r="P42" s="263" t="e">
        <f>SUMIFS(#REF!,#REF!,'MILA 2F - Avg Ck'!B42)</f>
        <v>#REF!</v>
      </c>
      <c r="Q42" s="263" t="e">
        <f>SUMIFS(#REF!,#REF!,'MILA 2F - Avg Ck'!B42)</f>
        <v>#REF!</v>
      </c>
      <c r="R42" s="263"/>
      <c r="S42" s="264"/>
      <c r="T42" s="263"/>
    </row>
    <row r="43" spans="2:20">
      <c r="B43" s="269">
        <f t="shared" si="6"/>
        <v>37</v>
      </c>
      <c r="C43">
        <f>SUMIFS('Actual - 2026'!$W:$W,'Actual - 2026'!$C:$C,'MILA 2F - Avg Ck'!B21)</f>
        <v>0</v>
      </c>
      <c r="D43" s="278">
        <f>SUMIFS('Actual - 2026'!$X:$X,'Actual - 2026'!$C:$C,'MILA 2F - Avg Ck'!B21)</f>
        <v>0</v>
      </c>
      <c r="E43" s="290">
        <f t="shared" si="7"/>
        <v>0</v>
      </c>
      <c r="F43" s="260" t="e">
        <f t="shared" si="8"/>
        <v>#DIV/0!</v>
      </c>
      <c r="G43" s="200" t="e">
        <f t="shared" si="9"/>
        <v>#DIV/0!</v>
      </c>
      <c r="H43">
        <f>SUMIFS('Budget - 2026'!$AS:$AS,'Budget - 2026'!$D:$D,'MILA 2F - Avg Ck'!B43)</f>
        <v>272955.15000000002</v>
      </c>
      <c r="I43" s="278">
        <f>SUMIFS('Budget - 2026'!$AT:$AT,'Budget - 2026'!$D:$D,'MILA 2F - Avg Ck'!B43)</f>
        <v>1038</v>
      </c>
      <c r="J43" s="260">
        <f t="shared" si="10"/>
        <v>262.96257225433527</v>
      </c>
      <c r="L43" s="291" t="e">
        <f>SUMIFS(#REF!,#REF!,'MILA 2F - Avg Ck'!B43)</f>
        <v>#REF!</v>
      </c>
      <c r="M43" s="260" t="e">
        <f>SUMIFS(#REF!,#REF!,'MILA 2F - Avg Ck'!B43)</f>
        <v>#REF!</v>
      </c>
      <c r="N43" s="260" t="e">
        <f>SUMIFS(#REF!,#REF!,'MILA 2F - Avg Ck'!B43)</f>
        <v>#REF!</v>
      </c>
      <c r="O43" s="263" t="e">
        <f>SUMIFS(#REF!,#REF!,'MILA 2F - Avg Ck'!B43)</f>
        <v>#REF!</v>
      </c>
      <c r="P43" s="263" t="e">
        <f>SUMIFS(#REF!,#REF!,'MILA 2F - Avg Ck'!B43)</f>
        <v>#REF!</v>
      </c>
      <c r="Q43" s="263" t="e">
        <f>SUMIFS(#REF!,#REF!,'MILA 2F - Avg Ck'!B43)</f>
        <v>#REF!</v>
      </c>
      <c r="R43" s="263"/>
      <c r="S43" s="264"/>
      <c r="T43" s="263"/>
    </row>
    <row r="44" spans="2:20">
      <c r="B44" s="269">
        <f t="shared" si="6"/>
        <v>38</v>
      </c>
      <c r="C44">
        <f>SUMIFS('Actual - 2026'!$W:$W,'Actual - 2026'!$C:$C,'MILA 2F - Avg Ck'!B22)</f>
        <v>0</v>
      </c>
      <c r="D44" s="278">
        <f>SUMIFS('Actual - 2026'!$X:$X,'Actual - 2026'!$C:$C,'MILA 2F - Avg Ck'!B22)</f>
        <v>0</v>
      </c>
      <c r="E44" s="290">
        <f t="shared" si="7"/>
        <v>0</v>
      </c>
      <c r="F44" s="260" t="e">
        <f t="shared" si="8"/>
        <v>#DIV/0!</v>
      </c>
      <c r="G44" s="200" t="e">
        <f t="shared" si="9"/>
        <v>#DIV/0!</v>
      </c>
      <c r="H44">
        <f>SUMIFS('Budget - 2026'!$AS:$AS,'Budget - 2026'!$D:$D,'MILA 2F - Avg Ck'!B44)</f>
        <v>243839.53999999995</v>
      </c>
      <c r="I44" s="278">
        <f>SUMIFS('Budget - 2026'!$AT:$AT,'Budget - 2026'!$D:$D,'MILA 2F - Avg Ck'!B44)</f>
        <v>948</v>
      </c>
      <c r="J44" s="260">
        <f t="shared" si="10"/>
        <v>257.21470464135018</v>
      </c>
      <c r="L44" s="291" t="e">
        <f>SUMIFS(#REF!,#REF!,'MILA 2F - Avg Ck'!B44)</f>
        <v>#REF!</v>
      </c>
      <c r="M44" s="260" t="e">
        <f>SUMIFS(#REF!,#REF!,'MILA 2F - Avg Ck'!B44)</f>
        <v>#REF!</v>
      </c>
      <c r="N44" s="260" t="e">
        <f>SUMIFS(#REF!,#REF!,'MILA 2F - Avg Ck'!B44)</f>
        <v>#REF!</v>
      </c>
      <c r="O44" s="263" t="e">
        <f>SUMIFS(#REF!,#REF!,'MILA 2F - Avg Ck'!B44)</f>
        <v>#REF!</v>
      </c>
      <c r="P44" s="263" t="e">
        <f>SUMIFS(#REF!,#REF!,'MILA 2F - Avg Ck'!B44)</f>
        <v>#REF!</v>
      </c>
      <c r="Q44" s="263" t="e">
        <f>SUMIFS(#REF!,#REF!,'MILA 2F - Avg Ck'!B44)</f>
        <v>#REF!</v>
      </c>
      <c r="R44" s="263"/>
      <c r="S44" s="264"/>
      <c r="T44" s="263"/>
    </row>
    <row r="45" spans="2:20">
      <c r="B45" s="269">
        <f t="shared" si="6"/>
        <v>39</v>
      </c>
      <c r="C45">
        <f>SUMIFS('Actual - 2026'!$W:$W,'Actual - 2026'!$C:$C,'MILA 2F - Avg Ck'!B23)</f>
        <v>0</v>
      </c>
      <c r="D45" s="278">
        <f>SUMIFS('Actual - 2026'!$X:$X,'Actual - 2026'!$C:$C,'MILA 2F - Avg Ck'!B23)</f>
        <v>0</v>
      </c>
      <c r="E45" s="290">
        <f t="shared" si="7"/>
        <v>0</v>
      </c>
      <c r="F45" s="260" t="e">
        <f t="shared" si="8"/>
        <v>#DIV/0!</v>
      </c>
      <c r="G45" s="200" t="e">
        <f t="shared" si="9"/>
        <v>#DIV/0!</v>
      </c>
      <c r="H45">
        <f>SUMIFS('Budget - 2026'!$AS:$AS,'Budget - 2026'!$D:$D,'MILA 2F - Avg Ck'!B45)</f>
        <v>283447.82999999996</v>
      </c>
      <c r="I45" s="278">
        <f>SUMIFS('Budget - 2026'!$AT:$AT,'Budget - 2026'!$D:$D,'MILA 2F - Avg Ck'!B45)</f>
        <v>1039</v>
      </c>
      <c r="J45" s="260">
        <f t="shared" si="10"/>
        <v>272.80830606352259</v>
      </c>
      <c r="L45" s="291" t="e">
        <f>SUMIFS(#REF!,#REF!,'MILA 2F - Avg Ck'!B45)</f>
        <v>#REF!</v>
      </c>
      <c r="M45" s="260" t="e">
        <f>SUMIFS(#REF!,#REF!,'MILA 2F - Avg Ck'!B45)</f>
        <v>#REF!</v>
      </c>
      <c r="N45" s="260" t="e">
        <f>SUMIFS(#REF!,#REF!,'MILA 2F - Avg Ck'!B45)</f>
        <v>#REF!</v>
      </c>
      <c r="O45" s="263" t="e">
        <f>SUMIFS(#REF!,#REF!,'MILA 2F - Avg Ck'!B45)</f>
        <v>#REF!</v>
      </c>
      <c r="P45" s="263" t="e">
        <f>SUMIFS(#REF!,#REF!,'MILA 2F - Avg Ck'!B45)</f>
        <v>#REF!</v>
      </c>
      <c r="Q45" s="263" t="e">
        <f>SUMIFS(#REF!,#REF!,'MILA 2F - Avg Ck'!B45)</f>
        <v>#REF!</v>
      </c>
      <c r="R45" s="263"/>
      <c r="S45" s="264"/>
      <c r="T45" s="263"/>
    </row>
    <row r="46" spans="2:20">
      <c r="B46" s="269">
        <f t="shared" si="6"/>
        <v>40</v>
      </c>
      <c r="C46">
        <f>SUMIFS('Actual - 2026'!$W:$W,'Actual - 2026'!$C:$C,'MILA 2F - Avg Ck'!B24)</f>
        <v>0</v>
      </c>
      <c r="D46" s="278">
        <f>SUMIFS('Actual - 2026'!$X:$X,'Actual - 2026'!$C:$C,'MILA 2F - Avg Ck'!B24)</f>
        <v>0</v>
      </c>
      <c r="E46" s="290">
        <f t="shared" si="7"/>
        <v>0</v>
      </c>
      <c r="F46" s="260" t="e">
        <f t="shared" si="8"/>
        <v>#DIV/0!</v>
      </c>
      <c r="G46" s="200" t="e">
        <f t="shared" si="9"/>
        <v>#DIV/0!</v>
      </c>
      <c r="H46">
        <f>SUMIFS('Budget - 2026'!$AS:$AS,'Budget - 2026'!$D:$D,'MILA 2F - Avg Ck'!B46)</f>
        <v>269766.25</v>
      </c>
      <c r="I46" s="278">
        <f>SUMIFS('Budget - 2026'!$AT:$AT,'Budget - 2026'!$D:$D,'MILA 2F - Avg Ck'!B46)</f>
        <v>1084</v>
      </c>
      <c r="J46" s="260">
        <f t="shared" si="10"/>
        <v>248.86185424354244</v>
      </c>
      <c r="L46" s="291" t="e">
        <f>SUMIFS(#REF!,#REF!,'MILA 2F - Avg Ck'!B46)</f>
        <v>#REF!</v>
      </c>
      <c r="M46" s="260" t="e">
        <f>SUMIFS(#REF!,#REF!,'MILA 2F - Avg Ck'!B46)</f>
        <v>#REF!</v>
      </c>
      <c r="N46" s="260" t="e">
        <f>SUMIFS(#REF!,#REF!,'MILA 2F - Avg Ck'!B46)</f>
        <v>#REF!</v>
      </c>
      <c r="O46" s="263" t="e">
        <f>SUMIFS(#REF!,#REF!,'MILA 2F - Avg Ck'!B46)</f>
        <v>#REF!</v>
      </c>
      <c r="P46" s="263" t="e">
        <f>SUMIFS(#REF!,#REF!,'MILA 2F - Avg Ck'!B46)</f>
        <v>#REF!</v>
      </c>
      <c r="Q46" s="263" t="e">
        <f>SUMIFS(#REF!,#REF!,'MILA 2F - Avg Ck'!B46)</f>
        <v>#REF!</v>
      </c>
    </row>
    <row r="47" spans="2:20">
      <c r="B47" s="269">
        <f t="shared" si="6"/>
        <v>41</v>
      </c>
      <c r="C47">
        <f>SUMIFS('Actual - 2026'!$W:$W,'Actual - 2026'!$C:$C,'MILA 2F - Avg Ck'!B25)</f>
        <v>0</v>
      </c>
      <c r="D47" s="278">
        <f>SUMIFS('Actual - 2026'!$X:$X,'Actual - 2026'!$C:$C,'MILA 2F - Avg Ck'!B25)</f>
        <v>0</v>
      </c>
      <c r="E47" s="290">
        <f t="shared" si="7"/>
        <v>0</v>
      </c>
      <c r="F47" s="260" t="e">
        <f t="shared" si="8"/>
        <v>#DIV/0!</v>
      </c>
      <c r="G47" s="200" t="e">
        <f t="shared" si="9"/>
        <v>#DIV/0!</v>
      </c>
      <c r="H47">
        <f>SUMIFS('Budget - 2026'!$AS:$AS,'Budget - 2026'!$D:$D,'MILA 2F - Avg Ck'!B47)</f>
        <v>304498.25</v>
      </c>
      <c r="I47" s="278">
        <f>SUMIFS('Budget - 2026'!$AT:$AT,'Budget - 2026'!$D:$D,'MILA 2F - Avg Ck'!B47)</f>
        <v>1129</v>
      </c>
      <c r="J47" s="260">
        <f t="shared" si="10"/>
        <v>269.7061558901683</v>
      </c>
      <c r="L47" s="291" t="e">
        <f>SUMIFS(#REF!,#REF!,'MILA 2F - Avg Ck'!B47)</f>
        <v>#REF!</v>
      </c>
      <c r="M47" s="260" t="e">
        <f>SUMIFS(#REF!,#REF!,'MILA 2F - Avg Ck'!B47)</f>
        <v>#REF!</v>
      </c>
      <c r="N47" s="260" t="e">
        <f>SUMIFS(#REF!,#REF!,'MILA 2F - Avg Ck'!B47)</f>
        <v>#REF!</v>
      </c>
      <c r="O47" s="263" t="e">
        <f>SUMIFS(#REF!,#REF!,'MILA 2F - Avg Ck'!B47)</f>
        <v>#REF!</v>
      </c>
      <c r="P47" s="263" t="e">
        <f>SUMIFS(#REF!,#REF!,'MILA 2F - Avg Ck'!B47)</f>
        <v>#REF!</v>
      </c>
      <c r="Q47" s="263" t="e">
        <f>SUMIFS(#REF!,#REF!,'MILA 2F - Avg Ck'!B47)</f>
        <v>#REF!</v>
      </c>
    </row>
    <row r="48" spans="2:20">
      <c r="B48" s="269"/>
    </row>
    <row r="49" spans="2:23" ht="21">
      <c r="B49" s="421" t="s">
        <v>11</v>
      </c>
      <c r="C49" s="421"/>
      <c r="D49" s="421"/>
      <c r="E49" s="421"/>
      <c r="F49" s="421"/>
      <c r="G49" s="421"/>
      <c r="H49" s="421"/>
      <c r="I49" s="421"/>
      <c r="J49" s="421"/>
    </row>
    <row r="50" spans="2:23">
      <c r="B50" s="272"/>
      <c r="C50" s="272"/>
      <c r="D50" s="274"/>
      <c r="E50" s="272"/>
      <c r="F50" s="272"/>
      <c r="G50" s="272"/>
      <c r="H50" s="272"/>
      <c r="I50" s="274"/>
      <c r="J50" s="272"/>
    </row>
    <row r="51" spans="2:23">
      <c r="B51" s="267" t="s">
        <v>2</v>
      </c>
      <c r="C51" s="276" t="str">
        <f>C29</f>
        <v>Sales</v>
      </c>
      <c r="D51" s="276" t="str">
        <f>D29</f>
        <v>Covers</v>
      </c>
      <c r="E51" s="267" t="s">
        <v>218</v>
      </c>
      <c r="F51" s="271" t="s">
        <v>219</v>
      </c>
      <c r="G51" s="267" t="s">
        <v>220</v>
      </c>
      <c r="H51" s="276" t="str">
        <f>H29</f>
        <v>Sales</v>
      </c>
      <c r="I51" s="276" t="str">
        <f>I29</f>
        <v>LY Covers</v>
      </c>
      <c r="J51" s="276" t="str">
        <f>J29</f>
        <v>LY Avg Check</v>
      </c>
      <c r="L51" s="284" t="s">
        <v>223</v>
      </c>
      <c r="M51" s="284" t="s">
        <v>224</v>
      </c>
      <c r="N51" s="284" t="s">
        <v>225</v>
      </c>
      <c r="O51" s="284" t="s">
        <v>223</v>
      </c>
      <c r="P51" s="284" t="s">
        <v>224</v>
      </c>
      <c r="Q51" s="284" t="s">
        <v>225</v>
      </c>
      <c r="R51" s="284" t="s">
        <v>226</v>
      </c>
      <c r="S51" s="284" t="s">
        <v>227</v>
      </c>
      <c r="T51" s="284" t="s">
        <v>228</v>
      </c>
      <c r="U51" s="284" t="s">
        <v>226</v>
      </c>
      <c r="V51" s="284" t="s">
        <v>227</v>
      </c>
      <c r="W51" s="284" t="s">
        <v>228</v>
      </c>
    </row>
    <row r="52" spans="2:23">
      <c r="B52" s="267"/>
      <c r="C52" s="267"/>
      <c r="D52" s="276"/>
      <c r="E52" s="267"/>
      <c r="F52" s="271"/>
      <c r="G52" s="267"/>
      <c r="H52" s="267"/>
      <c r="I52" s="276"/>
      <c r="J52" s="271"/>
      <c r="L52" s="423" t="s">
        <v>71</v>
      </c>
      <c r="M52" s="423"/>
      <c r="N52" s="423"/>
      <c r="O52" s="423" t="s">
        <v>63</v>
      </c>
      <c r="P52" s="423"/>
      <c r="Q52" s="423"/>
      <c r="R52" s="423" t="s">
        <v>71</v>
      </c>
      <c r="S52" s="423"/>
      <c r="T52" s="423"/>
      <c r="U52" s="423" t="s">
        <v>63</v>
      </c>
      <c r="V52" s="423"/>
      <c r="W52" s="423"/>
    </row>
    <row r="53" spans="2:23" ht="14.45" customHeight="1" outlineLevel="1">
      <c r="B53" s="269">
        <f t="shared" ref="B53:B69" si="11">B31</f>
        <v>25</v>
      </c>
      <c r="C53">
        <f>SUMIFS('Actual - 2026'!$AR:$AR,'Actual - 2026'!$C:$C,'MILA 2F - Avg Ck'!B31)</f>
        <v>654082.16</v>
      </c>
      <c r="D53" s="278">
        <f>SUMIFS('Actual - 2026'!$AS:$AS,'Actual - 2026'!$C:$C,'MILA 2F - Avg Ck'!B31)</f>
        <v>3622</v>
      </c>
      <c r="E53" s="260">
        <f t="shared" ref="E53:E69" si="12">IFERROR(C53/D53,0)</f>
        <v>180.58590833793485</v>
      </c>
      <c r="F53" s="260">
        <f t="shared" ref="F53:F69" si="13">SUM(C50:C53)/SUM(D50:D53)</f>
        <v>180.58590833793485</v>
      </c>
      <c r="G53" s="270">
        <f t="shared" ref="G53:G69" si="14">(F53-E53)/E53</f>
        <v>0</v>
      </c>
      <c r="H53">
        <f>SUMIFS('Budget - 2026'!$CI:$CI,'Budget - 2026'!$D:$D,'MILA 2F - Avg Ck'!B53)</f>
        <v>592660</v>
      </c>
      <c r="I53" s="278">
        <f>SUMIFS('Budget - 2026'!$CJ:$CJ,'Budget - 2026'!$D:$D,'MILA 2F - Avg Ck'!B53)</f>
        <v>4031</v>
      </c>
      <c r="J53" s="260">
        <f>IFERROR(H53/I53,0)</f>
        <v>147.02555197221534</v>
      </c>
      <c r="L53" s="260" t="e">
        <f>SUMIFS(#REF!,#REF!,'MILA 2F - Avg Ck'!B53)</f>
        <v>#REF!</v>
      </c>
      <c r="M53" t="e">
        <f>SUMIFS(#REF!,#REF!,'MILA 2F - Avg Ck'!B53)</f>
        <v>#REF!</v>
      </c>
      <c r="N53" t="e">
        <f>SUMIFS(#REF!,#REF!,'MILA 2F - Avg Ck'!B53)</f>
        <v>#REF!</v>
      </c>
      <c r="O53" t="e">
        <f>SUMIFS(#REF!,#REF!,'MILA 2F - Avg Ck'!B53)</f>
        <v>#REF!</v>
      </c>
      <c r="P53" t="e">
        <f>SUMIFS(#REF!,#REF!,'MILA 2F - Avg Ck'!B53)</f>
        <v>#REF!</v>
      </c>
      <c r="Q53" t="e">
        <f>SUMIFS(#REF!,#REF!,'MILA 2F - Avg Ck'!B53)</f>
        <v>#REF!</v>
      </c>
    </row>
    <row r="54" spans="2:23" ht="14.45" customHeight="1" outlineLevel="1">
      <c r="B54" s="269">
        <f t="shared" si="11"/>
        <v>26</v>
      </c>
      <c r="C54">
        <f>SUMIFS('Actual - 2026'!$AR:$AR,'Actual - 2026'!$C:$C,'MILA 2F - Avg Ck'!B32)</f>
        <v>827205.81</v>
      </c>
      <c r="D54" s="278">
        <f>SUMIFS('Actual - 2026'!$AS:$AS,'Actual - 2026'!$C:$C,'MILA 2F - Avg Ck'!B32)</f>
        <v>3853</v>
      </c>
      <c r="E54" s="260">
        <f t="shared" si="12"/>
        <v>214.69135997923698</v>
      </c>
      <c r="F54" s="260">
        <f t="shared" si="13"/>
        <v>198.1656147157191</v>
      </c>
      <c r="G54" s="270">
        <f t="shared" si="14"/>
        <v>-7.6974430946434441E-2</v>
      </c>
      <c r="H54">
        <f>SUMIFS('Budget - 2026'!$CI:$CI,'Budget - 2026'!$D:$D,'MILA 2F - Avg Ck'!B54)</f>
        <v>496113.8</v>
      </c>
      <c r="I54" s="278">
        <f>SUMIFS('Budget - 2026'!$CJ:$CJ,'Budget - 2026'!$D:$D,'MILA 2F - Avg Ck'!B54)</f>
        <v>3275</v>
      </c>
      <c r="J54" s="260">
        <f t="shared" ref="J54:J69" si="15">IFERROR(H54/I54,0)</f>
        <v>151.48512977099236</v>
      </c>
      <c r="L54" s="260" t="e">
        <f>SUMIFS(#REF!,#REF!,'MILA 2F - Avg Ck'!B54)</f>
        <v>#REF!</v>
      </c>
      <c r="M54" t="e">
        <f>SUMIFS(#REF!,#REF!,'MILA 2F - Avg Ck'!B54)</f>
        <v>#REF!</v>
      </c>
      <c r="N54" t="e">
        <f>SUMIFS(#REF!,#REF!,'MILA 2F - Avg Ck'!B54)</f>
        <v>#REF!</v>
      </c>
      <c r="O54" t="e">
        <f>SUMIFS(#REF!,#REF!,'MILA 2F - Avg Ck'!B54)</f>
        <v>#REF!</v>
      </c>
      <c r="P54" t="e">
        <f>SUMIFS(#REF!,#REF!,'MILA 2F - Avg Ck'!B54)</f>
        <v>#REF!</v>
      </c>
      <c r="Q54" t="e">
        <f>SUMIFS(#REF!,#REF!,'MILA 2F - Avg Ck'!B54)</f>
        <v>#REF!</v>
      </c>
      <c r="R54" s="262"/>
      <c r="S54" s="262"/>
      <c r="T54" s="262"/>
    </row>
    <row r="55" spans="2:23" ht="14.45" customHeight="1" outlineLevel="1">
      <c r="B55" s="269">
        <f t="shared" si="11"/>
        <v>27</v>
      </c>
      <c r="C55">
        <f>SUMIFS('Actual - 2026'!$AR:$AR,'Actual - 2026'!$C:$C,'MILA 2F - Avg Ck'!B33)</f>
        <v>556211.36</v>
      </c>
      <c r="D55" s="278">
        <f>SUMIFS('Actual - 2026'!$AS:$AS,'Actual - 2026'!$C:$C,'MILA 2F - Avg Ck'!B33)</f>
        <v>3266</v>
      </c>
      <c r="E55" s="260">
        <f t="shared" si="12"/>
        <v>170.30353949785669</v>
      </c>
      <c r="F55" s="260">
        <f t="shared" si="13"/>
        <v>189.69363467088726</v>
      </c>
      <c r="G55" s="270">
        <f t="shared" si="14"/>
        <v>0.11385609030911893</v>
      </c>
      <c r="H55">
        <f>SUMIFS('Budget - 2026'!$CI:$CI,'Budget - 2026'!$D:$D,'MILA 2F - Avg Ck'!B55)</f>
        <v>399337.52</v>
      </c>
      <c r="I55" s="278">
        <f>SUMIFS('Budget - 2026'!$CJ:$CJ,'Budget - 2026'!$D:$D,'MILA 2F - Avg Ck'!B55)</f>
        <v>2998</v>
      </c>
      <c r="J55" s="260">
        <f t="shared" si="15"/>
        <v>133.20130753835892</v>
      </c>
      <c r="L55" s="260" t="e">
        <f>SUMIFS(#REF!,#REF!,'MILA 2F - Avg Ck'!B55)</f>
        <v>#REF!</v>
      </c>
      <c r="M55" t="e">
        <f>SUMIFS(#REF!,#REF!,'MILA 2F - Avg Ck'!B55)</f>
        <v>#REF!</v>
      </c>
      <c r="N55" t="e">
        <f>SUMIFS(#REF!,#REF!,'MILA 2F - Avg Ck'!B55)</f>
        <v>#REF!</v>
      </c>
      <c r="O55" t="e">
        <f>SUMIFS(#REF!,#REF!,'MILA 2F - Avg Ck'!B55)</f>
        <v>#REF!</v>
      </c>
      <c r="P55" t="e">
        <f>SUMIFS(#REF!,#REF!,'MILA 2F - Avg Ck'!B55)</f>
        <v>#REF!</v>
      </c>
      <c r="Q55" t="e">
        <f>SUMIFS(#REF!,#REF!,'MILA 2F - Avg Ck'!B55)</f>
        <v>#REF!</v>
      </c>
      <c r="R55" s="263"/>
      <c r="S55" s="263"/>
      <c r="T55" s="263"/>
    </row>
    <row r="56" spans="2:23" ht="14.45" customHeight="1" outlineLevel="1">
      <c r="B56" s="269">
        <f t="shared" si="11"/>
        <v>28</v>
      </c>
      <c r="C56">
        <f>SUMIFS('Actual - 2026'!$AR:$AR,'Actual - 2026'!$C:$C,'MILA 2F - Avg Ck'!B34)</f>
        <v>728635.33999999985</v>
      </c>
      <c r="D56" s="278">
        <f>SUMIFS('Actual - 2026'!$AS:$AS,'Actual - 2026'!$C:$C,'MILA 2F - Avg Ck'!B34)</f>
        <v>3686</v>
      </c>
      <c r="E56" s="260">
        <f t="shared" si="12"/>
        <v>197.67643516006507</v>
      </c>
      <c r="F56" s="260">
        <f t="shared" si="13"/>
        <v>191.73318569349138</v>
      </c>
      <c r="G56" s="270">
        <f t="shared" si="14"/>
        <v>-3.0065543532091957E-2</v>
      </c>
      <c r="H56">
        <f>SUMIFS('Budget - 2026'!$CI:$CI,'Budget - 2026'!$D:$D,'MILA 2F - Avg Ck'!B56)</f>
        <v>451289.53</v>
      </c>
      <c r="I56" s="278">
        <f>SUMIFS('Budget - 2026'!$CJ:$CJ,'Budget - 2026'!$D:$D,'MILA 2F - Avg Ck'!B56)</f>
        <v>3211</v>
      </c>
      <c r="J56" s="260">
        <f t="shared" si="15"/>
        <v>140.54485518530055</v>
      </c>
      <c r="L56" s="260" t="e">
        <f>SUMIFS(#REF!,#REF!,'MILA 2F - Avg Ck'!B56)</f>
        <v>#REF!</v>
      </c>
      <c r="M56" t="e">
        <f>SUMIFS(#REF!,#REF!,'MILA 2F - Avg Ck'!B56)</f>
        <v>#REF!</v>
      </c>
      <c r="N56" t="e">
        <f>SUMIFS(#REF!,#REF!,'MILA 2F - Avg Ck'!B56)</f>
        <v>#REF!</v>
      </c>
      <c r="O56" t="e">
        <f>SUMIFS(#REF!,#REF!,'MILA 2F - Avg Ck'!B56)</f>
        <v>#REF!</v>
      </c>
      <c r="P56" t="e">
        <f>SUMIFS(#REF!,#REF!,'MILA 2F - Avg Ck'!B56)</f>
        <v>#REF!</v>
      </c>
      <c r="Q56" t="e">
        <f>SUMIFS(#REF!,#REF!,'MILA 2F - Avg Ck'!B56)</f>
        <v>#REF!</v>
      </c>
      <c r="R56" s="263"/>
      <c r="S56" s="263"/>
      <c r="T56" s="263"/>
    </row>
    <row r="57" spans="2:23">
      <c r="B57" s="269">
        <f t="shared" si="11"/>
        <v>29</v>
      </c>
      <c r="C57">
        <f>SUMIFS('Actual - 2026'!$AR:$AR,'Actual - 2026'!$C:$C,'MILA 2F - Avg Ck'!B35)</f>
        <v>527411.91</v>
      </c>
      <c r="D57" s="278">
        <f>SUMIFS('Actual - 2026'!$AS:$AS,'Actual - 2026'!$C:$C,'MILA 2F - Avg Ck'!B35)</f>
        <v>3101</v>
      </c>
      <c r="E57" s="290">
        <f t="shared" si="12"/>
        <v>170.07801031925186</v>
      </c>
      <c r="F57" s="260">
        <f t="shared" si="13"/>
        <v>189.80759528261183</v>
      </c>
      <c r="G57" s="200">
        <f t="shared" si="14"/>
        <v>0.11600315012108707</v>
      </c>
      <c r="H57">
        <f>SUMIFS('Budget - 2026'!$CI:$CI,'Budget - 2026'!$D:$D,'MILA 2F - Avg Ck'!B57)</f>
        <v>435055.79000000004</v>
      </c>
      <c r="I57" s="278">
        <f>SUMIFS('Budget - 2026'!$CJ:$CJ,'Budget - 2026'!$D:$D,'MILA 2F - Avg Ck'!B57)</f>
        <v>2884</v>
      </c>
      <c r="J57" s="260">
        <f t="shared" si="15"/>
        <v>150.85152219140085</v>
      </c>
      <c r="L57" s="260" t="e">
        <f>SUMIFS(#REF!,#REF!,'MILA 2F - Avg Ck'!B57)</f>
        <v>#REF!</v>
      </c>
      <c r="M57" t="e">
        <f>SUMIFS(#REF!,#REF!,'MILA 2F - Avg Ck'!B57)</f>
        <v>#REF!</v>
      </c>
      <c r="N57" t="e">
        <f>SUMIFS(#REF!,#REF!,'MILA 2F - Avg Ck'!B57)</f>
        <v>#REF!</v>
      </c>
      <c r="O57" t="e">
        <f>SUMIFS(#REF!,#REF!,'MILA 2F - Avg Ck'!B57)</f>
        <v>#REF!</v>
      </c>
      <c r="P57" t="e">
        <f>SUMIFS(#REF!,#REF!,'MILA 2F - Avg Ck'!B57)</f>
        <v>#REF!</v>
      </c>
      <c r="Q57" t="e">
        <f>SUMIFS(#REF!,#REF!,'MILA 2F - Avg Ck'!B57)</f>
        <v>#REF!</v>
      </c>
      <c r="R57" s="263"/>
      <c r="S57" s="263"/>
      <c r="T57" s="263"/>
    </row>
    <row r="58" spans="2:23">
      <c r="B58" s="269">
        <f t="shared" si="11"/>
        <v>30</v>
      </c>
      <c r="C58">
        <f>SUMIFS('Actual - 2026'!$AR:$AR,'Actual - 2026'!$C:$C,'MILA 2F - Avg Ck'!B36)</f>
        <v>485548.81</v>
      </c>
      <c r="D58" s="278">
        <f>SUMIFS('Actual - 2026'!$AS:$AS,'Actual - 2026'!$C:$C,'MILA 2F - Avg Ck'!B36)</f>
        <v>3108</v>
      </c>
      <c r="E58" s="290">
        <f t="shared" si="12"/>
        <v>156.22548584298585</v>
      </c>
      <c r="F58" s="260">
        <f t="shared" si="13"/>
        <v>174.59216017019983</v>
      </c>
      <c r="G58" s="200">
        <f t="shared" si="14"/>
        <v>0.11756516056332435</v>
      </c>
      <c r="H58">
        <f>SUMIFS('Budget - 2026'!$CI:$CI,'Budget - 2026'!$D:$D,'MILA 2F - Avg Ck'!B58)</f>
        <v>453918.84</v>
      </c>
      <c r="I58" s="278">
        <f>SUMIFS('Budget - 2026'!$CJ:$CJ,'Budget - 2026'!$D:$D,'MILA 2F - Avg Ck'!B58)</f>
        <v>3159</v>
      </c>
      <c r="J58" s="260">
        <f t="shared" si="15"/>
        <v>143.69067426400761</v>
      </c>
      <c r="L58" s="260" t="e">
        <f>SUMIFS(#REF!,#REF!,'MILA 2F - Avg Ck'!B58)</f>
        <v>#REF!</v>
      </c>
      <c r="M58" t="e">
        <f>SUMIFS(#REF!,#REF!,'MILA 2F - Avg Ck'!B58)</f>
        <v>#REF!</v>
      </c>
      <c r="N58" t="e">
        <f>SUMIFS(#REF!,#REF!,'MILA 2F - Avg Ck'!B58)</f>
        <v>#REF!</v>
      </c>
      <c r="O58" t="e">
        <f>SUMIFS(#REF!,#REF!,'MILA 2F - Avg Ck'!B58)</f>
        <v>#REF!</v>
      </c>
      <c r="P58" t="e">
        <f>SUMIFS(#REF!,#REF!,'MILA 2F - Avg Ck'!B58)</f>
        <v>#REF!</v>
      </c>
      <c r="Q58" t="e">
        <f>SUMIFS(#REF!,#REF!,'MILA 2F - Avg Ck'!B58)</f>
        <v>#REF!</v>
      </c>
      <c r="R58" s="263"/>
      <c r="S58" s="263"/>
      <c r="T58" s="263"/>
    </row>
    <row r="59" spans="2:23">
      <c r="B59" s="269">
        <f t="shared" si="11"/>
        <v>31</v>
      </c>
      <c r="C59">
        <f>SUMIFS('Actual - 2026'!$AR:$AR,'Actual - 2026'!$C:$C,'MILA 2F - Avg Ck'!B37)</f>
        <v>455530.85000000003</v>
      </c>
      <c r="D59" s="278">
        <f>SUMIFS('Actual - 2026'!$AS:$AS,'Actual - 2026'!$C:$C,'MILA 2F - Avg Ck'!B37)</f>
        <v>2903</v>
      </c>
      <c r="E59" s="290">
        <f t="shared" si="12"/>
        <v>156.91727523251811</v>
      </c>
      <c r="F59" s="260">
        <f t="shared" si="13"/>
        <v>171.67736443194249</v>
      </c>
      <c r="G59" s="200">
        <f t="shared" si="14"/>
        <v>9.4062869607906871E-2</v>
      </c>
      <c r="H59">
        <f>SUMIFS('Budget - 2026'!$CI:$CI,'Budget - 2026'!$D:$D,'MILA 2F - Avg Ck'!B59)</f>
        <v>387650.75</v>
      </c>
      <c r="I59" s="278">
        <f>SUMIFS('Budget - 2026'!$CJ:$CJ,'Budget - 2026'!$D:$D,'MILA 2F - Avg Ck'!B59)</f>
        <v>2791</v>
      </c>
      <c r="J59" s="260">
        <f t="shared" si="15"/>
        <v>138.89313865997849</v>
      </c>
      <c r="L59" s="260" t="e">
        <f>SUMIFS(#REF!,#REF!,'MILA 2F - Avg Ck'!B59)</f>
        <v>#REF!</v>
      </c>
      <c r="M59" t="e">
        <f>SUMIFS(#REF!,#REF!,'MILA 2F - Avg Ck'!B59)</f>
        <v>#REF!</v>
      </c>
      <c r="N59" t="e">
        <f>SUMIFS(#REF!,#REF!,'MILA 2F - Avg Ck'!B59)</f>
        <v>#REF!</v>
      </c>
      <c r="O59" t="e">
        <f>SUMIFS(#REF!,#REF!,'MILA 2F - Avg Ck'!B59)</f>
        <v>#REF!</v>
      </c>
      <c r="P59" t="e">
        <f>SUMIFS(#REF!,#REF!,'MILA 2F - Avg Ck'!B59)</f>
        <v>#REF!</v>
      </c>
      <c r="Q59" t="e">
        <f>SUMIFS(#REF!,#REF!,'MILA 2F - Avg Ck'!B59)</f>
        <v>#REF!</v>
      </c>
      <c r="R59" s="263"/>
      <c r="S59" s="264"/>
      <c r="T59" s="263"/>
    </row>
    <row r="60" spans="2:23">
      <c r="B60" s="269">
        <f t="shared" si="11"/>
        <v>32</v>
      </c>
      <c r="C60">
        <f>SUMIFS('Actual - 2026'!$AR:$AR,'Actual - 2026'!$C:$C,'MILA 2F - Avg Ck'!B38)</f>
        <v>439726.29</v>
      </c>
      <c r="D60" s="278">
        <f>SUMIFS('Actual - 2026'!$AS:$AS,'Actual - 2026'!$C:$C,'MILA 2F - Avg Ck'!B38)</f>
        <v>2721</v>
      </c>
      <c r="E60" s="290">
        <f t="shared" si="12"/>
        <v>161.60466372657112</v>
      </c>
      <c r="F60" s="260">
        <f t="shared" si="13"/>
        <v>161.2623899264768</v>
      </c>
      <c r="G60" s="200">
        <f t="shared" si="14"/>
        <v>-2.1179698172166151E-3</v>
      </c>
      <c r="H60">
        <f>SUMIFS('Budget - 2026'!$CI:$CI,'Budget - 2026'!$D:$D,'MILA 2F - Avg Ck'!B60)</f>
        <v>421854.13</v>
      </c>
      <c r="I60" s="278">
        <f>SUMIFS('Budget - 2026'!$CJ:$CJ,'Budget - 2026'!$D:$D,'MILA 2F - Avg Ck'!B60)</f>
        <v>3041</v>
      </c>
      <c r="J60" s="260">
        <f t="shared" si="15"/>
        <v>138.72217362709634</v>
      </c>
      <c r="L60" s="260" t="e">
        <f>SUMIFS(#REF!,#REF!,'MILA 2F - Avg Ck'!B60)</f>
        <v>#REF!</v>
      </c>
      <c r="M60" t="e">
        <f>SUMIFS(#REF!,#REF!,'MILA 2F - Avg Ck'!B60)</f>
        <v>#REF!</v>
      </c>
      <c r="N60" t="e">
        <f>SUMIFS(#REF!,#REF!,'MILA 2F - Avg Ck'!B60)</f>
        <v>#REF!</v>
      </c>
      <c r="O60" t="e">
        <f>SUMIFS(#REF!,#REF!,'MILA 2F - Avg Ck'!B60)</f>
        <v>#REF!</v>
      </c>
      <c r="P60" t="e">
        <f>SUMIFS(#REF!,#REF!,'MILA 2F - Avg Ck'!B60)</f>
        <v>#REF!</v>
      </c>
      <c r="Q60" t="e">
        <f>SUMIFS(#REF!,#REF!,'MILA 2F - Avg Ck'!B60)</f>
        <v>#REF!</v>
      </c>
      <c r="R60" s="263"/>
      <c r="S60" s="264"/>
      <c r="T60" s="263"/>
    </row>
    <row r="61" spans="2:23">
      <c r="B61" s="269">
        <f t="shared" si="11"/>
        <v>33</v>
      </c>
      <c r="C61">
        <f>SUMIFS('Actual - 2026'!$AR:$AR,'Actual - 2026'!$C:$C,'MILA 2F - Avg Ck'!B39)</f>
        <v>372957.05999999994</v>
      </c>
      <c r="D61" s="278">
        <f>SUMIFS('Actual - 2026'!$AS:$AS,'Actual - 2026'!$C:$C,'MILA 2F - Avg Ck'!B39)</f>
        <v>2581</v>
      </c>
      <c r="E61" s="290">
        <f t="shared" si="12"/>
        <v>144.50099186361874</v>
      </c>
      <c r="F61" s="260">
        <f t="shared" si="13"/>
        <v>155.02192256695835</v>
      </c>
      <c r="G61" s="200">
        <f t="shared" si="14"/>
        <v>7.2808709252801251E-2</v>
      </c>
      <c r="H61">
        <f>SUMIFS('Budget - 2026'!$CI:$CI,'Budget - 2026'!$D:$D,'MILA 2F - Avg Ck'!B61)</f>
        <v>561814.43999999994</v>
      </c>
      <c r="I61" s="278">
        <f>SUMIFS('Budget - 2026'!$CJ:$CJ,'Budget - 2026'!$D:$D,'MILA 2F - Avg Ck'!B61)</f>
        <v>3647</v>
      </c>
      <c r="J61" s="260">
        <f t="shared" si="15"/>
        <v>154.04837948999176</v>
      </c>
      <c r="L61" s="260" t="e">
        <f>SUMIFS(#REF!,#REF!,'MILA 2F - Avg Ck'!B61)</f>
        <v>#REF!</v>
      </c>
      <c r="M61" t="e">
        <f>SUMIFS(#REF!,#REF!,'MILA 2F - Avg Ck'!B61)</f>
        <v>#REF!</v>
      </c>
      <c r="N61" t="e">
        <f>SUMIFS(#REF!,#REF!,'MILA 2F - Avg Ck'!B61)</f>
        <v>#REF!</v>
      </c>
      <c r="O61" t="e">
        <f>SUMIFS(#REF!,#REF!,'MILA 2F - Avg Ck'!B61)</f>
        <v>#REF!</v>
      </c>
      <c r="P61" t="e">
        <f>SUMIFS(#REF!,#REF!,'MILA 2F - Avg Ck'!B61)</f>
        <v>#REF!</v>
      </c>
      <c r="Q61" t="e">
        <f>SUMIFS(#REF!,#REF!,'MILA 2F - Avg Ck'!B61)</f>
        <v>#REF!</v>
      </c>
      <c r="R61" s="263"/>
      <c r="S61" s="265"/>
      <c r="T61" s="263"/>
    </row>
    <row r="62" spans="2:23">
      <c r="B62" s="269">
        <f t="shared" si="11"/>
        <v>34</v>
      </c>
      <c r="C62">
        <f>SUMIFS('Actual - 2026'!$AR:$AR,'Actual - 2026'!$C:$C,'MILA 2F - Avg Ck'!B40)</f>
        <v>386565.86</v>
      </c>
      <c r="D62" s="278">
        <f>SUMIFS('Actual - 2026'!$AS:$AS,'Actual - 2026'!$C:$C,'MILA 2F - Avg Ck'!B40)</f>
        <v>0</v>
      </c>
      <c r="E62" s="290">
        <f t="shared" si="12"/>
        <v>0</v>
      </c>
      <c r="F62" s="260">
        <f t="shared" si="13"/>
        <v>201.67947105423522</v>
      </c>
      <c r="G62" s="200" t="e">
        <f t="shared" si="14"/>
        <v>#DIV/0!</v>
      </c>
      <c r="H62">
        <f>SUMIFS('Budget - 2026'!$CI:$CI,'Budget - 2026'!$D:$D,'MILA 2F - Avg Ck'!B62)</f>
        <v>493511.75</v>
      </c>
      <c r="I62" s="278">
        <f>SUMIFS('Budget - 2026'!$CJ:$CJ,'Budget - 2026'!$D:$D,'MILA 2F - Avg Ck'!B62)</f>
        <v>3463</v>
      </c>
      <c r="J62" s="260">
        <f t="shared" si="15"/>
        <v>142.50989026855328</v>
      </c>
      <c r="L62" s="260" t="e">
        <f>SUMIFS(#REF!,#REF!,'MILA 2F - Avg Ck'!B62)</f>
        <v>#REF!</v>
      </c>
      <c r="M62" t="e">
        <f>SUMIFS(#REF!,#REF!,'MILA 2F - Avg Ck'!B62)</f>
        <v>#REF!</v>
      </c>
      <c r="N62" t="e">
        <f>SUMIFS(#REF!,#REF!,'MILA 2F - Avg Ck'!B62)</f>
        <v>#REF!</v>
      </c>
      <c r="O62" t="e">
        <f>SUMIFS(#REF!,#REF!,'MILA 2F - Avg Ck'!B62)</f>
        <v>#REF!</v>
      </c>
      <c r="P62" t="e">
        <f>SUMIFS(#REF!,#REF!,'MILA 2F - Avg Ck'!B62)</f>
        <v>#REF!</v>
      </c>
      <c r="Q62" t="e">
        <f>SUMIFS(#REF!,#REF!,'MILA 2F - Avg Ck'!B62)</f>
        <v>#REF!</v>
      </c>
      <c r="R62" s="263"/>
      <c r="S62" s="264"/>
      <c r="T62" s="263"/>
    </row>
    <row r="63" spans="2:23">
      <c r="B63" s="269">
        <f t="shared" si="11"/>
        <v>35</v>
      </c>
      <c r="C63">
        <f>SUMIFS('Actual - 2026'!$AR:$AR,'Actual - 2026'!$C:$C,'MILA 2F - Avg Ck'!B41)</f>
        <v>0</v>
      </c>
      <c r="D63" s="278">
        <f>SUMIFS('Actual - 2026'!$AS:$AS,'Actual - 2026'!$C:$C,'MILA 2F - Avg Ck'!B41)</f>
        <v>0</v>
      </c>
      <c r="E63" s="290">
        <f t="shared" si="12"/>
        <v>0</v>
      </c>
      <c r="F63" s="260">
        <f t="shared" si="13"/>
        <v>226.18808185590342</v>
      </c>
      <c r="G63" s="200" t="e">
        <f t="shared" si="14"/>
        <v>#DIV/0!</v>
      </c>
      <c r="H63">
        <f>SUMIFS('Budget - 2026'!$CI:$CI,'Budget - 2026'!$D:$D,'MILA 2F - Avg Ck'!B63)</f>
        <v>554626.54</v>
      </c>
      <c r="I63" s="278">
        <f>SUMIFS('Budget - 2026'!$CJ:$CJ,'Budget - 2026'!$D:$D,'MILA 2F - Avg Ck'!B63)</f>
        <v>3489</v>
      </c>
      <c r="J63" s="260">
        <f t="shared" si="15"/>
        <v>158.9643278876469</v>
      </c>
      <c r="L63" s="260" t="e">
        <f>SUMIFS(#REF!,#REF!,'MILA 2F - Avg Ck'!B63)</f>
        <v>#REF!</v>
      </c>
      <c r="M63" t="e">
        <f>SUMIFS(#REF!,#REF!,'MILA 2F - Avg Ck'!B63)</f>
        <v>#REF!</v>
      </c>
      <c r="N63" t="e">
        <f>SUMIFS(#REF!,#REF!,'MILA 2F - Avg Ck'!B63)</f>
        <v>#REF!</v>
      </c>
      <c r="O63" t="e">
        <f>SUMIFS(#REF!,#REF!,'MILA 2F - Avg Ck'!B63)</f>
        <v>#REF!</v>
      </c>
      <c r="P63" t="e">
        <f>SUMIFS(#REF!,#REF!,'MILA 2F - Avg Ck'!B63)</f>
        <v>#REF!</v>
      </c>
      <c r="Q63" t="e">
        <f>SUMIFS(#REF!,#REF!,'MILA 2F - Avg Ck'!B63)</f>
        <v>#REF!</v>
      </c>
      <c r="R63" s="263"/>
      <c r="S63" s="265"/>
      <c r="T63" s="263"/>
    </row>
    <row r="64" spans="2:23">
      <c r="B64" s="269">
        <f t="shared" si="11"/>
        <v>36</v>
      </c>
      <c r="C64">
        <f>SUMIFS('Actual - 2026'!$AR:$AR,'Actual - 2026'!$C:$C,'MILA 2F - Avg Ck'!B42)</f>
        <v>0</v>
      </c>
      <c r="D64" s="278">
        <f>SUMIFS('Actual - 2026'!$AS:$AS,'Actual - 2026'!$C:$C,'MILA 2F - Avg Ck'!B42)</f>
        <v>0</v>
      </c>
      <c r="E64" s="290">
        <f t="shared" si="12"/>
        <v>0</v>
      </c>
      <c r="F64" s="260">
        <f t="shared" si="13"/>
        <v>294.27466873304917</v>
      </c>
      <c r="G64" s="200" t="e">
        <f t="shared" si="14"/>
        <v>#DIV/0!</v>
      </c>
      <c r="H64">
        <f>SUMIFS('Budget - 2026'!$CI:$CI,'Budget - 2026'!$D:$D,'MILA 2F - Avg Ck'!B64)</f>
        <v>397557.26</v>
      </c>
      <c r="I64" s="278">
        <f>SUMIFS('Budget - 2026'!$CJ:$CJ,'Budget - 2026'!$D:$D,'MILA 2F - Avg Ck'!B64)</f>
        <v>2678</v>
      </c>
      <c r="J64" s="260">
        <f t="shared" si="15"/>
        <v>148.45304705003736</v>
      </c>
      <c r="L64" s="260" t="e">
        <f>SUMIFS(#REF!,#REF!,'MILA 2F - Avg Ck'!B64)</f>
        <v>#REF!</v>
      </c>
      <c r="M64" t="e">
        <f>SUMIFS(#REF!,#REF!,'MILA 2F - Avg Ck'!B64)</f>
        <v>#REF!</v>
      </c>
      <c r="N64" t="e">
        <f>SUMIFS(#REF!,#REF!,'MILA 2F - Avg Ck'!B64)</f>
        <v>#REF!</v>
      </c>
      <c r="O64" t="e">
        <f>SUMIFS(#REF!,#REF!,'MILA 2F - Avg Ck'!B64)</f>
        <v>#REF!</v>
      </c>
      <c r="P64" t="e">
        <f>SUMIFS(#REF!,#REF!,'MILA 2F - Avg Ck'!B64)</f>
        <v>#REF!</v>
      </c>
      <c r="Q64" t="e">
        <f>SUMIFS(#REF!,#REF!,'MILA 2F - Avg Ck'!B64)</f>
        <v>#REF!</v>
      </c>
      <c r="R64" s="263"/>
      <c r="S64" s="264"/>
      <c r="T64" s="263"/>
    </row>
    <row r="65" spans="2:23">
      <c r="B65" s="269">
        <f t="shared" si="11"/>
        <v>37</v>
      </c>
      <c r="C65">
        <f>SUMIFS('Actual - 2026'!$AR:$AR,'Actual - 2026'!$C:$C,'MILA 2F - Avg Ck'!B43)</f>
        <v>0</v>
      </c>
      <c r="D65" s="278">
        <f>SUMIFS('Actual - 2026'!$AS:$AS,'Actual - 2026'!$C:$C,'MILA 2F - Avg Ck'!B43)</f>
        <v>0</v>
      </c>
      <c r="E65" s="290">
        <f t="shared" si="12"/>
        <v>0</v>
      </c>
      <c r="F65" s="260" t="e">
        <f t="shared" si="13"/>
        <v>#DIV/0!</v>
      </c>
      <c r="G65" s="200" t="e">
        <f t="shared" si="14"/>
        <v>#DIV/0!</v>
      </c>
      <c r="H65">
        <f>SUMIFS('Budget - 2026'!$CI:$CI,'Budget - 2026'!$D:$D,'MILA 2F - Avg Ck'!B65)</f>
        <v>481710.5</v>
      </c>
      <c r="I65" s="278">
        <f>SUMIFS('Budget - 2026'!$CJ:$CJ,'Budget - 2026'!$D:$D,'MILA 2F - Avg Ck'!B65)</f>
        <v>3283</v>
      </c>
      <c r="J65" s="260">
        <f t="shared" si="15"/>
        <v>146.72875418824245</v>
      </c>
      <c r="L65" s="260" t="e">
        <f>SUMIFS(#REF!,#REF!,'MILA 2F - Avg Ck'!B65)</f>
        <v>#REF!</v>
      </c>
      <c r="M65" t="e">
        <f>SUMIFS(#REF!,#REF!,'MILA 2F - Avg Ck'!B65)</f>
        <v>#REF!</v>
      </c>
      <c r="N65" t="e">
        <f>SUMIFS(#REF!,#REF!,'MILA 2F - Avg Ck'!B65)</f>
        <v>#REF!</v>
      </c>
      <c r="O65" t="e">
        <f>SUMIFS(#REF!,#REF!,'MILA 2F - Avg Ck'!B65)</f>
        <v>#REF!</v>
      </c>
      <c r="P65" t="e">
        <f>SUMIFS(#REF!,#REF!,'MILA 2F - Avg Ck'!B65)</f>
        <v>#REF!</v>
      </c>
      <c r="Q65" t="e">
        <f>SUMIFS(#REF!,#REF!,'MILA 2F - Avg Ck'!B65)</f>
        <v>#REF!</v>
      </c>
      <c r="R65" s="263"/>
      <c r="S65" s="264"/>
      <c r="T65" s="263"/>
    </row>
    <row r="66" spans="2:23">
      <c r="B66" s="269">
        <f t="shared" si="11"/>
        <v>38</v>
      </c>
      <c r="C66">
        <f>SUMIFS('Actual - 2026'!$AR:$AR,'Actual - 2026'!$C:$C,'MILA 2F - Avg Ck'!B44)</f>
        <v>0</v>
      </c>
      <c r="D66" s="278">
        <f>SUMIFS('Actual - 2026'!$AS:$AS,'Actual - 2026'!$C:$C,'MILA 2F - Avg Ck'!B44)</f>
        <v>0</v>
      </c>
      <c r="E66" s="290">
        <f t="shared" si="12"/>
        <v>0</v>
      </c>
      <c r="F66" s="260" t="e">
        <f t="shared" si="13"/>
        <v>#DIV/0!</v>
      </c>
      <c r="G66" s="200" t="e">
        <f t="shared" si="14"/>
        <v>#DIV/0!</v>
      </c>
      <c r="H66">
        <f>SUMIFS('Budget - 2026'!$CI:$CI,'Budget - 2026'!$D:$D,'MILA 2F - Avg Ck'!B66)</f>
        <v>502088.24</v>
      </c>
      <c r="I66" s="278">
        <f>SUMIFS('Budget - 2026'!$CJ:$CJ,'Budget - 2026'!$D:$D,'MILA 2F - Avg Ck'!B66)</f>
        <v>3704</v>
      </c>
      <c r="J66" s="260">
        <f t="shared" si="15"/>
        <v>135.55298056155507</v>
      </c>
      <c r="L66" s="260" t="e">
        <f>SUMIFS(#REF!,#REF!,'MILA 2F - Avg Ck'!B66)</f>
        <v>#REF!</v>
      </c>
      <c r="M66" t="e">
        <f>SUMIFS(#REF!,#REF!,'MILA 2F - Avg Ck'!B66)</f>
        <v>#REF!</v>
      </c>
      <c r="N66" t="e">
        <f>SUMIFS(#REF!,#REF!,'MILA 2F - Avg Ck'!B66)</f>
        <v>#REF!</v>
      </c>
      <c r="O66" t="e">
        <f>SUMIFS(#REF!,#REF!,'MILA 2F - Avg Ck'!B66)</f>
        <v>#REF!</v>
      </c>
      <c r="P66" t="e">
        <f>SUMIFS(#REF!,#REF!,'MILA 2F - Avg Ck'!B66)</f>
        <v>#REF!</v>
      </c>
      <c r="Q66" t="e">
        <f>SUMIFS(#REF!,#REF!,'MILA 2F - Avg Ck'!B66)</f>
        <v>#REF!</v>
      </c>
      <c r="R66" s="263"/>
      <c r="S66" s="264"/>
      <c r="T66" s="263"/>
    </row>
    <row r="67" spans="2:23">
      <c r="B67" s="269">
        <f t="shared" si="11"/>
        <v>39</v>
      </c>
      <c r="C67">
        <f>SUMIFS('Actual - 2026'!$AR:$AR,'Actual - 2026'!$C:$C,'MILA 2F - Avg Ck'!B45)</f>
        <v>0</v>
      </c>
      <c r="D67" s="278">
        <f>SUMIFS('Actual - 2026'!$AS:$AS,'Actual - 2026'!$C:$C,'MILA 2F - Avg Ck'!B45)</f>
        <v>0</v>
      </c>
      <c r="E67" s="290">
        <f t="shared" si="12"/>
        <v>0</v>
      </c>
      <c r="F67" s="260" t="e">
        <f t="shared" si="13"/>
        <v>#DIV/0!</v>
      </c>
      <c r="G67" s="200" t="e">
        <f t="shared" si="14"/>
        <v>#DIV/0!</v>
      </c>
      <c r="H67">
        <f>SUMIFS('Budget - 2026'!$CI:$CI,'Budget - 2026'!$D:$D,'MILA 2F - Avg Ck'!B67)</f>
        <v>516060.21</v>
      </c>
      <c r="I67" s="278">
        <f>SUMIFS('Budget - 2026'!$CJ:$CJ,'Budget - 2026'!$D:$D,'MILA 2F - Avg Ck'!B67)</f>
        <v>3191</v>
      </c>
      <c r="J67" s="260">
        <f t="shared" si="15"/>
        <v>161.72366342839237</v>
      </c>
      <c r="L67" s="260" t="e">
        <f>SUMIFS(#REF!,#REF!,'MILA 2F - Avg Ck'!B67)</f>
        <v>#REF!</v>
      </c>
      <c r="M67" t="e">
        <f>SUMIFS(#REF!,#REF!,'MILA 2F - Avg Ck'!B67)</f>
        <v>#REF!</v>
      </c>
      <c r="N67" t="e">
        <f>SUMIFS(#REF!,#REF!,'MILA 2F - Avg Ck'!B67)</f>
        <v>#REF!</v>
      </c>
      <c r="O67" t="e">
        <f>SUMIFS(#REF!,#REF!,'MILA 2F - Avg Ck'!B67)</f>
        <v>#REF!</v>
      </c>
      <c r="P67" t="e">
        <f>SUMIFS(#REF!,#REF!,'MILA 2F - Avg Ck'!B67)</f>
        <v>#REF!</v>
      </c>
      <c r="Q67" t="e">
        <f>SUMIFS(#REF!,#REF!,'MILA 2F - Avg Ck'!B67)</f>
        <v>#REF!</v>
      </c>
      <c r="R67" s="263"/>
      <c r="S67" s="264"/>
      <c r="T67" s="263"/>
    </row>
    <row r="68" spans="2:23">
      <c r="B68" s="269">
        <f t="shared" si="11"/>
        <v>40</v>
      </c>
      <c r="C68">
        <f>SUMIFS('Actual - 2026'!$AR:$AR,'Actual - 2026'!$C:$C,'MILA 2F - Avg Ck'!B46)</f>
        <v>0</v>
      </c>
      <c r="D68" s="278">
        <f>SUMIFS('Actual - 2026'!$AS:$AS,'Actual - 2026'!$C:$C,'MILA 2F - Avg Ck'!B46)</f>
        <v>0</v>
      </c>
      <c r="E68" s="290">
        <f t="shared" si="12"/>
        <v>0</v>
      </c>
      <c r="F68" s="260" t="e">
        <f t="shared" si="13"/>
        <v>#DIV/0!</v>
      </c>
      <c r="G68" s="200" t="e">
        <f t="shared" si="14"/>
        <v>#DIV/0!</v>
      </c>
      <c r="H68">
        <f>SUMIFS('Budget - 2026'!$CI:$CI,'Budget - 2026'!$D:$D,'MILA 2F - Avg Ck'!B68)</f>
        <v>491620.20999999996</v>
      </c>
      <c r="I68" s="278">
        <f>SUMIFS('Budget - 2026'!$CJ:$CJ,'Budget - 2026'!$D:$D,'MILA 2F - Avg Ck'!B68)</f>
        <v>2983</v>
      </c>
      <c r="J68" s="260">
        <f t="shared" si="15"/>
        <v>164.80731143144484</v>
      </c>
      <c r="L68" s="260" t="e">
        <f>SUMIFS(#REF!,#REF!,'MILA 2F - Avg Ck'!B68)</f>
        <v>#REF!</v>
      </c>
      <c r="M68" s="294" t="e">
        <f>SUMIFS(#REF!,#REF!,'MILA 2F - Avg Ck'!B68)</f>
        <v>#REF!</v>
      </c>
      <c r="N68" s="294" t="e">
        <f>SUMIFS(#REF!,#REF!,'MILA 2F - Avg Ck'!B68)</f>
        <v>#REF!</v>
      </c>
      <c r="O68" t="e">
        <f>SUMIFS(#REF!,#REF!,'MILA 2F - Avg Ck'!B68)</f>
        <v>#REF!</v>
      </c>
      <c r="P68" t="e">
        <f>SUMIFS(#REF!,#REF!,'MILA 2F - Avg Ck'!B68)</f>
        <v>#REF!</v>
      </c>
      <c r="Q68" t="e">
        <f>SUMIFS(#REF!,#REF!,'MILA 2F - Avg Ck'!B68)</f>
        <v>#REF!</v>
      </c>
    </row>
    <row r="69" spans="2:23">
      <c r="B69" s="269">
        <f t="shared" si="11"/>
        <v>41</v>
      </c>
      <c r="C69">
        <f>SUMIFS('Actual - 2026'!$AR:$AR,'Actual - 2026'!$C:$C,'MILA 2F - Avg Ck'!B47)</f>
        <v>0</v>
      </c>
      <c r="D69" s="278">
        <f>SUMIFS('Actual - 2026'!$AS:$AS,'Actual - 2026'!$C:$C,'MILA 2F - Avg Ck'!B47)</f>
        <v>0</v>
      </c>
      <c r="E69" s="290">
        <f t="shared" si="12"/>
        <v>0</v>
      </c>
      <c r="F69" s="260" t="e">
        <f t="shared" si="13"/>
        <v>#DIV/0!</v>
      </c>
      <c r="G69" s="200" t="e">
        <f t="shared" si="14"/>
        <v>#DIV/0!</v>
      </c>
      <c r="H69">
        <f>SUMIFS('Budget - 2026'!$CI:$CI,'Budget - 2026'!$D:$D,'MILA 2F - Avg Ck'!B69)</f>
        <v>495789.84</v>
      </c>
      <c r="I69" s="278">
        <f>SUMIFS('Budget - 2026'!$CJ:$CJ,'Budget - 2026'!$D:$D,'MILA 2F - Avg Ck'!B69)</f>
        <v>3123</v>
      </c>
      <c r="J69" s="260">
        <f t="shared" si="15"/>
        <v>158.7543515850144</v>
      </c>
      <c r="L69" s="260" t="e">
        <f>SUMIFS(#REF!,#REF!,'MILA 2F - Avg Ck'!B69)</f>
        <v>#REF!</v>
      </c>
      <c r="M69" s="294" t="e">
        <f>SUMIFS(#REF!,#REF!,'MILA 2F - Avg Ck'!B69)</f>
        <v>#REF!</v>
      </c>
      <c r="N69" s="294" t="e">
        <f>SUMIFS(#REF!,#REF!,'MILA 2F - Avg Ck'!B69)</f>
        <v>#REF!</v>
      </c>
      <c r="O69" t="e">
        <f>SUMIFS(#REF!,#REF!,'MILA 2F - Avg Ck'!B69)</f>
        <v>#REF!</v>
      </c>
      <c r="P69" t="e">
        <f>SUMIFS(#REF!,#REF!,'MILA 2F - Avg Ck'!B69)</f>
        <v>#REF!</v>
      </c>
      <c r="Q69" t="e">
        <f>SUMIFS(#REF!,#REF!,'MILA 2F - Avg Ck'!B69)</f>
        <v>#REF!</v>
      </c>
    </row>
    <row r="71" spans="2:23" ht="21">
      <c r="B71" s="421" t="s">
        <v>231</v>
      </c>
      <c r="C71" s="421"/>
      <c r="D71" s="421"/>
      <c r="E71" s="421"/>
      <c r="F71" s="421"/>
      <c r="G71" s="421"/>
      <c r="H71" s="421"/>
      <c r="I71" s="421"/>
      <c r="J71" s="421"/>
    </row>
    <row r="72" spans="2:23">
      <c r="B72" s="272"/>
      <c r="C72" s="272"/>
      <c r="D72" s="274"/>
      <c r="E72" s="272"/>
      <c r="F72" s="272"/>
      <c r="G72" s="272"/>
      <c r="H72" s="272"/>
      <c r="I72" s="274"/>
      <c r="J72" s="272"/>
    </row>
    <row r="73" spans="2:23">
      <c r="B73" s="267" t="s">
        <v>2</v>
      </c>
      <c r="C73" s="276" t="str">
        <f>C51</f>
        <v>Sales</v>
      </c>
      <c r="D73" s="276" t="str">
        <f>D51</f>
        <v>Covers</v>
      </c>
      <c r="E73" s="267" t="s">
        <v>218</v>
      </c>
      <c r="F73" s="271" t="s">
        <v>219</v>
      </c>
      <c r="G73" s="267" t="s">
        <v>220</v>
      </c>
      <c r="H73" s="276" t="str">
        <f t="shared" ref="H73:J73" si="16">H51</f>
        <v>Sales</v>
      </c>
      <c r="I73" s="276" t="str">
        <f t="shared" si="16"/>
        <v>LY Covers</v>
      </c>
      <c r="J73" s="276" t="str">
        <f t="shared" si="16"/>
        <v>LY Avg Check</v>
      </c>
      <c r="L73" s="284" t="s">
        <v>223</v>
      </c>
      <c r="M73" s="284" t="s">
        <v>224</v>
      </c>
      <c r="N73" s="284" t="s">
        <v>225</v>
      </c>
      <c r="O73" s="284" t="s">
        <v>223</v>
      </c>
      <c r="P73" s="284" t="s">
        <v>224</v>
      </c>
      <c r="Q73" s="284" t="s">
        <v>225</v>
      </c>
      <c r="R73" s="284" t="s">
        <v>226</v>
      </c>
      <c r="S73" s="284" t="s">
        <v>227</v>
      </c>
      <c r="T73" s="284" t="s">
        <v>228</v>
      </c>
      <c r="U73" s="284" t="s">
        <v>226</v>
      </c>
      <c r="V73" s="284" t="s">
        <v>227</v>
      </c>
      <c r="W73" s="284" t="s">
        <v>228</v>
      </c>
    </row>
    <row r="74" spans="2:23">
      <c r="B74" s="267"/>
      <c r="C74" s="267"/>
      <c r="D74" s="276"/>
      <c r="E74" s="267"/>
      <c r="F74" s="271"/>
      <c r="G74" s="267"/>
      <c r="H74" s="267"/>
      <c r="I74" s="276"/>
      <c r="J74" s="271"/>
      <c r="L74" s="423" t="s">
        <v>71</v>
      </c>
      <c r="M74" s="423"/>
      <c r="N74" s="423"/>
      <c r="O74" s="423" t="s">
        <v>63</v>
      </c>
      <c r="P74" s="423"/>
      <c r="Q74" s="423"/>
      <c r="R74" s="423" t="s">
        <v>71</v>
      </c>
      <c r="S74" s="423"/>
      <c r="T74" s="423"/>
      <c r="U74" s="423" t="s">
        <v>63</v>
      </c>
      <c r="V74" s="423"/>
      <c r="W74" s="423"/>
    </row>
    <row r="75" spans="2:23" ht="14.45" customHeight="1" outlineLevel="1">
      <c r="B75" s="269">
        <f t="shared" ref="B75:B91" si="17">B53</f>
        <v>25</v>
      </c>
      <c r="C75">
        <f>SUMIFS('Actual - 2026'!$BA:$BA,'Actual - 2026'!$C:$C,'MILA 2F - Avg Ck'!B53)</f>
        <v>195511.72000000003</v>
      </c>
      <c r="D75" s="278">
        <f>SUMIFS('Actual - 2026'!$BB:$BB,'Actual - 2026'!$C:$C,'MILA 2F - Avg Ck'!B53)</f>
        <v>1560</v>
      </c>
      <c r="E75" s="260">
        <f t="shared" ref="E75:E91" si="18">IFERROR(C75/D75,0)</f>
        <v>125.32802564102566</v>
      </c>
      <c r="F75" s="260">
        <f t="shared" ref="F75:F91" si="19">SUM(C72:C75)/SUM(D72:D75)</f>
        <v>125.32802564102566</v>
      </c>
      <c r="G75" s="270">
        <f t="shared" ref="G75:G91" si="20">(F75-E75)/E75</f>
        <v>0</v>
      </c>
      <c r="H75">
        <v>0</v>
      </c>
      <c r="I75">
        <v>0</v>
      </c>
      <c r="J75" s="2">
        <v>0</v>
      </c>
      <c r="L75" s="260" t="e">
        <f>SUMIFS(#REF!,#REF!,'MILA 2F - Avg Ck'!B75)</f>
        <v>#REF!</v>
      </c>
      <c r="M75" s="260" t="e">
        <f>SUMIFS(#REF!,#REF!,'MILA 2F - Avg Ck'!B75)</f>
        <v>#REF!</v>
      </c>
      <c r="N75" s="260" t="e">
        <f>SUMIFS(#REF!,#REF!,'MILA 2F - Avg Ck'!B75)</f>
        <v>#REF!</v>
      </c>
      <c r="O75" s="263" t="e">
        <f>SUMIFS(#REF!,#REF!,'MILA 2F - Avg Ck'!B75)</f>
        <v>#REF!</v>
      </c>
      <c r="P75" s="263" t="e">
        <f>SUMIFS(#REF!,#REF!,'MILA 2F - Avg Ck'!B75)</f>
        <v>#REF!</v>
      </c>
      <c r="Q75" s="263" t="e">
        <f>SUMIFS(#REF!,#REF!,'MILA 2F - Avg Ck'!B75)</f>
        <v>#REF!</v>
      </c>
    </row>
    <row r="76" spans="2:23" ht="14.45" customHeight="1" outlineLevel="1">
      <c r="B76" s="269">
        <f t="shared" si="17"/>
        <v>26</v>
      </c>
      <c r="C76">
        <f>SUMIFS('Actual - 2026'!$BA:$BA,'Actual - 2026'!$C:$C,'MILA 2F - Avg Ck'!B54)</f>
        <v>255339.51</v>
      </c>
      <c r="D76" s="278">
        <f>SUMIFS('Actual - 2026'!$BB:$BB,'Actual - 2026'!$C:$C,'MILA 2F - Avg Ck'!B54)</f>
        <v>1856</v>
      </c>
      <c r="E76" s="260">
        <f t="shared" si="18"/>
        <v>137.57516702586207</v>
      </c>
      <c r="F76" s="260">
        <f t="shared" si="19"/>
        <v>131.98221018735364</v>
      </c>
      <c r="G76" s="270">
        <f t="shared" si="20"/>
        <v>-4.0653825537111908E-2</v>
      </c>
      <c r="H76">
        <v>0</v>
      </c>
      <c r="I76">
        <v>0</v>
      </c>
      <c r="J76" s="2">
        <v>0</v>
      </c>
      <c r="L76" s="260" t="e">
        <f>SUMIFS(#REF!,#REF!,'MILA 2F - Avg Ck'!B76)</f>
        <v>#REF!</v>
      </c>
      <c r="M76" s="260" t="e">
        <f>SUMIFS(#REF!,#REF!,'MILA 2F - Avg Ck'!B76)</f>
        <v>#REF!</v>
      </c>
      <c r="N76" s="260" t="e">
        <f>SUMIFS(#REF!,#REF!,'MILA 2F - Avg Ck'!B76)</f>
        <v>#REF!</v>
      </c>
      <c r="O76" s="263" t="e">
        <f>SUMIFS(#REF!,#REF!,'MILA 2F - Avg Ck'!B76)</f>
        <v>#REF!</v>
      </c>
      <c r="P76" s="263" t="e">
        <f>SUMIFS(#REF!,#REF!,'MILA 2F - Avg Ck'!B76)</f>
        <v>#REF!</v>
      </c>
      <c r="Q76" s="263" t="e">
        <f>SUMIFS(#REF!,#REF!,'MILA 2F - Avg Ck'!B76)</f>
        <v>#REF!</v>
      </c>
      <c r="R76" s="262"/>
      <c r="S76" s="262"/>
      <c r="T76" s="262"/>
    </row>
    <row r="77" spans="2:23" ht="14.45" customHeight="1" outlineLevel="1">
      <c r="B77" s="269">
        <f t="shared" si="17"/>
        <v>27</v>
      </c>
      <c r="C77">
        <f>SUMIFS('Actual - 2026'!$BA:$BA,'Actual - 2026'!$C:$C,'MILA 2F - Avg Ck'!B55)</f>
        <v>194003.46</v>
      </c>
      <c r="D77" s="278">
        <f>SUMIFS('Actual - 2026'!$BB:$BB,'Actual - 2026'!$C:$C,'MILA 2F - Avg Ck'!B55)</f>
        <v>1483</v>
      </c>
      <c r="E77" s="260">
        <f t="shared" si="18"/>
        <v>130.81824679703303</v>
      </c>
      <c r="F77" s="260">
        <f t="shared" si="19"/>
        <v>131.62986119616249</v>
      </c>
      <c r="G77" s="270">
        <f t="shared" si="20"/>
        <v>6.2041375649125059E-3</v>
      </c>
      <c r="H77">
        <v>0</v>
      </c>
      <c r="I77">
        <v>0</v>
      </c>
      <c r="J77" s="2">
        <v>0</v>
      </c>
      <c r="L77" s="260" t="e">
        <f>SUMIFS(#REF!,#REF!,'MILA 2F - Avg Ck'!B77)</f>
        <v>#REF!</v>
      </c>
      <c r="M77" s="260" t="e">
        <f>SUMIFS(#REF!,#REF!,'MILA 2F - Avg Ck'!B77)</f>
        <v>#REF!</v>
      </c>
      <c r="N77" s="260" t="e">
        <f>SUMIFS(#REF!,#REF!,'MILA 2F - Avg Ck'!B77)</f>
        <v>#REF!</v>
      </c>
      <c r="O77" s="263" t="e">
        <f>SUMIFS(#REF!,#REF!,'MILA 2F - Avg Ck'!B77)</f>
        <v>#REF!</v>
      </c>
      <c r="P77" s="263" t="e">
        <f>SUMIFS(#REF!,#REF!,'MILA 2F - Avg Ck'!B77)</f>
        <v>#REF!</v>
      </c>
      <c r="Q77" s="263" t="e">
        <f>SUMIFS(#REF!,#REF!,'MILA 2F - Avg Ck'!B77)</f>
        <v>#REF!</v>
      </c>
      <c r="R77" s="263"/>
      <c r="S77" s="263"/>
      <c r="T77" s="263"/>
    </row>
    <row r="78" spans="2:23" ht="14.45" customHeight="1" outlineLevel="1">
      <c r="B78" s="269">
        <f t="shared" si="17"/>
        <v>28</v>
      </c>
      <c r="C78">
        <f>SUMIFS('Actual - 2026'!$BA:$BA,'Actual - 2026'!$C:$C,'MILA 2F - Avg Ck'!B56)</f>
        <v>228037.41999999998</v>
      </c>
      <c r="D78" s="278">
        <f>SUMIFS('Actual - 2026'!$BB:$BB,'Actual - 2026'!$C:$C,'MILA 2F - Avg Ck'!B56)</f>
        <v>1677</v>
      </c>
      <c r="E78" s="260">
        <f t="shared" si="18"/>
        <v>135.97937984496124</v>
      </c>
      <c r="F78" s="260">
        <f t="shared" si="19"/>
        <v>132.73906782238444</v>
      </c>
      <c r="G78" s="270">
        <f t="shared" si="20"/>
        <v>-2.3829436685704027E-2</v>
      </c>
      <c r="H78">
        <v>0</v>
      </c>
      <c r="I78">
        <v>0</v>
      </c>
      <c r="J78" s="2">
        <v>0</v>
      </c>
      <c r="L78" s="260" t="e">
        <f>SUMIFS(#REF!,#REF!,'MILA 2F - Avg Ck'!B78)</f>
        <v>#REF!</v>
      </c>
      <c r="M78" s="260" t="e">
        <f>SUMIFS(#REF!,#REF!,'MILA 2F - Avg Ck'!B78)</f>
        <v>#REF!</v>
      </c>
      <c r="N78" s="260" t="e">
        <f>SUMIFS(#REF!,#REF!,'MILA 2F - Avg Ck'!B78)</f>
        <v>#REF!</v>
      </c>
      <c r="O78" s="263" t="e">
        <f>SUMIFS(#REF!,#REF!,'MILA 2F - Avg Ck'!B78)</f>
        <v>#REF!</v>
      </c>
      <c r="P78" s="263" t="e">
        <f>SUMIFS(#REF!,#REF!,'MILA 2F - Avg Ck'!B78)</f>
        <v>#REF!</v>
      </c>
      <c r="Q78" s="263" t="e">
        <f>SUMIFS(#REF!,#REF!,'MILA 2F - Avg Ck'!B78)</f>
        <v>#REF!</v>
      </c>
      <c r="R78" s="263"/>
      <c r="S78" s="263"/>
      <c r="T78" s="263"/>
    </row>
    <row r="79" spans="2:23">
      <c r="B79" s="269">
        <f t="shared" si="17"/>
        <v>29</v>
      </c>
      <c r="C79">
        <f>SUMIFS('Actual - 2026'!$BA:$BA,'Actual - 2026'!$C:$C,'MILA 2F - Avg Ck'!B57)</f>
        <v>242135.79</v>
      </c>
      <c r="D79" s="278">
        <f>SUMIFS('Actual - 2026'!$BB:$BB,'Actual - 2026'!$C:$C,'MILA 2F - Avg Ck'!B57)</f>
        <v>1884</v>
      </c>
      <c r="E79" s="290">
        <f t="shared" si="18"/>
        <v>128.52218152866243</v>
      </c>
      <c r="F79" s="260">
        <f t="shared" si="19"/>
        <v>133.2632144927536</v>
      </c>
      <c r="G79" s="200">
        <f t="shared" si="20"/>
        <v>3.6888830454794699E-2</v>
      </c>
      <c r="H79">
        <v>0</v>
      </c>
      <c r="I79">
        <v>0</v>
      </c>
      <c r="J79" s="2">
        <v>0</v>
      </c>
      <c r="L79" s="260" t="e">
        <f>SUMIFS(#REF!,#REF!,'MILA 2F - Avg Ck'!B79)</f>
        <v>#REF!</v>
      </c>
      <c r="M79" s="260" t="e">
        <f>SUMIFS(#REF!,#REF!,'MILA 2F - Avg Ck'!B79)</f>
        <v>#REF!</v>
      </c>
      <c r="N79" s="260" t="e">
        <f>SUMIFS(#REF!,#REF!,'MILA 2F - Avg Ck'!B79)</f>
        <v>#REF!</v>
      </c>
      <c r="O79" s="263" t="e">
        <f>SUMIFS(#REF!,#REF!,'MILA 2F - Avg Ck'!B79)</f>
        <v>#REF!</v>
      </c>
      <c r="P79" s="263" t="e">
        <f>SUMIFS(#REF!,#REF!,'MILA 2F - Avg Ck'!B79)</f>
        <v>#REF!</v>
      </c>
      <c r="Q79" s="263" t="e">
        <f>SUMIFS(#REF!,#REF!,'MILA 2F - Avg Ck'!B79)</f>
        <v>#REF!</v>
      </c>
      <c r="R79" s="263"/>
      <c r="S79" s="263"/>
      <c r="T79" s="263"/>
    </row>
    <row r="80" spans="2:23">
      <c r="B80" s="269">
        <f t="shared" si="17"/>
        <v>30</v>
      </c>
      <c r="C80">
        <f>SUMIFS('Actual - 2026'!$BA:$BA,'Actual - 2026'!$C:$C,'MILA 2F - Avg Ck'!B58)</f>
        <v>246122.5</v>
      </c>
      <c r="D80" s="278">
        <f>SUMIFS('Actual - 2026'!$BB:$BB,'Actual - 2026'!$C:$C,'MILA 2F - Avg Ck'!B58)</f>
        <v>1985</v>
      </c>
      <c r="E80" s="290">
        <f t="shared" si="18"/>
        <v>123.9911838790932</v>
      </c>
      <c r="F80" s="260">
        <f t="shared" si="19"/>
        <v>129.50621283255086</v>
      </c>
      <c r="G80" s="200">
        <f t="shared" si="20"/>
        <v>4.4479202318412382E-2</v>
      </c>
      <c r="H80">
        <v>0</v>
      </c>
      <c r="I80">
        <v>0</v>
      </c>
      <c r="J80" s="2">
        <v>0</v>
      </c>
      <c r="L80" s="260" t="e">
        <f>SUMIFS(#REF!,#REF!,'MILA 2F - Avg Ck'!B80)</f>
        <v>#REF!</v>
      </c>
      <c r="M80" s="260" t="e">
        <f>SUMIFS(#REF!,#REF!,'MILA 2F - Avg Ck'!B80)</f>
        <v>#REF!</v>
      </c>
      <c r="N80" s="260" t="e">
        <f>SUMIFS(#REF!,#REF!,'MILA 2F - Avg Ck'!B80)</f>
        <v>#REF!</v>
      </c>
      <c r="O80" s="263" t="e">
        <f>SUMIFS(#REF!,#REF!,'MILA 2F - Avg Ck'!B80)</f>
        <v>#REF!</v>
      </c>
      <c r="P80" s="263" t="e">
        <f>SUMIFS(#REF!,#REF!,'MILA 2F - Avg Ck'!B80)</f>
        <v>#REF!</v>
      </c>
      <c r="Q80" s="263" t="e">
        <f>SUMIFS(#REF!,#REF!,'MILA 2F - Avg Ck'!B80)</f>
        <v>#REF!</v>
      </c>
      <c r="R80" s="263"/>
      <c r="S80" s="263"/>
      <c r="T80" s="263"/>
    </row>
    <row r="81" spans="2:20">
      <c r="B81" s="269">
        <f t="shared" si="17"/>
        <v>31</v>
      </c>
      <c r="C81">
        <f>SUMIFS('Actual - 2026'!$BA:$BA,'Actual - 2026'!$C:$C,'MILA 2F - Avg Ck'!B59)</f>
        <v>220859.23</v>
      </c>
      <c r="D81" s="278">
        <f>SUMIFS('Actual - 2026'!$BB:$BB,'Actual - 2026'!$C:$C,'MILA 2F - Avg Ck'!B59)</f>
        <v>1785</v>
      </c>
      <c r="E81" s="290">
        <f t="shared" si="18"/>
        <v>123.73066106442577</v>
      </c>
      <c r="F81" s="260">
        <f t="shared" si="19"/>
        <v>127.83453007775201</v>
      </c>
      <c r="G81" s="200">
        <f t="shared" si="20"/>
        <v>3.3167761151695244E-2</v>
      </c>
      <c r="H81">
        <v>0</v>
      </c>
      <c r="I81">
        <v>0</v>
      </c>
      <c r="J81" s="2">
        <v>0</v>
      </c>
      <c r="L81" s="260" t="e">
        <f>SUMIFS(#REF!,#REF!,'MILA 2F - Avg Ck'!B81)</f>
        <v>#REF!</v>
      </c>
      <c r="M81" s="260" t="e">
        <f>SUMIFS(#REF!,#REF!,'MILA 2F - Avg Ck'!B81)</f>
        <v>#REF!</v>
      </c>
      <c r="N81" s="260" t="e">
        <f>SUMIFS(#REF!,#REF!,'MILA 2F - Avg Ck'!B81)</f>
        <v>#REF!</v>
      </c>
      <c r="O81" s="263" t="e">
        <f>SUMIFS(#REF!,#REF!,'MILA 2F - Avg Ck'!B81)</f>
        <v>#REF!</v>
      </c>
      <c r="P81" s="263" t="e">
        <f>SUMIFS(#REF!,#REF!,'MILA 2F - Avg Ck'!B81)</f>
        <v>#REF!</v>
      </c>
      <c r="Q81" s="263" t="e">
        <f>SUMIFS(#REF!,#REF!,'MILA 2F - Avg Ck'!B81)</f>
        <v>#REF!</v>
      </c>
      <c r="R81" s="263"/>
      <c r="S81" s="264"/>
      <c r="T81" s="263"/>
    </row>
    <row r="82" spans="2:20">
      <c r="B82" s="269">
        <f t="shared" si="17"/>
        <v>32</v>
      </c>
      <c r="C82">
        <f>SUMIFS('Actual - 2026'!$BA:$BA,'Actual - 2026'!$C:$C,'MILA 2F - Avg Ck'!B60)</f>
        <v>259994.25</v>
      </c>
      <c r="D82" s="278">
        <f>SUMIFS('Actual - 2026'!$BB:$BB,'Actual - 2026'!$C:$C,'MILA 2F - Avg Ck'!B60)</f>
        <v>2090</v>
      </c>
      <c r="E82" s="290">
        <f t="shared" si="18"/>
        <v>124.39916267942584</v>
      </c>
      <c r="F82" s="260">
        <f t="shared" si="19"/>
        <v>125.14356534090909</v>
      </c>
      <c r="G82" s="200">
        <f t="shared" si="20"/>
        <v>5.9839845015802907E-3</v>
      </c>
      <c r="H82">
        <v>0</v>
      </c>
      <c r="I82">
        <v>0</v>
      </c>
      <c r="J82" s="2">
        <v>0</v>
      </c>
      <c r="L82" s="260" t="e">
        <f>SUMIFS(#REF!,#REF!,'MILA 2F - Avg Ck'!B82)</f>
        <v>#REF!</v>
      </c>
      <c r="M82" s="260" t="e">
        <f>SUMIFS(#REF!,#REF!,'MILA 2F - Avg Ck'!B82)</f>
        <v>#REF!</v>
      </c>
      <c r="N82" s="260" t="e">
        <f>SUMIFS(#REF!,#REF!,'MILA 2F - Avg Ck'!B82)</f>
        <v>#REF!</v>
      </c>
      <c r="O82" s="263" t="e">
        <f>SUMIFS(#REF!,#REF!,'MILA 2F - Avg Ck'!B82)</f>
        <v>#REF!</v>
      </c>
      <c r="P82" s="263" t="e">
        <f>SUMIFS(#REF!,#REF!,'MILA 2F - Avg Ck'!B82)</f>
        <v>#REF!</v>
      </c>
      <c r="Q82" s="263" t="e">
        <f>SUMIFS(#REF!,#REF!,'MILA 2F - Avg Ck'!B82)</f>
        <v>#REF!</v>
      </c>
      <c r="R82" s="263"/>
      <c r="S82" s="264"/>
      <c r="T82" s="263"/>
    </row>
    <row r="83" spans="2:20">
      <c r="B83" s="269">
        <f t="shared" si="17"/>
        <v>33</v>
      </c>
      <c r="C83">
        <f>SUMIFS('Actual - 2026'!$BA:$BA,'Actual - 2026'!$C:$C,'MILA 2F - Avg Ck'!B61)</f>
        <v>288374.75</v>
      </c>
      <c r="D83" s="278">
        <f>SUMIFS('Actual - 2026'!$BB:$BB,'Actual - 2026'!$C:$C,'MILA 2F - Avg Ck'!B61)</f>
        <v>2336</v>
      </c>
      <c r="E83" s="290">
        <f t="shared" si="18"/>
        <v>123.44809503424658</v>
      </c>
      <c r="F83" s="260">
        <f t="shared" si="19"/>
        <v>123.88369082479258</v>
      </c>
      <c r="G83" s="200">
        <f t="shared" si="20"/>
        <v>3.5285744217046157E-3</v>
      </c>
      <c r="H83">
        <v>0</v>
      </c>
      <c r="I83">
        <v>0</v>
      </c>
      <c r="J83" s="2">
        <v>0</v>
      </c>
      <c r="L83" s="260" t="e">
        <f>SUMIFS(#REF!,#REF!,'MILA 2F - Avg Ck'!B83)</f>
        <v>#REF!</v>
      </c>
      <c r="M83" s="260" t="e">
        <f>SUMIFS(#REF!,#REF!,'MILA 2F - Avg Ck'!B83)</f>
        <v>#REF!</v>
      </c>
      <c r="N83" s="260" t="e">
        <f>SUMIFS(#REF!,#REF!,'MILA 2F - Avg Ck'!B83)</f>
        <v>#REF!</v>
      </c>
      <c r="O83" s="263" t="e">
        <f>SUMIFS(#REF!,#REF!,'MILA 2F - Avg Ck'!B83)</f>
        <v>#REF!</v>
      </c>
      <c r="P83" s="263" t="e">
        <f>SUMIFS(#REF!,#REF!,'MILA 2F - Avg Ck'!B83)</f>
        <v>#REF!</v>
      </c>
      <c r="Q83" s="263" t="e">
        <f>SUMIFS(#REF!,#REF!,'MILA 2F - Avg Ck'!B83)</f>
        <v>#REF!</v>
      </c>
      <c r="R83" s="263"/>
      <c r="S83" s="265"/>
      <c r="T83" s="263"/>
    </row>
    <row r="84" spans="2:20">
      <c r="B84" s="269">
        <f t="shared" si="17"/>
        <v>34</v>
      </c>
      <c r="C84">
        <f>SUMIFS('Actual - 2026'!$BA:$BA,'Actual - 2026'!$C:$C,'MILA 2F - Avg Ck'!B62)</f>
        <v>282014.92000000004</v>
      </c>
      <c r="D84" s="278">
        <f>SUMIFS('Actual - 2026'!$BB:$BB,'Actual - 2026'!$C:$C,'MILA 2F - Avg Ck'!B62)</f>
        <v>0</v>
      </c>
      <c r="E84" s="290">
        <f t="shared" si="18"/>
        <v>0</v>
      </c>
      <c r="F84" s="260">
        <f t="shared" si="19"/>
        <v>169.25505554661083</v>
      </c>
      <c r="G84" s="200" t="e">
        <f t="shared" si="20"/>
        <v>#DIV/0!</v>
      </c>
      <c r="H84">
        <v>0</v>
      </c>
      <c r="I84">
        <v>0</v>
      </c>
      <c r="J84" s="2">
        <v>0</v>
      </c>
      <c r="L84" s="260" t="e">
        <f>SUMIFS(#REF!,#REF!,'MILA 2F - Avg Ck'!B84)</f>
        <v>#REF!</v>
      </c>
      <c r="M84" s="260" t="e">
        <f>SUMIFS(#REF!,#REF!,'MILA 2F - Avg Ck'!B84)</f>
        <v>#REF!</v>
      </c>
      <c r="N84" s="260" t="e">
        <f>SUMIFS(#REF!,#REF!,'MILA 2F - Avg Ck'!B84)</f>
        <v>#REF!</v>
      </c>
      <c r="O84" s="263" t="e">
        <f>SUMIFS(#REF!,#REF!,'MILA 2F - Avg Ck'!B84)</f>
        <v>#REF!</v>
      </c>
      <c r="P84" s="263" t="e">
        <f>SUMIFS(#REF!,#REF!,'MILA 2F - Avg Ck'!B84)</f>
        <v>#REF!</v>
      </c>
      <c r="Q84" s="263" t="e">
        <f>SUMIFS(#REF!,#REF!,'MILA 2F - Avg Ck'!B84)</f>
        <v>#REF!</v>
      </c>
      <c r="R84" s="263"/>
      <c r="S84" s="264"/>
      <c r="T84" s="263"/>
    </row>
    <row r="85" spans="2:20">
      <c r="B85" s="269">
        <f t="shared" si="17"/>
        <v>35</v>
      </c>
      <c r="C85">
        <f>SUMIFS('Actual - 2026'!$BA:$BA,'Actual - 2026'!$C:$C,'MILA 2F - Avg Ck'!B63)</f>
        <v>0</v>
      </c>
      <c r="D85" s="278">
        <f>SUMIFS('Actual - 2026'!$BB:$BB,'Actual - 2026'!$C:$C,'MILA 2F - Avg Ck'!B63)</f>
        <v>0</v>
      </c>
      <c r="E85" s="290">
        <f t="shared" si="18"/>
        <v>0</v>
      </c>
      <c r="F85" s="260">
        <f t="shared" si="19"/>
        <v>187.61498418436511</v>
      </c>
      <c r="G85" s="200" t="e">
        <f t="shared" si="20"/>
        <v>#DIV/0!</v>
      </c>
      <c r="H85">
        <v>0</v>
      </c>
      <c r="I85">
        <v>0</v>
      </c>
      <c r="J85" s="2">
        <v>0</v>
      </c>
      <c r="L85" s="260" t="e">
        <f>SUMIFS(#REF!,#REF!,'MILA 2F - Avg Ck'!B85)</f>
        <v>#REF!</v>
      </c>
      <c r="M85" s="260" t="e">
        <f>SUMIFS(#REF!,#REF!,'MILA 2F - Avg Ck'!B85)</f>
        <v>#REF!</v>
      </c>
      <c r="N85" s="260" t="e">
        <f>SUMIFS(#REF!,#REF!,'MILA 2F - Avg Ck'!B85)</f>
        <v>#REF!</v>
      </c>
      <c r="O85" s="263" t="e">
        <f>SUMIFS(#REF!,#REF!,'MILA 2F - Avg Ck'!B85)</f>
        <v>#REF!</v>
      </c>
      <c r="P85" s="263" t="e">
        <f>SUMIFS(#REF!,#REF!,'MILA 2F - Avg Ck'!B85)</f>
        <v>#REF!</v>
      </c>
      <c r="Q85" s="263" t="e">
        <f>SUMIFS(#REF!,#REF!,'MILA 2F - Avg Ck'!B85)</f>
        <v>#REF!</v>
      </c>
      <c r="R85" s="263"/>
      <c r="S85" s="265"/>
      <c r="T85" s="263"/>
    </row>
    <row r="86" spans="2:20">
      <c r="B86" s="269">
        <f t="shared" si="17"/>
        <v>36</v>
      </c>
      <c r="C86">
        <f>SUMIFS('Actual - 2026'!$BA:$BA,'Actual - 2026'!$C:$C,'MILA 2F - Avg Ck'!B64)</f>
        <v>0</v>
      </c>
      <c r="D86" s="278">
        <f>SUMIFS('Actual - 2026'!$BB:$BB,'Actual - 2026'!$C:$C,'MILA 2F - Avg Ck'!B64)</f>
        <v>0</v>
      </c>
      <c r="E86" s="290">
        <f t="shared" si="18"/>
        <v>0</v>
      </c>
      <c r="F86" s="260">
        <f t="shared" si="19"/>
        <v>244.17366010273975</v>
      </c>
      <c r="G86" s="200" t="e">
        <f t="shared" si="20"/>
        <v>#DIV/0!</v>
      </c>
      <c r="H86">
        <v>0</v>
      </c>
      <c r="I86">
        <v>0</v>
      </c>
      <c r="J86" s="2">
        <v>0</v>
      </c>
      <c r="L86" s="260" t="e">
        <f>SUMIFS(#REF!,#REF!,'MILA 2F - Avg Ck'!B86)</f>
        <v>#REF!</v>
      </c>
      <c r="M86" s="260" t="e">
        <f>SUMIFS(#REF!,#REF!,'MILA 2F - Avg Ck'!B86)</f>
        <v>#REF!</v>
      </c>
      <c r="N86" s="260" t="e">
        <f>SUMIFS(#REF!,#REF!,'MILA 2F - Avg Ck'!B86)</f>
        <v>#REF!</v>
      </c>
      <c r="O86" s="263" t="e">
        <f>SUMIFS(#REF!,#REF!,'MILA 2F - Avg Ck'!B86)</f>
        <v>#REF!</v>
      </c>
      <c r="P86" s="263" t="e">
        <f>SUMIFS(#REF!,#REF!,'MILA 2F - Avg Ck'!B86)</f>
        <v>#REF!</v>
      </c>
      <c r="Q86" s="263" t="e">
        <f>SUMIFS(#REF!,#REF!,'MILA 2F - Avg Ck'!B86)</f>
        <v>#REF!</v>
      </c>
      <c r="R86" s="263"/>
      <c r="S86" s="264"/>
      <c r="T86" s="263"/>
    </row>
    <row r="87" spans="2:20">
      <c r="B87" s="269">
        <f t="shared" si="17"/>
        <v>37</v>
      </c>
      <c r="C87">
        <f>SUMIFS('Actual - 2026'!$BA:$BA,'Actual - 2026'!$C:$C,'MILA 2F - Avg Ck'!B65)</f>
        <v>0</v>
      </c>
      <c r="D87" s="278">
        <f>SUMIFS('Actual - 2026'!$BB:$BB,'Actual - 2026'!$C:$C,'MILA 2F - Avg Ck'!B65)</f>
        <v>0</v>
      </c>
      <c r="E87" s="290">
        <f t="shared" si="18"/>
        <v>0</v>
      </c>
      <c r="F87" s="260" t="e">
        <f t="shared" si="19"/>
        <v>#DIV/0!</v>
      </c>
      <c r="G87" s="200" t="e">
        <f t="shared" si="20"/>
        <v>#DIV/0!</v>
      </c>
      <c r="H87">
        <v>0</v>
      </c>
      <c r="I87">
        <v>0</v>
      </c>
      <c r="J87" s="2">
        <v>0</v>
      </c>
      <c r="L87" s="260" t="e">
        <f>SUMIFS(#REF!,#REF!,'MILA 2F - Avg Ck'!B87)</f>
        <v>#REF!</v>
      </c>
      <c r="M87" s="260" t="e">
        <f>SUMIFS(#REF!,#REF!,'MILA 2F - Avg Ck'!B87)</f>
        <v>#REF!</v>
      </c>
      <c r="N87" s="260" t="e">
        <f>SUMIFS(#REF!,#REF!,'MILA 2F - Avg Ck'!B87)</f>
        <v>#REF!</v>
      </c>
      <c r="O87" s="263" t="e">
        <f>SUMIFS(#REF!,#REF!,'MILA 2F - Avg Ck'!B87)</f>
        <v>#REF!</v>
      </c>
      <c r="P87" s="263" t="e">
        <f>SUMIFS(#REF!,#REF!,'MILA 2F - Avg Ck'!B87)</f>
        <v>#REF!</v>
      </c>
      <c r="Q87" s="263" t="e">
        <f>SUMIFS(#REF!,#REF!,'MILA 2F - Avg Ck'!B87)</f>
        <v>#REF!</v>
      </c>
      <c r="R87" s="263"/>
      <c r="S87" s="264"/>
      <c r="T87" s="263"/>
    </row>
    <row r="88" spans="2:20">
      <c r="B88" s="269">
        <f t="shared" si="17"/>
        <v>38</v>
      </c>
      <c r="C88">
        <f>SUMIFS('Actual - 2026'!$BA:$BA,'Actual - 2026'!$C:$C,'MILA 2F - Avg Ck'!B66)</f>
        <v>0</v>
      </c>
      <c r="D88" s="278">
        <f>SUMIFS('Actual - 2026'!$BB:$BB,'Actual - 2026'!$C:$C,'MILA 2F - Avg Ck'!B66)</f>
        <v>0</v>
      </c>
      <c r="E88" s="290">
        <f t="shared" si="18"/>
        <v>0</v>
      </c>
      <c r="F88" s="260" t="e">
        <f t="shared" si="19"/>
        <v>#DIV/0!</v>
      </c>
      <c r="G88" s="200" t="e">
        <f t="shared" si="20"/>
        <v>#DIV/0!</v>
      </c>
      <c r="H88">
        <v>0</v>
      </c>
      <c r="I88">
        <v>0</v>
      </c>
      <c r="J88" s="2">
        <v>0</v>
      </c>
      <c r="L88" s="260" t="e">
        <f>SUMIFS(#REF!,#REF!,'MILA 2F - Avg Ck'!B88)</f>
        <v>#REF!</v>
      </c>
      <c r="M88" s="260" t="e">
        <f>SUMIFS(#REF!,#REF!,'MILA 2F - Avg Ck'!B88)</f>
        <v>#REF!</v>
      </c>
      <c r="N88" s="260" t="e">
        <f>SUMIFS(#REF!,#REF!,'MILA 2F - Avg Ck'!B88)</f>
        <v>#REF!</v>
      </c>
      <c r="O88" s="263" t="e">
        <f>SUMIFS(#REF!,#REF!,'MILA 2F - Avg Ck'!B88)</f>
        <v>#REF!</v>
      </c>
      <c r="P88" s="263" t="e">
        <f>SUMIFS(#REF!,#REF!,'MILA 2F - Avg Ck'!B88)</f>
        <v>#REF!</v>
      </c>
      <c r="Q88" s="263" t="e">
        <f>SUMIFS(#REF!,#REF!,'MILA 2F - Avg Ck'!B88)</f>
        <v>#REF!</v>
      </c>
      <c r="R88" s="263"/>
      <c r="S88" s="264"/>
      <c r="T88" s="263"/>
    </row>
    <row r="89" spans="2:20">
      <c r="B89" s="269">
        <f t="shared" si="17"/>
        <v>39</v>
      </c>
      <c r="C89">
        <f>SUMIFS('Actual - 2026'!$BA:$BA,'Actual - 2026'!$C:$C,'MILA 2F - Avg Ck'!B67)</f>
        <v>0</v>
      </c>
      <c r="D89" s="278">
        <f>SUMIFS('Actual - 2026'!$BB:$BB,'Actual - 2026'!$C:$C,'MILA 2F - Avg Ck'!B67)</f>
        <v>0</v>
      </c>
      <c r="E89" s="290">
        <f t="shared" si="18"/>
        <v>0</v>
      </c>
      <c r="F89" s="260" t="e">
        <f t="shared" si="19"/>
        <v>#DIV/0!</v>
      </c>
      <c r="G89" s="200" t="e">
        <f t="shared" si="20"/>
        <v>#DIV/0!</v>
      </c>
      <c r="H89">
        <v>0</v>
      </c>
      <c r="I89">
        <v>0</v>
      </c>
      <c r="J89" s="2">
        <v>0</v>
      </c>
      <c r="L89" s="260" t="e">
        <f>SUMIFS(#REF!,#REF!,'MILA 2F - Avg Ck'!B89)</f>
        <v>#REF!</v>
      </c>
      <c r="M89" s="260" t="e">
        <f>SUMIFS(#REF!,#REF!,'MILA 2F - Avg Ck'!B89)</f>
        <v>#REF!</v>
      </c>
      <c r="N89" s="260" t="e">
        <f>SUMIFS(#REF!,#REF!,'MILA 2F - Avg Ck'!B89)</f>
        <v>#REF!</v>
      </c>
      <c r="O89" s="263" t="e">
        <f>SUMIFS(#REF!,#REF!,'MILA 2F - Avg Ck'!B89)</f>
        <v>#REF!</v>
      </c>
      <c r="P89" s="263" t="e">
        <f>SUMIFS(#REF!,#REF!,'MILA 2F - Avg Ck'!B89)</f>
        <v>#REF!</v>
      </c>
      <c r="Q89" s="263" t="e">
        <f>SUMIFS(#REF!,#REF!,'MILA 2F - Avg Ck'!B89)</f>
        <v>#REF!</v>
      </c>
      <c r="R89" s="263"/>
      <c r="S89" s="264"/>
      <c r="T89" s="263"/>
    </row>
    <row r="90" spans="2:20">
      <c r="B90" s="269">
        <f t="shared" si="17"/>
        <v>40</v>
      </c>
      <c r="C90">
        <f>SUMIFS('Actual - 2026'!$BA:$BA,'Actual - 2026'!$C:$C,'MILA 2F - Avg Ck'!B68)</f>
        <v>0</v>
      </c>
      <c r="D90" s="278">
        <f>SUMIFS('Actual - 2026'!$BB:$BB,'Actual - 2026'!$C:$C,'MILA 2F - Avg Ck'!B68)</f>
        <v>0</v>
      </c>
      <c r="E90" s="290">
        <f t="shared" si="18"/>
        <v>0</v>
      </c>
      <c r="F90" s="260" t="e">
        <f t="shared" si="19"/>
        <v>#DIV/0!</v>
      </c>
      <c r="G90" s="200" t="e">
        <f t="shared" si="20"/>
        <v>#DIV/0!</v>
      </c>
      <c r="H90">
        <v>0</v>
      </c>
      <c r="I90">
        <v>0</v>
      </c>
      <c r="J90" s="2">
        <v>0</v>
      </c>
      <c r="L90" s="260" t="e">
        <f>SUMIFS(#REF!,#REF!,'MILA 2F - Avg Ck'!B90)</f>
        <v>#REF!</v>
      </c>
      <c r="M90" s="260" t="e">
        <f>SUMIFS(#REF!,#REF!,'MILA 2F - Avg Ck'!B90)</f>
        <v>#REF!</v>
      </c>
      <c r="N90" s="260" t="e">
        <f>SUMIFS(#REF!,#REF!,'MILA 2F - Avg Ck'!B90)</f>
        <v>#REF!</v>
      </c>
      <c r="O90" s="263" t="e">
        <f>SUMIFS(#REF!,#REF!,'MILA 2F - Avg Ck'!B90)</f>
        <v>#REF!</v>
      </c>
      <c r="P90" s="263" t="e">
        <f>SUMIFS(#REF!,#REF!,'MILA 2F - Avg Ck'!B90)</f>
        <v>#REF!</v>
      </c>
      <c r="Q90" s="263" t="e">
        <f>SUMIFS(#REF!,#REF!,'MILA 2F - Avg Ck'!B90)</f>
        <v>#REF!</v>
      </c>
    </row>
    <row r="91" spans="2:20">
      <c r="B91" s="269">
        <f t="shared" si="17"/>
        <v>41</v>
      </c>
      <c r="C91">
        <f>SUMIFS('Actual - 2026'!$BA:$BA,'Actual - 2026'!$C:$C,'MILA 2F - Avg Ck'!B69)</f>
        <v>0</v>
      </c>
      <c r="D91" s="278">
        <f>SUMIFS('Actual - 2026'!$BB:$BB,'Actual - 2026'!$C:$C,'MILA 2F - Avg Ck'!B69)</f>
        <v>0</v>
      </c>
      <c r="E91" s="290">
        <f t="shared" si="18"/>
        <v>0</v>
      </c>
      <c r="F91" s="260" t="e">
        <f t="shared" si="19"/>
        <v>#DIV/0!</v>
      </c>
      <c r="G91" s="200" t="e">
        <f t="shared" si="20"/>
        <v>#DIV/0!</v>
      </c>
      <c r="H91">
        <v>0</v>
      </c>
      <c r="I91">
        <v>0</v>
      </c>
      <c r="J91" s="2">
        <v>0</v>
      </c>
      <c r="L91" s="260" t="e">
        <f>SUMIFS(#REF!,#REF!,'MILA 2F - Avg Ck'!B91)</f>
        <v>#REF!</v>
      </c>
      <c r="M91" s="260" t="e">
        <f>SUMIFS(#REF!,#REF!,'MILA 2F - Avg Ck'!B91)</f>
        <v>#REF!</v>
      </c>
      <c r="N91" s="260" t="e">
        <f>SUMIFS(#REF!,#REF!,'MILA 2F - Avg Ck'!B91)</f>
        <v>#REF!</v>
      </c>
      <c r="O91" s="263" t="e">
        <f>SUMIFS(#REF!,#REF!,'MILA 2F - Avg Ck'!B91)</f>
        <v>#REF!</v>
      </c>
      <c r="P91" s="263" t="e">
        <f>SUMIFS(#REF!,#REF!,'MILA 2F - Avg Ck'!B91)</f>
        <v>#REF!</v>
      </c>
      <c r="Q91" s="263" t="e">
        <f>SUMIFS(#REF!,#REF!,'MILA 2F - Avg Ck'!B91)</f>
        <v>#REF!</v>
      </c>
    </row>
  </sheetData>
  <mergeCells count="22">
    <mergeCell ref="B3:J3"/>
    <mergeCell ref="L3:W3"/>
    <mergeCell ref="B5:J5"/>
    <mergeCell ref="L8:N8"/>
    <mergeCell ref="O8:Q8"/>
    <mergeCell ref="R8:T8"/>
    <mergeCell ref="U8:W8"/>
    <mergeCell ref="L74:N74"/>
    <mergeCell ref="O74:Q74"/>
    <mergeCell ref="R74:T74"/>
    <mergeCell ref="U74:W74"/>
    <mergeCell ref="B27:J27"/>
    <mergeCell ref="L30:N30"/>
    <mergeCell ref="O30:Q30"/>
    <mergeCell ref="R30:T30"/>
    <mergeCell ref="U30:W30"/>
    <mergeCell ref="B49:J49"/>
    <mergeCell ref="L52:N52"/>
    <mergeCell ref="O52:Q52"/>
    <mergeCell ref="R52:T52"/>
    <mergeCell ref="U52:W52"/>
    <mergeCell ref="B71:J71"/>
  </mergeCells>
  <conditionalFormatting sqref="G9:G25">
    <cfRule type="cellIs" dxfId="251" priority="9" operator="lessThan">
      <formula>-0.05</formula>
    </cfRule>
  </conditionalFormatting>
  <conditionalFormatting sqref="G13:G25">
    <cfRule type="iconSet" priority="10">
      <iconSet iconSet="3Arrows">
        <cfvo type="percent" val="0"/>
        <cfvo type="num" val="0.01"/>
        <cfvo type="num" val="0.01"/>
      </iconSet>
    </cfRule>
  </conditionalFormatting>
  <conditionalFormatting sqref="G31:G47">
    <cfRule type="cellIs" dxfId="250" priority="7" operator="lessThan">
      <formula>-0.05</formula>
    </cfRule>
  </conditionalFormatting>
  <conditionalFormatting sqref="G35:G47">
    <cfRule type="iconSet" priority="8">
      <iconSet iconSet="3Arrows">
        <cfvo type="percent" val="0"/>
        <cfvo type="num" val="0.01"/>
        <cfvo type="num" val="0.01"/>
      </iconSet>
    </cfRule>
  </conditionalFormatting>
  <conditionalFormatting sqref="G53:G69">
    <cfRule type="cellIs" dxfId="249" priority="5" operator="lessThan">
      <formula>-0.05</formula>
    </cfRule>
  </conditionalFormatting>
  <conditionalFormatting sqref="G57:G69">
    <cfRule type="iconSet" priority="6">
      <iconSet iconSet="3Arrows">
        <cfvo type="percent" val="0"/>
        <cfvo type="num" val="0.01"/>
        <cfvo type="num" val="0.01"/>
      </iconSet>
    </cfRule>
  </conditionalFormatting>
  <conditionalFormatting sqref="G75:G91">
    <cfRule type="cellIs" dxfId="248" priority="3" operator="lessThan">
      <formula>-0.05</formula>
    </cfRule>
  </conditionalFormatting>
  <conditionalFormatting sqref="G79:G91">
    <cfRule type="iconSet" priority="4">
      <iconSet iconSet="3Arrows">
        <cfvo type="percent" val="0"/>
        <cfvo type="num" val="0.01"/>
        <cfvo type="num" val="0.01"/>
      </iconSet>
    </cfRule>
  </conditionalFormatting>
  <pageMargins left="0.7" right="0.7" top="0.75" bottom="0.75" header="0.3" footer="0.3"/>
  <pageSetup scale="4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B8A5-168B-4DCF-BB42-6F1C7A50720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4F8E-8242-4624-8989-12ACBD0FFD50}">
  <dimension ref="B2:E53"/>
  <sheetViews>
    <sheetView topLeftCell="A2" workbookViewId="0">
      <selection activeCell="M23" sqref="M23"/>
    </sheetView>
  </sheetViews>
  <sheetFormatPr defaultColWidth="8.7109375" defaultRowHeight="15.75"/>
  <cols>
    <col min="1" max="16384" width="8.7109375" style="90"/>
  </cols>
  <sheetData>
    <row r="2" spans="2:5">
      <c r="B2" s="90" t="s">
        <v>122</v>
      </c>
      <c r="C2" s="90" t="s">
        <v>121</v>
      </c>
      <c r="D2" s="90">
        <v>4</v>
      </c>
      <c r="E2" s="90">
        <v>1</v>
      </c>
    </row>
    <row r="3" spans="2:5">
      <c r="B3" s="90" t="s">
        <v>123</v>
      </c>
      <c r="C3" s="90" t="str">
        <f>+C2</f>
        <v>P1</v>
      </c>
      <c r="D3" s="90">
        <v>4</v>
      </c>
      <c r="E3" s="90">
        <v>2</v>
      </c>
    </row>
    <row r="4" spans="2:5">
      <c r="B4" s="90" t="s">
        <v>124</v>
      </c>
      <c r="C4" s="90" t="str">
        <f t="shared" ref="C4:C5" si="0">+C3</f>
        <v>P1</v>
      </c>
      <c r="D4" s="90">
        <v>4</v>
      </c>
      <c r="E4" s="90">
        <v>3</v>
      </c>
    </row>
    <row r="5" spans="2:5">
      <c r="B5" s="90" t="s">
        <v>125</v>
      </c>
      <c r="C5" s="90" t="str">
        <f t="shared" si="0"/>
        <v>P1</v>
      </c>
      <c r="D5" s="90">
        <v>4</v>
      </c>
      <c r="E5" s="90">
        <v>4</v>
      </c>
    </row>
    <row r="6" spans="2:5">
      <c r="B6" s="90" t="s">
        <v>128</v>
      </c>
      <c r="C6" s="90" t="s">
        <v>127</v>
      </c>
      <c r="D6" s="90">
        <v>4</v>
      </c>
      <c r="E6" s="90">
        <v>5</v>
      </c>
    </row>
    <row r="7" spans="2:5">
      <c r="B7" s="90" t="s">
        <v>129</v>
      </c>
      <c r="C7" s="90" t="s">
        <v>127</v>
      </c>
      <c r="D7" s="90">
        <v>4</v>
      </c>
      <c r="E7" s="90">
        <v>6</v>
      </c>
    </row>
    <row r="8" spans="2:5">
      <c r="B8" s="90" t="s">
        <v>130</v>
      </c>
      <c r="C8" s="90" t="s">
        <v>127</v>
      </c>
      <c r="D8" s="90">
        <v>4</v>
      </c>
      <c r="E8" s="90">
        <v>7</v>
      </c>
    </row>
    <row r="9" spans="2:5">
      <c r="B9" s="90" t="s">
        <v>131</v>
      </c>
      <c r="C9" s="90" t="s">
        <v>127</v>
      </c>
      <c r="D9" s="90">
        <v>4</v>
      </c>
      <c r="E9" s="90">
        <v>8</v>
      </c>
    </row>
    <row r="10" spans="2:5">
      <c r="B10" s="90" t="s">
        <v>134</v>
      </c>
      <c r="C10" s="90" t="s">
        <v>133</v>
      </c>
      <c r="D10" s="90">
        <v>5</v>
      </c>
      <c r="E10" s="90">
        <v>9</v>
      </c>
    </row>
    <row r="11" spans="2:5">
      <c r="B11" s="90" t="s">
        <v>135</v>
      </c>
      <c r="C11" s="90" t="s">
        <v>133</v>
      </c>
      <c r="D11" s="90">
        <v>5</v>
      </c>
      <c r="E11" s="90">
        <v>10</v>
      </c>
    </row>
    <row r="12" spans="2:5">
      <c r="B12" s="90" t="s">
        <v>136</v>
      </c>
      <c r="C12" s="90" t="s">
        <v>133</v>
      </c>
      <c r="D12" s="90">
        <v>5</v>
      </c>
      <c r="E12" s="90">
        <v>11</v>
      </c>
    </row>
    <row r="13" spans="2:5">
      <c r="B13" s="90" t="s">
        <v>137</v>
      </c>
      <c r="C13" s="90" t="s">
        <v>133</v>
      </c>
      <c r="D13" s="90">
        <v>5</v>
      </c>
      <c r="E13" s="90">
        <v>12</v>
      </c>
    </row>
    <row r="14" spans="2:5">
      <c r="B14" s="90" t="s">
        <v>138</v>
      </c>
      <c r="C14" s="90" t="s">
        <v>133</v>
      </c>
      <c r="D14" s="90">
        <v>5</v>
      </c>
      <c r="E14" s="90">
        <v>13</v>
      </c>
    </row>
    <row r="15" spans="2:5">
      <c r="B15" s="90" t="s">
        <v>141</v>
      </c>
      <c r="C15" s="90" t="s">
        <v>140</v>
      </c>
      <c r="D15" s="90">
        <v>4</v>
      </c>
      <c r="E15" s="90">
        <v>14</v>
      </c>
    </row>
    <row r="16" spans="2:5">
      <c r="B16" s="90" t="s">
        <v>142</v>
      </c>
      <c r="C16" s="90" t="s">
        <v>140</v>
      </c>
      <c r="D16" s="90">
        <v>4</v>
      </c>
      <c r="E16" s="90">
        <v>15</v>
      </c>
    </row>
    <row r="17" spans="2:5">
      <c r="B17" s="90" t="s">
        <v>143</v>
      </c>
      <c r="C17" s="90" t="s">
        <v>140</v>
      </c>
      <c r="D17" s="90">
        <v>4</v>
      </c>
      <c r="E17" s="90">
        <v>16</v>
      </c>
    </row>
    <row r="18" spans="2:5">
      <c r="B18" s="90" t="s">
        <v>144</v>
      </c>
      <c r="C18" s="90" t="s">
        <v>140</v>
      </c>
      <c r="D18" s="90">
        <v>4</v>
      </c>
      <c r="E18" s="90">
        <v>17</v>
      </c>
    </row>
    <row r="19" spans="2:5">
      <c r="B19" s="90" t="s">
        <v>147</v>
      </c>
      <c r="C19" s="90" t="s">
        <v>146</v>
      </c>
      <c r="D19" s="90">
        <v>4</v>
      </c>
      <c r="E19" s="90">
        <v>18</v>
      </c>
    </row>
    <row r="20" spans="2:5">
      <c r="B20" s="90" t="s">
        <v>148</v>
      </c>
      <c r="C20" s="90" t="s">
        <v>146</v>
      </c>
      <c r="D20" s="90">
        <v>4</v>
      </c>
      <c r="E20" s="90">
        <v>19</v>
      </c>
    </row>
    <row r="21" spans="2:5">
      <c r="B21" s="90" t="s">
        <v>149</v>
      </c>
      <c r="C21" s="90" t="s">
        <v>146</v>
      </c>
      <c r="D21" s="90">
        <v>4</v>
      </c>
      <c r="E21" s="90">
        <v>20</v>
      </c>
    </row>
    <row r="22" spans="2:5">
      <c r="B22" s="90" t="s">
        <v>150</v>
      </c>
      <c r="C22" s="90" t="s">
        <v>146</v>
      </c>
      <c r="D22" s="90">
        <v>4</v>
      </c>
      <c r="E22" s="90">
        <v>21</v>
      </c>
    </row>
    <row r="23" spans="2:5">
      <c r="B23" s="90" t="s">
        <v>153</v>
      </c>
      <c r="C23" s="90" t="s">
        <v>152</v>
      </c>
      <c r="D23" s="90">
        <v>5</v>
      </c>
      <c r="E23" s="90">
        <v>22</v>
      </c>
    </row>
    <row r="24" spans="2:5">
      <c r="B24" s="90" t="s">
        <v>154</v>
      </c>
      <c r="C24" s="90" t="s">
        <v>152</v>
      </c>
      <c r="D24" s="90">
        <v>5</v>
      </c>
      <c r="E24" s="90">
        <v>23</v>
      </c>
    </row>
    <row r="25" spans="2:5">
      <c r="B25" s="90" t="s">
        <v>155</v>
      </c>
      <c r="C25" s="90" t="s">
        <v>152</v>
      </c>
      <c r="D25" s="90">
        <v>5</v>
      </c>
      <c r="E25" s="90">
        <v>24</v>
      </c>
    </row>
    <row r="26" spans="2:5">
      <c r="B26" s="90" t="s">
        <v>156</v>
      </c>
      <c r="C26" s="90" t="s">
        <v>152</v>
      </c>
      <c r="D26" s="90">
        <v>5</v>
      </c>
      <c r="E26" s="90">
        <v>25</v>
      </c>
    </row>
    <row r="27" spans="2:5">
      <c r="B27" s="90" t="s">
        <v>157</v>
      </c>
      <c r="C27" s="90" t="s">
        <v>152</v>
      </c>
      <c r="D27" s="90">
        <v>5</v>
      </c>
      <c r="E27" s="90">
        <v>26</v>
      </c>
    </row>
    <row r="28" spans="2:5">
      <c r="B28" s="90" t="s">
        <v>160</v>
      </c>
      <c r="C28" s="90" t="s">
        <v>159</v>
      </c>
      <c r="D28" s="90">
        <v>4</v>
      </c>
      <c r="E28" s="90">
        <v>27</v>
      </c>
    </row>
    <row r="29" spans="2:5">
      <c r="B29" s="90" t="s">
        <v>161</v>
      </c>
      <c r="C29" s="90" t="s">
        <v>159</v>
      </c>
      <c r="D29" s="90">
        <v>4</v>
      </c>
      <c r="E29" s="90">
        <v>28</v>
      </c>
    </row>
    <row r="30" spans="2:5">
      <c r="B30" s="90" t="s">
        <v>162</v>
      </c>
      <c r="C30" s="90" t="s">
        <v>159</v>
      </c>
      <c r="D30" s="90">
        <v>4</v>
      </c>
      <c r="E30" s="90">
        <v>29</v>
      </c>
    </row>
    <row r="31" spans="2:5">
      <c r="B31" s="90" t="s">
        <v>163</v>
      </c>
      <c r="C31" s="90" t="s">
        <v>159</v>
      </c>
      <c r="D31" s="90">
        <v>4</v>
      </c>
      <c r="E31" s="90">
        <v>30</v>
      </c>
    </row>
    <row r="32" spans="2:5">
      <c r="B32" s="90" t="s">
        <v>166</v>
      </c>
      <c r="C32" s="90" t="s">
        <v>165</v>
      </c>
      <c r="D32" s="90">
        <v>4</v>
      </c>
      <c r="E32" s="90">
        <v>31</v>
      </c>
    </row>
    <row r="33" spans="2:5">
      <c r="B33" s="90" t="s">
        <v>167</v>
      </c>
      <c r="C33" s="90" t="s">
        <v>165</v>
      </c>
      <c r="D33" s="90">
        <v>4</v>
      </c>
      <c r="E33" s="90">
        <v>32</v>
      </c>
    </row>
    <row r="34" spans="2:5">
      <c r="B34" s="90" t="s">
        <v>168</v>
      </c>
      <c r="C34" s="90" t="s">
        <v>165</v>
      </c>
      <c r="D34" s="90">
        <v>4</v>
      </c>
      <c r="E34" s="90">
        <v>33</v>
      </c>
    </row>
    <row r="35" spans="2:5">
      <c r="B35" s="90" t="s">
        <v>101</v>
      </c>
      <c r="C35" s="90" t="s">
        <v>165</v>
      </c>
      <c r="D35" s="90">
        <v>4</v>
      </c>
      <c r="E35" s="90">
        <v>34</v>
      </c>
    </row>
    <row r="36" spans="2:5">
      <c r="B36" s="90" t="s">
        <v>171</v>
      </c>
      <c r="C36" s="90" t="s">
        <v>170</v>
      </c>
      <c r="D36" s="90">
        <v>5</v>
      </c>
      <c r="E36" s="90">
        <v>35</v>
      </c>
    </row>
    <row r="37" spans="2:5">
      <c r="B37" s="90" t="s">
        <v>172</v>
      </c>
      <c r="C37" s="90" t="s">
        <v>170</v>
      </c>
      <c r="D37" s="90">
        <v>5</v>
      </c>
      <c r="E37" s="90">
        <v>36</v>
      </c>
    </row>
    <row r="38" spans="2:5">
      <c r="B38" s="90" t="s">
        <v>173</v>
      </c>
      <c r="C38" s="90" t="s">
        <v>170</v>
      </c>
      <c r="D38" s="90">
        <v>5</v>
      </c>
      <c r="E38" s="90">
        <v>37</v>
      </c>
    </row>
    <row r="39" spans="2:5">
      <c r="B39" s="90" t="s">
        <v>174</v>
      </c>
      <c r="C39" s="90" t="s">
        <v>170</v>
      </c>
      <c r="D39" s="90">
        <v>5</v>
      </c>
      <c r="E39" s="90">
        <v>38</v>
      </c>
    </row>
    <row r="40" spans="2:5">
      <c r="B40" s="90" t="s">
        <v>175</v>
      </c>
      <c r="C40" s="90" t="s">
        <v>170</v>
      </c>
      <c r="D40" s="90">
        <v>5</v>
      </c>
      <c r="E40" s="90">
        <v>39</v>
      </c>
    </row>
    <row r="41" spans="2:5">
      <c r="B41" s="90" t="s">
        <v>177</v>
      </c>
      <c r="C41" s="90" t="s">
        <v>76</v>
      </c>
      <c r="D41" s="90">
        <v>4</v>
      </c>
      <c r="E41" s="90">
        <v>40</v>
      </c>
    </row>
    <row r="42" spans="2:5">
      <c r="B42" s="90" t="s">
        <v>178</v>
      </c>
      <c r="C42" s="90" t="s">
        <v>76</v>
      </c>
      <c r="D42" s="90">
        <v>4</v>
      </c>
      <c r="E42" s="90">
        <v>41</v>
      </c>
    </row>
    <row r="43" spans="2:5">
      <c r="B43" s="90" t="s">
        <v>179</v>
      </c>
      <c r="C43" s="90" t="s">
        <v>76</v>
      </c>
      <c r="D43" s="90">
        <v>4</v>
      </c>
      <c r="E43" s="90">
        <v>42</v>
      </c>
    </row>
    <row r="44" spans="2:5">
      <c r="B44" s="90" t="s">
        <v>180</v>
      </c>
      <c r="C44" s="90" t="s">
        <v>76</v>
      </c>
      <c r="D44" s="90">
        <v>4</v>
      </c>
      <c r="E44" s="90">
        <v>43</v>
      </c>
    </row>
    <row r="45" spans="2:5">
      <c r="B45" s="90" t="s">
        <v>183</v>
      </c>
      <c r="C45" s="90" t="s">
        <v>182</v>
      </c>
      <c r="D45" s="90">
        <v>4</v>
      </c>
      <c r="E45" s="90">
        <v>44</v>
      </c>
    </row>
    <row r="46" spans="2:5">
      <c r="B46" s="90" t="s">
        <v>184</v>
      </c>
      <c r="C46" s="90" t="s">
        <v>182</v>
      </c>
      <c r="D46" s="90">
        <v>4</v>
      </c>
      <c r="E46" s="90">
        <v>45</v>
      </c>
    </row>
    <row r="47" spans="2:5">
      <c r="B47" s="90" t="s">
        <v>185</v>
      </c>
      <c r="C47" s="90" t="s">
        <v>182</v>
      </c>
      <c r="D47" s="90">
        <v>4</v>
      </c>
      <c r="E47" s="90">
        <v>46</v>
      </c>
    </row>
    <row r="48" spans="2:5">
      <c r="B48" s="90" t="s">
        <v>186</v>
      </c>
      <c r="C48" s="90" t="s">
        <v>182</v>
      </c>
      <c r="D48" s="90">
        <v>4</v>
      </c>
      <c r="E48" s="90">
        <v>47</v>
      </c>
    </row>
    <row r="49" spans="2:5">
      <c r="B49" s="90" t="s">
        <v>189</v>
      </c>
      <c r="C49" s="90" t="s">
        <v>188</v>
      </c>
      <c r="D49" s="90">
        <v>5</v>
      </c>
      <c r="E49" s="90">
        <v>48</v>
      </c>
    </row>
    <row r="50" spans="2:5">
      <c r="B50" s="90" t="s">
        <v>190</v>
      </c>
      <c r="C50" s="90" t="s">
        <v>188</v>
      </c>
      <c r="D50" s="90">
        <v>5</v>
      </c>
      <c r="E50" s="90">
        <v>49</v>
      </c>
    </row>
    <row r="51" spans="2:5">
      <c r="B51" s="90" t="s">
        <v>191</v>
      </c>
      <c r="C51" s="90" t="s">
        <v>188</v>
      </c>
      <c r="D51" s="90">
        <v>5</v>
      </c>
      <c r="E51" s="90">
        <v>50</v>
      </c>
    </row>
    <row r="52" spans="2:5">
      <c r="B52" s="90" t="s">
        <v>192</v>
      </c>
      <c r="C52" s="90" t="s">
        <v>188</v>
      </c>
      <c r="D52" s="90">
        <v>5</v>
      </c>
      <c r="E52" s="90">
        <v>51</v>
      </c>
    </row>
    <row r="53" spans="2:5">
      <c r="B53" s="90" t="s">
        <v>193</v>
      </c>
      <c r="C53" s="90" t="s">
        <v>188</v>
      </c>
      <c r="D53" s="90">
        <v>5</v>
      </c>
      <c r="E53" s="90">
        <v>52</v>
      </c>
    </row>
  </sheetData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D99D-0651-447E-98DA-EB9C59E0C731}">
  <sheetPr>
    <tabColor rgb="FF00B050"/>
    <pageSetUpPr fitToPage="1"/>
  </sheetPr>
  <dimension ref="B1:AZ82"/>
  <sheetViews>
    <sheetView zoomScale="55" zoomScaleNormal="55" workbookViewId="0">
      <selection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6" width="17.42578125" style="5" customWidth="1" outlineLevel="1"/>
    <col min="7" max="7" width="14" style="5" customWidth="1" outlineLevel="1"/>
    <col min="8" max="8" width="15.85546875" style="5" customWidth="1" outlineLevel="1"/>
    <col min="9" max="9" width="1.5703125" style="5" customWidth="1"/>
    <col min="10" max="10" width="17.42578125" style="5" customWidth="1" outlineLevel="1"/>
    <col min="11" max="11" width="13.140625" style="5" bestFit="1" customWidth="1" outlineLevel="1"/>
    <col min="12" max="12" width="15.85546875" style="5" customWidth="1" outlineLevel="1"/>
    <col min="13" max="13" width="1.5703125" style="5" customWidth="1" outlineLevel="1"/>
    <col min="14" max="14" width="19.7109375" style="5" customWidth="1"/>
    <col min="15" max="15" width="15.7109375" style="5" customWidth="1"/>
    <col min="16" max="16" width="16.85546875" style="5" customWidth="1"/>
    <col min="17" max="17" width="10.7109375" style="5"/>
    <col min="18" max="18" width="5" style="5" hidden="1" customWidth="1" outlineLevel="1"/>
    <col min="19" max="19" width="26.5703125" style="5" hidden="1" customWidth="1" outlineLevel="1"/>
    <col min="20" max="20" width="24.28515625" style="5" hidden="1" customWidth="1" outlineLevel="1"/>
    <col min="21" max="24" width="16.7109375" style="5" hidden="1" customWidth="1" outlineLevel="1"/>
    <col min="25" max="25" width="4.5703125" style="5" hidden="1" customWidth="1" outlineLevel="1"/>
    <col min="26" max="26" width="10.7109375" style="5" collapsed="1"/>
    <col min="27" max="27" width="6.5703125" style="5" customWidth="1"/>
    <col min="28" max="28" width="28.28515625" style="5" hidden="1" customWidth="1" outlineLevel="1"/>
    <col min="29" max="29" width="10.7109375" style="5" hidden="1" customWidth="1" outlineLevel="1"/>
    <col min="30" max="30" width="15.28515625" style="5" hidden="1" customWidth="1" outlineLevel="1"/>
    <col min="31" max="31" width="14.28515625" style="5" hidden="1" customWidth="1" outlineLevel="1"/>
    <col min="32" max="32" width="16.28515625" style="5" hidden="1" customWidth="1" outlineLevel="1"/>
    <col min="33" max="33" width="14.28515625" style="5" hidden="1" customWidth="1" outlineLevel="1"/>
    <col min="34" max="34" width="8.7109375" style="5" hidden="1" customWidth="1" outlineLevel="1"/>
    <col min="35" max="35" width="10.7109375" style="5" hidden="1" customWidth="1" outlineLevel="1"/>
    <col min="36" max="36" width="12.7109375" style="5" hidden="1" customWidth="1" outlineLevel="1"/>
    <col min="37" max="37" width="10.7109375" style="5" hidden="1" customWidth="1" outlineLevel="1"/>
    <col min="38" max="38" width="12.7109375" style="5" hidden="1" customWidth="1" outlineLevel="1"/>
    <col min="39" max="39" width="10.7109375" style="5" hidden="1" customWidth="1" outlineLevel="1"/>
    <col min="40" max="40" width="27.42578125" style="5" customWidth="1" collapsed="1"/>
    <col min="41" max="49" width="12.85546875" style="5" customWidth="1"/>
    <col min="50" max="51" width="10.7109375" style="5"/>
    <col min="52" max="52" width="18.5703125" style="5" customWidth="1"/>
    <col min="53" max="16384" width="10.7109375" style="5"/>
  </cols>
  <sheetData>
    <row r="1" spans="3:52" ht="18.75">
      <c r="D1" s="118" t="str">
        <f>Reconciliation!$C$2</f>
        <v>Week 34</v>
      </c>
      <c r="F1" s="5">
        <f>VLOOKUP(D1,Dates!$B$2:$E$53,4,FALSE)</f>
        <v>34</v>
      </c>
      <c r="G1" s="5" t="b">
        <v>1</v>
      </c>
    </row>
    <row r="2" spans="3:52" ht="28.5">
      <c r="D2" s="425" t="str">
        <f>CONCATENATE("Riviera Dining Group - SALES",)</f>
        <v>Riviera Dining Group - SALES</v>
      </c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7"/>
      <c r="T2" s="5" t="s">
        <v>232</v>
      </c>
      <c r="U2" s="5" t="s">
        <v>233</v>
      </c>
      <c r="V2" s="5" t="s">
        <v>234</v>
      </c>
      <c r="W2" s="5" t="s">
        <v>235</v>
      </c>
      <c r="X2" s="5" t="s">
        <v>236</v>
      </c>
    </row>
    <row r="3" spans="3:52">
      <c r="J3" s="91"/>
      <c r="T3" s="5">
        <v>0</v>
      </c>
    </row>
    <row r="4" spans="3:52" ht="23.25">
      <c r="C4" s="121" t="e">
        <f>VLOOKUP($D$4,#REF!,2,FALSE)</f>
        <v>#REF!</v>
      </c>
      <c r="D4" s="118" t="str">
        <f>VLOOKUP(D1,'Actual - 2026'!$A$5:$B$56,2,FALSE)</f>
        <v>P8</v>
      </c>
      <c r="F4" s="406" t="str">
        <f>D1</f>
        <v>Week 34</v>
      </c>
      <c r="G4" s="406"/>
      <c r="H4" s="406"/>
      <c r="J4" s="406" t="str">
        <f>CONCATENATE("MTD"," ","-"," ",D4)</f>
        <v>MTD - P8</v>
      </c>
      <c r="K4" s="406"/>
      <c r="L4" s="406"/>
      <c r="M4" s="71"/>
      <c r="N4" s="406" t="s">
        <v>7</v>
      </c>
      <c r="O4" s="406"/>
      <c r="P4" s="406"/>
    </row>
    <row r="6" spans="3:52" ht="27" customHeight="1">
      <c r="D6" s="91"/>
      <c r="F6" s="231" t="s">
        <v>77</v>
      </c>
      <c r="G6" s="231" t="s">
        <v>81</v>
      </c>
      <c r="H6" s="231" t="s">
        <v>237</v>
      </c>
      <c r="J6" s="231" t="s">
        <v>77</v>
      </c>
      <c r="K6" s="231" t="s">
        <v>81</v>
      </c>
      <c r="L6" s="231" t="s">
        <v>237</v>
      </c>
      <c r="M6" s="141"/>
      <c r="N6" s="231" t="s">
        <v>77</v>
      </c>
      <c r="O6" s="231" t="s">
        <v>81</v>
      </c>
      <c r="P6" s="231" t="s">
        <v>237</v>
      </c>
    </row>
    <row r="7" spans="3:52" ht="28.9" customHeight="1">
      <c r="D7" s="193" t="s">
        <v>8</v>
      </c>
      <c r="E7" s="194"/>
      <c r="F7" s="195">
        <f>SUMIFS('Actual - 2026'!K:K,'Actual - 2026'!A:A,'RDG Weekly Sales'!D1)</f>
        <v>537706</v>
      </c>
      <c r="G7" s="196">
        <f>SUMIFS('Actual - 2026'!L:L,'Actual - 2026'!A:A,'RDG Weekly Sales'!D1)</f>
        <v>4050</v>
      </c>
      <c r="H7" s="197">
        <f>F7/G7</f>
        <v>132.76691358024692</v>
      </c>
      <c r="I7" s="194"/>
      <c r="J7" s="195">
        <f>SUMIFS('Actual - 2026'!K:K,'Actual - 2026'!B:B,'RDG Weekly Sales'!D4)</f>
        <v>2089482.7000000002</v>
      </c>
      <c r="K7" s="196">
        <f>SUMIFS('Actual - 2026'!L:L,'Actual - 2026'!B:B,'RDG Weekly Sales'!D4)</f>
        <v>15469</v>
      </c>
      <c r="L7" s="197">
        <f>J7/K7</f>
        <v>135.07548645678455</v>
      </c>
      <c r="M7" s="194"/>
      <c r="N7" s="195">
        <f>SUMIFS('Actual - 2026'!K:K,'Actual - 2026'!D:D,G1)</f>
        <v>25253029.609999999</v>
      </c>
      <c r="O7" s="196">
        <f>SUMIFS('Actual - 2026'!L:L,'Actual - 2026'!D:D,'RDG Weekly Sales'!G1)</f>
        <v>153986</v>
      </c>
      <c r="P7" s="197">
        <f>N7/O7</f>
        <v>163.99562044601456</v>
      </c>
      <c r="AZ7" s="91"/>
    </row>
    <row r="8" spans="3:52" ht="28.9" customHeight="1">
      <c r="D8" s="202" t="s">
        <v>78</v>
      </c>
      <c r="E8" s="203"/>
      <c r="F8" s="204">
        <f>SUMIFS('Budget - 2026'!R:R,'Budget - 2026'!B:B,'RDG Weekly Sales'!D1)</f>
        <v>471976</v>
      </c>
      <c r="G8" s="205">
        <f>SUMIFS('Budget - 2026'!S:S,'Budget - 2026'!B:B,'RDG Weekly Sales'!D1)</f>
        <v>3386</v>
      </c>
      <c r="H8" s="206">
        <f>IFERROR(F8/G8,0)</f>
        <v>139.39043118724157</v>
      </c>
      <c r="I8" s="194"/>
      <c r="J8" s="204">
        <f>SUMIFS('Budget - 2026'!$R:$R,'Budget - 2026'!$C:$C,'RDG Weekly Sales'!D4,'Budget - 2026'!$E:$E,G1)</f>
        <v>1934121</v>
      </c>
      <c r="K8" s="205">
        <f>SUMIFS('Budget - 2026'!S:S,'Budget - 2026'!C:C,'RDG Weekly Sales'!D4,'Budget - 2026'!$E:$E,G1)</f>
        <v>13902</v>
      </c>
      <c r="L8" s="206">
        <f>IFERROR(J8/K8,0)</f>
        <v>139.12537764350452</v>
      </c>
      <c r="M8" s="194"/>
      <c r="N8" s="204">
        <f>SUMIFS('Budget - 2026'!R:R,'Budget - 2026'!E:E,'RDG Weekly Sales'!G1)</f>
        <v>23587933</v>
      </c>
      <c r="O8" s="205">
        <f>SUMIFS('Budget - 2026'!S:S,'Budget - 2026'!E:E,'RDG Weekly Sales'!G1)</f>
        <v>148094</v>
      </c>
      <c r="P8" s="206">
        <f>IFERROR(N8/O8,0)</f>
        <v>159.27676340702527</v>
      </c>
      <c r="AZ8" s="91"/>
    </row>
    <row r="9" spans="3:52" s="54" customFormat="1" ht="28.9" customHeight="1">
      <c r="D9" s="207" t="s">
        <v>105</v>
      </c>
      <c r="E9" s="203"/>
      <c r="F9" s="179">
        <f>(F7-F8)/F8</f>
        <v>0.13926555587572251</v>
      </c>
      <c r="G9" s="179">
        <f>(G7-G8)/G8</f>
        <v>0.19610159480212641</v>
      </c>
      <c r="H9" s="179">
        <f>(H7-H8)/H8</f>
        <v>-4.7517735260445226E-2</v>
      </c>
      <c r="I9" s="194"/>
      <c r="J9" s="179">
        <f>(J7-J8)/J8</f>
        <v>8.0326773764412968E-2</v>
      </c>
      <c r="K9" s="179">
        <f>(K7-K8)/K8</f>
        <v>0.11271759459070638</v>
      </c>
      <c r="L9" s="179">
        <f>(L7-L8)/L8</f>
        <v>-2.9109650987596485E-2</v>
      </c>
      <c r="M9" s="107"/>
      <c r="N9" s="179">
        <f>(N7-N8)/N8</f>
        <v>7.0591035255187451E-2</v>
      </c>
      <c r="O9" s="179">
        <f>(O7-O8)/O8</f>
        <v>3.9785541615460454E-2</v>
      </c>
      <c r="P9" s="179">
        <f>(P7-P8)/P8</f>
        <v>2.9626776298375915E-2</v>
      </c>
      <c r="AN9" s="190"/>
    </row>
    <row r="10" spans="3:52" ht="28.9" customHeight="1">
      <c r="D10" s="198">
        <v>2025</v>
      </c>
      <c r="E10" s="194"/>
      <c r="F10" s="195">
        <f>SUMIFS('Budget - 2026'!U:U,'Budget - 2026'!B:B,'RDG Weekly Sales'!D1)</f>
        <v>458681.79</v>
      </c>
      <c r="G10" s="196">
        <f>SUMIFS('Budget - 2026'!V:V,'Budget - 2026'!B:B,'RDG Weekly Sales'!D1)</f>
        <v>3386</v>
      </c>
      <c r="H10" s="197">
        <f>IFERROR(F10/G10,0)</f>
        <v>135.46420259893679</v>
      </c>
      <c r="I10" s="194"/>
      <c r="J10" s="195">
        <f>SUMIFS('Budget - 2026'!U:U,'Budget - 2026'!C:C,'RDG Weekly Sales'!D4,'Budget - 2026'!$E:$E,G1)</f>
        <v>1938120.61</v>
      </c>
      <c r="K10" s="196">
        <f>SUMIFS('Budget - 2026'!V:V,'Budget - 2026'!C:C,'RDG Weekly Sales'!D4,'Budget - 2026'!$E:$E,G1)</f>
        <v>13962</v>
      </c>
      <c r="L10" s="197">
        <f>IFERROR(J10/K10,0)</f>
        <v>138.81396719667671</v>
      </c>
      <c r="M10" s="194"/>
      <c r="N10" s="195">
        <f>SUMIFS('Budget - 2026'!U:U,'Budget - 2026'!E:E,'RDG Weekly Sales'!G1)</f>
        <v>23122627.309999999</v>
      </c>
      <c r="O10" s="196">
        <f>SUMIFS('Budget - 2026'!V:V,'Budget - 2026'!E:E,'RDG Weekly Sales'!G1)</f>
        <v>142299</v>
      </c>
      <c r="P10" s="197">
        <f>IFERROR(N10/O10,0)</f>
        <v>162.49325230676251</v>
      </c>
    </row>
    <row r="11" spans="3:52" s="54" customFormat="1" ht="28.9" customHeight="1" thickBot="1">
      <c r="D11" s="199" t="s">
        <v>105</v>
      </c>
      <c r="E11" s="194"/>
      <c r="F11" s="200">
        <f>(F7-F10)/F10</f>
        <v>0.17228547486046922</v>
      </c>
      <c r="G11" s="200">
        <f>(G7-G10)/G10</f>
        <v>0.19610159480212641</v>
      </c>
      <c r="H11" s="200">
        <f>(H7-H10)/H10</f>
        <v>-1.9911452375913831E-2</v>
      </c>
      <c r="I11" s="194"/>
      <c r="J11" s="200">
        <f>(J7-J10)/J10</f>
        <v>7.8097353291134999E-2</v>
      </c>
      <c r="K11" s="200">
        <f>(K7-K10)/K10</f>
        <v>0.10793582581292079</v>
      </c>
      <c r="L11" s="200">
        <f>(L7-L10)/L10</f>
        <v>-2.6931589200929265E-2</v>
      </c>
      <c r="M11" s="107"/>
      <c r="N11" s="200">
        <f>(N7-N10)/N10</f>
        <v>9.2134958170547135E-2</v>
      </c>
      <c r="O11" s="200">
        <f>(O7-O10)/O10</f>
        <v>8.21298814468127E-2</v>
      </c>
      <c r="P11" s="200">
        <f>(P7-P10)/P10</f>
        <v>9.2457263173968563E-3</v>
      </c>
      <c r="AS11" s="190"/>
    </row>
    <row r="12" spans="3:52" s="194" customFormat="1" ht="7.5" customHeight="1" thickBot="1">
      <c r="D12" s="201"/>
      <c r="E12" s="201"/>
      <c r="F12" s="201"/>
      <c r="G12" s="201"/>
      <c r="H12" s="201"/>
      <c r="I12" s="201"/>
      <c r="J12" s="255"/>
      <c r="K12" s="201"/>
      <c r="L12" s="201"/>
      <c r="M12" s="201"/>
      <c r="N12" s="201"/>
      <c r="O12" s="201"/>
      <c r="P12" s="201"/>
    </row>
    <row r="13" spans="3:52" ht="28.9" customHeight="1">
      <c r="D13" s="193" t="s">
        <v>9</v>
      </c>
      <c r="E13" s="194"/>
      <c r="F13" s="195">
        <f>SUMIFS('Actual - 2026'!W:W,'Actual - 2026'!A:A,'RDG Weekly Sales'!D1)</f>
        <v>191603</v>
      </c>
      <c r="G13" s="196">
        <f>SUMIFS('Actual - 2026'!X:X,'Actual - 2026'!A:A,'RDG Weekly Sales'!D1)</f>
        <v>0</v>
      </c>
      <c r="H13" s="197" t="e">
        <f>F13/G13</f>
        <v>#DIV/0!</v>
      </c>
      <c r="I13" s="194"/>
      <c r="J13" s="195">
        <f>SUMIFS('Actual - 2026'!W:W,'Actual - 2026'!B:B,'RDG Weekly Sales'!D4)</f>
        <v>675579.5</v>
      </c>
      <c r="K13" s="196">
        <f>SUMIFS('Actual - 2026'!X:X,'Actual - 2026'!B:B,'RDG Weekly Sales'!D4)</f>
        <v>2443</v>
      </c>
      <c r="L13" s="197">
        <f>J13/K13</f>
        <v>276.53683995088005</v>
      </c>
      <c r="M13" s="194"/>
      <c r="N13" s="195">
        <f>SUMIFS('Actual - 2026'!W:W,'Actual - 2026'!D:D,'RDG Weekly Sales'!G1)</f>
        <v>12611001.399999999</v>
      </c>
      <c r="O13" s="196">
        <f>SUMIFS('Actual - 2026'!X:X,'Actual - 2026'!D:D,'RDG Weekly Sales'!G1)</f>
        <v>43179</v>
      </c>
      <c r="P13" s="197">
        <f>N13/O13</f>
        <v>292.06330392088745</v>
      </c>
      <c r="Z13" s="91"/>
    </row>
    <row r="14" spans="3:52" ht="27.6" customHeight="1">
      <c r="D14" s="202" t="s">
        <v>78</v>
      </c>
      <c r="E14" s="203"/>
      <c r="F14" s="204">
        <f>SUMIFS('Budget - 2026'!AP:AP,'Budget - 2026'!B:B,'RDG Weekly Sales'!D1)</f>
        <v>226577.17340646678</v>
      </c>
      <c r="G14" s="205">
        <f>SUMIFS('Budget - 2026'!AQ:AQ,'Budget - 2026'!B:B,'RDG Weekly Sales'!D1)</f>
        <v>921.75</v>
      </c>
      <c r="H14" s="206">
        <f>IFERROR(F14/G14,0)</f>
        <v>245.81195921504397</v>
      </c>
      <c r="I14" s="194"/>
      <c r="J14" s="204">
        <f>SUMIFS('Budget - 2026'!AP:AP,'Budget - 2026'!C:C,'RDG Weekly Sales'!D4,'Budget - 2026'!$E:$E,G1)</f>
        <v>1068949.7403736382</v>
      </c>
      <c r="K14" s="205">
        <f>SUMIFS('Budget - 2026'!AQ:AQ,'Budget - 2026'!C:C,'RDG Weekly Sales'!D4,'Budget - 2026'!$E:$E,G1)</f>
        <v>3619.3999999999996</v>
      </c>
      <c r="L14" s="206">
        <f>IFERROR(J14/K14,0)</f>
        <v>295.33893473328129</v>
      </c>
      <c r="M14" s="194"/>
      <c r="N14" s="204">
        <f>SUMIFS('Budget - 2026'!AP:AP,'Budget - 2026'!E:E,'RDG Weekly Sales'!G1)</f>
        <v>12272711.305858476</v>
      </c>
      <c r="O14" s="205">
        <f>SUMIFS('Budget - 2026'!AQ:AQ,'Budget - 2026'!E:E,'RDG Weekly Sales'!G1)</f>
        <v>42322.65</v>
      </c>
      <c r="P14" s="206">
        <f>IFERROR(N14/O14,0)</f>
        <v>289.97974620820003</v>
      </c>
      <c r="S14" s="409"/>
      <c r="T14" s="409"/>
      <c r="U14" s="409"/>
      <c r="V14" s="409"/>
      <c r="W14" s="409"/>
      <c r="X14" s="409"/>
    </row>
    <row r="15" spans="3:52" s="54" customFormat="1" ht="28.9" customHeight="1">
      <c r="D15" s="207" t="s">
        <v>105</v>
      </c>
      <c r="E15" s="203"/>
      <c r="F15" s="179">
        <f>(F13-F14)/F14</f>
        <v>-0.15435876827594222</v>
      </c>
      <c r="G15" s="179">
        <f>(G13-G14)/G14</f>
        <v>-1</v>
      </c>
      <c r="H15" s="179" t="e">
        <f>(H13-H14)/H14</f>
        <v>#DIV/0!</v>
      </c>
      <c r="I15" s="194"/>
      <c r="J15" s="179">
        <f>(J13-J14)/J14</f>
        <v>-0.3679969464571276</v>
      </c>
      <c r="K15" s="179">
        <f>(K13-K14)/K14</f>
        <v>-0.32502624744432773</v>
      </c>
      <c r="L15" s="179">
        <f>(L13-L14)/L14</f>
        <v>-6.3662770367142046E-2</v>
      </c>
      <c r="M15" s="107"/>
      <c r="N15" s="179">
        <f>(N13-N14)/N14</f>
        <v>2.7564413902577255E-2</v>
      </c>
      <c r="O15" s="179">
        <f>(O13-O14)/O14</f>
        <v>2.0233846415571768E-2</v>
      </c>
      <c r="P15" s="179">
        <f>(P13-P14)/P14</f>
        <v>7.1851835858614327E-3</v>
      </c>
      <c r="S15" s="409"/>
      <c r="T15" s="409"/>
      <c r="U15" s="409"/>
      <c r="V15" s="409"/>
      <c r="W15" s="409"/>
      <c r="X15" s="409"/>
    </row>
    <row r="16" spans="3:52" ht="28.9" customHeight="1">
      <c r="D16" s="198">
        <v>2025</v>
      </c>
      <c r="E16" s="194"/>
      <c r="F16" s="195">
        <f>SUMIFS('Budget - 2026'!AS:AS,'Budget - 2026'!B:B,'RDG Weekly Sales'!D1)</f>
        <v>225616.5</v>
      </c>
      <c r="G16" s="196">
        <f>SUMIFS('Budget - 2026'!AT:AT,'Budget - 2026'!B:B,'RDG Weekly Sales'!D1)</f>
        <v>953</v>
      </c>
      <c r="H16" s="197">
        <f>IFERROR(F16/G16,0)</f>
        <v>236.74344176285413</v>
      </c>
      <c r="I16" s="194"/>
      <c r="J16" s="195">
        <f>SUMIFS('Budget - 2026'!AS:AS,'Budget - 2026'!C:C,'RDG Weekly Sales'!D4,'Budget - 2026'!$E:$E,G1)</f>
        <v>978624.81</v>
      </c>
      <c r="K16" s="196">
        <f>SUMIFS('Budget - 2026'!AT:AT,'Budget - 2026'!C:C,'RDG Weekly Sales'!D4,'Budget - 2026'!$E:$E,G1)</f>
        <v>3752</v>
      </c>
      <c r="L16" s="197">
        <f>IFERROR(J16/K16,0)</f>
        <v>260.82750799573563</v>
      </c>
      <c r="M16" s="194"/>
      <c r="N16" s="195">
        <f>SUMIFS('Budget - 2026'!AS:AS,'Budget - 2026'!E:E,'RDG Weekly Sales'!G1)</f>
        <v>11834397.380000001</v>
      </c>
      <c r="O16" s="196">
        <f>SUMIFS('Budget - 2026'!AT:AT,'Budget - 2026'!E:E,'RDG Weekly Sales'!G1)</f>
        <v>41074</v>
      </c>
      <c r="P16" s="197">
        <f>IFERROR(N16/O16,0)</f>
        <v>288.1238101962312</v>
      </c>
      <c r="S16" s="409"/>
      <c r="T16" s="409"/>
      <c r="U16" s="409"/>
      <c r="V16" s="409"/>
      <c r="W16" s="409"/>
      <c r="X16" s="409"/>
      <c r="Z16" s="189"/>
    </row>
    <row r="17" spans="4:48" s="54" customFormat="1" ht="28.9" customHeight="1" thickBot="1">
      <c r="D17" s="199" t="s">
        <v>105</v>
      </c>
      <c r="E17" s="194"/>
      <c r="F17" s="200">
        <f>(F13-F16)/F16</f>
        <v>-0.15075803409768346</v>
      </c>
      <c r="G17" s="200">
        <f>(G13-G16)/G16</f>
        <v>-1</v>
      </c>
      <c r="H17" s="200" t="e">
        <f>(H13-H16)/H16</f>
        <v>#DIV/0!</v>
      </c>
      <c r="I17" s="194"/>
      <c r="J17" s="200">
        <f>(J13-J16)/J16</f>
        <v>-0.30966444637756529</v>
      </c>
      <c r="K17" s="200">
        <f>(K13-K16)/K16</f>
        <v>-0.34888059701492535</v>
      </c>
      <c r="L17" s="200">
        <f>(L13-L16)/L16</f>
        <v>6.022881587858156E-2</v>
      </c>
      <c r="M17" s="107"/>
      <c r="N17" s="200">
        <f>(N13-N16)/N16</f>
        <v>6.5622607984454684E-2</v>
      </c>
      <c r="O17" s="200">
        <f>(O13-O16)/O16</f>
        <v>5.1248965282173639E-2</v>
      </c>
      <c r="P17" s="200">
        <f>(P13-P16)/P16</f>
        <v>1.3672919714525472E-2</v>
      </c>
      <c r="Z17" s="190"/>
    </row>
    <row r="18" spans="4:48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4:48" ht="28.9" customHeight="1">
      <c r="D19" s="193" t="s">
        <v>79</v>
      </c>
      <c r="E19" s="194"/>
      <c r="F19" s="195">
        <f>SUMIFS('Actual - 2026'!AI:AI,'Actual - 2026'!A:A,'RDG Weekly Sales'!D1)</f>
        <v>263440.24</v>
      </c>
      <c r="G19" s="196">
        <f>SUMIFS('Actual - 2026'!AJ:AJ,'Actual - 2026'!A:A,'RDG Weekly Sales'!D1)</f>
        <v>0</v>
      </c>
      <c r="H19" s="197" t="e">
        <f>F19/G19</f>
        <v>#DIV/0!</v>
      </c>
      <c r="I19" s="194"/>
      <c r="J19" s="195">
        <f>SUMIFS('Actual - 2026'!AI:AI,'Actual - 2026'!B:B,'RDG Weekly Sales'!D4)</f>
        <v>919861.97</v>
      </c>
      <c r="K19" s="196">
        <f>SUMIFS('Actual - 2026'!AJ:AJ,'Actual - 2026'!B:B,'RDG Weekly Sales'!D4)</f>
        <v>6309</v>
      </c>
      <c r="L19" s="197">
        <f>J19/K19</f>
        <v>145.80154858139167</v>
      </c>
      <c r="M19" s="194"/>
      <c r="N19" s="195">
        <f>SUMIFS('Actual - 2026'!AI:AI,'Actual - 2026'!D:D,'RDG Weekly Sales'!G1)</f>
        <v>8177600.620000001</v>
      </c>
      <c r="O19" s="196">
        <f>SUMIFS('Actual - 2026'!AJ:AJ,'Actual - 2026'!D:D,'RDG Weekly Sales'!G1)</f>
        <v>70621</v>
      </c>
      <c r="P19" s="197">
        <f>N19/O19</f>
        <v>115.79559366194194</v>
      </c>
      <c r="Q19" s="107"/>
      <c r="AB19" s="5" t="s">
        <v>49</v>
      </c>
      <c r="AD19" s="5" t="s">
        <v>8</v>
      </c>
      <c r="AE19" s="5" t="s">
        <v>9</v>
      </c>
      <c r="AF19" s="5" t="s">
        <v>10</v>
      </c>
      <c r="AG19" s="5" t="s">
        <v>11</v>
      </c>
    </row>
    <row r="20" spans="4:48" ht="27.6" customHeight="1">
      <c r="D20" s="202" t="s">
        <v>78</v>
      </c>
      <c r="E20" s="203"/>
      <c r="F20" s="204">
        <f>SUMIFS('Budget - 2026'!BE:BE,'Budget - 2026'!B:B,'RDG Weekly Sales'!D1)</f>
        <v>243716.3272425773</v>
      </c>
      <c r="G20" s="205">
        <f>SUMIFS('Budget - 2026'!BF:BF,'Budget - 2026'!B:B,'RDG Weekly Sales'!D1)</f>
        <v>2324</v>
      </c>
      <c r="H20" s="206">
        <f>IFERROR(F20/G20,0)</f>
        <v>104.86933185997302</v>
      </c>
      <c r="I20" s="194"/>
      <c r="J20" s="204">
        <f>SUMIFS('Budget - 2026'!BE:BE,'Budget - 2026'!C:C,'RDG Weekly Sales'!D4,'Budget - 2026'!$E:$E,G1)</f>
        <v>885919.24988692277</v>
      </c>
      <c r="K20" s="205">
        <f>SUMIFS('Budget - 2026'!BF:BF,'Budget - 2026'!C:C,'RDG Weekly Sales'!D4,'Budget - 2026'!$E:$E,G1)</f>
        <v>8346</v>
      </c>
      <c r="L20" s="206">
        <f>IFERROR(J20/K20,0)</f>
        <v>106.14896356181677</v>
      </c>
      <c r="M20" s="194"/>
      <c r="N20" s="204">
        <f>SUMIFS('Budget - 2026'!BE:BE,'Budget - 2026'!E:E,'RDG Weekly Sales'!G1)</f>
        <v>7892264.1707215104</v>
      </c>
      <c r="O20" s="205">
        <f>SUMIFS('Budget - 2026'!BF:BF,'Budget - 2026'!E:E,'RDG Weekly Sales'!G1)</f>
        <v>73481</v>
      </c>
      <c r="P20" s="206">
        <f>IFERROR(N20/O20,0)</f>
        <v>107.40550850861462</v>
      </c>
      <c r="S20" s="409"/>
      <c r="T20" s="434"/>
      <c r="U20" s="424"/>
      <c r="V20" s="434"/>
      <c r="W20" s="434"/>
      <c r="X20" s="434"/>
      <c r="AS20" s="91"/>
      <c r="AV20" s="91"/>
    </row>
    <row r="21" spans="4:48" s="54" customFormat="1" ht="28.9" customHeight="1">
      <c r="D21" s="207" t="s">
        <v>105</v>
      </c>
      <c r="E21" s="203"/>
      <c r="F21" s="179">
        <f>(F19-F20)/F20</f>
        <v>8.0929796458777903E-2</v>
      </c>
      <c r="G21" s="179">
        <f>(G19-G20)/G20</f>
        <v>-1</v>
      </c>
      <c r="H21" s="179" t="e">
        <f>(H19-H20)/H20</f>
        <v>#DIV/0!</v>
      </c>
      <c r="I21" s="194"/>
      <c r="J21" s="179">
        <f>(J19-J20)/J20</f>
        <v>3.8313559748712527E-2</v>
      </c>
      <c r="K21" s="179">
        <f>(K19-K20)/K20</f>
        <v>-0.24406901509705248</v>
      </c>
      <c r="L21" s="179">
        <f>(L19-L20)/L20</f>
        <v>0.37355602625816381</v>
      </c>
      <c r="M21" s="107"/>
      <c r="N21" s="179">
        <f>(N19-N20)/N20</f>
        <v>3.6153940505061065E-2</v>
      </c>
      <c r="O21" s="179">
        <f>(O19-O20)/O20</f>
        <v>-3.8921625998557453E-2</v>
      </c>
      <c r="P21" s="179">
        <f>(P19-P20)/P20</f>
        <v>7.8115966953914484E-2</v>
      </c>
      <c r="S21" s="320">
        <v>768000</v>
      </c>
      <c r="T21" s="125"/>
      <c r="U21" s="128"/>
      <c r="V21" s="125"/>
      <c r="W21" s="125"/>
      <c r="X21" s="125"/>
      <c r="AS21" s="190"/>
    </row>
    <row r="22" spans="4:48" ht="28.9" customHeight="1">
      <c r="D22" s="198">
        <v>2025</v>
      </c>
      <c r="E22" s="194"/>
      <c r="F22" s="195">
        <f>SUMIFS('Budget - 2026'!BQ:BQ,'Budget - 2026'!B:B,'RDG Weekly Sales'!D1)</f>
        <v>253094.62</v>
      </c>
      <c r="G22" s="196">
        <f>SUMIFS('Budget - 2026'!BR:BR,'Budget - 2026'!B:B,'RDG Weekly Sales'!D1)</f>
        <v>2324</v>
      </c>
      <c r="H22" s="197">
        <f>IFERROR(F22/G22,0)</f>
        <v>108.90474182444062</v>
      </c>
      <c r="I22" s="194"/>
      <c r="J22" s="195">
        <f>SUMIFS('Budget - 2026'!BQ:BQ,'Budget - 2026'!C:C,'RDG Weekly Sales'!D4,'Budget - 2026'!$E:$E,G1)</f>
        <v>898120.6</v>
      </c>
      <c r="K22" s="196">
        <f>SUMIFS('Budget - 2026'!BR:BR,'Budget - 2026'!C:C,'RDG Weekly Sales'!D4,'Budget - 2026'!$E:$E,G1)</f>
        <v>8332</v>
      </c>
      <c r="L22" s="197">
        <f>IFERROR(J22/K22,0)</f>
        <v>107.79171867498799</v>
      </c>
      <c r="M22" s="194"/>
      <c r="N22" s="195">
        <f>SUMIFS('Budget - 2026'!BQ:BQ,'Budget - 2026'!E:E,'RDG Weekly Sales'!G1)</f>
        <v>8124718.5899999999</v>
      </c>
      <c r="O22" s="196">
        <f>SUMIFS('Budget - 2026'!BR:BR,'Budget - 2026'!E:E,'RDG Weekly Sales'!G1)</f>
        <v>73036</v>
      </c>
      <c r="P22" s="197">
        <f>IFERROR(N22/O22,0)</f>
        <v>111.24265553973383</v>
      </c>
      <c r="S22" s="128">
        <f>F19</f>
        <v>263440.24</v>
      </c>
      <c r="T22" s="125"/>
      <c r="U22" s="128"/>
      <c r="V22" s="125"/>
      <c r="W22" s="125"/>
      <c r="X22" s="125"/>
      <c r="AB22" s="125"/>
      <c r="AC22" s="125"/>
      <c r="AD22" s="135"/>
      <c r="AE22" s="135"/>
      <c r="AF22" s="135"/>
      <c r="AG22" s="135"/>
    </row>
    <row r="23" spans="4:48" s="54" customFormat="1" ht="28.9" customHeight="1" thickBot="1">
      <c r="D23" s="199" t="s">
        <v>105</v>
      </c>
      <c r="E23" s="194"/>
      <c r="F23" s="200">
        <f>(F19-F22)/F22</f>
        <v>4.0876491171562619E-2</v>
      </c>
      <c r="G23" s="200">
        <f>(G19-G22)/G22</f>
        <v>-1</v>
      </c>
      <c r="H23" s="200" t="e">
        <f>(H19-H22)/H22</f>
        <v>#DIV/0!</v>
      </c>
      <c r="I23" s="194"/>
      <c r="J23" s="200">
        <f>(J19-J22)/J22</f>
        <v>2.4207628685947072E-2</v>
      </c>
      <c r="K23" s="200">
        <f>(K19-K22)/K22</f>
        <v>-0.2427988478156505</v>
      </c>
      <c r="L23" s="200">
        <f>(L19-L22)/L22</f>
        <v>0.35262291364896375</v>
      </c>
      <c r="M23" s="107"/>
      <c r="N23" s="200">
        <f>(N19-N22)/N22</f>
        <v>6.5087829706605496E-3</v>
      </c>
      <c r="O23" s="200">
        <f>(O19-O22)/O22</f>
        <v>-3.3065885316830058E-2</v>
      </c>
      <c r="P23" s="200">
        <f>(P19-P22)/P22</f>
        <v>4.0927988460162913E-2</v>
      </c>
      <c r="S23" s="321">
        <f>SUM(S21:S22)</f>
        <v>1031440.24</v>
      </c>
      <c r="Z23" s="190"/>
    </row>
    <row r="24" spans="4:48" ht="7.5" customHeight="1" thickBot="1"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S24" s="98">
        <v>1028594</v>
      </c>
      <c r="AB24" s="5" t="s">
        <v>81</v>
      </c>
      <c r="AD24" s="5">
        <f>[4]KPI!$C$6</f>
        <v>15093</v>
      </c>
      <c r="AE24" s="5">
        <f>[4]KPI!$C$24</f>
        <v>4408</v>
      </c>
      <c r="AF24" s="5">
        <f>[4]KPI!$C$62</f>
        <v>7402</v>
      </c>
      <c r="AG24" s="5">
        <f>[4]KPI!$C$82</f>
        <v>6461</v>
      </c>
    </row>
    <row r="25" spans="4:48" ht="28.9" customHeight="1">
      <c r="D25" s="193" t="s">
        <v>11</v>
      </c>
      <c r="E25" s="194"/>
      <c r="F25" s="195">
        <f>SUMIFS('Actual - 2026'!AR:AR,'Actual - 2026'!A:A,'RDG Weekly Sales'!D1)</f>
        <v>386565.86</v>
      </c>
      <c r="G25" s="196">
        <f>SUMIFS('Actual - 2026'!AS:AS,'Actual - 2026'!A:A,'RDG Weekly Sales'!D1)</f>
        <v>0</v>
      </c>
      <c r="H25" s="197" t="e">
        <f>F25/G25</f>
        <v>#DIV/0!</v>
      </c>
      <c r="I25" s="194"/>
      <c r="J25" s="195">
        <f>SUMIFS('Actual - 2026'!AR:AR,'Actual - 2026'!B:B,'RDG Weekly Sales'!D4)</f>
        <v>1654780.06</v>
      </c>
      <c r="K25" s="196">
        <f>SUMIFS('Actual - 2026'!AS:AS,'Actual - 2026'!B:B,'RDG Weekly Sales'!D4)</f>
        <v>8205</v>
      </c>
      <c r="L25" s="197">
        <f>J25/K25</f>
        <v>201.67947105423522</v>
      </c>
      <c r="M25" s="194"/>
      <c r="N25" s="195">
        <f>SUMIFS('Actual - 2026'!AR:AR,'Actual - 2026'!D:D,'RDG Weekly Sales'!G1)</f>
        <v>25567185.399999999</v>
      </c>
      <c r="O25" s="196">
        <f>SUMIFS('Actual - 2026'!AS:AS,'Actual - 2026'!D:D,'RDG Weekly Sales'!G1)</f>
        <v>130713</v>
      </c>
      <c r="P25" s="197">
        <f>N25/O25</f>
        <v>195.59787779333348</v>
      </c>
      <c r="S25" s="324">
        <f>S23-S24</f>
        <v>2846.2399999999907</v>
      </c>
      <c r="AB25" s="5" t="s">
        <v>82</v>
      </c>
      <c r="AD25" s="5">
        <f>[4]KPI!$C$9</f>
        <v>157.8113847478964</v>
      </c>
      <c r="AE25" s="5">
        <f>[4]KPI!$C$28</f>
        <v>276.01779038112528</v>
      </c>
      <c r="AF25" s="5">
        <f>[4]KPI!$C$66</f>
        <v>101.17650770062147</v>
      </c>
      <c r="AG25" s="5">
        <f>[4]KPI!$C$85</f>
        <v>144.84053397306917</v>
      </c>
    </row>
    <row r="26" spans="4:48" ht="28.9" customHeight="1">
      <c r="D26" s="202" t="s">
        <v>78</v>
      </c>
      <c r="E26" s="203"/>
      <c r="F26" s="204">
        <f>SUMIFS('Budget - 2026'!BZ:BZ,'Budget - 2026'!B:B,'RDG Weekly Sales'!D1)</f>
        <v>504292.48581203585</v>
      </c>
      <c r="G26" s="205">
        <f>SUMIFS('Budget - 2026'!CA:CA,'Budget - 2026'!B:B,'RDG Weekly Sales'!D1)</f>
        <v>3463</v>
      </c>
      <c r="H26" s="206">
        <f>IFERROR(F26/G26,0)</f>
        <v>145.62301063009988</v>
      </c>
      <c r="I26" s="194"/>
      <c r="J26" s="204">
        <f>SUMIFS('Budget - 2026'!BZ:BZ,'Budget - 2026'!C:C,'RDG Weekly Sales'!D4,'Budget - 2026'!$E:$E,G1)</f>
        <v>1862023.53</v>
      </c>
      <c r="K26" s="205">
        <f>SUMIFS('Budget - 2026'!CA:CA,'Budget - 2026'!C:C,'RDG Weekly Sales'!D4,'Budget - 2026'!$E:$E,G1)</f>
        <v>12926</v>
      </c>
      <c r="L26" s="206">
        <f>IFERROR(J26/K26,0)</f>
        <v>144.05257078755997</v>
      </c>
      <c r="M26" s="194"/>
      <c r="N26" s="204">
        <f>SUMIFS('Budget - 2026'!BZ:BZ,'Budget - 2026'!E:E,'RDG Weekly Sales'!G1)</f>
        <v>23102049.269860853</v>
      </c>
      <c r="O26" s="205">
        <f>SUMIFS('Budget - 2026'!CA:CA,'Budget - 2026'!E:E,'RDG Weekly Sales'!G1)</f>
        <v>134851.75</v>
      </c>
      <c r="P26" s="206">
        <f>IFERROR(N26/O26,0)</f>
        <v>171.31441950038359</v>
      </c>
      <c r="S26" s="138"/>
      <c r="T26" s="125"/>
      <c r="U26" s="129"/>
      <c r="V26" s="129"/>
      <c r="W26" s="129"/>
      <c r="X26" s="129"/>
    </row>
    <row r="27" spans="4:48" ht="28.9" customHeight="1">
      <c r="D27" s="207" t="s">
        <v>105</v>
      </c>
      <c r="E27" s="203"/>
      <c r="F27" s="179">
        <f>(F25-F26)/F26</f>
        <v>-0.23344909774427203</v>
      </c>
      <c r="G27" s="179">
        <f>(G25-G26)/G26</f>
        <v>-1</v>
      </c>
      <c r="H27" s="179" t="e">
        <f>(H25-H26)/H26</f>
        <v>#DIV/0!</v>
      </c>
      <c r="I27" s="194"/>
      <c r="J27" s="179">
        <f>(J25-J26)/J26</f>
        <v>-0.11130013485919803</v>
      </c>
      <c r="K27" s="179">
        <f>(K25-K26)/K26</f>
        <v>-0.36523286399504873</v>
      </c>
      <c r="L27" s="179">
        <f>(L25-L26)/L26</f>
        <v>0.40004076256063437</v>
      </c>
      <c r="M27" s="107"/>
      <c r="N27" s="179">
        <f>(N25-N26)/N26</f>
        <v>0.10670638354819827</v>
      </c>
      <c r="O27" s="179">
        <f>(O25-O26)/O26</f>
        <v>-3.0691110793890329E-2</v>
      </c>
      <c r="P27" s="179">
        <f>(P25-P26)/P26</f>
        <v>0.14174789468259275</v>
      </c>
      <c r="S27" s="138"/>
      <c r="T27" s="125"/>
      <c r="U27" s="129"/>
      <c r="V27" s="129"/>
      <c r="W27" s="129"/>
      <c r="X27" s="129"/>
    </row>
    <row r="28" spans="4:48" ht="28.9" customHeight="1">
      <c r="D28" s="198">
        <v>2025</v>
      </c>
      <c r="E28" s="194"/>
      <c r="F28" s="195">
        <f>SUMIFS('Budget - 2026'!CI:CI,'Budget - 2026'!B:B,'RDG Weekly Sales'!D1)</f>
        <v>493511.75</v>
      </c>
      <c r="G28" s="196">
        <f>SUMIFS('Budget - 2026'!CJ:CJ,'Budget - 2026'!B:B,'RDG Weekly Sales'!D1)</f>
        <v>3463</v>
      </c>
      <c r="H28" s="197">
        <f>IFERROR(F28/G28,0)</f>
        <v>142.50989026855328</v>
      </c>
      <c r="I28" s="194"/>
      <c r="J28" s="195">
        <f>SUMIFS('Budget - 2026'!CI:CI,'Budget - 2026'!C:C,'RDG Weekly Sales'!D4,'Budget - 2026'!$E:$E,G1)</f>
        <v>1864831.0699999998</v>
      </c>
      <c r="K28" s="196">
        <f>SUMIFS('Budget - 2026'!CJ:CJ,'Budget - 2026'!C:C,'RDG Weekly Sales'!D4,'Budget - 2026'!$E:$E,G1)</f>
        <v>12942</v>
      </c>
      <c r="L28" s="197">
        <f>IFERROR(J28/K28,0)</f>
        <v>144.09141322824911</v>
      </c>
      <c r="M28" s="194"/>
      <c r="N28" s="195">
        <f>SUMIFS('Budget - 2026'!CI:CI,'Budget - 2026'!E:E,'RDG Weekly Sales'!G1)</f>
        <v>21115123.550000001</v>
      </c>
      <c r="O28" s="196">
        <f>SUMIFS('Budget - 2026'!CJ:CJ,'Budget - 2026'!E:E,'RDG Weekly Sales'!G1)</f>
        <v>129151</v>
      </c>
      <c r="P28" s="197">
        <f>IFERROR(N28/O28,0)</f>
        <v>163.49175422567382</v>
      </c>
      <c r="S28" s="138"/>
      <c r="T28" s="125"/>
      <c r="U28" s="129"/>
      <c r="V28" s="129"/>
      <c r="W28" s="129"/>
      <c r="X28" s="129"/>
    </row>
    <row r="29" spans="4:48" ht="28.9" customHeight="1" thickBot="1">
      <c r="D29" s="199" t="s">
        <v>105</v>
      </c>
      <c r="E29" s="194"/>
      <c r="F29" s="200">
        <f>IFERROR((F25-F28)/F28,0)</f>
        <v>-0.21670383734531146</v>
      </c>
      <c r="G29" s="200">
        <f>IFERROR((G25-G28)/G28,0)</f>
        <v>-1</v>
      </c>
      <c r="H29" s="200">
        <f>IFERROR((H25-H28)/H28,0)</f>
        <v>0</v>
      </c>
      <c r="I29" s="194"/>
      <c r="J29" s="200">
        <f>IFERROR((J25-J28)/J28,0)</f>
        <v>-0.11263809005498809</v>
      </c>
      <c r="K29" s="200">
        <f>IFERROR((K25-K28)/K28,0)</f>
        <v>-0.36601761706073249</v>
      </c>
      <c r="L29" s="200">
        <f>IFERROR((L25-L28)/L28,0)</f>
        <v>0.39966335630814659</v>
      </c>
      <c r="M29" s="107"/>
      <c r="N29" s="200">
        <f>IFERROR((N25-N28)/N28,0)</f>
        <v>0.21084706605943576</v>
      </c>
      <c r="O29" s="200">
        <f>IFERROR((O25-O28)/O28,0)</f>
        <v>1.2094370155864067E-2</v>
      </c>
      <c r="P29" s="200">
        <f>IFERROR((P25-P28)/P28,0)</f>
        <v>0.19637763213025641</v>
      </c>
      <c r="S29" s="138"/>
      <c r="T29" s="125"/>
      <c r="U29" s="129"/>
      <c r="V29" s="129"/>
      <c r="W29" s="129"/>
      <c r="X29" s="129"/>
    </row>
    <row r="30" spans="4:48" ht="7.5" customHeight="1" thickBot="1"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S30" s="138"/>
      <c r="T30" s="125"/>
      <c r="U30" s="129"/>
      <c r="V30" s="129"/>
      <c r="W30" s="129"/>
      <c r="X30" s="129"/>
    </row>
    <row r="31" spans="4:48" ht="28.9" customHeight="1">
      <c r="D31" s="193" t="s">
        <v>238</v>
      </c>
      <c r="E31" s="194"/>
      <c r="F31" s="195">
        <f>SUMIFS('Actual - 2026'!BV:BV,'Actual - 2026'!A:A,$D$1)</f>
        <v>117509.75</v>
      </c>
      <c r="G31" s="196">
        <f>SUMIFS('Actual - 2026'!BW:BW,'Actual - 2026'!A:A,$D$1)</f>
        <v>0</v>
      </c>
      <c r="H31" s="197">
        <f>IFERROR(F31/G31,0)</f>
        <v>0</v>
      </c>
      <c r="I31" s="194"/>
      <c r="J31" s="195">
        <f>SUMIFS('Actual - 2026'!BV:BV,'Actual - 2026'!$B:$B,'RDG Weekly Sales'!$D$4)</f>
        <v>432279.48</v>
      </c>
      <c r="K31" s="196">
        <f>SUMIFS('Actual - 2026'!BW:BW,'Actual - 2026'!$B:$B,'RDG Weekly Sales'!$D$4)</f>
        <v>1927</v>
      </c>
      <c r="L31" s="197">
        <f>IFERROR(J31/K31,0)</f>
        <v>224.32770108977684</v>
      </c>
      <c r="M31" s="194"/>
      <c r="N31" s="195">
        <f>SUMIFS('Actual - 2026'!BV:BV,'Actual - 2026'!$D:$D,'RDG Weekly Sales'!$G$1)</f>
        <v>5748324.2599999998</v>
      </c>
      <c r="O31" s="196">
        <f>SUMIFS('Actual - 2026'!BW:BW,'Actual - 2026'!$D:$D,'RDG Weekly Sales'!$G$1)</f>
        <v>19875</v>
      </c>
      <c r="P31" s="197">
        <f>IFERROR(N31/O31,0)</f>
        <v>289.22386213836478</v>
      </c>
      <c r="S31" s="5" t="s">
        <v>51</v>
      </c>
      <c r="U31" s="5" t="e">
        <f>+(SUMIFS(#REF!,#REF!,'RDG Weekly Sales'!$C$59)+SUMIFS(#REF!,#REF!,'RDG Weekly Sales'!$C$62))/+SUMIFS(#REF!,#REF!,'RDG Weekly Sales'!$C$58)</f>
        <v>#REF!</v>
      </c>
      <c r="V31" s="5" t="e">
        <f>+(SUMIFS(#REF!,#REF!,'RDG Weekly Sales'!$C$59)+SUMIFS(#REF!,#REF!,'RDG Weekly Sales'!$C$62))/+SUMIFS(#REF!,#REF!,'RDG Weekly Sales'!$C$58)</f>
        <v>#REF!</v>
      </c>
      <c r="W31" s="5" t="e">
        <f>+(SUMIFS(#REF!,#REF!,'RDG Weekly Sales'!$C$59)+SUMIFS(#REF!,#REF!,'RDG Weekly Sales'!$C$62))/+SUMIFS(#REF!,#REF!,'RDG Weekly Sales'!$C$58)</f>
        <v>#REF!</v>
      </c>
      <c r="X31" s="5" t="e">
        <f>+(SUMIFS(#REF!,#REF!,'RDG Weekly Sales'!$C$59)+SUMIFS(#REF!,#REF!,'RDG Weekly Sales'!$C$62))/+SUMIFS(#REF!,#REF!,'RDG Weekly Sales'!$C$58)</f>
        <v>#REF!</v>
      </c>
      <c r="Z31" s="91"/>
      <c r="AB31" s="5" t="s">
        <v>82</v>
      </c>
      <c r="AD31" s="5">
        <f>[4]KPI!$C$9</f>
        <v>157.8113847478964</v>
      </c>
      <c r="AE31" s="5">
        <f>[4]KPI!$C$28</f>
        <v>276.01779038112528</v>
      </c>
      <c r="AF31" s="5">
        <f>[4]KPI!$C$66</f>
        <v>101.17650770062147</v>
      </c>
      <c r="AG31" s="5">
        <f>[4]KPI!$C$85</f>
        <v>144.84053397306917</v>
      </c>
      <c r="AN31" s="186">
        <f>F31/1562</f>
        <v>75.23031370038413</v>
      </c>
    </row>
    <row r="32" spans="4:48" ht="28.9" customHeight="1">
      <c r="D32" s="202" t="s">
        <v>78</v>
      </c>
      <c r="E32" s="203"/>
      <c r="F32" s="204">
        <f>SUMIFS('Budget - 2026'!DV:DV,'Budget - 2026'!$B:$B,'RDG Weekly Sales'!$D$1)</f>
        <v>242808.39400666943</v>
      </c>
      <c r="G32" s="205">
        <f>SUMIFS('Budget - 2026'!DW:DW,'Budget - 2026'!$B:$B,'RDG Weekly Sales'!$D$1)</f>
        <v>1025</v>
      </c>
      <c r="H32" s="206">
        <f>IFERROR(F32/G32,0)</f>
        <v>236.88623805528727</v>
      </c>
      <c r="I32" s="194"/>
      <c r="J32" s="204">
        <f>SUMIFS('Budget - 2026'!DV:DV,'Budget - 2026'!$C:$C,'RDG Weekly Sales'!$D$4,'Budget - 2026'!$E:$E,$G$1)</f>
        <v>971233.57602667774</v>
      </c>
      <c r="K32" s="205">
        <f>SUMIFS('Budget - 2026'!DW:DW,'Budget - 2026'!$C:$C,'RDG Weekly Sales'!$D$4,'Budget - 2026'!$E:$E,$G$1)</f>
        <v>4100</v>
      </c>
      <c r="L32" s="206">
        <f>IFERROR(J32/K32,0)</f>
        <v>236.88623805528727</v>
      </c>
      <c r="M32" s="194"/>
      <c r="N32" s="204">
        <f>SUMIFS('Budget - 2026'!DV:DV,'Budget - 2026'!$E:$E,'RDG Weekly Sales'!$G$1)</f>
        <v>7045405.4942158386</v>
      </c>
      <c r="O32" s="205">
        <f>SUMIFS('Budget - 2026'!DW:DW,'Budget - 2026'!$E:$E,'RDG Weekly Sales'!$G$1)</f>
        <v>27925</v>
      </c>
      <c r="P32" s="206">
        <f>IFERROR(N32/O32,0)</f>
        <v>252.29742145804258</v>
      </c>
      <c r="S32" s="138" t="s">
        <v>52</v>
      </c>
      <c r="T32" s="125"/>
      <c r="U32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V32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W32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X32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</row>
    <row r="33" spans="4:40" ht="28.9" customHeight="1">
      <c r="D33" s="207" t="s">
        <v>105</v>
      </c>
      <c r="E33" s="203"/>
      <c r="F33" s="179">
        <f>IFERROR((F31-F32)/F32,0)</f>
        <v>-0.51603917780217989</v>
      </c>
      <c r="G33" s="179">
        <f>IFERROR((G31-G32)/G32,0)</f>
        <v>-1</v>
      </c>
      <c r="H33" s="179">
        <f>IFERROR((H31-H32)/H32,0)</f>
        <v>-1</v>
      </c>
      <c r="I33" s="194"/>
      <c r="J33" s="179">
        <f>IFERROR((J31-J32)/J32,0)</f>
        <v>-0.55491707590211425</v>
      </c>
      <c r="K33" s="179">
        <f>IFERROR((K31-K32)/K32,0)</f>
        <v>-0.53</v>
      </c>
      <c r="L33" s="179">
        <f>IFERROR((L31-L32)/L32,0)</f>
        <v>-5.3015055110881407E-2</v>
      </c>
      <c r="M33" s="107"/>
      <c r="N33" s="179">
        <f>IFERROR((N31-N32)/N32,0)</f>
        <v>-0.18410313434488917</v>
      </c>
      <c r="O33" s="179">
        <f>IFERROR((O31-O32)/O32,0)</f>
        <v>-0.28827215756490598</v>
      </c>
      <c r="P33" s="179">
        <f>IFERROR((P31-P32)/P32,0)</f>
        <v>0.1463607533795708</v>
      </c>
      <c r="S33" s="138"/>
      <c r="T33" s="125"/>
      <c r="U33" s="129"/>
      <c r="V33" s="129"/>
      <c r="W33" s="129"/>
      <c r="X33" s="129"/>
    </row>
    <row r="34" spans="4:40" ht="28.9" customHeight="1">
      <c r="D34" s="198">
        <v>2025</v>
      </c>
      <c r="E34" s="194"/>
      <c r="F34" s="195">
        <v>0</v>
      </c>
      <c r="G34" s="196">
        <v>0</v>
      </c>
      <c r="H34" s="197">
        <f>IFERROR(F34/G34,0)</f>
        <v>0</v>
      </c>
      <c r="I34" s="194"/>
      <c r="J34" s="195">
        <v>0</v>
      </c>
      <c r="K34" s="196">
        <v>0</v>
      </c>
      <c r="L34" s="197">
        <f>IFERROR(J34/K34,0)</f>
        <v>0</v>
      </c>
      <c r="M34" s="194"/>
      <c r="N34" s="195">
        <v>0</v>
      </c>
      <c r="O34" s="196">
        <v>0</v>
      </c>
      <c r="P34" s="197">
        <f>IFERROR(N34/O34,0)</f>
        <v>0</v>
      </c>
      <c r="S34" s="138"/>
      <c r="T34" s="125"/>
      <c r="U34" s="129"/>
      <c r="V34" s="129"/>
      <c r="W34" s="129"/>
      <c r="X34" s="129"/>
    </row>
    <row r="35" spans="4:40" ht="28.9" customHeight="1" thickBot="1">
      <c r="D35" s="199" t="s">
        <v>105</v>
      </c>
      <c r="E35" s="194"/>
      <c r="F35" s="200">
        <f>IFERROR((F31-F34)/F34,0)</f>
        <v>0</v>
      </c>
      <c r="G35" s="200">
        <f>IFERROR((G31-G34)/G34,0)</f>
        <v>0</v>
      </c>
      <c r="H35" s="200">
        <f>IFERROR((H31-H34)/H34,0)</f>
        <v>0</v>
      </c>
      <c r="I35" s="194"/>
      <c r="J35" s="200">
        <f>IFERROR((J31-J34)/J34,0)</f>
        <v>0</v>
      </c>
      <c r="K35" s="200">
        <f>IFERROR((K31-K34)/K34,0)</f>
        <v>0</v>
      </c>
      <c r="L35" s="200">
        <f>IFERROR((L31-L34)/L34,0)</f>
        <v>0</v>
      </c>
      <c r="M35" s="107"/>
      <c r="N35" s="200">
        <f>IFERROR((N31-N34)/N34,0)</f>
        <v>0</v>
      </c>
      <c r="O35" s="200">
        <f>IFERROR((O31-O34)/O34,0)</f>
        <v>0</v>
      </c>
      <c r="P35" s="200">
        <f>IFERROR((P31-P34)/P34,0)</f>
        <v>0</v>
      </c>
      <c r="S35" s="138"/>
      <c r="T35" s="125"/>
      <c r="U35" s="129"/>
      <c r="V35" s="129"/>
      <c r="W35" s="129"/>
      <c r="X35" s="129"/>
    </row>
    <row r="36" spans="4:40" ht="7.5" customHeight="1" thickBot="1"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S36" s="5" t="s">
        <v>80</v>
      </c>
      <c r="U36" s="5" t="e">
        <f>+SUMIFS(#REF!,#REF!,'RDG Weekly Sales'!$B$57)/+SUMIFS(#REF!,#REF!,'RDG Weekly Sales'!$B$56)</f>
        <v>#REF!</v>
      </c>
      <c r="V36" s="5" t="e">
        <f>+SUMIFS(#REF!,#REF!,'RDG Weekly Sales'!$B$57)/+SUMIFS(#REF!,#REF!,'RDG Weekly Sales'!$B$56)</f>
        <v>#REF!</v>
      </c>
      <c r="W36" s="5" t="e">
        <f>+SUMIFS(#REF!,#REF!,$B$57)/+SUMIFS(#REF!,#REF!,'RDG Weekly Sales'!$B$56)</f>
        <v>#REF!</v>
      </c>
      <c r="X36" s="5" t="e">
        <f>+SUMIFS(#REF!,#REF!,$B$57)/+SUMIFS(#REF!,#REF!,'RDG Weekly Sales'!$B$56)</f>
        <v>#REF!</v>
      </c>
      <c r="AB36" s="5" t="s">
        <v>81</v>
      </c>
      <c r="AD36" s="5">
        <f>[4]KPI!$C$6</f>
        <v>15093</v>
      </c>
      <c r="AE36" s="5">
        <f>[4]KPI!$C$24</f>
        <v>4408</v>
      </c>
      <c r="AF36" s="5">
        <f>[4]KPI!$C$62</f>
        <v>7402</v>
      </c>
      <c r="AG36" s="5">
        <f>[4]KPI!$C$82</f>
        <v>6461</v>
      </c>
    </row>
    <row r="37" spans="4:40" ht="28.9" customHeight="1">
      <c r="D37" s="193" t="s">
        <v>229</v>
      </c>
      <c r="E37" s="194"/>
      <c r="F37" s="195">
        <f>SUMIFS('Actual - 2026'!BA:BA,'Actual - 2026'!A:A,'RDG Weekly Sales'!D1)</f>
        <v>282014.92000000004</v>
      </c>
      <c r="G37" s="196">
        <f>SUMIFS('Actual - 2026'!BB:BB,'Actual - 2026'!A:A,'RDG Weekly Sales'!D1)</f>
        <v>0</v>
      </c>
      <c r="H37" s="197" t="e">
        <f>F37/G37</f>
        <v>#DIV/0!</v>
      </c>
      <c r="I37" s="194"/>
      <c r="J37" s="195">
        <f>SUMIFS('Actual - 2026'!BA:BA,'Actual - 2026'!B:B,'RDG Weekly Sales'!D4)</f>
        <v>1051243.1499999999</v>
      </c>
      <c r="K37" s="196">
        <f>SUMIFS('Actual - 2026'!BB:BB,'Actual - 2026'!B:B,'RDG Weekly Sales'!D4)</f>
        <v>6211</v>
      </c>
      <c r="L37" s="197">
        <f>J37/K37</f>
        <v>169.25505554661083</v>
      </c>
      <c r="M37" s="194"/>
      <c r="N37" s="195">
        <f>SUMIFS('Actual - 2026'!BA:BA,'Actual - 2026'!D:D,'RDG Weekly Sales'!G1)</f>
        <v>10986837.59</v>
      </c>
      <c r="O37" s="196">
        <f>SUMIFS('Actual - 2026'!BB:BB,'Actual - 2026'!D:D,'RDG Weekly Sales'!G1)</f>
        <v>69398</v>
      </c>
      <c r="P37" s="197">
        <f>N37/O37</f>
        <v>158.31634326637655</v>
      </c>
      <c r="S37" s="5" t="s">
        <v>51</v>
      </c>
      <c r="U37" s="5" t="e">
        <f>+(SUMIFS(#REF!,#REF!,'RDG Weekly Sales'!$C$59)+SUMIFS(#REF!,#REF!,'RDG Weekly Sales'!$C$62))/+SUMIFS(#REF!,#REF!,'RDG Weekly Sales'!$C$58)</f>
        <v>#REF!</v>
      </c>
      <c r="V37" s="5" t="e">
        <f>+(SUMIFS(#REF!,#REF!,'RDG Weekly Sales'!$C$59)+SUMIFS(#REF!,#REF!,'RDG Weekly Sales'!$C$62))/+SUMIFS(#REF!,#REF!,'RDG Weekly Sales'!$C$58)</f>
        <v>#REF!</v>
      </c>
      <c r="W37" s="5" t="e">
        <f>+(SUMIFS(#REF!,#REF!,'RDG Weekly Sales'!$C$59)+SUMIFS(#REF!,#REF!,'RDG Weekly Sales'!$C$62))/+SUMIFS(#REF!,#REF!,'RDG Weekly Sales'!$C$58)</f>
        <v>#REF!</v>
      </c>
      <c r="X37" s="5" t="e">
        <f>+(SUMIFS(#REF!,#REF!,'RDG Weekly Sales'!$C$59)+SUMIFS(#REF!,#REF!,'RDG Weekly Sales'!$C$62))/+SUMIFS(#REF!,#REF!,'RDG Weekly Sales'!$C$58)</f>
        <v>#REF!</v>
      </c>
      <c r="AB37" s="5" t="s">
        <v>82</v>
      </c>
      <c r="AD37" s="5">
        <f>[4]KPI!$C$9</f>
        <v>157.8113847478964</v>
      </c>
      <c r="AE37" s="5">
        <f>[4]KPI!$C$28</f>
        <v>276.01779038112528</v>
      </c>
      <c r="AF37" s="5">
        <f>[4]KPI!$C$66</f>
        <v>101.17650770062147</v>
      </c>
      <c r="AG37" s="5">
        <f>[4]KPI!$C$85</f>
        <v>144.84053397306917</v>
      </c>
    </row>
    <row r="38" spans="4:40" ht="28.9" customHeight="1">
      <c r="D38" s="202" t="s">
        <v>78</v>
      </c>
      <c r="E38" s="203"/>
      <c r="F38" s="204">
        <f>SUMIFS('Budget - 2026'!DA:DA,'Budget - 2026'!B:B,'RDG Weekly Sales'!D1)</f>
        <v>329876.03193392034</v>
      </c>
      <c r="G38" s="205">
        <f>SUMIFS('Budget - 2026'!DB:DB,'Budget - 2026'!B:B,'RDG Weekly Sales'!D1)</f>
        <v>2192.25</v>
      </c>
      <c r="H38" s="206">
        <f>IFERROR(F38/G38,0)</f>
        <v>150.47372878728262</v>
      </c>
      <c r="I38" s="194"/>
      <c r="J38" s="204">
        <f>SUMIFS('Budget - 2026'!DA:DA,'Budget - 2026'!C:C,'RDG Weekly Sales'!D4,'Budget - 2026'!$E:$E,G1)</f>
        <v>1264700.7185862467</v>
      </c>
      <c r="K38" s="205">
        <f>SUMIFS('Budget - 2026'!DB:DB,'Budget - 2026'!C:C,'RDG Weekly Sales'!D4,'Budget - 2026'!$E:$E,G1)</f>
        <v>8357</v>
      </c>
      <c r="L38" s="206">
        <f>IFERROR(J38/K38,0)</f>
        <v>151.33429682735991</v>
      </c>
      <c r="M38" s="194"/>
      <c r="N38" s="204">
        <f>SUMIFS('Budget - 2026'!DA:DA,'Budget - 2026'!E:E,'RDG Weekly Sales'!G1)</f>
        <v>11838862.334735449</v>
      </c>
      <c r="O38" s="205">
        <f>SUMIFS('Budget - 2026'!DB:DB,'Budget - 2026'!E:E,'RDG Weekly Sales'!G1)</f>
        <v>74371</v>
      </c>
      <c r="P38" s="206">
        <f>IFERROR(N38/O38,0)</f>
        <v>159.18654226426227</v>
      </c>
      <c r="S38" s="138" t="s">
        <v>52</v>
      </c>
      <c r="T38" s="125"/>
      <c r="U38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V38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W38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X38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</row>
    <row r="39" spans="4:40" ht="28.9" customHeight="1">
      <c r="D39" s="207" t="s">
        <v>105</v>
      </c>
      <c r="E39" s="203"/>
      <c r="F39" s="179">
        <f>(F37-F38)/F38</f>
        <v>-0.1450881764683882</v>
      </c>
      <c r="G39" s="179">
        <f>(G37-G38)/G38</f>
        <v>-1</v>
      </c>
      <c r="H39" s="179" t="e">
        <f>(H37-H38)/H38</f>
        <v>#DIV/0!</v>
      </c>
      <c r="I39" s="194"/>
      <c r="J39" s="179">
        <f>(J37-J38)/J38</f>
        <v>-0.16878109219773485</v>
      </c>
      <c r="K39" s="179">
        <f>(K37-K38)/K38</f>
        <v>-0.25679071437118584</v>
      </c>
      <c r="L39" s="179">
        <f>(L37-L38)/L38</f>
        <v>0.1184183565454081</v>
      </c>
      <c r="M39" s="107"/>
      <c r="N39" s="179">
        <f>(N37-N38)/N38</f>
        <v>-7.1968464591026848E-2</v>
      </c>
      <c r="O39" s="179">
        <f>(O37-O38)/O38</f>
        <v>-6.6867461779457044E-2</v>
      </c>
      <c r="P39" s="179">
        <f>(P37-P38)/P38</f>
        <v>-5.4665362128484673E-3</v>
      </c>
      <c r="S39" s="138"/>
      <c r="T39" s="125"/>
      <c r="U39" s="129"/>
      <c r="V39" s="129"/>
      <c r="W39" s="129"/>
      <c r="X39" s="129"/>
    </row>
    <row r="40" spans="4:40" ht="28.9" customHeight="1">
      <c r="D40" s="198">
        <v>2025</v>
      </c>
      <c r="E40" s="194"/>
      <c r="F40" s="195">
        <f>SUMIFS('Budget - 2026'!CR:CR,'Budget - 2026'!B:B,'RDG Weekly Sales'!D1)</f>
        <v>304876.25</v>
      </c>
      <c r="G40" s="196">
        <f>SUMIFS('Budget - 2026'!CS:CS,'Budget - 2026'!B:B,'RDG Weekly Sales'!D1)</f>
        <v>1948</v>
      </c>
      <c r="H40" s="197">
        <f>IFERROR(F40/G40,0)</f>
        <v>156.50731519507187</v>
      </c>
      <c r="I40" s="194"/>
      <c r="J40" s="195">
        <f>SUMIFS('Budget - 2026'!CR:CR,'Budget - 2026'!C:C,'RDG Weekly Sales'!D4,'Budget - 2026'!$E:$E,G1)</f>
        <v>1134063.31</v>
      </c>
      <c r="K40" s="196">
        <f>SUMIFS('Budget - 2026'!CS:CS,'Budget - 2026'!C:C,'RDG Weekly Sales'!D4,'Budget - 2026'!$E:$E,G1)</f>
        <v>7365</v>
      </c>
      <c r="L40" s="197">
        <f>IFERROR(J40/K40,0)</f>
        <v>153.98008282416836</v>
      </c>
      <c r="M40" s="194"/>
      <c r="N40" s="195">
        <f>SUMIFS('Budget - 2026'!CR:CR,'Budget - 2026'!E:E,'RDG Weekly Sales'!G1)</f>
        <v>8809258.9199999999</v>
      </c>
      <c r="O40" s="196">
        <f>SUMIFS('Budget - 2026'!CS:CS,'Budget - 2026'!E:E,'RDG Weekly Sales'!G1)</f>
        <v>53295</v>
      </c>
      <c r="P40" s="197">
        <f>IFERROR(N40/O40,0)</f>
        <v>165.29240866873064</v>
      </c>
      <c r="S40" s="138"/>
      <c r="T40" s="125"/>
      <c r="U40" s="129"/>
      <c r="V40" s="129"/>
      <c r="W40" s="129"/>
      <c r="X40" s="129"/>
    </row>
    <row r="41" spans="4:40" ht="28.9" customHeight="1" thickBot="1">
      <c r="D41" s="199" t="s">
        <v>105</v>
      </c>
      <c r="E41" s="194"/>
      <c r="F41" s="200">
        <f>IFERROR((F37-F40)/F40,0)</f>
        <v>-7.4985604815068274E-2</v>
      </c>
      <c r="G41" s="200">
        <f>IFERROR((G37-G40)/G40,0)</f>
        <v>-1</v>
      </c>
      <c r="H41" s="200">
        <f>IFERROR((H37-H40)/H40,0)</f>
        <v>0</v>
      </c>
      <c r="I41" s="194"/>
      <c r="J41" s="200">
        <f>IFERROR((J37-J40)/J40,0)</f>
        <v>-7.3029573631123071E-2</v>
      </c>
      <c r="K41" s="200">
        <f>IFERROR((K37-K40)/K40,0)</f>
        <v>-0.15668703326544467</v>
      </c>
      <c r="L41" s="200">
        <f>IFERROR((L37-L40)/L40,0)</f>
        <v>9.9200964451260476E-2</v>
      </c>
      <c r="M41" s="107"/>
      <c r="N41" s="200">
        <f>IFERROR((N37-N40)/N40,0)</f>
        <v>0.24719203848761434</v>
      </c>
      <c r="O41" s="200">
        <f>IFERROR((O37-O40)/O40,0)</f>
        <v>0.30214841917628293</v>
      </c>
      <c r="P41" s="200">
        <f>IFERROR((P37-P40)/P40,0)</f>
        <v>-4.2204390743286441E-2</v>
      </c>
      <c r="S41" s="138"/>
      <c r="T41" s="125"/>
      <c r="U41" s="129"/>
      <c r="V41" s="129"/>
      <c r="W41" s="129"/>
      <c r="X41" s="129"/>
    </row>
    <row r="42" spans="4:40" ht="7.5" customHeight="1" thickBot="1"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S42" s="138"/>
      <c r="T42" s="125"/>
      <c r="U42" s="129"/>
      <c r="V42" s="129"/>
      <c r="W42" s="129"/>
      <c r="X42" s="129"/>
    </row>
    <row r="43" spans="4:40" ht="28.9" customHeight="1">
      <c r="D43" s="193" t="s">
        <v>239</v>
      </c>
      <c r="E43" s="194"/>
      <c r="F43" s="195">
        <f>SUMIFS('Actual - 2026'!BM:BM,'Actual - 2026'!A:A,'RDG Weekly Sales'!D1)</f>
        <v>216522.02</v>
      </c>
      <c r="G43" s="196">
        <f>SUMIFS('Actual - 2026'!BN:BN,'Actual - 2026'!A:A,'RDG Weekly Sales'!D1)</f>
        <v>0</v>
      </c>
      <c r="H43" s="197" t="e">
        <f>F43/G43</f>
        <v>#DIV/0!</v>
      </c>
      <c r="I43" s="194"/>
      <c r="J43" s="195">
        <f>SUMIFS('Actual - 2026'!BM:BM,'Actual - 2026'!B:B,'RDG Weekly Sales'!D4)</f>
        <v>766611.29</v>
      </c>
      <c r="K43" s="196">
        <f>SUMIFS('Actual - 2026'!BN:BN,'Actual - 2026'!B:B,'RDG Weekly Sales'!D4)</f>
        <v>5124</v>
      </c>
      <c r="L43" s="197">
        <f>J43/K43</f>
        <v>149.61188329430132</v>
      </c>
      <c r="M43" s="194"/>
      <c r="N43" s="195">
        <f>SUMIFS('Actual - 2026'!BM:BM,'Actual - 2026'!D:D,'RDG Weekly Sales'!G1)</f>
        <v>7382474.8499999987</v>
      </c>
      <c r="O43" s="196">
        <f>SUMIFS('Actual - 2026'!BN:BN,'Actual - 2026'!D:D,'RDG Weekly Sales'!G1)</f>
        <v>64132</v>
      </c>
      <c r="P43" s="197">
        <f>N43/O43</f>
        <v>115.11374742718142</v>
      </c>
      <c r="S43" s="5" t="s">
        <v>51</v>
      </c>
      <c r="U43" s="5" t="e">
        <f>+(SUMIFS(#REF!,#REF!,'RDG Weekly Sales'!$C$59)+SUMIFS(#REF!,#REF!,'RDG Weekly Sales'!$C$62))/+SUMIFS(#REF!,#REF!,'RDG Weekly Sales'!$C$58)</f>
        <v>#REF!</v>
      </c>
      <c r="V43" s="5" t="e">
        <f>+(SUMIFS(#REF!,#REF!,'RDG Weekly Sales'!$C$59)+SUMIFS(#REF!,#REF!,'RDG Weekly Sales'!$C$62))/+SUMIFS(#REF!,#REF!,'RDG Weekly Sales'!$C$58)</f>
        <v>#REF!</v>
      </c>
      <c r="W43" s="5" t="e">
        <f>+(SUMIFS(#REF!,#REF!,'RDG Weekly Sales'!$C$59)+SUMIFS(#REF!,#REF!,'RDG Weekly Sales'!$C$62))/+SUMIFS(#REF!,#REF!,'RDG Weekly Sales'!$C$58)</f>
        <v>#REF!</v>
      </c>
      <c r="X43" s="5" t="e">
        <f>+(SUMIFS(#REF!,#REF!,'RDG Weekly Sales'!$C$59)+SUMIFS(#REF!,#REF!,'RDG Weekly Sales'!$C$62))/+SUMIFS(#REF!,#REF!,'RDG Weekly Sales'!$C$58)</f>
        <v>#REF!</v>
      </c>
      <c r="Z43" s="91"/>
      <c r="AB43" s="5" t="s">
        <v>82</v>
      </c>
      <c r="AD43" s="5">
        <f>[4]KPI!$C$9</f>
        <v>157.8113847478964</v>
      </c>
      <c r="AE43" s="5">
        <f>[4]KPI!$C$28</f>
        <v>276.01779038112528</v>
      </c>
      <c r="AF43" s="5">
        <f>[4]KPI!$C$66</f>
        <v>101.17650770062147</v>
      </c>
      <c r="AG43" s="5">
        <f>[4]KPI!$C$85</f>
        <v>144.84053397306917</v>
      </c>
      <c r="AN43" s="186">
        <f>F43/1562</f>
        <v>138.61845070422535</v>
      </c>
    </row>
    <row r="44" spans="4:40" ht="28.9" customHeight="1">
      <c r="D44" s="202" t="s">
        <v>78</v>
      </c>
      <c r="E44" s="203"/>
      <c r="F44" s="204">
        <f>SUMIFS('Budget - 2026'!DM:DM,'Budget - 2026'!B:B,'RDG Weekly Sales'!D1)</f>
        <v>230673.492</v>
      </c>
      <c r="G44" s="205">
        <f>SUMIFS('Budget - 2026'!DN:DN,'Budget - 2026'!B:B,'RDG Weekly Sales'!D1)</f>
        <v>2278.9169999999999</v>
      </c>
      <c r="H44" s="206">
        <f>IFERROR(F44/G44,0)</f>
        <v>101.22066402593865</v>
      </c>
      <c r="I44" s="194"/>
      <c r="J44" s="204">
        <f>SUMIFS('Budget - 2026'!DM:DM,'Budget - 2026'!C:C,'RDG Weekly Sales'!D4,'Budget - 2026'!$E:$E,G1)</f>
        <v>922693.96799999999</v>
      </c>
      <c r="K44" s="205">
        <f>SUMIFS('Budget - 2026'!DN:DN,'Budget - 2026'!C:C,'RDG Weekly Sales'!D4,'Budget - 2026'!$E:$E,G1)</f>
        <v>9115.6679999999997</v>
      </c>
      <c r="L44" s="206">
        <f>IFERROR(J44/K44,0)</f>
        <v>101.22066402593865</v>
      </c>
      <c r="M44" s="194"/>
      <c r="N44" s="204">
        <f>SUMIFS('Budget - 2026'!DM:DM,'Budget - 2026'!E:E,'RDG Weekly Sales'!G1)</f>
        <v>8093607.0500000007</v>
      </c>
      <c r="O44" s="205">
        <f>SUMIFS('Budget - 2026'!DN:DN,'Budget - 2026'!E:E,'RDG Weekly Sales'!G1)</f>
        <v>73921.175000000003</v>
      </c>
      <c r="P44" s="206">
        <f>IFERROR(N44/O44,0)</f>
        <v>109.48969696436779</v>
      </c>
      <c r="S44" s="138" t="s">
        <v>52</v>
      </c>
      <c r="T44" s="125"/>
      <c r="U44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V44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W44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  <c r="X44" s="129" t="e">
        <f>+(SUMIFS(#REF!,#REF!,'RDG Weekly Sales'!$B$63)+SUMIFS(#REF!,#REF!,'RDG Weekly Sales'!$B$64)+SUMIFS(#REF!,#REF!,'RDG Weekly Sales'!$B$65))/(+SUMIFS(#REF!,#REF!,'RDG Weekly Sales'!$B$58)+SUMIFS(#REF!,#REF!,'RDG Weekly Sales'!$B$59)+SUMIFS(#REF!,#REF!,'RDG Weekly Sales'!$B$62))</f>
        <v>#REF!</v>
      </c>
    </row>
    <row r="45" spans="4:40" ht="28.9" customHeight="1">
      <c r="D45" s="207" t="s">
        <v>105</v>
      </c>
      <c r="E45" s="203"/>
      <c r="F45" s="179">
        <f>IFERROR((F43-F44)/F44,0)</f>
        <v>-6.1348496861529322E-2</v>
      </c>
      <c r="G45" s="179">
        <f>IFERROR((G43-G44)/G44,0)</f>
        <v>-1</v>
      </c>
      <c r="H45" s="179">
        <f>IFERROR((H43-H44)/H44,0)</f>
        <v>0</v>
      </c>
      <c r="I45" s="194"/>
      <c r="J45" s="179">
        <f>IFERROR((J43-J44)/J44,0)</f>
        <v>-0.16915974679916837</v>
      </c>
      <c r="K45" s="179">
        <f>IFERROR((K43-K44)/K44,0)</f>
        <v>-0.43789089291097477</v>
      </c>
      <c r="L45" s="179">
        <f>IFERROR((L43-L44)/L44,0)</f>
        <v>0.47807648501458178</v>
      </c>
      <c r="M45" s="107"/>
      <c r="N45" s="179">
        <f>IFERROR((N43-N44)/N44,0)</f>
        <v>-8.786344526078789E-2</v>
      </c>
      <c r="O45" s="179">
        <f>IFERROR((O43-O44)/O44,0)</f>
        <v>-0.13242721047115394</v>
      </c>
      <c r="P45" s="179">
        <f>IFERROR((P43-P44)/P44,0)</f>
        <v>5.1366024555204608E-2</v>
      </c>
      <c r="S45" s="138"/>
      <c r="T45" s="125"/>
      <c r="U45" s="129"/>
      <c r="V45" s="129"/>
      <c r="W45" s="129"/>
      <c r="X45" s="129"/>
    </row>
    <row r="46" spans="4:40" ht="28.9" customHeight="1">
      <c r="D46" s="198">
        <v>2025</v>
      </c>
      <c r="E46" s="194"/>
      <c r="F46" s="195">
        <v>0</v>
      </c>
      <c r="G46" s="196">
        <v>0</v>
      </c>
      <c r="H46" s="197">
        <f>IFERROR(F46/G46,0)</f>
        <v>0</v>
      </c>
      <c r="I46" s="194"/>
      <c r="J46" s="195">
        <v>0</v>
      </c>
      <c r="K46" s="196">
        <v>0</v>
      </c>
      <c r="L46" s="197">
        <f>IFERROR(J46/K46,0)</f>
        <v>0</v>
      </c>
      <c r="M46" s="194"/>
      <c r="N46" s="195">
        <v>0</v>
      </c>
      <c r="O46" s="196">
        <v>0</v>
      </c>
      <c r="P46" s="197">
        <f>IFERROR(N46/O46,0)</f>
        <v>0</v>
      </c>
      <c r="S46" s="138"/>
      <c r="T46" s="125"/>
      <c r="U46" s="129"/>
      <c r="V46" s="129"/>
      <c r="W46" s="129"/>
      <c r="X46" s="129"/>
    </row>
    <row r="47" spans="4:40" ht="28.9" customHeight="1" thickBot="1">
      <c r="D47" s="199" t="s">
        <v>105</v>
      </c>
      <c r="E47" s="194"/>
      <c r="F47" s="200">
        <f>IFERROR((F43-F46)/F46,0)</f>
        <v>0</v>
      </c>
      <c r="G47" s="200">
        <f>IFERROR((G43-G46)/G46,0)</f>
        <v>0</v>
      </c>
      <c r="H47" s="200">
        <f>IFERROR((H43-H46)/H46,0)</f>
        <v>0</v>
      </c>
      <c r="I47" s="194"/>
      <c r="J47" s="200">
        <f>IFERROR((J43-J46)/J46,0)</f>
        <v>0</v>
      </c>
      <c r="K47" s="200">
        <f>IFERROR((K43-K46)/K46,0)</f>
        <v>0</v>
      </c>
      <c r="L47" s="200">
        <f>IFERROR((L43-L46)/L46,0)</f>
        <v>0</v>
      </c>
      <c r="M47" s="107"/>
      <c r="N47" s="200">
        <f>IFERROR((N43-N46)/N46,0)</f>
        <v>0</v>
      </c>
      <c r="O47" s="200">
        <f>IFERROR((O43-O46)/O46,0)</f>
        <v>0</v>
      </c>
      <c r="P47" s="200">
        <f>IFERROR((P43-P46)/P46,0)</f>
        <v>0</v>
      </c>
      <c r="S47" s="138"/>
      <c r="T47" s="125"/>
      <c r="U47" s="129"/>
      <c r="V47" s="129"/>
      <c r="W47" s="129"/>
      <c r="X47" s="129"/>
    </row>
    <row r="48" spans="4:40" ht="7.5" customHeight="1" thickBot="1"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S48" s="138"/>
      <c r="T48" s="125"/>
      <c r="U48" s="129"/>
      <c r="V48" s="129"/>
      <c r="W48" s="129"/>
      <c r="X48" s="129"/>
    </row>
    <row r="49" spans="2:24" ht="28.9" customHeight="1">
      <c r="D49" s="217" t="s">
        <v>83</v>
      </c>
      <c r="E49" s="220"/>
      <c r="F49" s="218">
        <f>IFERROR(SUM(F7,F13,F19,F25,F31,F37,F43),0)</f>
        <v>1995361.79</v>
      </c>
      <c r="G49" s="304">
        <f>IFERROR(SUM(G7,G13,G19,G25,G31,G37,G43),0)</f>
        <v>4050</v>
      </c>
      <c r="H49" s="218">
        <f>IFERROR(F49/G49,0)</f>
        <v>492.68192345679012</v>
      </c>
      <c r="J49" s="218">
        <f>IFERROR(SUM(J7,J13,J19,J25,J31,J37,J43),0)</f>
        <v>7589838.1500000013</v>
      </c>
      <c r="K49" s="304">
        <f>IFERROR(SUM(K7,K13,K19,K25,K31,K37,K43),0)</f>
        <v>45688</v>
      </c>
      <c r="L49" s="218">
        <f>IFERROR(J49/K49,0)</f>
        <v>166.12323038872356</v>
      </c>
      <c r="N49" s="218">
        <f>IFERROR(SUM(N7,N13,N19,N25,N31,N37,N43),0)</f>
        <v>95726453.730000004</v>
      </c>
      <c r="O49" s="304">
        <f>IFERROR(SUM(O7,O13,O19,O25,O31,O37,O43),0)</f>
        <v>551904</v>
      </c>
      <c r="P49" s="218">
        <f>IFERROR(N49/O49,0)</f>
        <v>173.44765345060011</v>
      </c>
      <c r="S49" s="138" t="s">
        <v>53</v>
      </c>
      <c r="T49" s="125"/>
      <c r="U49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  <c r="V49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  <c r="W49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  <c r="X49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</row>
    <row r="50" spans="2:24" ht="27.6" customHeight="1">
      <c r="D50" s="209" t="s">
        <v>78</v>
      </c>
      <c r="E50" s="210"/>
      <c r="F50" s="211">
        <f>IFERROR(SUM(F8,F14,F20,F26,F38,F44,F32),0)</f>
        <v>2249919.9044016702</v>
      </c>
      <c r="G50" s="212">
        <f>IFERROR(SUM(G8,G14,G20,G26,G38,G44,G32),0)</f>
        <v>15590.916999999999</v>
      </c>
      <c r="H50" s="213">
        <f>IFERROR(F50/G50,0)</f>
        <v>144.30965827100934</v>
      </c>
      <c r="I50" s="194"/>
      <c r="J50" s="211">
        <f>IFERROR(SUM(J8,J14,J20,J26,J38,J44,J32),0)</f>
        <v>8909641.7828734852</v>
      </c>
      <c r="K50" s="212">
        <f>IFERROR(SUM(K8,K14,K20,K26,K38,K44,K32),0)</f>
        <v>60366.067999999999</v>
      </c>
      <c r="L50" s="213">
        <f>IFERROR(J50/K50,0)</f>
        <v>147.59354183667364</v>
      </c>
      <c r="M50" s="194"/>
      <c r="N50" s="211">
        <f>IFERROR(SUM(N8,N14,N20,N26,N38,N44,N32),0)</f>
        <v>93832832.625392139</v>
      </c>
      <c r="O50" s="212">
        <f>IFERROR(SUM(O8,O14,O20,O26,O38,O44,O32),0)</f>
        <v>574966.57500000007</v>
      </c>
      <c r="P50" s="213">
        <f>IFERROR(N50/O50,0)</f>
        <v>163.19702171450945</v>
      </c>
      <c r="S50" s="139"/>
    </row>
    <row r="51" spans="2:24" ht="28.9" customHeight="1">
      <c r="D51" s="214" t="s">
        <v>105</v>
      </c>
      <c r="E51" s="210"/>
      <c r="F51" s="215">
        <f>(F49-F50)/F50</f>
        <v>-0.11314096733117519</v>
      </c>
      <c r="G51" s="215">
        <f>(G49-G50)/G50</f>
        <v>-0.74023336792826233</v>
      </c>
      <c r="H51" s="215">
        <f>(H49-H50)/H50</f>
        <v>2.4140606343308484</v>
      </c>
      <c r="I51" s="194"/>
      <c r="J51" s="215">
        <f>(J49-J50)/J50</f>
        <v>-0.14813206468193479</v>
      </c>
      <c r="K51" s="215">
        <f>(K49-K50)/K50</f>
        <v>-0.24315097017748447</v>
      </c>
      <c r="L51" s="215">
        <f>(L49-L50)/L50</f>
        <v>0.12554538851405023</v>
      </c>
      <c r="M51" s="107"/>
      <c r="N51" s="215">
        <f>(N49-N50)/N50</f>
        <v>2.0180794415188864E-2</v>
      </c>
      <c r="O51" s="215">
        <f>(O49-O50)/O50</f>
        <v>-4.0111157765997212E-2</v>
      </c>
      <c r="P51" s="215">
        <f>(P49-P50)/P50</f>
        <v>6.2811389744738891E-2</v>
      </c>
      <c r="S51" s="138"/>
      <c r="T51" s="125"/>
      <c r="U51" s="129"/>
      <c r="V51" s="129"/>
      <c r="W51" s="129"/>
      <c r="X51" s="129"/>
    </row>
    <row r="52" spans="2:24" ht="27.6" customHeight="1">
      <c r="D52" s="198">
        <v>2025</v>
      </c>
      <c r="E52" s="194"/>
      <c r="F52" s="195">
        <f>IFERROR(SUM(F10,F16,F22,F28,F40,F46,F34),0)</f>
        <v>1735780.9100000001</v>
      </c>
      <c r="G52" s="196">
        <f>IFERROR(SUM(G10,G16,G22,G28,G40,G46,G34),0)</f>
        <v>12074</v>
      </c>
      <c r="H52" s="197">
        <f>IFERROR(F52/G52,0)</f>
        <v>143.76187758820606</v>
      </c>
      <c r="I52" s="194"/>
      <c r="J52" s="195">
        <f>IFERROR(SUM(J10,J16,J22,J28,J40,J46,J34),0)</f>
        <v>6813760.4000000004</v>
      </c>
      <c r="K52" s="196">
        <f>IFERROR(SUM(K10,K16,K22,K28,K40,K46,K34),0)</f>
        <v>46353</v>
      </c>
      <c r="L52" s="197">
        <f>IFERROR(J52/K52,0)</f>
        <v>146.99718249088517</v>
      </c>
      <c r="M52" s="194"/>
      <c r="N52" s="195">
        <f>IFERROR(SUM(N10,N16,N22,N28,N40,N46,N34),0)</f>
        <v>73006125.75</v>
      </c>
      <c r="O52" s="196">
        <f>IFERROR(SUM(O10,O16,O22,O28,O40,O46,O34),0)</f>
        <v>438855</v>
      </c>
      <c r="P52" s="197">
        <f>IFERROR(N52/O52,0)</f>
        <v>166.35591653279556</v>
      </c>
      <c r="S52" s="139"/>
    </row>
    <row r="53" spans="2:24" ht="28.9" customHeight="1">
      <c r="D53" s="199" t="s">
        <v>105</v>
      </c>
      <c r="E53" s="194"/>
      <c r="F53" s="200">
        <f>IFERROR((F49-F52)/F52,0)</f>
        <v>0.14954703010300988</v>
      </c>
      <c r="G53" s="200">
        <f>IFERROR((G49-G52)/G52,0)</f>
        <v>-0.66456849428524101</v>
      </c>
      <c r="H53" s="200">
        <f>IFERROR((H49-H52)/H52,0)</f>
        <v>2.4270693435712944</v>
      </c>
      <c r="I53" s="194"/>
      <c r="J53" s="200">
        <f>IFERROR((J49-J52)/J52,0)</f>
        <v>0.11389859702140405</v>
      </c>
      <c r="K53" s="200">
        <f>IFERROR((K49-K52)/K52,0)</f>
        <v>-1.4346428494380083E-2</v>
      </c>
      <c r="L53" s="200">
        <f>IFERROR((L49-L52)/L52,0)</f>
        <v>0.13011166318799569</v>
      </c>
      <c r="M53" s="107"/>
      <c r="N53" s="200">
        <f>IFERROR((N49-N52)/N52,0)</f>
        <v>0.31121125448846332</v>
      </c>
      <c r="O53" s="200">
        <f>IFERROR((O49-O52)/O52,0)</f>
        <v>0.25759989062446592</v>
      </c>
      <c r="P53" s="200">
        <f>IFERROR((P49-P52)/P52,0)</f>
        <v>4.2629904998939316E-2</v>
      </c>
      <c r="S53" s="138"/>
      <c r="T53" s="125"/>
      <c r="U53" s="129"/>
      <c r="V53" s="129"/>
      <c r="W53" s="129"/>
      <c r="X53" s="129"/>
    </row>
    <row r="54" spans="2:24" ht="21">
      <c r="S54" s="138" t="s">
        <v>81</v>
      </c>
      <c r="T54" s="125"/>
      <c r="U54" s="140">
        <f>[4]KPI!$C$6</f>
        <v>15093</v>
      </c>
      <c r="V54" s="140">
        <f>[4]KPI!$C$24</f>
        <v>4408</v>
      </c>
      <c r="W54" s="140">
        <f>[4]KPI!$C$62</f>
        <v>7402</v>
      </c>
      <c r="X54" s="140">
        <f>[4]KPI!$C$82</f>
        <v>6461</v>
      </c>
    </row>
    <row r="55" spans="2:24" ht="21">
      <c r="S55" s="138"/>
      <c r="T55" s="125"/>
      <c r="U55" s="140"/>
      <c r="V55" s="140"/>
      <c r="W55" s="140"/>
      <c r="X55" s="140"/>
    </row>
    <row r="56" spans="2:24" ht="28.9" customHeight="1">
      <c r="D56" s="109" t="s">
        <v>84</v>
      </c>
      <c r="F56" s="153">
        <f t="shared" ref="F56:H57" si="0">SUM(F13,F19,F25,F49)</f>
        <v>2836970.89</v>
      </c>
      <c r="G56" s="114">
        <f t="shared" si="0"/>
        <v>4050</v>
      </c>
      <c r="H56" s="114" t="e">
        <f t="shared" si="0"/>
        <v>#DIV/0!</v>
      </c>
      <c r="J56" s="153">
        <f t="shared" ref="J56:L57" si="1">SUM(J13,J19,J25,J49)</f>
        <v>10840059.680000002</v>
      </c>
      <c r="K56" s="114">
        <f t="shared" si="1"/>
        <v>62645</v>
      </c>
      <c r="L56" s="114">
        <f t="shared" si="1"/>
        <v>790.14108997523044</v>
      </c>
      <c r="N56" s="149">
        <f>SUM(N13,N19,N25,N49)</f>
        <v>142082241.15000001</v>
      </c>
      <c r="O56" s="113">
        <f>SUM(O13,O19,O25,O49)</f>
        <v>796417</v>
      </c>
      <c r="P56" s="113">
        <f>SUM(P13,P19,P25,P49)</f>
        <v>776.90442882676302</v>
      </c>
      <c r="S56" s="138" t="s">
        <v>53</v>
      </c>
      <c r="T56" s="125"/>
      <c r="U56" s="129" t="e">
        <f>(+SUMIFS(#REF!,#REF!,'RDG Weekly Sales'!B70)+SUMIFS(#REF!,#REF!,'RDG Weekly Sales'!B71)+SUMIFS(#REF!,#REF!,'RDG Weekly Sales'!B72)+SUMIFS(#REF!,#REF!,'RDG Weekly Sales'!B73)+SUMIFS(#REF!,#REF!,'RDG Weekly Sales'!B74)+SUMIFS(#REF!,#REF!,'RDG Weekly Sales'!B75)+SUMIFS(#REF!,#REF!,'RDG Weekly Sales'!B76)+SUMIFS(#REF!,#REF!,'RDG Weekly Sales'!B77))/+SUMIFS(#REF!,#REF!,'RDG Weekly Sales'!$B$56)</f>
        <v>#REF!</v>
      </c>
      <c r="V56" s="129" t="e">
        <f>(+SUMIFS(#REF!,#REF!,'RDG Weekly Sales'!B70)+SUMIFS(#REF!,#REF!,'RDG Weekly Sales'!B71)+SUMIFS(#REF!,#REF!,'RDG Weekly Sales'!B72)+SUMIFS(#REF!,#REF!,'RDG Weekly Sales'!B73)+SUMIFS(#REF!,#REF!,'RDG Weekly Sales'!B74)+SUMIFS(#REF!,#REF!,'RDG Weekly Sales'!B75)+SUMIFS(#REF!,#REF!,'RDG Weekly Sales'!B76)+SUMIFS(#REF!,#REF!,'RDG Weekly Sales'!B77))/+SUMIFS(#REF!,#REF!,'RDG Weekly Sales'!$B$56)</f>
        <v>#REF!</v>
      </c>
      <c r="W56" s="129" t="e">
        <f>(+SUMIFS(#REF!,#REF!,'RDG Weekly Sales'!B70)+SUMIFS(#REF!,#REF!,'RDG Weekly Sales'!B71)+SUMIFS(#REF!,#REF!,'RDG Weekly Sales'!B72)+SUMIFS(#REF!,#REF!,'RDG Weekly Sales'!B73)+SUMIFS(#REF!,#REF!,'RDG Weekly Sales'!B74)+SUMIFS(#REF!,#REF!,'RDG Weekly Sales'!B75)+SUMIFS(#REF!,#REF!,'RDG Weekly Sales'!B76)+SUMIFS(#REF!,#REF!,'RDG Weekly Sales'!B77))/+SUMIFS(#REF!,#REF!,'RDG Weekly Sales'!$B$56)</f>
        <v>#REF!</v>
      </c>
      <c r="X56" s="129" t="e">
        <f>(+SUMIFS(#REF!,#REF!,'RDG Weekly Sales'!B70)+SUMIFS(#REF!,#REF!,'RDG Weekly Sales'!B71)+SUMIFS(#REF!,#REF!,'RDG Weekly Sales'!B72)+SUMIFS(#REF!,#REF!,'RDG Weekly Sales'!B73)+SUMIFS(#REF!,#REF!,'RDG Weekly Sales'!B74)+SUMIFS(#REF!,#REF!,'RDG Weekly Sales'!B75)+SUMIFS(#REF!,#REF!,'RDG Weekly Sales'!B76)+SUMIFS(#REF!,#REF!,'RDG Weekly Sales'!B77))/+SUMIFS(#REF!,#REF!,'RDG Weekly Sales'!$B$56)</f>
        <v>#REF!</v>
      </c>
    </row>
    <row r="57" spans="2:24" ht="27.6" customHeight="1">
      <c r="D57" s="117" t="s">
        <v>78</v>
      </c>
      <c r="F57" s="154">
        <f t="shared" si="0"/>
        <v>3224505.8908627499</v>
      </c>
      <c r="G57" s="119">
        <f t="shared" si="0"/>
        <v>22299.667000000001</v>
      </c>
      <c r="H57" s="119">
        <f t="shared" si="0"/>
        <v>640.61395997612624</v>
      </c>
      <c r="J57" s="154">
        <f t="shared" si="1"/>
        <v>12726534.303134046</v>
      </c>
      <c r="K57" s="119">
        <f t="shared" si="1"/>
        <v>85257.467999999993</v>
      </c>
      <c r="L57" s="119">
        <f t="shared" si="1"/>
        <v>693.13401091933156</v>
      </c>
      <c r="N57" s="150">
        <f>N14+N20+N26+N50</f>
        <v>137099857.37183297</v>
      </c>
      <c r="O57" s="116">
        <f>O14+O20+O26+O50</f>
        <v>825621.97500000009</v>
      </c>
      <c r="P57" s="116">
        <f>P14+P20+P26+P50</f>
        <v>731.89669593170765</v>
      </c>
      <c r="S57" s="139"/>
    </row>
    <row r="58" spans="2:24" ht="13.35" customHeight="1">
      <c r="B58" s="5" t="s">
        <v>85</v>
      </c>
      <c r="C58" s="5" t="s">
        <v>86</v>
      </c>
      <c r="D58" s="54"/>
      <c r="F58" s="151"/>
      <c r="G58" s="114"/>
      <c r="H58" s="76"/>
      <c r="J58" s="151"/>
      <c r="K58" s="114"/>
      <c r="L58" s="76"/>
      <c r="N58" s="151"/>
      <c r="O58" s="76"/>
      <c r="P58" s="76"/>
      <c r="S58" s="138" t="s">
        <v>7</v>
      </c>
      <c r="T58" s="125"/>
      <c r="U58" s="130"/>
      <c r="V58" s="125"/>
      <c r="W58" s="125"/>
      <c r="X58" s="125"/>
    </row>
    <row r="59" spans="2:24" ht="28.9" customHeight="1">
      <c r="D59" s="109" t="s">
        <v>87</v>
      </c>
      <c r="F59" s="153">
        <f t="shared" ref="F59:H60" si="2">SUM(F19,F25,F49,F56)</f>
        <v>5482338.7800000003</v>
      </c>
      <c r="G59" s="114">
        <f t="shared" si="2"/>
        <v>8100</v>
      </c>
      <c r="H59" s="114" t="e">
        <f t="shared" si="2"/>
        <v>#DIV/0!</v>
      </c>
      <c r="J59" s="153">
        <f t="shared" ref="J59:L60" si="3">SUM(J19,J25,J49,J56)</f>
        <v>21004539.860000003</v>
      </c>
      <c r="K59" s="114">
        <f t="shared" si="3"/>
        <v>122847</v>
      </c>
      <c r="L59" s="114">
        <f t="shared" si="3"/>
        <v>1303.7453399995809</v>
      </c>
      <c r="N59" s="149">
        <f>SUM(N19,N25,N49,N56)</f>
        <v>271553480.89999998</v>
      </c>
      <c r="O59" s="113">
        <f>SUM(O19,O25,O49,O56)</f>
        <v>1549655</v>
      </c>
      <c r="P59" s="113">
        <f>SUM(P19,P25,P49,P56)</f>
        <v>1261.7455537326387</v>
      </c>
      <c r="S59" s="138" t="s">
        <v>53</v>
      </c>
      <c r="T59" s="125"/>
      <c r="U59" s="129" t="e">
        <f>(+SUMIFS(#REF!,#REF!,'RDG Weekly Sales'!B73)+SUMIFS(#REF!,#REF!,'RDG Weekly Sales'!B74)+SUMIFS(#REF!,#REF!,'RDG Weekly Sales'!B75)+SUMIFS(#REF!,#REF!,'RDG Weekly Sales'!B76)+SUMIFS(#REF!,#REF!,'RDG Weekly Sales'!B77)+SUMIFS(#REF!,#REF!,'RDG Weekly Sales'!B78)+SUMIFS(#REF!,#REF!,'RDG Weekly Sales'!B79)+SUMIFS(#REF!,#REF!,'RDG Weekly Sales'!B80))/+SUMIFS(#REF!,#REF!,'RDG Weekly Sales'!$B$56)</f>
        <v>#REF!</v>
      </c>
      <c r="V59" s="129" t="e">
        <f>(+SUMIFS(#REF!,#REF!,'RDG Weekly Sales'!B73)+SUMIFS(#REF!,#REF!,'RDG Weekly Sales'!B74)+SUMIFS(#REF!,#REF!,'RDG Weekly Sales'!B75)+SUMIFS(#REF!,#REF!,'RDG Weekly Sales'!B76)+SUMIFS(#REF!,#REF!,'RDG Weekly Sales'!B77)+SUMIFS(#REF!,#REF!,'RDG Weekly Sales'!B78)+SUMIFS(#REF!,#REF!,'RDG Weekly Sales'!B79)+SUMIFS(#REF!,#REF!,'RDG Weekly Sales'!B80))/+SUMIFS(#REF!,#REF!,'RDG Weekly Sales'!$B$56)</f>
        <v>#REF!</v>
      </c>
      <c r="W59" s="129" t="e">
        <f>(+SUMIFS(#REF!,#REF!,'RDG Weekly Sales'!B73)+SUMIFS(#REF!,#REF!,'RDG Weekly Sales'!B74)+SUMIFS(#REF!,#REF!,'RDG Weekly Sales'!B75)+SUMIFS(#REF!,#REF!,'RDG Weekly Sales'!B76)+SUMIFS(#REF!,#REF!,'RDG Weekly Sales'!B77)+SUMIFS(#REF!,#REF!,'RDG Weekly Sales'!B78)+SUMIFS(#REF!,#REF!,'RDG Weekly Sales'!B79)+SUMIFS(#REF!,#REF!,'RDG Weekly Sales'!B80))/+SUMIFS(#REF!,#REF!,'RDG Weekly Sales'!$B$56)</f>
        <v>#REF!</v>
      </c>
      <c r="X59" s="129" t="e">
        <f>(+SUMIFS(#REF!,#REF!,'RDG Weekly Sales'!B73)+SUMIFS(#REF!,#REF!,'RDG Weekly Sales'!B74)+SUMIFS(#REF!,#REF!,'RDG Weekly Sales'!B75)+SUMIFS(#REF!,#REF!,'RDG Weekly Sales'!B76)+SUMIFS(#REF!,#REF!,'RDG Weekly Sales'!B77)+SUMIFS(#REF!,#REF!,'RDG Weekly Sales'!B78)+SUMIFS(#REF!,#REF!,'RDG Weekly Sales'!B79)+SUMIFS(#REF!,#REF!,'RDG Weekly Sales'!B80))/+SUMIFS(#REF!,#REF!,'RDG Weekly Sales'!$B$56)</f>
        <v>#REF!</v>
      </c>
    </row>
    <row r="60" spans="2:24" ht="27.6" customHeight="1">
      <c r="D60" s="117" t="s">
        <v>78</v>
      </c>
      <c r="F60" s="154">
        <f t="shared" si="2"/>
        <v>6222434.6083190329</v>
      </c>
      <c r="G60" s="119">
        <f t="shared" si="2"/>
        <v>43677.584000000003</v>
      </c>
      <c r="H60" s="119">
        <f t="shared" si="2"/>
        <v>1035.4159607372085</v>
      </c>
      <c r="J60" s="154">
        <f t="shared" si="3"/>
        <v>24384118.865894455</v>
      </c>
      <c r="K60" s="119">
        <f t="shared" si="3"/>
        <v>166895.53599999999</v>
      </c>
      <c r="L60" s="119">
        <f t="shared" si="3"/>
        <v>1090.929087105382</v>
      </c>
      <c r="N60" s="150">
        <f>N20+N26+N50+N57</f>
        <v>261927003.43780747</v>
      </c>
      <c r="O60" s="116">
        <f>O20+O26+O50+O57</f>
        <v>1608921.3000000003</v>
      </c>
      <c r="P60" s="116">
        <f>P20+P26+P50+P57</f>
        <v>1173.8136456552152</v>
      </c>
      <c r="S60" s="139"/>
    </row>
    <row r="61" spans="2:24" ht="13.35" customHeight="1">
      <c r="D61" s="54"/>
      <c r="F61" s="151"/>
      <c r="G61" s="114"/>
      <c r="H61" s="76"/>
      <c r="J61" s="151"/>
      <c r="K61" s="114"/>
      <c r="L61" s="76"/>
      <c r="N61" s="151"/>
      <c r="O61" s="76"/>
      <c r="P61" s="76"/>
      <c r="S61" s="138"/>
      <c r="T61" s="125"/>
      <c r="U61" s="130"/>
      <c r="V61" s="125"/>
      <c r="W61" s="125"/>
      <c r="X61" s="125"/>
    </row>
    <row r="62" spans="2:24" ht="28.9" customHeight="1">
      <c r="D62" s="109" t="s">
        <v>88</v>
      </c>
      <c r="F62" s="155">
        <f>SUM(F25,F49,F56,F59)</f>
        <v>10701237.32</v>
      </c>
      <c r="G62" s="156">
        <f>SUM(G25,G49,G56,G59)</f>
        <v>16200</v>
      </c>
      <c r="H62" s="156" t="e">
        <f>SUM(H25,H49,H56,H59)</f>
        <v>#DIV/0!</v>
      </c>
      <c r="J62" s="155">
        <f>SUM(J25,J49,J56,J59)</f>
        <v>41089217.75</v>
      </c>
      <c r="K62" s="156">
        <f>SUM(K25,K49,K56,K59)</f>
        <v>239385</v>
      </c>
      <c r="L62" s="156">
        <f>SUM(L25,L49,L56,L59)</f>
        <v>2461.6891314177701</v>
      </c>
      <c r="N62" s="158">
        <f>SUM(N25,N49,N56,N59)</f>
        <v>534929361.17999995</v>
      </c>
      <c r="O62" s="159">
        <f>SUM(O25,O49,O56,O59)</f>
        <v>3028689</v>
      </c>
      <c r="P62" s="159">
        <f>SUM(P25,P49,P56,P59)</f>
        <v>2407.6955138033354</v>
      </c>
      <c r="S62" s="138" t="s">
        <v>53</v>
      </c>
      <c r="T62" s="125"/>
      <c r="U62" s="129" t="e">
        <f>(+SUMIFS(#REF!,#REF!,'RDG Weekly Sales'!B76)+SUMIFS(#REF!,#REF!,'RDG Weekly Sales'!B77)+SUMIFS(#REF!,#REF!,'RDG Weekly Sales'!B78)+SUMIFS(#REF!,#REF!,'RDG Weekly Sales'!B79)+SUMIFS(#REF!,#REF!,'RDG Weekly Sales'!B80)+SUMIFS(#REF!,#REF!,'RDG Weekly Sales'!B81)+SUMIFS(#REF!,#REF!,'RDG Weekly Sales'!B82)+SUMIFS(#REF!,#REF!,'RDG Weekly Sales'!B83))/+SUMIFS(#REF!,#REF!,'RDG Weekly Sales'!$B$56)</f>
        <v>#REF!</v>
      </c>
      <c r="V62" s="129" t="e">
        <f>(+SUMIFS(#REF!,#REF!,'RDG Weekly Sales'!B76)+SUMIFS(#REF!,#REF!,'RDG Weekly Sales'!B77)+SUMIFS(#REF!,#REF!,'RDG Weekly Sales'!B78)+SUMIFS(#REF!,#REF!,'RDG Weekly Sales'!B79)+SUMIFS(#REF!,#REF!,'RDG Weekly Sales'!B80)+SUMIFS(#REF!,#REF!,'RDG Weekly Sales'!B81)+SUMIFS(#REF!,#REF!,'RDG Weekly Sales'!B82)+SUMIFS(#REF!,#REF!,'RDG Weekly Sales'!B83))/+SUMIFS(#REF!,#REF!,'RDG Weekly Sales'!$B$56)</f>
        <v>#REF!</v>
      </c>
      <c r="W62" s="129" t="e">
        <f>(+SUMIFS(#REF!,#REF!,'RDG Weekly Sales'!B76)+SUMIFS(#REF!,#REF!,'RDG Weekly Sales'!B77)+SUMIFS(#REF!,#REF!,'RDG Weekly Sales'!B78)+SUMIFS(#REF!,#REF!,'RDG Weekly Sales'!B79)+SUMIFS(#REF!,#REF!,'RDG Weekly Sales'!B80)+SUMIFS(#REF!,#REF!,'RDG Weekly Sales'!B81)+SUMIFS(#REF!,#REF!,'RDG Weekly Sales'!B82)+SUMIFS(#REF!,#REF!,'RDG Weekly Sales'!B83))/+SUMIFS(#REF!,#REF!,'RDG Weekly Sales'!$B$56)</f>
        <v>#REF!</v>
      </c>
      <c r="X62" s="129" t="e">
        <f>(+SUMIFS(#REF!,#REF!,'RDG Weekly Sales'!B76)+SUMIFS(#REF!,#REF!,'RDG Weekly Sales'!B77)+SUMIFS(#REF!,#REF!,'RDG Weekly Sales'!B78)+SUMIFS(#REF!,#REF!,'RDG Weekly Sales'!B79)+SUMIFS(#REF!,#REF!,'RDG Weekly Sales'!B80)+SUMIFS(#REF!,#REF!,'RDG Weekly Sales'!B81)+SUMIFS(#REF!,#REF!,'RDG Weekly Sales'!B82)+SUMIFS(#REF!,#REF!,'RDG Weekly Sales'!B83))/+SUMIFS(#REF!,#REF!,'RDG Weekly Sales'!$B$56)</f>
        <v>#REF!</v>
      </c>
    </row>
    <row r="63" spans="2:24" ht="27.6" customHeight="1">
      <c r="D63" s="117" t="s">
        <v>78</v>
      </c>
      <c r="F63" s="154">
        <f>SUM(F57,F60)</f>
        <v>9446940.4991817828</v>
      </c>
      <c r="G63" s="119">
        <f>SUM(G26,G50,G57,G60)</f>
        <v>85031.168000000005</v>
      </c>
      <c r="H63" s="119">
        <f>SUM(H26,H50,H57,H60)</f>
        <v>1965.9625896144439</v>
      </c>
      <c r="J63" s="154">
        <f>SUM(J57,J60)</f>
        <v>37110653.169028506</v>
      </c>
      <c r="K63" s="119">
        <f>SUM(K26,K50,K57,K60)</f>
        <v>325445.07199999999</v>
      </c>
      <c r="L63" s="119">
        <f>SUM(L26,L50,L57,L60)</f>
        <v>2075.7092106489472</v>
      </c>
      <c r="N63" s="150">
        <f>N26+N50+N57+N60</f>
        <v>515961742.70489347</v>
      </c>
      <c r="O63" s="116">
        <f>O26+O50+O57+O60</f>
        <v>3144361.6000000006</v>
      </c>
      <c r="P63" s="116">
        <f>P26+P50+P57+P60</f>
        <v>2240.2217828018156</v>
      </c>
      <c r="S63" s="139"/>
    </row>
    <row r="64" spans="2:24" ht="21">
      <c r="B64" s="46" t="s">
        <v>89</v>
      </c>
      <c r="C64" s="5" t="s">
        <v>90</v>
      </c>
      <c r="S64" s="138"/>
      <c r="T64" s="125"/>
      <c r="U64" s="129"/>
      <c r="V64" s="131"/>
      <c r="W64" s="131"/>
      <c r="X64" s="131"/>
    </row>
    <row r="65" spans="2:24" ht="21">
      <c r="B65" s="46" t="s">
        <v>91</v>
      </c>
      <c r="S65" s="138" t="s">
        <v>53</v>
      </c>
      <c r="T65" s="125"/>
      <c r="U65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  <c r="V65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  <c r="W65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  <c r="X65" s="129" t="e">
        <f>(+SUMIFS(#REF!,#REF!,'RDG Weekly Sales'!B67)+SUMIFS(#REF!,#REF!,'RDG Weekly Sales'!B68)+SUMIFS(#REF!,#REF!,'RDG Weekly Sales'!B69)+SUMIFS(#REF!,#REF!,'RDG Weekly Sales'!B70)+SUMIFS(#REF!,#REF!,'RDG Weekly Sales'!B71)+SUMIFS(#REF!,#REF!,'RDG Weekly Sales'!B72)+SUMIFS(#REF!,#REF!,'RDG Weekly Sales'!B73)+SUMIFS(#REF!,#REF!,'RDG Weekly Sales'!B74))/+SUMIFS(#REF!,#REF!,'RDG Weekly Sales'!$B$56)</f>
        <v>#REF!</v>
      </c>
    </row>
    <row r="66" spans="2:24" ht="28.9" customHeight="1">
      <c r="D66" s="109" t="s">
        <v>92</v>
      </c>
      <c r="F66" s="155">
        <f>SUM(F49,F56,F59,F62)</f>
        <v>21015908.780000001</v>
      </c>
      <c r="G66" s="156">
        <f>SUM(G49,G56,G59,G62)</f>
        <v>32400</v>
      </c>
      <c r="H66" s="156" t="e">
        <f>SUM(H49,H56,H59,H62)</f>
        <v>#DIV/0!</v>
      </c>
      <c r="J66" s="155">
        <f t="shared" ref="J66:L66" si="4">SUM(J49,J56,J59,J62)</f>
        <v>80523655.439999998</v>
      </c>
      <c r="K66" s="156">
        <f t="shared" si="4"/>
        <v>470565</v>
      </c>
      <c r="L66" s="156">
        <f t="shared" si="4"/>
        <v>4721.6987917813049</v>
      </c>
      <c r="N66" s="158">
        <f t="shared" ref="N66:P66" si="5">SUM(N49,N56,N59,N62)</f>
        <v>1044291536.9599999</v>
      </c>
      <c r="O66" s="159">
        <f t="shared" si="5"/>
        <v>5926665</v>
      </c>
      <c r="P66" s="159">
        <f t="shared" si="5"/>
        <v>4619.7931498133366</v>
      </c>
      <c r="S66" s="138" t="s">
        <v>53</v>
      </c>
      <c r="T66" s="125"/>
      <c r="U66" s="129" t="e">
        <f>(+SUMIFS(#REF!,#REF!,'RDG Weekly Sales'!B80)+SUMIFS(#REF!,#REF!,'RDG Weekly Sales'!B81)+SUMIFS(#REF!,#REF!,'RDG Weekly Sales'!B82)+SUMIFS(#REF!,#REF!,'RDG Weekly Sales'!B83)+SUMIFS(#REF!,#REF!,'RDG Weekly Sales'!B84)+SUMIFS(#REF!,#REF!,'RDG Weekly Sales'!B85)+SUMIFS(#REF!,#REF!,'RDG Weekly Sales'!B86)+SUMIFS(#REF!,#REF!,'RDG Weekly Sales'!B87))/+SUMIFS(#REF!,#REF!,'RDG Weekly Sales'!$B$56)</f>
        <v>#REF!</v>
      </c>
      <c r="V66" s="129" t="e">
        <f>(+SUMIFS(#REF!,#REF!,'RDG Weekly Sales'!B80)+SUMIFS(#REF!,#REF!,'RDG Weekly Sales'!B81)+SUMIFS(#REF!,#REF!,'RDG Weekly Sales'!B82)+SUMIFS(#REF!,#REF!,'RDG Weekly Sales'!B83)+SUMIFS(#REF!,#REF!,'RDG Weekly Sales'!B84)+SUMIFS(#REF!,#REF!,'RDG Weekly Sales'!B85)+SUMIFS(#REF!,#REF!,'RDG Weekly Sales'!B86)+SUMIFS(#REF!,#REF!,'RDG Weekly Sales'!B87))/+SUMIFS(#REF!,#REF!,'RDG Weekly Sales'!$B$56)</f>
        <v>#REF!</v>
      </c>
      <c r="W66" s="129" t="e">
        <f>(+SUMIFS(#REF!,#REF!,'RDG Weekly Sales'!B80)+SUMIFS(#REF!,#REF!,'RDG Weekly Sales'!B81)+SUMIFS(#REF!,#REF!,'RDG Weekly Sales'!B82)+SUMIFS(#REF!,#REF!,'RDG Weekly Sales'!B83)+SUMIFS(#REF!,#REF!,'RDG Weekly Sales'!B84)+SUMIFS(#REF!,#REF!,'RDG Weekly Sales'!B85)+SUMIFS(#REF!,#REF!,'RDG Weekly Sales'!B86)+SUMIFS(#REF!,#REF!,'RDG Weekly Sales'!B87))/+SUMIFS(#REF!,#REF!,'RDG Weekly Sales'!$B$56)</f>
        <v>#REF!</v>
      </c>
      <c r="X66" s="129" t="e">
        <f>(+SUMIFS(#REF!,#REF!,'RDG Weekly Sales'!B80)+SUMIFS(#REF!,#REF!,'RDG Weekly Sales'!B81)+SUMIFS(#REF!,#REF!,'RDG Weekly Sales'!B82)+SUMIFS(#REF!,#REF!,'RDG Weekly Sales'!B83)+SUMIFS(#REF!,#REF!,'RDG Weekly Sales'!B84)+SUMIFS(#REF!,#REF!,'RDG Weekly Sales'!B85)+SUMIFS(#REF!,#REF!,'RDG Weekly Sales'!B86)+SUMIFS(#REF!,#REF!,'RDG Weekly Sales'!B87))/+SUMIFS(#REF!,#REF!,'RDG Weekly Sales'!$B$56)</f>
        <v>#REF!</v>
      </c>
    </row>
    <row r="67" spans="2:24" ht="27.6" customHeight="1">
      <c r="D67" s="117" t="s">
        <v>78</v>
      </c>
      <c r="F67" s="154">
        <f>SUM(F50,F57,F60,F63)</f>
        <v>21143800.902765237</v>
      </c>
      <c r="G67" s="119">
        <f t="shared" ref="G67:P67" si="6">SUM(G50,G57,G60,G63)</f>
        <v>166599.33600000001</v>
      </c>
      <c r="H67" s="119">
        <f t="shared" si="6"/>
        <v>3786.3021685987878</v>
      </c>
      <c r="J67" s="154">
        <f t="shared" si="6"/>
        <v>83130948.120930493</v>
      </c>
      <c r="K67" s="119">
        <f t="shared" si="6"/>
        <v>637964.14399999997</v>
      </c>
      <c r="L67" s="119">
        <f t="shared" si="6"/>
        <v>4007.3658505103344</v>
      </c>
      <c r="N67" s="150">
        <f t="shared" si="6"/>
        <v>1008821436.1399261</v>
      </c>
      <c r="O67" s="116">
        <f t="shared" si="6"/>
        <v>6153871.4500000011</v>
      </c>
      <c r="P67" s="116">
        <f t="shared" si="6"/>
        <v>4309.1291461032479</v>
      </c>
      <c r="S67" s="139"/>
    </row>
    <row r="68" spans="2:24" ht="21">
      <c r="B68" s="46" t="s">
        <v>93</v>
      </c>
      <c r="M68" s="57"/>
      <c r="S68" s="138" t="s">
        <v>81</v>
      </c>
      <c r="T68" s="125"/>
      <c r="U68" s="140">
        <f>[4]KPI!$E$6</f>
        <v>170664</v>
      </c>
      <c r="V68" s="140">
        <f>[4]KPI!$E$24</f>
        <v>49008</v>
      </c>
      <c r="W68" s="140">
        <f>[4]KPI!$E$62</f>
        <v>93765</v>
      </c>
      <c r="X68" s="140">
        <f>[4]KPI!$E$82</f>
        <v>26015</v>
      </c>
    </row>
    <row r="69" spans="2:24" ht="21">
      <c r="B69" s="46" t="s">
        <v>94</v>
      </c>
      <c r="S69" s="138" t="s">
        <v>82</v>
      </c>
      <c r="T69" s="125"/>
      <c r="U69" s="132">
        <f>[4]KPI!$E$9</f>
        <v>152.7354468429194</v>
      </c>
      <c r="V69" s="132">
        <f>[4]KPI!$E$28</f>
        <v>284.11783388089265</v>
      </c>
      <c r="W69" s="132">
        <f>[4]KPI!$E$66</f>
        <v>102.49201237135391</v>
      </c>
      <c r="X69" s="132">
        <f>[4]KPI!$E$85</f>
        <v>199.11453353834327</v>
      </c>
    </row>
    <row r="70" spans="2:24" ht="15.75">
      <c r="B70" s="46" t="s">
        <v>95</v>
      </c>
      <c r="M70" s="99"/>
    </row>
    <row r="71" spans="2:24" ht="15.75">
      <c r="B71" s="46" t="s">
        <v>96</v>
      </c>
      <c r="M71" s="99"/>
    </row>
    <row r="72" spans="2:24" ht="15.75">
      <c r="B72" s="46" t="s">
        <v>97</v>
      </c>
      <c r="M72" s="99"/>
    </row>
    <row r="73" spans="2:24" ht="15.75">
      <c r="B73" s="46" t="s">
        <v>98</v>
      </c>
    </row>
    <row r="74" spans="2:24" ht="15.75">
      <c r="B74" s="46" t="s">
        <v>99</v>
      </c>
      <c r="M74" s="99"/>
    </row>
    <row r="76" spans="2:24">
      <c r="H76" s="66" t="s">
        <v>9</v>
      </c>
      <c r="L76" s="66" t="s">
        <v>9</v>
      </c>
    </row>
    <row r="77" spans="2:24">
      <c r="F77" s="54"/>
      <c r="J77" s="54"/>
    </row>
    <row r="78" spans="2:24">
      <c r="F78" s="54" t="s">
        <v>81</v>
      </c>
      <c r="H78" s="76">
        <f>[4]KPI!$C$24</f>
        <v>4408</v>
      </c>
      <c r="J78" s="54" t="s">
        <v>81</v>
      </c>
      <c r="L78" s="76">
        <f>[4]KPI!$C$24</f>
        <v>4408</v>
      </c>
    </row>
    <row r="79" spans="2:24">
      <c r="F79" s="54" t="s">
        <v>82</v>
      </c>
      <c r="H79" s="123">
        <f>[4]KPI!$C$28</f>
        <v>276.01779038112528</v>
      </c>
      <c r="J79" s="54" t="s">
        <v>82</v>
      </c>
      <c r="L79" s="123">
        <f>[4]KPI!$C$28</f>
        <v>276.01779038112528</v>
      </c>
    </row>
    <row r="81" spans="6:12">
      <c r="H81" s="66" t="s">
        <v>9</v>
      </c>
      <c r="L81" s="66" t="s">
        <v>9</v>
      </c>
    </row>
    <row r="82" spans="6:12">
      <c r="F82" s="54"/>
      <c r="J82" s="54"/>
    </row>
  </sheetData>
  <mergeCells count="6">
    <mergeCell ref="S20:X20"/>
    <mergeCell ref="S14:X16"/>
    <mergeCell ref="D2:P2"/>
    <mergeCell ref="F4:H4"/>
    <mergeCell ref="J4:L4"/>
    <mergeCell ref="N4:P4"/>
  </mergeCells>
  <conditionalFormatting sqref="F33:P33 F35:P35">
    <cfRule type="iconSet" priority="1">
      <iconSet iconSet="3Arrows">
        <cfvo type="percent" val="0"/>
        <cfvo type="num" val="0" gte="0"/>
        <cfvo type="num" val="1E-3" gte="0"/>
      </iconSet>
    </cfRule>
  </conditionalFormatting>
  <conditionalFormatting sqref="F45:P45 F47:P47">
    <cfRule type="iconSet" priority="2">
      <iconSet iconSet="3Arrows">
        <cfvo type="percent" val="0"/>
        <cfvo type="num" val="0" gte="0"/>
        <cfvo type="num" val="1E-3" gte="0"/>
      </iconSet>
    </cfRule>
  </conditionalFormatting>
  <conditionalFormatting sqref="F51:P51 F9:P9 F11:P12 F15:P15 F17:P17 F21:P21 F23:P23 F27:P27 F29:P29 F39:P39 F41:P41 F53:P53">
    <cfRule type="iconSet" priority="3">
      <iconSet iconSet="3Arrows">
        <cfvo type="percent" val="0"/>
        <cfvo type="num" val="0" gte="0"/>
        <cfvo type="num" val="1E-3" gte="0"/>
      </iconSet>
    </cfRule>
  </conditionalFormatting>
  <pageMargins left="0.7" right="0.7" top="0.75" bottom="0.75" header="0.3" footer="0.3"/>
  <pageSetup scale="49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A0E65-24A9-41E1-87E4-9DA1E75C015E}">
          <x14:formula1>
            <xm:f>'Budget - 2026'!$B$5:$B$56</xm:f>
          </x14:formula1>
          <xm:sqref>D1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CB70-FD0E-4AB3-BCB2-E3C1D71B8AAF}">
  <sheetPr>
    <tabColor theme="9"/>
    <pageSetUpPr fitToPage="1"/>
  </sheetPr>
  <dimension ref="B1:W48"/>
  <sheetViews>
    <sheetView workbookViewId="0">
      <selection activeCell="M20" sqref="M20"/>
    </sheetView>
  </sheetViews>
  <sheetFormatPr defaultRowHeight="15" outlineLevelRow="1" outlineLevelCol="1"/>
  <cols>
    <col min="2" max="2" width="11.5703125" bestFit="1" customWidth="1"/>
    <col min="3" max="3" width="11.5703125" hidden="1" customWidth="1" outlineLevel="1"/>
    <col min="4" max="4" width="6.42578125" style="278" bestFit="1" customWidth="1" collapsed="1"/>
    <col min="5" max="7" width="9.42578125" customWidth="1"/>
    <col min="8" max="8" width="11.5703125" hidden="1" customWidth="1" outlineLevel="1"/>
    <col min="9" max="9" width="11.5703125" style="278" customWidth="1" collapsed="1"/>
    <col min="10" max="10" width="11.5703125" style="2" bestFit="1" customWidth="1"/>
    <col min="11" max="11" width="1" customWidth="1"/>
    <col min="12" max="12" width="11.42578125" customWidth="1"/>
    <col min="13" max="14" width="11.7109375" customWidth="1"/>
    <col min="15" max="17" width="9.5703125" customWidth="1"/>
  </cols>
  <sheetData>
    <row r="1" spans="2:23">
      <c r="L1" t="s">
        <v>214</v>
      </c>
      <c r="N1" t="s">
        <v>215</v>
      </c>
    </row>
    <row r="3" spans="2:23">
      <c r="B3" s="422" t="s">
        <v>216</v>
      </c>
      <c r="C3" s="422"/>
      <c r="D3" s="422"/>
      <c r="E3" s="422"/>
      <c r="F3" s="422"/>
      <c r="G3" s="422"/>
      <c r="H3" s="422"/>
      <c r="I3" s="422"/>
      <c r="J3" s="422"/>
      <c r="K3" s="266"/>
      <c r="L3" s="422" t="s">
        <v>217</v>
      </c>
      <c r="M3" s="422"/>
      <c r="N3" s="422"/>
      <c r="O3" s="422"/>
      <c r="P3" s="422"/>
      <c r="Q3" s="422"/>
      <c r="R3" s="422"/>
      <c r="S3" s="422"/>
      <c r="T3" s="422"/>
      <c r="U3" s="422"/>
      <c r="V3" s="422"/>
      <c r="W3" s="422"/>
    </row>
    <row r="4" spans="2:23">
      <c r="B4" s="266"/>
      <c r="C4" s="266"/>
      <c r="D4" s="275"/>
      <c r="E4" s="266"/>
      <c r="F4" s="266"/>
      <c r="G4" s="266"/>
      <c r="H4" s="266"/>
      <c r="I4" s="275"/>
      <c r="J4" s="279"/>
      <c r="K4" s="266"/>
    </row>
    <row r="5" spans="2:23" ht="21">
      <c r="B5" s="421" t="s">
        <v>240</v>
      </c>
      <c r="C5" s="421"/>
      <c r="D5" s="421"/>
      <c r="E5" s="421"/>
      <c r="F5" s="421"/>
      <c r="G5" s="421"/>
      <c r="H5" s="421"/>
      <c r="I5" s="421"/>
      <c r="J5" s="421"/>
      <c r="K5" s="266"/>
    </row>
    <row r="6" spans="2:23">
      <c r="B6" s="266"/>
      <c r="C6" s="266"/>
      <c r="D6" s="275"/>
      <c r="E6" s="266"/>
      <c r="F6" s="266"/>
      <c r="G6" s="266"/>
      <c r="H6" s="266"/>
      <c r="I6" s="275"/>
      <c r="J6" s="279"/>
      <c r="K6" s="266"/>
    </row>
    <row r="7" spans="2:23" s="268" customFormat="1">
      <c r="B7" s="281" t="s">
        <v>8</v>
      </c>
      <c r="C7" s="281" t="s">
        <v>71</v>
      </c>
      <c r="D7" s="282" t="s">
        <v>63</v>
      </c>
      <c r="E7" s="281" t="s">
        <v>218</v>
      </c>
      <c r="F7" s="283" t="s">
        <v>219</v>
      </c>
      <c r="G7" s="281" t="s">
        <v>220</v>
      </c>
      <c r="H7" s="281" t="s">
        <v>71</v>
      </c>
      <c r="I7" s="282" t="s">
        <v>221</v>
      </c>
      <c r="J7" s="283" t="s">
        <v>222</v>
      </c>
      <c r="K7" s="281"/>
      <c r="L7" s="284" t="s">
        <v>223</v>
      </c>
      <c r="M7" s="284" t="s">
        <v>224</v>
      </c>
      <c r="N7" s="284" t="s">
        <v>225</v>
      </c>
      <c r="O7" s="284" t="s">
        <v>223</v>
      </c>
      <c r="P7" s="284" t="s">
        <v>224</v>
      </c>
      <c r="Q7" s="284" t="s">
        <v>225</v>
      </c>
      <c r="R7" s="284" t="s">
        <v>226</v>
      </c>
      <c r="S7" s="284" t="s">
        <v>227</v>
      </c>
      <c r="T7" s="284" t="s">
        <v>228</v>
      </c>
      <c r="U7" s="284" t="s">
        <v>226</v>
      </c>
      <c r="V7" s="284" t="s">
        <v>227</v>
      </c>
      <c r="W7" s="284" t="s">
        <v>228</v>
      </c>
    </row>
    <row r="8" spans="2:23" s="289" customFormat="1" ht="12">
      <c r="B8" s="286"/>
      <c r="C8" s="286"/>
      <c r="D8" s="287"/>
      <c r="E8" s="287"/>
      <c r="F8" s="286"/>
      <c r="G8" s="286"/>
      <c r="H8" s="286"/>
      <c r="I8" s="287"/>
      <c r="J8" s="288"/>
      <c r="L8" s="423" t="s">
        <v>71</v>
      </c>
      <c r="M8" s="423"/>
      <c r="N8" s="423"/>
      <c r="O8" s="423" t="s">
        <v>63</v>
      </c>
      <c r="P8" s="423"/>
      <c r="Q8" s="423"/>
      <c r="R8" s="423" t="s">
        <v>71</v>
      </c>
      <c r="S8" s="423"/>
      <c r="T8" s="423"/>
      <c r="U8" s="423" t="s">
        <v>63</v>
      </c>
      <c r="V8" s="423"/>
      <c r="W8" s="423"/>
    </row>
    <row r="9" spans="2:23" ht="14.45" hidden="1" customHeight="1" outlineLevel="1">
      <c r="B9" s="269">
        <f t="shared" ref="B9:B11" si="0">B10-1</f>
        <v>25</v>
      </c>
      <c r="C9" s="261">
        <f>SUMIFS('Actual - 2026'!$K:$K,'Actual - 2026'!$C:$C,'MILA 3F - Avg Ck'!B9)</f>
        <v>644853.84</v>
      </c>
      <c r="D9" s="277">
        <f>SUMIFS('Actual - 2026'!$L:$L,'Actual - 2026'!$C:$C,'MILA 3F - Avg Ck'!B9)</f>
        <v>4171</v>
      </c>
      <c r="E9" s="260">
        <f t="shared" ref="E9:E24" si="1">IFERROR(C9/D9,0)</f>
        <v>154.60413330136657</v>
      </c>
      <c r="F9" s="260">
        <f>SUM(C7:C9)/SUM(D7:D9)</f>
        <v>154.60413330136657</v>
      </c>
      <c r="G9" s="270">
        <f t="shared" ref="G9:G25" si="2">(F9-E9)/E9</f>
        <v>0</v>
      </c>
      <c r="H9" s="261">
        <f>SUMIFS('Budget - 2026'!$R:$R,'Budget - 2026'!$D:$D,'MILA 3F - Avg Ck'!B9)</f>
        <v>741370</v>
      </c>
      <c r="I9" s="277">
        <f>SUMIFS('Budget - 2026'!$S:$S,'Budget - 2026'!$D:$D,'MILA 3F - Avg Ck'!B9)</f>
        <v>4943</v>
      </c>
      <c r="J9" s="260">
        <f>IFERROR(H9/I9,0)</f>
        <v>149.98381549666195</v>
      </c>
      <c r="L9" s="291" t="e">
        <f>SUMIFS(#REF!,#REF!,'MILA 3F - Avg Ck'!B9)</f>
        <v>#REF!</v>
      </c>
      <c r="M9" t="e">
        <f>SUMIFS(#REF!,#REF!,'MILA 3F - Avg Ck'!B9)</f>
        <v>#REF!</v>
      </c>
      <c r="N9" t="e">
        <f>SUMIFS(#REF!,#REF!,'MILA 3F - Avg Ck'!B9)</f>
        <v>#REF!</v>
      </c>
      <c r="O9" t="e">
        <f>SUMIFS(#REF!,#REF!,'MILA 3F - Avg Ck'!B9)</f>
        <v>#REF!</v>
      </c>
      <c r="P9" t="e">
        <f>SUMIFS(#REF!,#REF!,'MILA 3F - Avg Ck'!B9)</f>
        <v>#REF!</v>
      </c>
      <c r="Q9" t="e">
        <f>SUMIFS(#REF!,#REF!,'MILA 3F - Avg Ck'!B9)</f>
        <v>#REF!</v>
      </c>
    </row>
    <row r="10" spans="2:23" ht="14.45" hidden="1" customHeight="1" outlineLevel="1">
      <c r="B10" s="269">
        <f t="shared" si="0"/>
        <v>26</v>
      </c>
      <c r="C10" s="261">
        <f>SUMIFS('Actual - 2026'!$K:$K,'Actual - 2026'!$C:$C,'MILA 3F - Avg Ck'!B10)</f>
        <v>657002.75</v>
      </c>
      <c r="D10" s="277">
        <f>SUMIFS('Actual - 2026'!$L:$L,'Actual - 2026'!$C:$C,'MILA 3F - Avg Ck'!B10)</f>
        <v>4179</v>
      </c>
      <c r="E10" s="260">
        <f t="shared" si="1"/>
        <v>157.21530270399617</v>
      </c>
      <c r="F10" s="260">
        <f>SUM(C8:C10)/SUM(D8:D10)</f>
        <v>155.91096886227544</v>
      </c>
      <c r="G10" s="270">
        <f t="shared" si="2"/>
        <v>-8.2964814447899129E-3</v>
      </c>
      <c r="H10" s="261">
        <f>SUMIFS('Budget - 2026'!$R:$R,'Budget - 2026'!$D:$D,'MILA 3F - Avg Ck'!B10)</f>
        <v>625184</v>
      </c>
      <c r="I10" s="277">
        <f>SUMIFS('Budget - 2026'!$S:$S,'Budget - 2026'!$D:$D,'MILA 3F - Avg Ck'!B10)</f>
        <v>4196</v>
      </c>
      <c r="J10" s="260">
        <f t="shared" ref="J10:J25" si="3">IFERROR(H10/I10,0)</f>
        <v>148.99523355576738</v>
      </c>
      <c r="L10" s="291" t="e">
        <f>SUMIFS(#REF!,#REF!,'MILA 3F - Avg Ck'!B10)</f>
        <v>#REF!</v>
      </c>
      <c r="M10" t="e">
        <f>SUMIFS(#REF!,#REF!,'MILA 3F - Avg Ck'!B10)</f>
        <v>#REF!</v>
      </c>
      <c r="N10" t="e">
        <f>SUMIFS(#REF!,#REF!,'MILA 3F - Avg Ck'!B10)</f>
        <v>#REF!</v>
      </c>
      <c r="O10" t="e">
        <f>SUMIFS(#REF!,#REF!,'MILA 3F - Avg Ck'!B10)</f>
        <v>#REF!</v>
      </c>
      <c r="P10" t="e">
        <f>SUMIFS(#REF!,#REF!,'MILA 3F - Avg Ck'!B10)</f>
        <v>#REF!</v>
      </c>
      <c r="Q10" t="e">
        <f>SUMIFS(#REF!,#REF!,'MILA 3F - Avg Ck'!B10)</f>
        <v>#REF!</v>
      </c>
    </row>
    <row r="11" spans="2:23" ht="14.45" hidden="1" customHeight="1" outlineLevel="1">
      <c r="B11" s="269">
        <f t="shared" si="0"/>
        <v>27</v>
      </c>
      <c r="C11" s="261">
        <f>SUMIFS('Actual - 2026'!$K:$K,'Actual - 2026'!$C:$C,'MILA 3F - Avg Ck'!B11)</f>
        <v>583369.5</v>
      </c>
      <c r="D11" s="277">
        <f>SUMIFS('Actual - 2026'!$L:$L,'Actual - 2026'!$C:$C,'MILA 3F - Avg Ck'!B11)</f>
        <v>3984</v>
      </c>
      <c r="E11" s="260">
        <f t="shared" si="1"/>
        <v>146.4280873493976</v>
      </c>
      <c r="F11" s="260">
        <f>SUM(C9:C11)/SUM(D9:D11)</f>
        <v>152.84790741041024</v>
      </c>
      <c r="G11" s="270">
        <f t="shared" si="2"/>
        <v>4.3842818527664487E-2</v>
      </c>
      <c r="H11" s="261">
        <f>SUMIFS('Budget - 2026'!$R:$R,'Budget - 2026'!$D:$D,'MILA 3F - Avg Ck'!B11)</f>
        <v>699345</v>
      </c>
      <c r="I11" s="277">
        <f>SUMIFS('Budget - 2026'!$S:$S,'Budget - 2026'!$D:$D,'MILA 3F - Avg Ck'!B11)</f>
        <v>4520</v>
      </c>
      <c r="J11" s="260">
        <f t="shared" si="3"/>
        <v>154.72234513274336</v>
      </c>
      <c r="L11" s="291" t="e">
        <f>SUMIFS(#REF!,#REF!,'MILA 3F - Avg Ck'!B11)</f>
        <v>#REF!</v>
      </c>
      <c r="M11" t="e">
        <f>SUMIFS(#REF!,#REF!,'MILA 3F - Avg Ck'!B11)</f>
        <v>#REF!</v>
      </c>
      <c r="N11" t="e">
        <f>SUMIFS(#REF!,#REF!,'MILA 3F - Avg Ck'!B11)</f>
        <v>#REF!</v>
      </c>
      <c r="O11" t="e">
        <f>SUMIFS(#REF!,#REF!,'MILA 3F - Avg Ck'!B11)</f>
        <v>#REF!</v>
      </c>
      <c r="P11" t="e">
        <f>SUMIFS(#REF!,#REF!,'MILA 3F - Avg Ck'!B11)</f>
        <v>#REF!</v>
      </c>
      <c r="Q11" t="e">
        <f>SUMIFS(#REF!,#REF!,'MILA 3F - Avg Ck'!B11)</f>
        <v>#REF!</v>
      </c>
    </row>
    <row r="12" spans="2:23" ht="14.45" hidden="1" customHeight="1" outlineLevel="1">
      <c r="B12" s="269">
        <f>B13-1</f>
        <v>28</v>
      </c>
      <c r="C12" s="261">
        <f>SUMIFS('Actual - 2026'!$K:$K,'Actual - 2026'!$C:$C,'MILA 3F - Avg Ck'!B12)</f>
        <v>648301.75</v>
      </c>
      <c r="D12" s="277">
        <f>SUMIFS('Actual - 2026'!$L:$L,'Actual - 2026'!$C:$C,'MILA 3F - Avg Ck'!B12)</f>
        <v>3734</v>
      </c>
      <c r="E12" s="260">
        <f t="shared" si="1"/>
        <v>173.62125066952331</v>
      </c>
      <c r="F12" s="260">
        <f t="shared" ref="F12:F25" si="4">SUM(C9:C12)/SUM(D9:D12)</f>
        <v>157.67536967886483</v>
      </c>
      <c r="G12" s="270">
        <f t="shared" si="2"/>
        <v>-9.184291052603015E-2</v>
      </c>
      <c r="H12" s="261">
        <f>SUMIFS('Budget - 2026'!$R:$R,'Budget - 2026'!$D:$D,'MILA 3F - Avg Ck'!B12)</f>
        <v>707036</v>
      </c>
      <c r="I12" s="277">
        <f>SUMIFS('Budget - 2026'!$S:$S,'Budget - 2026'!$D:$D,'MILA 3F - Avg Ck'!B12)</f>
        <v>4567</v>
      </c>
      <c r="J12" s="260">
        <f t="shared" si="3"/>
        <v>154.81410116049923</v>
      </c>
      <c r="L12" s="291" t="e">
        <f>SUMIFS(#REF!,#REF!,'MILA 3F - Avg Ck'!B12)</f>
        <v>#REF!</v>
      </c>
      <c r="M12" t="e">
        <f>SUMIFS(#REF!,#REF!,'MILA 3F - Avg Ck'!B12)</f>
        <v>#REF!</v>
      </c>
      <c r="N12" t="e">
        <f>SUMIFS(#REF!,#REF!,'MILA 3F - Avg Ck'!B12)</f>
        <v>#REF!</v>
      </c>
      <c r="O12" t="e">
        <f>SUMIFS(#REF!,#REF!,'MILA 3F - Avg Ck'!B12)</f>
        <v>#REF!</v>
      </c>
      <c r="P12" t="e">
        <f>SUMIFS(#REF!,#REF!,'MILA 3F - Avg Ck'!B12)</f>
        <v>#REF!</v>
      </c>
      <c r="Q12" t="e">
        <f>SUMIFS(#REF!,#REF!,'MILA 3F - Avg Ck'!B12)</f>
        <v>#REF!</v>
      </c>
    </row>
    <row r="13" spans="2:23" collapsed="1">
      <c r="B13" s="269">
        <f t="shared" ref="B13:B23" si="5">B14-1</f>
        <v>29</v>
      </c>
      <c r="C13" s="261">
        <f>SUMIFS('Actual - 2026'!$K:$K,'Actual - 2026'!$C:$C,'MILA 3F - Avg Ck'!B13)</f>
        <v>541152.36</v>
      </c>
      <c r="D13" s="277">
        <f>SUMIFS('Actual - 2026'!$L:$L,'Actual - 2026'!$C:$C,'MILA 3F - Avg Ck'!B13)</f>
        <v>3733</v>
      </c>
      <c r="E13" s="290">
        <f t="shared" si="1"/>
        <v>144.96446825609428</v>
      </c>
      <c r="F13" s="260">
        <f t="shared" si="4"/>
        <v>155.45914011516314</v>
      </c>
      <c r="G13" s="200">
        <f t="shared" si="2"/>
        <v>7.2394787393894128E-2</v>
      </c>
      <c r="H13" s="261">
        <f>SUMIFS('Budget - 2026'!$R:$R,'Budget - 2026'!$D:$D,'MILA 3F - Avg Ck'!B13)</f>
        <v>575651</v>
      </c>
      <c r="I13" s="277">
        <f>SUMIFS('Budget - 2026'!$S:$S,'Budget - 2026'!$D:$D,'MILA 3F - Avg Ck'!B13)</f>
        <v>3988</v>
      </c>
      <c r="J13" s="260">
        <f t="shared" si="3"/>
        <v>144.34578736208627</v>
      </c>
      <c r="L13" s="291" t="e">
        <f>SUMIFS(#REF!,#REF!,'MILA 3F - Avg Ck'!B13)</f>
        <v>#REF!</v>
      </c>
      <c r="M13" t="e">
        <f>SUMIFS(#REF!,#REF!,'MILA 3F - Avg Ck'!B13)</f>
        <v>#REF!</v>
      </c>
      <c r="N13" t="e">
        <f>SUMIFS(#REF!,#REF!,'MILA 3F - Avg Ck'!B13)</f>
        <v>#REF!</v>
      </c>
      <c r="O13" t="e">
        <f>SUMIFS(#REF!,#REF!,'MILA 3F - Avg Ck'!B13)</f>
        <v>#REF!</v>
      </c>
      <c r="P13" t="e">
        <f>SUMIFS(#REF!,#REF!,'MILA 3F - Avg Ck'!B13)</f>
        <v>#REF!</v>
      </c>
      <c r="Q13" t="e">
        <f>SUMIFS(#REF!,#REF!,'MILA 3F - Avg Ck'!B13)</f>
        <v>#REF!</v>
      </c>
      <c r="T13" s="169"/>
    </row>
    <row r="14" spans="2:23">
      <c r="B14" s="269">
        <f t="shared" si="5"/>
        <v>30</v>
      </c>
      <c r="C14" s="261">
        <f>SUMIFS('Actual - 2026'!$K:$K,'Actual - 2026'!$C:$C,'MILA 3F - Avg Ck'!B14)</f>
        <v>533375</v>
      </c>
      <c r="D14" s="277">
        <f>SUMIFS('Actual - 2026'!$L:$L,'Actual - 2026'!$C:$C,'MILA 3F - Avg Ck'!B14)</f>
        <v>3810</v>
      </c>
      <c r="E14" s="290">
        <f t="shared" si="1"/>
        <v>139.99343832020998</v>
      </c>
      <c r="F14" s="260">
        <f t="shared" si="4"/>
        <v>151.11713583644584</v>
      </c>
      <c r="G14" s="200">
        <f t="shared" si="2"/>
        <v>7.9458706420170888E-2</v>
      </c>
      <c r="H14" s="261">
        <f>SUMIFS('Budget - 2026'!$R:$R,'Budget - 2026'!$D:$D,'MILA 3F - Avg Ck'!B14)</f>
        <v>509173</v>
      </c>
      <c r="I14" s="277">
        <f>SUMIFS('Budget - 2026'!$S:$S,'Budget - 2026'!$D:$D,'MILA 3F - Avg Ck'!B14)</f>
        <v>3534</v>
      </c>
      <c r="J14" s="260">
        <f t="shared" si="3"/>
        <v>144.07838143746463</v>
      </c>
      <c r="L14" s="291" t="e">
        <f>SUMIFS(#REF!,#REF!,'MILA 3F - Avg Ck'!B14)</f>
        <v>#REF!</v>
      </c>
      <c r="M14" t="e">
        <f>SUMIFS(#REF!,#REF!,'MILA 3F - Avg Ck'!B14)</f>
        <v>#REF!</v>
      </c>
      <c r="N14" t="e">
        <f>SUMIFS(#REF!,#REF!,'MILA 3F - Avg Ck'!B14)</f>
        <v>#REF!</v>
      </c>
      <c r="O14" t="e">
        <f>SUMIFS(#REF!,#REF!,'MILA 3F - Avg Ck'!B14)</f>
        <v>#REF!</v>
      </c>
      <c r="P14" t="e">
        <f>SUMIFS(#REF!,#REF!,'MILA 3F - Avg Ck'!B14)</f>
        <v>#REF!</v>
      </c>
      <c r="Q14" t="e">
        <f>SUMIFS(#REF!,#REF!,'MILA 3F - Avg Ck'!B14)</f>
        <v>#REF!</v>
      </c>
      <c r="T14" s="169"/>
    </row>
    <row r="15" spans="2:23">
      <c r="B15" s="269">
        <f t="shared" si="5"/>
        <v>31</v>
      </c>
      <c r="C15" s="261">
        <f>SUMIFS('Actual - 2026'!$K:$K,'Actual - 2026'!$C:$C,'MILA 3F - Avg Ck'!B15)</f>
        <v>499724.9</v>
      </c>
      <c r="D15" s="277">
        <f>SUMIFS('Actual - 2026'!$L:$L,'Actual - 2026'!$C:$C,'MILA 3F - Avg Ck'!B15)</f>
        <v>3631</v>
      </c>
      <c r="E15" s="290">
        <f t="shared" si="1"/>
        <v>137.62734783806116</v>
      </c>
      <c r="F15" s="260">
        <f t="shared" si="4"/>
        <v>149.08465320633215</v>
      </c>
      <c r="G15" s="200">
        <f t="shared" si="2"/>
        <v>8.3248755049412135E-2</v>
      </c>
      <c r="H15" s="261">
        <f>SUMIFS('Budget - 2026'!$R:$R,'Budget - 2026'!$D:$D,'MILA 3F - Avg Ck'!B15)</f>
        <v>474576</v>
      </c>
      <c r="I15" s="277">
        <f>SUMIFS('Budget - 2026'!$S:$S,'Budget - 2026'!$D:$D,'MILA 3F - Avg Ck'!B15)</f>
        <v>3416</v>
      </c>
      <c r="J15" s="260">
        <f t="shared" si="3"/>
        <v>138.92740046838406</v>
      </c>
      <c r="L15" s="291" t="e">
        <f>SUMIFS(#REF!,#REF!,'MILA 3F - Avg Ck'!B15)</f>
        <v>#REF!</v>
      </c>
      <c r="M15" t="e">
        <f>SUMIFS(#REF!,#REF!,'MILA 3F - Avg Ck'!B15)</f>
        <v>#REF!</v>
      </c>
      <c r="N15" t="e">
        <f>SUMIFS(#REF!,#REF!,'MILA 3F - Avg Ck'!B15)</f>
        <v>#REF!</v>
      </c>
      <c r="O15" t="e">
        <f>SUMIFS(#REF!,#REF!,'MILA 3F - Avg Ck'!B15)</f>
        <v>#REF!</v>
      </c>
      <c r="P15" t="e">
        <f>SUMIFS(#REF!,#REF!,'MILA 3F - Avg Ck'!B15)</f>
        <v>#REF!</v>
      </c>
      <c r="Q15" t="e">
        <f>SUMIFS(#REF!,#REF!,'MILA 3F - Avg Ck'!B15)</f>
        <v>#REF!</v>
      </c>
      <c r="T15" s="169"/>
    </row>
    <row r="16" spans="2:23">
      <c r="B16" s="269">
        <f t="shared" si="5"/>
        <v>32</v>
      </c>
      <c r="C16" s="261">
        <f>SUMIFS('Actual - 2026'!$K:$K,'Actual - 2026'!$C:$C,'MILA 3F - Avg Ck'!B16)</f>
        <v>526652</v>
      </c>
      <c r="D16" s="277">
        <f>SUMIFS('Actual - 2026'!$L:$L,'Actual - 2026'!$C:$C,'MILA 3F - Avg Ck'!B16)</f>
        <v>3850</v>
      </c>
      <c r="E16" s="290">
        <f t="shared" si="1"/>
        <v>136.79272727272726</v>
      </c>
      <c r="F16" s="260">
        <f t="shared" si="4"/>
        <v>139.83654552715655</v>
      </c>
      <c r="G16" s="200">
        <f t="shared" si="2"/>
        <v>2.2251316390240122E-2</v>
      </c>
      <c r="H16" s="261">
        <f>SUMIFS('Budget - 2026'!$R:$R,'Budget - 2026'!$D:$D,'MILA 3F - Avg Ck'!B16)</f>
        <v>466934</v>
      </c>
      <c r="I16" s="277">
        <f>SUMIFS('Budget - 2026'!$S:$S,'Budget - 2026'!$D:$D,'MILA 3F - Avg Ck'!B16)</f>
        <v>3351</v>
      </c>
      <c r="J16" s="260">
        <f t="shared" si="3"/>
        <v>139.34168904804537</v>
      </c>
      <c r="L16" s="291" t="e">
        <f>SUMIFS(#REF!,#REF!,'MILA 3F - Avg Ck'!B16)</f>
        <v>#REF!</v>
      </c>
      <c r="M16" t="e">
        <f>SUMIFS(#REF!,#REF!,'MILA 3F - Avg Ck'!B16)</f>
        <v>#REF!</v>
      </c>
      <c r="N16" t="e">
        <f>SUMIFS(#REF!,#REF!,'MILA 3F - Avg Ck'!B16)</f>
        <v>#REF!</v>
      </c>
      <c r="O16" t="e">
        <f>SUMIFS(#REF!,#REF!,'MILA 3F - Avg Ck'!B16)</f>
        <v>#REF!</v>
      </c>
      <c r="P16" t="e">
        <f>SUMIFS(#REF!,#REF!,'MILA 3F - Avg Ck'!B16)</f>
        <v>#REF!</v>
      </c>
      <c r="Q16" t="e">
        <f>SUMIFS(#REF!,#REF!,'MILA 3F - Avg Ck'!B16)</f>
        <v>#REF!</v>
      </c>
      <c r="T16" s="169"/>
    </row>
    <row r="17" spans="2:23">
      <c r="B17" s="269">
        <f t="shared" si="5"/>
        <v>33</v>
      </c>
      <c r="C17" s="261">
        <f>SUMIFS('Actual - 2026'!$K:$K,'Actual - 2026'!$C:$C,'MILA 3F - Avg Ck'!B17)</f>
        <v>525399.80000000005</v>
      </c>
      <c r="D17" s="277">
        <f>SUMIFS('Actual - 2026'!$L:$L,'Actual - 2026'!$C:$C,'MILA 3F - Avg Ck'!B17)</f>
        <v>3938</v>
      </c>
      <c r="E17" s="290">
        <f t="shared" si="1"/>
        <v>133.4179278821737</v>
      </c>
      <c r="F17" s="260">
        <f t="shared" si="4"/>
        <v>136.91980432070392</v>
      </c>
      <c r="G17" s="200">
        <f t="shared" si="2"/>
        <v>2.6247420373841018E-2</v>
      </c>
      <c r="H17" s="261">
        <f>SUMIFS('Budget - 2026'!$R:$R,'Budget - 2026'!$D:$D,'MILA 3F - Avg Ck'!B17)</f>
        <v>520635</v>
      </c>
      <c r="I17" s="277">
        <f>SUMIFS('Budget - 2026'!$S:$S,'Budget - 2026'!$D:$D,'MILA 3F - Avg Ck'!B17)</f>
        <v>3749</v>
      </c>
      <c r="J17" s="260">
        <f t="shared" si="3"/>
        <v>138.873032808749</v>
      </c>
      <c r="L17" s="291" t="e">
        <f>SUMIFS(#REF!,#REF!,'MILA 3F - Avg Ck'!B17)</f>
        <v>#REF!</v>
      </c>
      <c r="M17" t="e">
        <f>SUMIFS(#REF!,#REF!,'MILA 3F - Avg Ck'!B17)</f>
        <v>#REF!</v>
      </c>
      <c r="N17" t="e">
        <f>SUMIFS(#REF!,#REF!,'MILA 3F - Avg Ck'!B17)</f>
        <v>#REF!</v>
      </c>
      <c r="O17" t="e">
        <f>SUMIFS(#REF!,#REF!,'MILA 3F - Avg Ck'!B17)</f>
        <v>#REF!</v>
      </c>
      <c r="P17" t="e">
        <f>SUMIFS(#REF!,#REF!,'MILA 3F - Avg Ck'!B17)</f>
        <v>#REF!</v>
      </c>
      <c r="Q17" t="e">
        <f>SUMIFS(#REF!,#REF!,'MILA 3F - Avg Ck'!B17)</f>
        <v>#REF!</v>
      </c>
      <c r="T17" s="169"/>
    </row>
    <row r="18" spans="2:23">
      <c r="B18" s="269">
        <f t="shared" si="5"/>
        <v>34</v>
      </c>
      <c r="C18" s="261">
        <f>SUMIFS('Actual - 2026'!$K:$K,'Actual - 2026'!$C:$C,'MILA 3F - Avg Ck'!B18)</f>
        <v>537706</v>
      </c>
      <c r="D18" s="277">
        <f>SUMIFS('Actual - 2026'!$L:$L,'Actual - 2026'!$C:$C,'MILA 3F - Avg Ck'!B18)</f>
        <v>4050</v>
      </c>
      <c r="E18" s="290">
        <f t="shared" si="1"/>
        <v>132.76691358024692</v>
      </c>
      <c r="F18" s="260">
        <f t="shared" si="4"/>
        <v>135.07548645678455</v>
      </c>
      <c r="G18" s="200">
        <f t="shared" si="2"/>
        <v>1.7388164071030228E-2</v>
      </c>
      <c r="H18" s="261">
        <f>SUMIFS('Budget - 2026'!$R:$R,'Budget - 2026'!$D:$D,'MILA 3F - Avg Ck'!B18)</f>
        <v>471976</v>
      </c>
      <c r="I18" s="277">
        <f>SUMIFS('Budget - 2026'!$S:$S,'Budget - 2026'!$D:$D,'MILA 3F - Avg Ck'!B18)</f>
        <v>3386</v>
      </c>
      <c r="J18" s="260">
        <f t="shared" si="3"/>
        <v>139.39043118724157</v>
      </c>
      <c r="L18" s="291" t="e">
        <f>SUMIFS(#REF!,#REF!,'MILA 3F - Avg Ck'!B18)</f>
        <v>#REF!</v>
      </c>
      <c r="M18" t="e">
        <f>SUMIFS(#REF!,#REF!,'MILA 3F - Avg Ck'!B18)</f>
        <v>#REF!</v>
      </c>
      <c r="N18" t="e">
        <f>SUMIFS(#REF!,#REF!,'MILA 3F - Avg Ck'!B18)</f>
        <v>#REF!</v>
      </c>
      <c r="O18" t="e">
        <f>SUMIFS(#REF!,#REF!,'MILA 3F - Avg Ck'!B18)</f>
        <v>#REF!</v>
      </c>
      <c r="P18" t="e">
        <f>SUMIFS(#REF!,#REF!,'MILA 3F - Avg Ck'!B18)</f>
        <v>#REF!</v>
      </c>
      <c r="Q18" t="e">
        <f>SUMIFS(#REF!,#REF!,'MILA 3F - Avg Ck'!B18)</f>
        <v>#REF!</v>
      </c>
      <c r="T18" s="169"/>
    </row>
    <row r="19" spans="2:23">
      <c r="B19" s="269">
        <f t="shared" si="5"/>
        <v>35</v>
      </c>
      <c r="C19" s="261">
        <f>SUMIFS('Actual - 2026'!$K:$K,'Actual - 2026'!$C:$C,'MILA 3F - Avg Ck'!B19)</f>
        <v>0</v>
      </c>
      <c r="D19" s="277">
        <f>SUMIFS('Actual - 2026'!$L:$L,'Actual - 2026'!$C:$C,'MILA 3F - Avg Ck'!B19)</f>
        <v>0</v>
      </c>
      <c r="E19" s="290">
        <f t="shared" si="1"/>
        <v>0</v>
      </c>
      <c r="F19" s="260">
        <f t="shared" si="4"/>
        <v>134.29276904882582</v>
      </c>
      <c r="G19" s="200" t="e">
        <f t="shared" si="2"/>
        <v>#DIV/0!</v>
      </c>
      <c r="H19" s="261">
        <f>SUMIFS('Budget - 2026'!$R:$R,'Budget - 2026'!$D:$D,'MILA 3F - Avg Ck'!B19)</f>
        <v>552157</v>
      </c>
      <c r="I19" s="277">
        <f>SUMIFS('Budget - 2026'!$S:$S,'Budget - 2026'!$D:$D,'MILA 3F - Avg Ck'!B19)</f>
        <v>3790</v>
      </c>
      <c r="J19" s="260">
        <f t="shared" si="3"/>
        <v>145.68786279683377</v>
      </c>
      <c r="L19" s="291" t="e">
        <f>SUMIFS(#REF!,#REF!,'MILA 3F - Avg Ck'!B19)</f>
        <v>#REF!</v>
      </c>
      <c r="M19" t="e">
        <f>SUMIFS(#REF!,#REF!,'MILA 3F - Avg Ck'!B19)</f>
        <v>#REF!</v>
      </c>
      <c r="N19" t="e">
        <f>SUMIFS(#REF!,#REF!,'MILA 3F - Avg Ck'!B19)</f>
        <v>#REF!</v>
      </c>
      <c r="O19" t="e">
        <f>SUMIFS(#REF!,#REF!,'MILA 3F - Avg Ck'!B19)</f>
        <v>#REF!</v>
      </c>
      <c r="P19" t="e">
        <f>SUMIFS(#REF!,#REF!,'MILA 3F - Avg Ck'!B19)</f>
        <v>#REF!</v>
      </c>
      <c r="Q19" t="e">
        <f>SUMIFS(#REF!,#REF!,'MILA 3F - Avg Ck'!B19)</f>
        <v>#REF!</v>
      </c>
      <c r="T19" s="169"/>
    </row>
    <row r="20" spans="2:23">
      <c r="B20" s="269">
        <f t="shared" si="5"/>
        <v>36</v>
      </c>
      <c r="C20" s="261">
        <f>SUMIFS('Actual - 2026'!$K:$K,'Actual - 2026'!$C:$C,'MILA 3F - Avg Ck'!B20)</f>
        <v>0</v>
      </c>
      <c r="D20" s="277">
        <f>SUMIFS('Actual - 2026'!$L:$L,'Actual - 2026'!$C:$C,'MILA 3F - Avg Ck'!B20)</f>
        <v>0</v>
      </c>
      <c r="E20" s="290">
        <f t="shared" si="1"/>
        <v>0</v>
      </c>
      <c r="F20" s="260">
        <f t="shared" si="4"/>
        <v>133.08785678517776</v>
      </c>
      <c r="G20" s="200" t="e">
        <f t="shared" si="2"/>
        <v>#DIV/0!</v>
      </c>
      <c r="H20" s="261">
        <f>SUMIFS('Budget - 2026'!$R:$R,'Budget - 2026'!$D:$D,'MILA 3F - Avg Ck'!B20)</f>
        <v>435252</v>
      </c>
      <c r="I20" s="277">
        <f>SUMIFS('Budget - 2026'!$S:$S,'Budget - 2026'!$D:$D,'MILA 3F - Avg Ck'!B20)</f>
        <v>2940</v>
      </c>
      <c r="J20" s="260">
        <f t="shared" si="3"/>
        <v>148.04489795918369</v>
      </c>
      <c r="L20" s="291" t="e">
        <f>SUMIFS(#REF!,#REF!,'MILA 3F - Avg Ck'!B20)</f>
        <v>#REF!</v>
      </c>
      <c r="M20" t="e">
        <f>SUMIFS(#REF!,#REF!,'MILA 3F - Avg Ck'!B20)</f>
        <v>#REF!</v>
      </c>
      <c r="N20" t="e">
        <f>SUMIFS(#REF!,#REF!,'MILA 3F - Avg Ck'!B20)</f>
        <v>#REF!</v>
      </c>
      <c r="O20" t="e">
        <f>SUMIFS(#REF!,#REF!,'MILA 3F - Avg Ck'!B20)</f>
        <v>#REF!</v>
      </c>
      <c r="P20" t="e">
        <f>SUMIFS(#REF!,#REF!,'MILA 3F - Avg Ck'!B20)</f>
        <v>#REF!</v>
      </c>
      <c r="Q20" t="e">
        <f>SUMIFS(#REF!,#REF!,'MILA 3F - Avg Ck'!B20)</f>
        <v>#REF!</v>
      </c>
      <c r="T20" s="169"/>
    </row>
    <row r="21" spans="2:23">
      <c r="B21" s="269">
        <f t="shared" si="5"/>
        <v>37</v>
      </c>
      <c r="C21" s="261">
        <f>SUMIFS('Actual - 2026'!$K:$K,'Actual - 2026'!$C:$C,'MILA 3F - Avg Ck'!B21)</f>
        <v>0</v>
      </c>
      <c r="D21" s="277">
        <f>SUMIFS('Actual - 2026'!$L:$L,'Actual - 2026'!$C:$C,'MILA 3F - Avg Ck'!B21)</f>
        <v>0</v>
      </c>
      <c r="E21" s="290">
        <f t="shared" si="1"/>
        <v>0</v>
      </c>
      <c r="F21" s="260">
        <f t="shared" si="4"/>
        <v>132.76691358024692</v>
      </c>
      <c r="G21" s="200" t="e">
        <f t="shared" si="2"/>
        <v>#DIV/0!</v>
      </c>
      <c r="H21" s="261">
        <f>SUMIFS('Budget - 2026'!$R:$R,'Budget - 2026'!$D:$D,'MILA 3F - Avg Ck'!B21)</f>
        <v>495911</v>
      </c>
      <c r="I21" s="277">
        <f>SUMIFS('Budget - 2026'!$S:$S,'Budget - 2026'!$D:$D,'MILA 3F - Avg Ck'!B21)</f>
        <v>3377</v>
      </c>
      <c r="J21" s="260">
        <f t="shared" si="3"/>
        <v>146.84957062481493</v>
      </c>
      <c r="L21" s="291" t="e">
        <f>SUMIFS(#REF!,#REF!,'MILA 3F - Avg Ck'!B21)</f>
        <v>#REF!</v>
      </c>
      <c r="M21" t="e">
        <f>SUMIFS(#REF!,#REF!,'MILA 3F - Avg Ck'!B21)</f>
        <v>#REF!</v>
      </c>
      <c r="N21" t="e">
        <f>SUMIFS(#REF!,#REF!,'MILA 3F - Avg Ck'!B21)</f>
        <v>#REF!</v>
      </c>
      <c r="O21" t="e">
        <f>SUMIFS(#REF!,#REF!,'MILA 3F - Avg Ck'!B21)</f>
        <v>#REF!</v>
      </c>
      <c r="P21" t="e">
        <f>SUMIFS(#REF!,#REF!,'MILA 3F - Avg Ck'!B21)</f>
        <v>#REF!</v>
      </c>
      <c r="Q21" t="e">
        <f>SUMIFS(#REF!,#REF!,'MILA 3F - Avg Ck'!B21)</f>
        <v>#REF!</v>
      </c>
      <c r="T21" s="169"/>
    </row>
    <row r="22" spans="2:23">
      <c r="B22" s="269">
        <f t="shared" si="5"/>
        <v>38</v>
      </c>
      <c r="C22" s="261">
        <f>SUMIFS('Actual - 2026'!$K:$K,'Actual - 2026'!$C:$C,'MILA 3F - Avg Ck'!B22)</f>
        <v>0</v>
      </c>
      <c r="D22" s="277">
        <f>SUMIFS('Actual - 2026'!$L:$L,'Actual - 2026'!$C:$C,'MILA 3F - Avg Ck'!B22)</f>
        <v>0</v>
      </c>
      <c r="E22" s="290">
        <f t="shared" si="1"/>
        <v>0</v>
      </c>
      <c r="F22" s="260" t="e">
        <f t="shared" si="4"/>
        <v>#DIV/0!</v>
      </c>
      <c r="G22" s="200" t="e">
        <f t="shared" si="2"/>
        <v>#DIV/0!</v>
      </c>
      <c r="H22" s="261">
        <f>SUMIFS('Budget - 2026'!$R:$R,'Budget - 2026'!$D:$D,'MILA 3F - Avg Ck'!B22)</f>
        <v>500317</v>
      </c>
      <c r="I22" s="277">
        <f>SUMIFS('Budget - 2026'!$S:$S,'Budget - 2026'!$D:$D,'MILA 3F - Avg Ck'!B22)</f>
        <v>3375</v>
      </c>
      <c r="J22" s="260">
        <f t="shared" si="3"/>
        <v>148.24207407407408</v>
      </c>
      <c r="L22" s="291" t="e">
        <f>SUMIFS(#REF!,#REF!,'MILA 3F - Avg Ck'!B22)</f>
        <v>#REF!</v>
      </c>
      <c r="M22" t="e">
        <f>SUMIFS(#REF!,#REF!,'MILA 3F - Avg Ck'!B22)</f>
        <v>#REF!</v>
      </c>
      <c r="N22" t="e">
        <f>SUMIFS(#REF!,#REF!,'MILA 3F - Avg Ck'!B22)</f>
        <v>#REF!</v>
      </c>
      <c r="O22" t="e">
        <f>SUMIFS(#REF!,#REF!,'MILA 3F - Avg Ck'!B22)</f>
        <v>#REF!</v>
      </c>
      <c r="P22" t="e">
        <f>SUMIFS(#REF!,#REF!,'MILA 3F - Avg Ck'!B22)</f>
        <v>#REF!</v>
      </c>
      <c r="Q22" t="e">
        <f>SUMIFS(#REF!,#REF!,'MILA 3F - Avg Ck'!B22)</f>
        <v>#REF!</v>
      </c>
      <c r="T22" s="169"/>
    </row>
    <row r="23" spans="2:23">
      <c r="B23" s="269">
        <f t="shared" si="5"/>
        <v>39</v>
      </c>
      <c r="C23" s="261">
        <f>SUMIFS('Actual - 2026'!$K:$K,'Actual - 2026'!$C:$C,'MILA 3F - Avg Ck'!B23)</f>
        <v>0</v>
      </c>
      <c r="D23" s="277">
        <f>SUMIFS('Actual - 2026'!$L:$L,'Actual - 2026'!$C:$C,'MILA 3F - Avg Ck'!B23)</f>
        <v>0</v>
      </c>
      <c r="E23" s="290">
        <f t="shared" si="1"/>
        <v>0</v>
      </c>
      <c r="F23" s="260" t="e">
        <f t="shared" si="4"/>
        <v>#DIV/0!</v>
      </c>
      <c r="G23" s="200" t="e">
        <f t="shared" si="2"/>
        <v>#DIV/0!</v>
      </c>
      <c r="H23" s="261">
        <f>SUMIFS('Budget - 2026'!$R:$R,'Budget - 2026'!$D:$D,'MILA 3F - Avg Ck'!B23)</f>
        <v>514288</v>
      </c>
      <c r="I23" s="277">
        <f>SUMIFS('Budget - 2026'!$S:$S,'Budget - 2026'!$D:$D,'MILA 3F - Avg Ck'!B23)</f>
        <v>3480</v>
      </c>
      <c r="J23" s="260">
        <f t="shared" si="3"/>
        <v>147.783908045977</v>
      </c>
      <c r="L23" s="291" t="e">
        <f>SUMIFS(#REF!,#REF!,'MILA 3F - Avg Ck'!B23)</f>
        <v>#REF!</v>
      </c>
      <c r="M23" t="e">
        <f>SUMIFS(#REF!,#REF!,'MILA 3F - Avg Ck'!B23)</f>
        <v>#REF!</v>
      </c>
      <c r="N23" t="e">
        <f>SUMIFS(#REF!,#REF!,'MILA 3F - Avg Ck'!B23)</f>
        <v>#REF!</v>
      </c>
      <c r="O23" t="e">
        <f>SUMIFS(#REF!,#REF!,'MILA 3F - Avg Ck'!B23)</f>
        <v>#REF!</v>
      </c>
      <c r="P23" t="e">
        <f>SUMIFS(#REF!,#REF!,'MILA 3F - Avg Ck'!B23)</f>
        <v>#REF!</v>
      </c>
      <c r="Q23" t="e">
        <f>SUMIFS(#REF!,#REF!,'MILA 3F - Avg Ck'!B23)</f>
        <v>#REF!</v>
      </c>
      <c r="T23" s="169"/>
    </row>
    <row r="24" spans="2:23">
      <c r="B24" s="269">
        <f>B25-1</f>
        <v>40</v>
      </c>
      <c r="C24" s="261">
        <f>SUMIFS('Actual - 2026'!$K:$K,'Actual - 2026'!$C:$C,'MILA 3F - Avg Ck'!B24)</f>
        <v>0</v>
      </c>
      <c r="D24" s="277">
        <f>SUMIFS('Actual - 2026'!$L:$L,'Actual - 2026'!$C:$C,'MILA 3F - Avg Ck'!B24)</f>
        <v>0</v>
      </c>
      <c r="E24" s="290">
        <f t="shared" si="1"/>
        <v>0</v>
      </c>
      <c r="F24" s="260" t="e">
        <f t="shared" si="4"/>
        <v>#DIV/0!</v>
      </c>
      <c r="G24" s="200" t="e">
        <f t="shared" si="2"/>
        <v>#DIV/0!</v>
      </c>
      <c r="H24" s="261">
        <f>SUMIFS('Budget - 2026'!$R:$R,'Budget - 2026'!$D:$D,'MILA 3F - Avg Ck'!B24)</f>
        <v>459903</v>
      </c>
      <c r="I24" s="277">
        <f>SUMIFS('Budget - 2026'!$S:$S,'Budget - 2026'!$D:$D,'MILA 3F - Avg Ck'!B24)</f>
        <v>2915</v>
      </c>
      <c r="J24" s="260">
        <f t="shared" si="3"/>
        <v>157.7711835334477</v>
      </c>
      <c r="L24" s="291" t="e">
        <f>SUMIFS(#REF!,#REF!,'MILA 3F - Avg Ck'!B24)</f>
        <v>#REF!</v>
      </c>
      <c r="M24" s="294" t="e">
        <f>SUMIFS(#REF!,#REF!,'MILA 3F - Avg Ck'!B24)</f>
        <v>#REF!</v>
      </c>
      <c r="N24" s="294" t="e">
        <f>SUMIFS(#REF!,#REF!,'MILA 3F - Avg Ck'!B24)</f>
        <v>#REF!</v>
      </c>
      <c r="O24" t="e">
        <f>SUMIFS(#REF!,#REF!,'MILA 3F - Avg Ck'!B24)</f>
        <v>#REF!</v>
      </c>
      <c r="P24" t="e">
        <f>SUMIFS(#REF!,#REF!,'MILA 3F - Avg Ck'!B24)</f>
        <v>#REF!</v>
      </c>
      <c r="Q24" t="e">
        <f>SUMIFS(#REF!,#REF!,'MILA 3F - Avg Ck'!B24)</f>
        <v>#REF!</v>
      </c>
      <c r="T24" s="169"/>
    </row>
    <row r="25" spans="2:23">
      <c r="B25" s="259">
        <v>41</v>
      </c>
      <c r="C25" s="261">
        <f>SUMIFS('Actual - 2026'!$K:$K,'Actual - 2026'!$C:$C,'MILA 3F - Avg Ck'!B25)</f>
        <v>0</v>
      </c>
      <c r="D25" s="277">
        <f>SUMIFS('Actual - 2026'!$L:$L,'Actual - 2026'!$C:$C,'MILA 3F - Avg Ck'!B25)</f>
        <v>0</v>
      </c>
      <c r="E25" s="290">
        <f>IFERROR(C25/D25,0)</f>
        <v>0</v>
      </c>
      <c r="F25" s="260" t="e">
        <f t="shared" si="4"/>
        <v>#DIV/0!</v>
      </c>
      <c r="G25" s="200" t="e">
        <f t="shared" si="2"/>
        <v>#DIV/0!</v>
      </c>
      <c r="H25" s="261">
        <f>SUMIFS('Budget - 2026'!$R:$R,'Budget - 2026'!$D:$D,'MILA 3F - Avg Ck'!B25)</f>
        <v>566071</v>
      </c>
      <c r="I25" s="277">
        <f>SUMIFS('Budget - 2026'!$S:$S,'Budget - 2026'!$D:$D,'MILA 3F - Avg Ck'!B25)</f>
        <v>3600</v>
      </c>
      <c r="J25" s="260">
        <f t="shared" si="3"/>
        <v>157.24194444444444</v>
      </c>
      <c r="K25" s="273"/>
      <c r="L25" s="291" t="e">
        <f>SUMIFS(#REF!,#REF!,'MILA 3F - Avg Ck'!B25)</f>
        <v>#REF!</v>
      </c>
      <c r="M25" s="294" t="e">
        <f>SUMIFS(#REF!,#REF!,'MILA 3F - Avg Ck'!B25)</f>
        <v>#REF!</v>
      </c>
      <c r="N25" s="294" t="e">
        <f>SUMIFS(#REF!,#REF!,'MILA 3F - Avg Ck'!B25)</f>
        <v>#REF!</v>
      </c>
      <c r="O25" t="e">
        <f>SUMIFS(#REF!,#REF!,'MILA 3F - Avg Ck'!B25)</f>
        <v>#REF!</v>
      </c>
      <c r="P25" t="e">
        <f>SUMIFS(#REF!,#REF!,'MILA 3F - Avg Ck'!B25)</f>
        <v>#REF!</v>
      </c>
      <c r="Q25" t="e">
        <f>SUMIFS(#REF!,#REF!,'MILA 3F - Avg Ck'!B25)</f>
        <v>#REF!</v>
      </c>
      <c r="T25" s="169"/>
    </row>
    <row r="26" spans="2:23">
      <c r="E26" s="260"/>
      <c r="F26" s="260"/>
      <c r="G26" s="260"/>
      <c r="J26" s="260"/>
      <c r="K26" s="273"/>
    </row>
    <row r="27" spans="2:23" ht="21">
      <c r="B27" s="421" t="s">
        <v>241</v>
      </c>
      <c r="C27" s="421"/>
      <c r="D27" s="421"/>
      <c r="E27" s="421"/>
      <c r="F27" s="421"/>
      <c r="G27" s="421"/>
      <c r="H27" s="421"/>
      <c r="I27" s="421"/>
      <c r="J27" s="421"/>
    </row>
    <row r="28" spans="2:23">
      <c r="B28" s="272"/>
      <c r="C28" s="272"/>
      <c r="D28" s="274"/>
      <c r="E28" s="272"/>
      <c r="F28" s="272"/>
      <c r="G28" s="272"/>
      <c r="H28" s="272"/>
      <c r="I28" s="274"/>
      <c r="J28" s="272"/>
    </row>
    <row r="29" spans="2:23" s="285" customFormat="1">
      <c r="B29" s="281" t="s">
        <v>9</v>
      </c>
      <c r="C29" s="282" t="str">
        <f>C7</f>
        <v>Sales</v>
      </c>
      <c r="D29" s="282" t="str">
        <f>D7</f>
        <v>Covers</v>
      </c>
      <c r="E29" s="281" t="s">
        <v>218</v>
      </c>
      <c r="F29" s="283" t="s">
        <v>219</v>
      </c>
      <c r="G29" s="281" t="s">
        <v>220</v>
      </c>
      <c r="H29" s="282" t="str">
        <f>H7</f>
        <v>Sales</v>
      </c>
      <c r="I29" s="282" t="str">
        <f>I7</f>
        <v>LY Covers</v>
      </c>
      <c r="J29" s="282" t="str">
        <f>J7</f>
        <v>LY Avg Check</v>
      </c>
      <c r="L29" s="284" t="s">
        <v>223</v>
      </c>
      <c r="M29" s="284" t="s">
        <v>224</v>
      </c>
      <c r="N29" s="284" t="s">
        <v>225</v>
      </c>
      <c r="O29" s="284" t="s">
        <v>223</v>
      </c>
      <c r="P29" s="284" t="s">
        <v>224</v>
      </c>
      <c r="Q29" s="284" t="s">
        <v>225</v>
      </c>
      <c r="R29" s="284" t="s">
        <v>226</v>
      </c>
      <c r="S29" s="284" t="s">
        <v>227</v>
      </c>
      <c r="T29" s="284" t="s">
        <v>228</v>
      </c>
      <c r="U29" s="284" t="s">
        <v>226</v>
      </c>
      <c r="V29" s="284" t="s">
        <v>227</v>
      </c>
      <c r="W29" s="284" t="s">
        <v>228</v>
      </c>
    </row>
    <row r="30" spans="2:23">
      <c r="B30" s="267"/>
      <c r="C30" s="267"/>
      <c r="D30" s="276"/>
      <c r="E30" s="267"/>
      <c r="F30" s="271"/>
      <c r="G30" s="267"/>
      <c r="H30" s="267"/>
      <c r="I30" s="276"/>
      <c r="J30" s="271"/>
      <c r="L30" s="423" t="s">
        <v>71</v>
      </c>
      <c r="M30" s="423"/>
      <c r="N30" s="423"/>
      <c r="O30" s="423" t="s">
        <v>63</v>
      </c>
      <c r="P30" s="423"/>
      <c r="Q30" s="423"/>
      <c r="R30" s="423" t="s">
        <v>71</v>
      </c>
      <c r="S30" s="423"/>
      <c r="T30" s="423"/>
      <c r="U30" s="423" t="s">
        <v>63</v>
      </c>
      <c r="V30" s="423"/>
      <c r="W30" s="423"/>
    </row>
    <row r="31" spans="2:23" ht="14.45" hidden="1" customHeight="1" outlineLevel="1">
      <c r="B31" s="269">
        <f t="shared" ref="B31:B47" si="6">B9</f>
        <v>25</v>
      </c>
      <c r="C31">
        <f>SUMIFS('Actual - 2026'!$W:$W,'Actual - 2026'!$C:$C,'MILA 3F - Avg Ck'!B9)</f>
        <v>219792.4</v>
      </c>
      <c r="D31" s="278">
        <f>SUMIFS('Actual - 2026'!$X:$X,'Actual - 2026'!$C:$C,'MILA 3F - Avg Ck'!B9)</f>
        <v>839</v>
      </c>
      <c r="E31" s="260">
        <f t="shared" ref="E31:E47" si="7">IFERROR(C31/D31,0)</f>
        <v>261.9694874851013</v>
      </c>
      <c r="F31" s="260">
        <f t="shared" ref="F31:F47" si="8">SUM(C28:C31)/SUM(D28:D31)</f>
        <v>261.9694874851013</v>
      </c>
      <c r="G31" s="270">
        <f t="shared" ref="G31:G47" si="9">(F31-E31)/E31</f>
        <v>0</v>
      </c>
      <c r="H31">
        <f>SUMIFS('Budget - 2026'!$AS:$AS,'Budget - 2026'!$D:$D,'MILA 3F - Avg Ck'!B31)</f>
        <v>275660</v>
      </c>
      <c r="I31" s="278">
        <f>SUMIFS('Budget - 2026'!$AT:$AT,'Budget - 2026'!$D:$D,'MILA 3F - Avg Ck'!B31)</f>
        <v>1004</v>
      </c>
      <c r="J31" s="260">
        <f t="shared" ref="J31:J47" si="10">IFERROR(H31/I31,0)</f>
        <v>274.56175298804783</v>
      </c>
      <c r="L31" s="291" t="e">
        <f>SUMIFS(#REF!,#REF!,'MILA 3F - Avg Ck'!B31)</f>
        <v>#REF!</v>
      </c>
      <c r="M31" s="260" t="e">
        <f>SUMIFS(#REF!,#REF!,'MILA 3F - Avg Ck'!B31)</f>
        <v>#REF!</v>
      </c>
      <c r="N31" s="260" t="e">
        <f>SUMIFS(#REF!,#REF!,'MILA 3F - Avg Ck'!B31)</f>
        <v>#REF!</v>
      </c>
      <c r="O31" s="263" t="e">
        <f>SUMIFS(#REF!,#REF!,'MILA 3F - Avg Ck'!B31)</f>
        <v>#REF!</v>
      </c>
      <c r="P31" s="263" t="e">
        <f>SUMIFS(#REF!,#REF!,'MILA 3F - Avg Ck'!B31)</f>
        <v>#REF!</v>
      </c>
      <c r="Q31" s="263" t="e">
        <f>SUMIFS(#REF!,#REF!,'MILA 3F - Avg Ck'!B31)</f>
        <v>#REF!</v>
      </c>
    </row>
    <row r="32" spans="2:23" ht="14.45" hidden="1" customHeight="1" outlineLevel="1">
      <c r="B32" s="269">
        <f t="shared" si="6"/>
        <v>26</v>
      </c>
      <c r="C32">
        <f>SUMIFS('Actual - 2026'!$W:$W,'Actual - 2026'!$C:$C,'MILA 3F - Avg Ck'!B10)</f>
        <v>323459.28000000003</v>
      </c>
      <c r="D32" s="278">
        <f>SUMIFS('Actual - 2026'!$X:$X,'Actual - 2026'!$C:$C,'MILA 3F - Avg Ck'!B10)</f>
        <v>1105</v>
      </c>
      <c r="E32" s="260">
        <f t="shared" si="7"/>
        <v>292.72333031674208</v>
      </c>
      <c r="F32" s="260">
        <f t="shared" si="8"/>
        <v>279.45045267489712</v>
      </c>
      <c r="G32" s="270">
        <f t="shared" si="9"/>
        <v>-4.5342739259911412E-2</v>
      </c>
      <c r="H32">
        <f>SUMIFS('Budget - 2026'!$AS:$AS,'Budget - 2026'!$D:$D,'MILA 3F - Avg Ck'!B32)</f>
        <v>209711</v>
      </c>
      <c r="I32" s="278">
        <f>SUMIFS('Budget - 2026'!$AT:$AT,'Budget - 2026'!$D:$D,'MILA 3F - Avg Ck'!B32)</f>
        <v>1035</v>
      </c>
      <c r="J32" s="260">
        <f t="shared" si="10"/>
        <v>202.6193236714976</v>
      </c>
      <c r="L32" s="291" t="e">
        <f>SUMIFS(#REF!,#REF!,'MILA 3F - Avg Ck'!B32)</f>
        <v>#REF!</v>
      </c>
      <c r="M32" s="260" t="e">
        <f>SUMIFS(#REF!,#REF!,'MILA 3F - Avg Ck'!B32)</f>
        <v>#REF!</v>
      </c>
      <c r="N32" s="260" t="e">
        <f>SUMIFS(#REF!,#REF!,'MILA 3F - Avg Ck'!B32)</f>
        <v>#REF!</v>
      </c>
      <c r="O32" s="263" t="e">
        <f>SUMIFS(#REF!,#REF!,'MILA 3F - Avg Ck'!B32)</f>
        <v>#REF!</v>
      </c>
      <c r="P32" s="263" t="e">
        <f>SUMIFS(#REF!,#REF!,'MILA 3F - Avg Ck'!B32)</f>
        <v>#REF!</v>
      </c>
      <c r="Q32" s="263" t="e">
        <f>SUMIFS(#REF!,#REF!,'MILA 3F - Avg Ck'!B32)</f>
        <v>#REF!</v>
      </c>
      <c r="R32" s="262"/>
      <c r="S32" s="262"/>
      <c r="T32" s="262"/>
    </row>
    <row r="33" spans="2:20" ht="14.45" hidden="1" customHeight="1" outlineLevel="1">
      <c r="B33" s="269">
        <f t="shared" si="6"/>
        <v>27</v>
      </c>
      <c r="C33">
        <f>SUMIFS('Actual - 2026'!$W:$W,'Actual - 2026'!$C:$C,'MILA 3F - Avg Ck'!B11)</f>
        <v>205993.04</v>
      </c>
      <c r="D33" s="278">
        <f>SUMIFS('Actual - 2026'!$X:$X,'Actual - 2026'!$C:$C,'MILA 3F - Avg Ck'!B11)</f>
        <v>922</v>
      </c>
      <c r="E33" s="260">
        <f t="shared" si="7"/>
        <v>223.41978308026032</v>
      </c>
      <c r="F33" s="260">
        <f t="shared" si="8"/>
        <v>261.42523377529659</v>
      </c>
      <c r="G33" s="270">
        <f t="shared" si="9"/>
        <v>0.17010781306408918</v>
      </c>
      <c r="H33">
        <f>SUMIFS('Budget - 2026'!$AS:$AS,'Budget - 2026'!$D:$D,'MILA 3F - Avg Ck'!B33)</f>
        <v>184809.87</v>
      </c>
      <c r="I33" s="278">
        <f>SUMIFS('Budget - 2026'!$AT:$AT,'Budget - 2026'!$D:$D,'MILA 3F - Avg Ck'!B33)</f>
        <v>776</v>
      </c>
      <c r="J33" s="260">
        <f t="shared" si="10"/>
        <v>238.15704896907215</v>
      </c>
      <c r="L33" s="291" t="e">
        <f>SUMIFS(#REF!,#REF!,'MILA 3F - Avg Ck'!B33)</f>
        <v>#REF!</v>
      </c>
      <c r="M33" s="260" t="e">
        <f>SUMIFS(#REF!,#REF!,'MILA 3F - Avg Ck'!B33)</f>
        <v>#REF!</v>
      </c>
      <c r="N33" s="260" t="e">
        <f>SUMIFS(#REF!,#REF!,'MILA 3F - Avg Ck'!B33)</f>
        <v>#REF!</v>
      </c>
      <c r="O33" s="263" t="e">
        <f>SUMIFS(#REF!,#REF!,'MILA 3F - Avg Ck'!B33)</f>
        <v>#REF!</v>
      </c>
      <c r="P33" s="263" t="e">
        <f>SUMIFS(#REF!,#REF!,'MILA 3F - Avg Ck'!B33)</f>
        <v>#REF!</v>
      </c>
      <c r="Q33" s="263" t="e">
        <f>SUMIFS(#REF!,#REF!,'MILA 3F - Avg Ck'!B33)</f>
        <v>#REF!</v>
      </c>
      <c r="R33" s="263"/>
      <c r="S33" s="263"/>
      <c r="T33" s="263"/>
    </row>
    <row r="34" spans="2:20" ht="14.45" hidden="1" customHeight="1" outlineLevel="1">
      <c r="B34" s="269">
        <f t="shared" si="6"/>
        <v>28</v>
      </c>
      <c r="C34">
        <f>SUMIFS('Actual - 2026'!$W:$W,'Actual - 2026'!$C:$C,'MILA 3F - Avg Ck'!B12)</f>
        <v>338281.25</v>
      </c>
      <c r="D34" s="278">
        <f>SUMIFS('Actual - 2026'!$X:$X,'Actual - 2026'!$C:$C,'MILA 3F - Avg Ck'!B12)</f>
        <v>1085</v>
      </c>
      <c r="E34" s="260">
        <f t="shared" si="7"/>
        <v>311.7799539170507</v>
      </c>
      <c r="F34" s="260">
        <f t="shared" si="8"/>
        <v>275.25334598835741</v>
      </c>
      <c r="G34" s="270">
        <f t="shared" si="9"/>
        <v>-0.11715508797082967</v>
      </c>
      <c r="H34">
        <f>SUMIFS('Budget - 2026'!$AS:$AS,'Budget - 2026'!$D:$D,'MILA 3F - Avg Ck'!B34)</f>
        <v>201178.43999999997</v>
      </c>
      <c r="I34" s="278">
        <f>SUMIFS('Budget - 2026'!$AT:$AT,'Budget - 2026'!$D:$D,'MILA 3F - Avg Ck'!B34)</f>
        <v>788</v>
      </c>
      <c r="J34" s="260">
        <f t="shared" si="10"/>
        <v>255.30258883248729</v>
      </c>
      <c r="L34" s="291" t="e">
        <f>SUMIFS(#REF!,#REF!,'MILA 3F - Avg Ck'!B34)</f>
        <v>#REF!</v>
      </c>
      <c r="M34" s="260" t="e">
        <f>SUMIFS(#REF!,#REF!,'MILA 3F - Avg Ck'!B34)</f>
        <v>#REF!</v>
      </c>
      <c r="N34" s="260" t="e">
        <f>SUMIFS(#REF!,#REF!,'MILA 3F - Avg Ck'!B34)</f>
        <v>#REF!</v>
      </c>
      <c r="O34" s="263" t="e">
        <f>SUMIFS(#REF!,#REF!,'MILA 3F - Avg Ck'!B34)</f>
        <v>#REF!</v>
      </c>
      <c r="P34" s="263" t="e">
        <f>SUMIFS(#REF!,#REF!,'MILA 3F - Avg Ck'!B34)</f>
        <v>#REF!</v>
      </c>
      <c r="Q34" s="263" t="e">
        <f>SUMIFS(#REF!,#REF!,'MILA 3F - Avg Ck'!B34)</f>
        <v>#REF!</v>
      </c>
      <c r="R34" s="263"/>
      <c r="S34" s="263"/>
      <c r="T34" s="263"/>
    </row>
    <row r="35" spans="2:20" collapsed="1">
      <c r="B35" s="269">
        <f t="shared" si="6"/>
        <v>29</v>
      </c>
      <c r="C35">
        <f>SUMIFS('Actual - 2026'!$W:$W,'Actual - 2026'!$C:$C,'MILA 3F - Avg Ck'!B13)</f>
        <v>233056.01</v>
      </c>
      <c r="D35" s="278">
        <f>SUMIFS('Actual - 2026'!$X:$X,'Actual - 2026'!$C:$C,'MILA 3F - Avg Ck'!B13)</f>
        <v>1002</v>
      </c>
      <c r="E35" s="290">
        <f t="shared" si="7"/>
        <v>232.59082834331338</v>
      </c>
      <c r="F35" s="260">
        <f t="shared" si="8"/>
        <v>267.57160427807486</v>
      </c>
      <c r="G35" s="200">
        <f t="shared" si="9"/>
        <v>0.15039619654790712</v>
      </c>
      <c r="H35">
        <f>SUMIFS('Budget - 2026'!$AS:$AS,'Budget - 2026'!$D:$D,'MILA 3F - Avg Ck'!B35)</f>
        <v>192750.13</v>
      </c>
      <c r="I35" s="278">
        <f>SUMIFS('Budget - 2026'!$AT:$AT,'Budget - 2026'!$D:$D,'MILA 3F - Avg Ck'!B35)</f>
        <v>909</v>
      </c>
      <c r="J35" s="260">
        <f t="shared" si="10"/>
        <v>212.04634763476349</v>
      </c>
      <c r="L35" s="291" t="e">
        <f>SUMIFS(#REF!,#REF!,'MILA 3F - Avg Ck'!B35)</f>
        <v>#REF!</v>
      </c>
      <c r="M35" s="260" t="e">
        <f>SUMIFS(#REF!,#REF!,'MILA 3F - Avg Ck'!B35)</f>
        <v>#REF!</v>
      </c>
      <c r="N35" s="260" t="e">
        <f>SUMIFS(#REF!,#REF!,'MILA 3F - Avg Ck'!B35)</f>
        <v>#REF!</v>
      </c>
      <c r="O35" s="263" t="e">
        <f>SUMIFS(#REF!,#REF!,'MILA 3F - Avg Ck'!B35)</f>
        <v>#REF!</v>
      </c>
      <c r="P35" s="263" t="e">
        <f>SUMIFS(#REF!,#REF!,'MILA 3F - Avg Ck'!B35)</f>
        <v>#REF!</v>
      </c>
      <c r="Q35" s="263" t="e">
        <f>SUMIFS(#REF!,#REF!,'MILA 3F - Avg Ck'!B35)</f>
        <v>#REF!</v>
      </c>
      <c r="R35" s="263"/>
      <c r="S35" s="263"/>
      <c r="T35" s="263"/>
    </row>
    <row r="36" spans="2:20">
      <c r="B36" s="269">
        <f t="shared" si="6"/>
        <v>30</v>
      </c>
      <c r="C36">
        <f>SUMIFS('Actual - 2026'!$W:$W,'Actual - 2026'!$C:$C,'MILA 3F - Avg Ck'!B14)</f>
        <v>243731.4</v>
      </c>
      <c r="D36" s="278">
        <f>SUMIFS('Actual - 2026'!$X:$X,'Actual - 2026'!$C:$C,'MILA 3F - Avg Ck'!B14)</f>
        <v>981</v>
      </c>
      <c r="E36" s="290">
        <f t="shared" si="7"/>
        <v>248.45198776758409</v>
      </c>
      <c r="F36" s="260">
        <f t="shared" si="8"/>
        <v>255.90518796992484</v>
      </c>
      <c r="G36" s="200">
        <f t="shared" si="9"/>
        <v>2.9998553319335462E-2</v>
      </c>
      <c r="H36">
        <f>SUMIFS('Budget - 2026'!$AS:$AS,'Budget - 2026'!$D:$D,'MILA 3F - Avg Ck'!B36)</f>
        <v>234800.15</v>
      </c>
      <c r="I36" s="278">
        <f>SUMIFS('Budget - 2026'!$AT:$AT,'Budget - 2026'!$D:$D,'MILA 3F - Avg Ck'!B36)</f>
        <v>993</v>
      </c>
      <c r="J36" s="260">
        <f t="shared" si="10"/>
        <v>236.4553373615307</v>
      </c>
      <c r="L36" s="291" t="e">
        <f>SUMIFS(#REF!,#REF!,'MILA 3F - Avg Ck'!B36)</f>
        <v>#REF!</v>
      </c>
      <c r="M36" s="260" t="e">
        <f>SUMIFS(#REF!,#REF!,'MILA 3F - Avg Ck'!B36)</f>
        <v>#REF!</v>
      </c>
      <c r="N36" s="260" t="e">
        <f>SUMIFS(#REF!,#REF!,'MILA 3F - Avg Ck'!B36)</f>
        <v>#REF!</v>
      </c>
      <c r="O36" s="263" t="e">
        <f>SUMIFS(#REF!,#REF!,'MILA 3F - Avg Ck'!B36)</f>
        <v>#REF!</v>
      </c>
      <c r="P36" s="263" t="e">
        <f>SUMIFS(#REF!,#REF!,'MILA 3F - Avg Ck'!B36)</f>
        <v>#REF!</v>
      </c>
      <c r="Q36" s="263" t="e">
        <f>SUMIFS(#REF!,#REF!,'MILA 3F - Avg Ck'!B36)</f>
        <v>#REF!</v>
      </c>
      <c r="R36" s="263"/>
      <c r="S36" s="263"/>
      <c r="T36" s="263"/>
    </row>
    <row r="37" spans="2:20">
      <c r="B37" s="269">
        <f t="shared" si="6"/>
        <v>31</v>
      </c>
      <c r="C37">
        <f>SUMIFS('Actual - 2026'!$W:$W,'Actual - 2026'!$C:$C,'MILA 3F - Avg Ck'!B15)</f>
        <v>174126</v>
      </c>
      <c r="D37" s="278">
        <f>SUMIFS('Actual - 2026'!$X:$X,'Actual - 2026'!$C:$C,'MILA 3F - Avg Ck'!B15)</f>
        <v>771</v>
      </c>
      <c r="E37" s="290">
        <f t="shared" si="7"/>
        <v>225.8443579766537</v>
      </c>
      <c r="F37" s="260">
        <f t="shared" si="8"/>
        <v>257.66987757228446</v>
      </c>
      <c r="G37" s="200">
        <f t="shared" si="9"/>
        <v>0.14091793074113756</v>
      </c>
      <c r="H37">
        <f>SUMIFS('Budget - 2026'!$AS:$AS,'Budget - 2026'!$D:$D,'MILA 3F - Avg Ck'!B37)</f>
        <v>241708.19</v>
      </c>
      <c r="I37" s="278">
        <f>SUMIFS('Budget - 2026'!$AT:$AT,'Budget - 2026'!$D:$D,'MILA 3F - Avg Ck'!B37)</f>
        <v>906</v>
      </c>
      <c r="J37" s="260">
        <f t="shared" si="10"/>
        <v>266.7860816777042</v>
      </c>
      <c r="L37" s="291" t="e">
        <f>SUMIFS(#REF!,#REF!,'MILA 3F - Avg Ck'!B37)</f>
        <v>#REF!</v>
      </c>
      <c r="M37" s="260" t="e">
        <f>SUMIFS(#REF!,#REF!,'MILA 3F - Avg Ck'!B37)</f>
        <v>#REF!</v>
      </c>
      <c r="N37" s="260" t="e">
        <f>SUMIFS(#REF!,#REF!,'MILA 3F - Avg Ck'!B37)</f>
        <v>#REF!</v>
      </c>
      <c r="O37" s="263" t="e">
        <f>SUMIFS(#REF!,#REF!,'MILA 3F - Avg Ck'!B37)</f>
        <v>#REF!</v>
      </c>
      <c r="P37" s="263" t="e">
        <f>SUMIFS(#REF!,#REF!,'MILA 3F - Avg Ck'!B37)</f>
        <v>#REF!</v>
      </c>
      <c r="Q37" s="263" t="e">
        <f>SUMIFS(#REF!,#REF!,'MILA 3F - Avg Ck'!B37)</f>
        <v>#REF!</v>
      </c>
      <c r="R37" s="263"/>
      <c r="S37" s="264"/>
      <c r="T37" s="263"/>
    </row>
    <row r="38" spans="2:20">
      <c r="B38" s="269">
        <f t="shared" si="6"/>
        <v>32</v>
      </c>
      <c r="C38">
        <f>SUMIFS('Actual - 2026'!$W:$W,'Actual - 2026'!$C:$C,'MILA 3F - Avg Ck'!B16)</f>
        <v>176817.5</v>
      </c>
      <c r="D38" s="278">
        <f>SUMIFS('Actual - 2026'!$X:$X,'Actual - 2026'!$C:$C,'MILA 3F - Avg Ck'!B16)</f>
        <v>856</v>
      </c>
      <c r="E38" s="290">
        <f t="shared" si="7"/>
        <v>206.5625</v>
      </c>
      <c r="F38" s="260">
        <f t="shared" si="8"/>
        <v>229.28834072022161</v>
      </c>
      <c r="G38" s="200">
        <f t="shared" si="9"/>
        <v>0.11001919864555092</v>
      </c>
      <c r="H38">
        <f>SUMIFS('Budget - 2026'!$AS:$AS,'Budget - 2026'!$D:$D,'MILA 3F - Avg Ck'!B38)</f>
        <v>224181.06</v>
      </c>
      <c r="I38" s="278">
        <f>SUMIFS('Budget - 2026'!$AT:$AT,'Budget - 2026'!$D:$D,'MILA 3F - Avg Ck'!B38)</f>
        <v>864</v>
      </c>
      <c r="J38" s="260">
        <f t="shared" si="10"/>
        <v>259.46881944444442</v>
      </c>
      <c r="L38" s="291" t="e">
        <f>SUMIFS(#REF!,#REF!,'MILA 3F - Avg Ck'!B38)</f>
        <v>#REF!</v>
      </c>
      <c r="M38" s="260" t="e">
        <f>SUMIFS(#REF!,#REF!,'MILA 3F - Avg Ck'!B38)</f>
        <v>#REF!</v>
      </c>
      <c r="N38" s="260" t="e">
        <f>SUMIFS(#REF!,#REF!,'MILA 3F - Avg Ck'!B38)</f>
        <v>#REF!</v>
      </c>
      <c r="O38" s="263" t="e">
        <f>SUMIFS(#REF!,#REF!,'MILA 3F - Avg Ck'!B38)</f>
        <v>#REF!</v>
      </c>
      <c r="P38" s="263" t="e">
        <f>SUMIFS(#REF!,#REF!,'MILA 3F - Avg Ck'!B38)</f>
        <v>#REF!</v>
      </c>
      <c r="Q38" s="263" t="e">
        <f>SUMIFS(#REF!,#REF!,'MILA 3F - Avg Ck'!B38)</f>
        <v>#REF!</v>
      </c>
      <c r="R38" s="263"/>
      <c r="S38" s="264"/>
      <c r="T38" s="263"/>
    </row>
    <row r="39" spans="2:20">
      <c r="B39" s="269">
        <f t="shared" si="6"/>
        <v>33</v>
      </c>
      <c r="C39">
        <f>SUMIFS('Actual - 2026'!$W:$W,'Actual - 2026'!$C:$C,'MILA 3F - Avg Ck'!B17)</f>
        <v>133033</v>
      </c>
      <c r="D39" s="278">
        <f>SUMIFS('Actual - 2026'!$X:$X,'Actual - 2026'!$C:$C,'MILA 3F - Avg Ck'!B17)</f>
        <v>816</v>
      </c>
      <c r="E39" s="290">
        <f t="shared" si="7"/>
        <v>163.03063725490196</v>
      </c>
      <c r="F39" s="260">
        <f t="shared" si="8"/>
        <v>212.53151285046729</v>
      </c>
      <c r="G39" s="200">
        <f t="shared" si="9"/>
        <v>0.30362928360618274</v>
      </c>
      <c r="H39">
        <f>SUMIFS('Budget - 2026'!$AS:$AS,'Budget - 2026'!$D:$D,'MILA 3F - Avg Ck'!B39)</f>
        <v>287119.06</v>
      </c>
      <c r="I39" s="278">
        <f>SUMIFS('Budget - 2026'!$AT:$AT,'Budget - 2026'!$D:$D,'MILA 3F - Avg Ck'!B39)</f>
        <v>1029</v>
      </c>
      <c r="J39" s="260">
        <f t="shared" si="10"/>
        <v>279.02726919339165</v>
      </c>
      <c r="L39" s="291" t="e">
        <f>SUMIFS(#REF!,#REF!,'MILA 3F - Avg Ck'!B39)</f>
        <v>#REF!</v>
      </c>
      <c r="M39" s="260" t="e">
        <f>SUMIFS(#REF!,#REF!,'MILA 3F - Avg Ck'!B39)</f>
        <v>#REF!</v>
      </c>
      <c r="N39" s="260" t="e">
        <f>SUMIFS(#REF!,#REF!,'MILA 3F - Avg Ck'!B39)</f>
        <v>#REF!</v>
      </c>
      <c r="O39" s="263" t="e">
        <f>SUMIFS(#REF!,#REF!,'MILA 3F - Avg Ck'!B39)</f>
        <v>#REF!</v>
      </c>
      <c r="P39" s="263" t="e">
        <f>SUMIFS(#REF!,#REF!,'MILA 3F - Avg Ck'!B39)</f>
        <v>#REF!</v>
      </c>
      <c r="Q39" s="263" t="e">
        <f>SUMIFS(#REF!,#REF!,'MILA 3F - Avg Ck'!B39)</f>
        <v>#REF!</v>
      </c>
      <c r="R39" s="263"/>
      <c r="S39" s="265"/>
      <c r="T39" s="263"/>
    </row>
    <row r="40" spans="2:20">
      <c r="B40" s="269">
        <f t="shared" si="6"/>
        <v>34</v>
      </c>
      <c r="C40">
        <f>SUMIFS('Actual - 2026'!$W:$W,'Actual - 2026'!$C:$C,'MILA 3F - Avg Ck'!B18)</f>
        <v>191603</v>
      </c>
      <c r="D40" s="278">
        <f>SUMIFS('Actual - 2026'!$X:$X,'Actual - 2026'!$C:$C,'MILA 3F - Avg Ck'!B18)</f>
        <v>0</v>
      </c>
      <c r="E40" s="290">
        <f t="shared" si="7"/>
        <v>0</v>
      </c>
      <c r="F40" s="260">
        <f t="shared" si="8"/>
        <v>276.53683995088005</v>
      </c>
      <c r="G40" s="200" t="e">
        <f t="shared" si="9"/>
        <v>#DIV/0!</v>
      </c>
      <c r="H40">
        <f>SUMIFS('Budget - 2026'!$AS:$AS,'Budget - 2026'!$D:$D,'MILA 3F - Avg Ck'!B40)</f>
        <v>225616.5</v>
      </c>
      <c r="I40" s="278">
        <f>SUMIFS('Budget - 2026'!$AT:$AT,'Budget - 2026'!$D:$D,'MILA 3F - Avg Ck'!B40)</f>
        <v>953</v>
      </c>
      <c r="J40" s="260">
        <f t="shared" si="10"/>
        <v>236.74344176285413</v>
      </c>
      <c r="L40" s="291" t="e">
        <f>SUMIFS(#REF!,#REF!,'MILA 3F - Avg Ck'!B40)</f>
        <v>#REF!</v>
      </c>
      <c r="M40" s="260" t="e">
        <f>SUMIFS(#REF!,#REF!,'MILA 3F - Avg Ck'!B40)</f>
        <v>#REF!</v>
      </c>
      <c r="N40" s="260" t="e">
        <f>SUMIFS(#REF!,#REF!,'MILA 3F - Avg Ck'!B40)</f>
        <v>#REF!</v>
      </c>
      <c r="O40" s="263" t="e">
        <f>SUMIFS(#REF!,#REF!,'MILA 3F - Avg Ck'!B40)</f>
        <v>#REF!</v>
      </c>
      <c r="P40" s="263" t="e">
        <f>SUMIFS(#REF!,#REF!,'MILA 3F - Avg Ck'!B40)</f>
        <v>#REF!</v>
      </c>
      <c r="Q40" s="263" t="e">
        <f>SUMIFS(#REF!,#REF!,'MILA 3F - Avg Ck'!B40)</f>
        <v>#REF!</v>
      </c>
      <c r="R40" s="263"/>
      <c r="S40" s="264"/>
      <c r="T40" s="263"/>
    </row>
    <row r="41" spans="2:20">
      <c r="B41" s="269">
        <f t="shared" si="6"/>
        <v>35</v>
      </c>
      <c r="C41">
        <f>SUMIFS('Actual - 2026'!$W:$W,'Actual - 2026'!$C:$C,'MILA 3F - Avg Ck'!B19)</f>
        <v>0</v>
      </c>
      <c r="D41" s="278">
        <f>SUMIFS('Actual - 2026'!$X:$X,'Actual - 2026'!$C:$C,'MILA 3F - Avg Ck'!B19)</f>
        <v>0</v>
      </c>
      <c r="E41" s="290">
        <f t="shared" si="7"/>
        <v>0</v>
      </c>
      <c r="F41" s="260">
        <f t="shared" si="8"/>
        <v>299.9123803827751</v>
      </c>
      <c r="G41" s="200" t="e">
        <f t="shared" si="9"/>
        <v>#DIV/0!</v>
      </c>
      <c r="H41">
        <f>SUMIFS('Budget - 2026'!$AS:$AS,'Budget - 2026'!$D:$D,'MILA 3F - Avg Ck'!B41)</f>
        <v>271633.64</v>
      </c>
      <c r="I41" s="278">
        <f>SUMIFS('Budget - 2026'!$AT:$AT,'Budget - 2026'!$D:$D,'MILA 3F - Avg Ck'!B41)</f>
        <v>1211</v>
      </c>
      <c r="J41" s="260">
        <f t="shared" si="10"/>
        <v>224.30523534269201</v>
      </c>
      <c r="L41" s="291" t="e">
        <f>SUMIFS(#REF!,#REF!,'MILA 3F - Avg Ck'!B41)</f>
        <v>#REF!</v>
      </c>
      <c r="M41" s="260" t="e">
        <f>SUMIFS(#REF!,#REF!,'MILA 3F - Avg Ck'!B41)</f>
        <v>#REF!</v>
      </c>
      <c r="N41" s="260" t="e">
        <f>SUMIFS(#REF!,#REF!,'MILA 3F - Avg Ck'!B41)</f>
        <v>#REF!</v>
      </c>
      <c r="O41" s="263" t="e">
        <f>SUMIFS(#REF!,#REF!,'MILA 3F - Avg Ck'!B41)</f>
        <v>#REF!</v>
      </c>
      <c r="P41" s="263" t="e">
        <f>SUMIFS(#REF!,#REF!,'MILA 3F - Avg Ck'!B41)</f>
        <v>#REF!</v>
      </c>
      <c r="Q41" s="263" t="e">
        <f>SUMIFS(#REF!,#REF!,'MILA 3F - Avg Ck'!B41)</f>
        <v>#REF!</v>
      </c>
      <c r="R41" s="263"/>
      <c r="S41" s="265"/>
      <c r="T41" s="263"/>
    </row>
    <row r="42" spans="2:20">
      <c r="B42" s="269">
        <f t="shared" si="6"/>
        <v>36</v>
      </c>
      <c r="C42">
        <f>SUMIFS('Actual - 2026'!$W:$W,'Actual - 2026'!$C:$C,'MILA 3F - Avg Ck'!B20)</f>
        <v>0</v>
      </c>
      <c r="D42" s="278">
        <f>SUMIFS('Actual - 2026'!$X:$X,'Actual - 2026'!$C:$C,'MILA 3F - Avg Ck'!B20)</f>
        <v>0</v>
      </c>
      <c r="E42" s="290">
        <f t="shared" si="7"/>
        <v>0</v>
      </c>
      <c r="F42" s="260">
        <f t="shared" si="8"/>
        <v>397.83823529411762</v>
      </c>
      <c r="G42" s="200" t="e">
        <f t="shared" si="9"/>
        <v>#DIV/0!</v>
      </c>
      <c r="H42">
        <f>SUMIFS('Budget - 2026'!$AS:$AS,'Budget - 2026'!$D:$D,'MILA 3F - Avg Ck'!B42)</f>
        <v>193364.36</v>
      </c>
      <c r="I42" s="278">
        <f>SUMIFS('Budget - 2026'!$AT:$AT,'Budget - 2026'!$D:$D,'MILA 3F - Avg Ck'!B42)</f>
        <v>796</v>
      </c>
      <c r="J42" s="260">
        <f t="shared" si="10"/>
        <v>242.92005025125627</v>
      </c>
      <c r="L42" s="291" t="e">
        <f>SUMIFS(#REF!,#REF!,'MILA 3F - Avg Ck'!B42)</f>
        <v>#REF!</v>
      </c>
      <c r="M42" s="260" t="e">
        <f>SUMIFS(#REF!,#REF!,'MILA 3F - Avg Ck'!B42)</f>
        <v>#REF!</v>
      </c>
      <c r="N42" s="260" t="e">
        <f>SUMIFS(#REF!,#REF!,'MILA 3F - Avg Ck'!B42)</f>
        <v>#REF!</v>
      </c>
      <c r="O42" s="263" t="e">
        <f>SUMIFS(#REF!,#REF!,'MILA 3F - Avg Ck'!B42)</f>
        <v>#REF!</v>
      </c>
      <c r="P42" s="263" t="e">
        <f>SUMIFS(#REF!,#REF!,'MILA 3F - Avg Ck'!B42)</f>
        <v>#REF!</v>
      </c>
      <c r="Q42" s="263" t="e">
        <f>SUMIFS(#REF!,#REF!,'MILA 3F - Avg Ck'!B42)</f>
        <v>#REF!</v>
      </c>
      <c r="R42" s="263"/>
      <c r="S42" s="264"/>
      <c r="T42" s="263"/>
    </row>
    <row r="43" spans="2:20">
      <c r="B43" s="269">
        <f t="shared" si="6"/>
        <v>37</v>
      </c>
      <c r="C43">
        <f>SUMIFS('Actual - 2026'!$W:$W,'Actual - 2026'!$C:$C,'MILA 3F - Avg Ck'!B21)</f>
        <v>0</v>
      </c>
      <c r="D43" s="278">
        <f>SUMIFS('Actual - 2026'!$X:$X,'Actual - 2026'!$C:$C,'MILA 3F - Avg Ck'!B21)</f>
        <v>0</v>
      </c>
      <c r="E43" s="290">
        <f t="shared" si="7"/>
        <v>0</v>
      </c>
      <c r="F43" s="260" t="e">
        <f t="shared" si="8"/>
        <v>#DIV/0!</v>
      </c>
      <c r="G43" s="200" t="e">
        <f t="shared" si="9"/>
        <v>#DIV/0!</v>
      </c>
      <c r="H43">
        <f>SUMIFS('Budget - 2026'!$AS:$AS,'Budget - 2026'!$D:$D,'MILA 3F - Avg Ck'!B43)</f>
        <v>272955.15000000002</v>
      </c>
      <c r="I43" s="278">
        <f>SUMIFS('Budget - 2026'!$AT:$AT,'Budget - 2026'!$D:$D,'MILA 3F - Avg Ck'!B43)</f>
        <v>1038</v>
      </c>
      <c r="J43" s="260">
        <f t="shared" si="10"/>
        <v>262.96257225433527</v>
      </c>
      <c r="L43" s="291" t="e">
        <f>SUMIFS(#REF!,#REF!,'MILA 3F - Avg Ck'!B43)</f>
        <v>#REF!</v>
      </c>
      <c r="M43" s="260" t="e">
        <f>SUMIFS(#REF!,#REF!,'MILA 3F - Avg Ck'!B43)</f>
        <v>#REF!</v>
      </c>
      <c r="N43" s="260" t="e">
        <f>SUMIFS(#REF!,#REF!,'MILA 3F - Avg Ck'!B43)</f>
        <v>#REF!</v>
      </c>
      <c r="O43" s="263" t="e">
        <f>SUMIFS(#REF!,#REF!,'MILA 3F - Avg Ck'!B43)</f>
        <v>#REF!</v>
      </c>
      <c r="P43" s="263" t="e">
        <f>SUMIFS(#REF!,#REF!,'MILA 3F - Avg Ck'!B43)</f>
        <v>#REF!</v>
      </c>
      <c r="Q43" s="263" t="e">
        <f>SUMIFS(#REF!,#REF!,'MILA 3F - Avg Ck'!B43)</f>
        <v>#REF!</v>
      </c>
      <c r="R43" s="263"/>
      <c r="S43" s="264"/>
      <c r="T43" s="263"/>
    </row>
    <row r="44" spans="2:20">
      <c r="B44" s="269">
        <f t="shared" si="6"/>
        <v>38</v>
      </c>
      <c r="C44">
        <f>SUMIFS('Actual - 2026'!$W:$W,'Actual - 2026'!$C:$C,'MILA 3F - Avg Ck'!B22)</f>
        <v>0</v>
      </c>
      <c r="D44" s="278">
        <f>SUMIFS('Actual - 2026'!$X:$X,'Actual - 2026'!$C:$C,'MILA 3F - Avg Ck'!B22)</f>
        <v>0</v>
      </c>
      <c r="E44" s="290">
        <f t="shared" si="7"/>
        <v>0</v>
      </c>
      <c r="F44" s="260" t="e">
        <f t="shared" si="8"/>
        <v>#DIV/0!</v>
      </c>
      <c r="G44" s="200" t="e">
        <f t="shared" si="9"/>
        <v>#DIV/0!</v>
      </c>
      <c r="H44">
        <f>SUMIFS('Budget - 2026'!$AS:$AS,'Budget - 2026'!$D:$D,'MILA 3F - Avg Ck'!B44)</f>
        <v>243839.53999999995</v>
      </c>
      <c r="I44" s="278">
        <f>SUMIFS('Budget - 2026'!$AT:$AT,'Budget - 2026'!$D:$D,'MILA 3F - Avg Ck'!B44)</f>
        <v>948</v>
      </c>
      <c r="J44" s="260">
        <f t="shared" si="10"/>
        <v>257.21470464135018</v>
      </c>
      <c r="L44" s="291" t="e">
        <f>SUMIFS(#REF!,#REF!,'MILA 3F - Avg Ck'!B44)</f>
        <v>#REF!</v>
      </c>
      <c r="M44" s="260" t="e">
        <f>SUMIFS(#REF!,#REF!,'MILA 3F - Avg Ck'!B44)</f>
        <v>#REF!</v>
      </c>
      <c r="N44" s="260" t="e">
        <f>SUMIFS(#REF!,#REF!,'MILA 3F - Avg Ck'!B44)</f>
        <v>#REF!</v>
      </c>
      <c r="O44" s="263" t="e">
        <f>SUMIFS(#REF!,#REF!,'MILA 3F - Avg Ck'!B44)</f>
        <v>#REF!</v>
      </c>
      <c r="P44" s="263" t="e">
        <f>SUMIFS(#REF!,#REF!,'MILA 3F - Avg Ck'!B44)</f>
        <v>#REF!</v>
      </c>
      <c r="Q44" s="263" t="e">
        <f>SUMIFS(#REF!,#REF!,'MILA 3F - Avg Ck'!B44)</f>
        <v>#REF!</v>
      </c>
      <c r="R44" s="263"/>
      <c r="S44" s="264"/>
      <c r="T44" s="263"/>
    </row>
    <row r="45" spans="2:20">
      <c r="B45" s="269">
        <f t="shared" si="6"/>
        <v>39</v>
      </c>
      <c r="C45">
        <f>SUMIFS('Actual - 2026'!$W:$W,'Actual - 2026'!$C:$C,'MILA 3F - Avg Ck'!B23)</f>
        <v>0</v>
      </c>
      <c r="D45" s="278">
        <f>SUMIFS('Actual - 2026'!$X:$X,'Actual - 2026'!$C:$C,'MILA 3F - Avg Ck'!B23)</f>
        <v>0</v>
      </c>
      <c r="E45" s="290">
        <f t="shared" si="7"/>
        <v>0</v>
      </c>
      <c r="F45" s="260" t="e">
        <f t="shared" si="8"/>
        <v>#DIV/0!</v>
      </c>
      <c r="G45" s="200" t="e">
        <f t="shared" si="9"/>
        <v>#DIV/0!</v>
      </c>
      <c r="H45">
        <f>SUMIFS('Budget - 2026'!$AS:$AS,'Budget - 2026'!$D:$D,'MILA 3F - Avg Ck'!B45)</f>
        <v>283447.82999999996</v>
      </c>
      <c r="I45" s="278">
        <f>SUMIFS('Budget - 2026'!$AT:$AT,'Budget - 2026'!$D:$D,'MILA 3F - Avg Ck'!B45)</f>
        <v>1039</v>
      </c>
      <c r="J45" s="260">
        <f t="shared" si="10"/>
        <v>272.80830606352259</v>
      </c>
      <c r="L45" s="291" t="e">
        <f>SUMIFS(#REF!,#REF!,'MILA 3F - Avg Ck'!B45)</f>
        <v>#REF!</v>
      </c>
      <c r="M45" s="260" t="e">
        <f>SUMIFS(#REF!,#REF!,'MILA 3F - Avg Ck'!B45)</f>
        <v>#REF!</v>
      </c>
      <c r="N45" s="260" t="e">
        <f>SUMIFS(#REF!,#REF!,'MILA 3F - Avg Ck'!B45)</f>
        <v>#REF!</v>
      </c>
      <c r="O45" s="263" t="e">
        <f>SUMIFS(#REF!,#REF!,'MILA 3F - Avg Ck'!B45)</f>
        <v>#REF!</v>
      </c>
      <c r="P45" s="263" t="e">
        <f>SUMIFS(#REF!,#REF!,'MILA 3F - Avg Ck'!B45)</f>
        <v>#REF!</v>
      </c>
      <c r="Q45" s="263" t="e">
        <f>SUMIFS(#REF!,#REF!,'MILA 3F - Avg Ck'!B45)</f>
        <v>#REF!</v>
      </c>
      <c r="R45" s="263"/>
      <c r="S45" s="264"/>
      <c r="T45" s="263"/>
    </row>
    <row r="46" spans="2:20">
      <c r="B46" s="269">
        <f t="shared" si="6"/>
        <v>40</v>
      </c>
      <c r="C46">
        <f>SUMIFS('Actual - 2026'!$W:$W,'Actual - 2026'!$C:$C,'MILA 3F - Avg Ck'!B24)</f>
        <v>0</v>
      </c>
      <c r="D46" s="278">
        <f>SUMIFS('Actual - 2026'!$X:$X,'Actual - 2026'!$C:$C,'MILA 3F - Avg Ck'!B24)</f>
        <v>0</v>
      </c>
      <c r="E46" s="290">
        <f t="shared" si="7"/>
        <v>0</v>
      </c>
      <c r="F46" s="260" t="e">
        <f t="shared" si="8"/>
        <v>#DIV/0!</v>
      </c>
      <c r="G46" s="200" t="e">
        <f t="shared" si="9"/>
        <v>#DIV/0!</v>
      </c>
      <c r="H46">
        <f>SUMIFS('Budget - 2026'!$AS:$AS,'Budget - 2026'!$D:$D,'MILA 3F - Avg Ck'!B46)</f>
        <v>269766.25</v>
      </c>
      <c r="I46" s="278">
        <f>SUMIFS('Budget - 2026'!$AT:$AT,'Budget - 2026'!$D:$D,'MILA 3F - Avg Ck'!B46)</f>
        <v>1084</v>
      </c>
      <c r="J46" s="260">
        <f t="shared" si="10"/>
        <v>248.86185424354244</v>
      </c>
      <c r="L46" s="291" t="e">
        <f>SUMIFS(#REF!,#REF!,'MILA 3F - Avg Ck'!B46)</f>
        <v>#REF!</v>
      </c>
      <c r="M46" s="260" t="e">
        <f>SUMIFS(#REF!,#REF!,'MILA 3F - Avg Ck'!B46)</f>
        <v>#REF!</v>
      </c>
      <c r="N46" s="260" t="e">
        <f>SUMIFS(#REF!,#REF!,'MILA 3F - Avg Ck'!B46)</f>
        <v>#REF!</v>
      </c>
      <c r="O46" s="263" t="e">
        <f>SUMIFS(#REF!,#REF!,'MILA 3F - Avg Ck'!B46)</f>
        <v>#REF!</v>
      </c>
      <c r="P46" s="263" t="e">
        <f>SUMIFS(#REF!,#REF!,'MILA 3F - Avg Ck'!B46)</f>
        <v>#REF!</v>
      </c>
      <c r="Q46" s="263" t="e">
        <f>SUMIFS(#REF!,#REF!,'MILA 3F - Avg Ck'!B46)</f>
        <v>#REF!</v>
      </c>
    </row>
    <row r="47" spans="2:20">
      <c r="B47" s="269">
        <f t="shared" si="6"/>
        <v>41</v>
      </c>
      <c r="C47">
        <f>SUMIFS('Actual - 2026'!$W:$W,'Actual - 2026'!$C:$C,'MILA 3F - Avg Ck'!B25)</f>
        <v>0</v>
      </c>
      <c r="D47" s="278">
        <f>SUMIFS('Actual - 2026'!$X:$X,'Actual - 2026'!$C:$C,'MILA 3F - Avg Ck'!B25)</f>
        <v>0</v>
      </c>
      <c r="E47" s="290">
        <f t="shared" si="7"/>
        <v>0</v>
      </c>
      <c r="F47" s="260" t="e">
        <f t="shared" si="8"/>
        <v>#DIV/0!</v>
      </c>
      <c r="G47" s="200" t="e">
        <f t="shared" si="9"/>
        <v>#DIV/0!</v>
      </c>
      <c r="H47">
        <f>SUMIFS('Budget - 2026'!$AS:$AS,'Budget - 2026'!$D:$D,'MILA 3F - Avg Ck'!B47)</f>
        <v>304498.25</v>
      </c>
      <c r="I47" s="278">
        <f>SUMIFS('Budget - 2026'!$AT:$AT,'Budget - 2026'!$D:$D,'MILA 3F - Avg Ck'!B47)</f>
        <v>1129</v>
      </c>
      <c r="J47" s="260">
        <f t="shared" si="10"/>
        <v>269.7061558901683</v>
      </c>
      <c r="L47" s="291" t="e">
        <f>SUMIFS(#REF!,#REF!,'MILA 3F - Avg Ck'!B47)</f>
        <v>#REF!</v>
      </c>
      <c r="M47" s="260" t="e">
        <f>SUMIFS(#REF!,#REF!,'MILA 3F - Avg Ck'!B47)</f>
        <v>#REF!</v>
      </c>
      <c r="N47" s="260" t="e">
        <f>SUMIFS(#REF!,#REF!,'MILA 3F - Avg Ck'!B47)</f>
        <v>#REF!</v>
      </c>
      <c r="O47" s="263" t="e">
        <f>SUMIFS(#REF!,#REF!,'MILA 3F - Avg Ck'!B47)</f>
        <v>#REF!</v>
      </c>
      <c r="P47" s="263" t="e">
        <f>SUMIFS(#REF!,#REF!,'MILA 3F - Avg Ck'!B47)</f>
        <v>#REF!</v>
      </c>
      <c r="Q47" s="263" t="e">
        <f>SUMIFS(#REF!,#REF!,'MILA 3F - Avg Ck'!B47)</f>
        <v>#REF!</v>
      </c>
    </row>
    <row r="48" spans="2:20">
      <c r="B48" s="269"/>
    </row>
  </sheetData>
  <mergeCells count="12">
    <mergeCell ref="B3:J3"/>
    <mergeCell ref="L3:W3"/>
    <mergeCell ref="B5:J5"/>
    <mergeCell ref="L8:N8"/>
    <mergeCell ref="O8:Q8"/>
    <mergeCell ref="R8:T8"/>
    <mergeCell ref="U8:W8"/>
    <mergeCell ref="B27:J27"/>
    <mergeCell ref="L30:N30"/>
    <mergeCell ref="O30:Q30"/>
    <mergeCell ref="R30:T30"/>
    <mergeCell ref="U30:W30"/>
  </mergeCells>
  <conditionalFormatting sqref="G9:G25">
    <cfRule type="cellIs" dxfId="247" priority="9" operator="lessThan">
      <formula>-0.05</formula>
    </cfRule>
  </conditionalFormatting>
  <conditionalFormatting sqref="G13:G25">
    <cfRule type="iconSet" priority="10">
      <iconSet iconSet="3Arrows">
        <cfvo type="percent" val="0"/>
        <cfvo type="num" val="0.01"/>
        <cfvo type="num" val="0.01"/>
      </iconSet>
    </cfRule>
  </conditionalFormatting>
  <conditionalFormatting sqref="G31:G47">
    <cfRule type="cellIs" dxfId="246" priority="7" operator="lessThan">
      <formula>-0.05</formula>
    </cfRule>
  </conditionalFormatting>
  <conditionalFormatting sqref="G35:G47">
    <cfRule type="iconSet" priority="8">
      <iconSet iconSet="3Arrows">
        <cfvo type="percent" val="0"/>
        <cfvo type="num" val="0.01"/>
        <cfvo type="num" val="0.01"/>
      </iconSet>
    </cfRule>
  </conditionalFormatting>
  <pageMargins left="0.7" right="0.7" top="0.75" bottom="0.75" header="0.3" footer="0.3"/>
  <pageSetup scale="4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53A8-A247-4E97-A140-D93CF839C6E3}">
  <sheetPr>
    <tabColor theme="2" tint="-9.9978637043366805E-2"/>
    <pageSetUpPr fitToPage="1"/>
  </sheetPr>
  <dimension ref="B1:AB44"/>
  <sheetViews>
    <sheetView zoomScale="70" zoomScaleNormal="70" workbookViewId="0">
      <selection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 outlineLevel="1"/>
    <col min="9" max="9" width="1.5703125" style="5" customWidth="1"/>
    <col min="10" max="12" width="14.5703125" style="5" customWidth="1" outlineLevel="1"/>
    <col min="13" max="13" width="1.5703125" style="5" customWidth="1" outlineLevel="1"/>
    <col min="14" max="14" width="17.42578125" style="5" customWidth="1"/>
    <col min="15" max="15" width="15.7109375" style="5" customWidth="1"/>
    <col min="16" max="16" width="15.42578125" style="5" customWidth="1"/>
    <col min="17" max="17" width="16.28515625" style="5" bestFit="1" customWidth="1"/>
    <col min="18" max="18" width="10.7109375" style="5"/>
    <col min="19" max="19" width="13.28515625" style="5" bestFit="1" customWidth="1"/>
    <col min="20" max="27" width="10.7109375" style="5"/>
    <col min="28" max="28" width="14.28515625" style="5" bestFit="1" customWidth="1"/>
    <col min="29" max="16384" width="10.7109375" style="5"/>
  </cols>
  <sheetData>
    <row r="1" spans="3:21" ht="18.75">
      <c r="D1" s="118" t="str">
        <f>'RDG Weekly Sales'!D1</f>
        <v>Week 34</v>
      </c>
      <c r="F1" s="5">
        <f>VLOOKUP(D1,Dates!$B$2:$E$53,4,FALSE)</f>
        <v>34</v>
      </c>
      <c r="G1" s="5" t="b">
        <v>1</v>
      </c>
    </row>
    <row r="2" spans="3:21" ht="28.5">
      <c r="D2" s="399" t="str">
        <f>CONCATENATE("MILA 3F",)</f>
        <v>MILA 3F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</row>
    <row r="3" spans="3:21">
      <c r="F3" s="91"/>
    </row>
    <row r="4" spans="3:21" ht="23.25">
      <c r="C4" s="121" t="e">
        <f>VLOOKUP($D$4,#REF!,2,FALSE)</f>
        <v>#REF!</v>
      </c>
      <c r="D4" s="118" t="str">
        <f>VLOOKUP(D1,'Actual - 2026'!$A$5:$B$56,2,FALSE)</f>
        <v>P8</v>
      </c>
      <c r="F4" s="406" t="str">
        <f>D1</f>
        <v>Week 34</v>
      </c>
      <c r="G4" s="406"/>
      <c r="H4" s="406"/>
      <c r="J4" s="406" t="str">
        <f>CONCATENATE("MTD"," ","-"," ",D4)</f>
        <v>MTD - P8</v>
      </c>
      <c r="K4" s="406"/>
      <c r="L4" s="406"/>
      <c r="M4" s="71"/>
      <c r="N4" s="406" t="s">
        <v>7</v>
      </c>
      <c r="O4" s="406"/>
      <c r="P4" s="406"/>
    </row>
    <row r="5" spans="3:21">
      <c r="F5" s="91"/>
    </row>
    <row r="6" spans="3:21" ht="27" customHeight="1">
      <c r="F6" s="142" t="s">
        <v>77</v>
      </c>
      <c r="G6" s="142" t="s">
        <v>81</v>
      </c>
      <c r="H6" s="160" t="s">
        <v>237</v>
      </c>
      <c r="J6" s="142" t="s">
        <v>77</v>
      </c>
      <c r="K6" s="142" t="s">
        <v>81</v>
      </c>
      <c r="L6" s="160" t="s">
        <v>237</v>
      </c>
      <c r="M6" s="141"/>
      <c r="N6" s="142" t="s">
        <v>77</v>
      </c>
      <c r="O6" s="142" t="s">
        <v>81</v>
      </c>
      <c r="P6" s="160" t="s">
        <v>237</v>
      </c>
    </row>
    <row r="7" spans="3:21" s="108" customFormat="1" ht="28.9" customHeight="1">
      <c r="D7" s="193" t="s">
        <v>204</v>
      </c>
      <c r="E7" s="194"/>
      <c r="F7" s="195">
        <f>SUMIFS('Actual - 2026'!E:E,'Actual - 2026'!A:A,D1)</f>
        <v>507489.99999999994</v>
      </c>
      <c r="G7" s="196">
        <f>SUMIFS('Actual - 2026'!F:F,'Actual - 2026'!A:A,D1)</f>
        <v>3781</v>
      </c>
      <c r="H7" s="197">
        <f>F7/G7</f>
        <v>134.22110552763817</v>
      </c>
      <c r="I7" s="194"/>
      <c r="J7" s="195">
        <f>SUMIFS('Actual - 2026'!E:E,'Actual - 2026'!B:B,D4)</f>
        <v>1950000.6</v>
      </c>
      <c r="K7" s="196">
        <f>SUMIFS('Actual - 2026'!F:F,'Actual - 2026'!B:B,D4)</f>
        <v>14245</v>
      </c>
      <c r="L7" s="197">
        <f>J7/K7</f>
        <v>136.89017901017903</v>
      </c>
      <c r="M7" s="194"/>
      <c r="N7" s="195">
        <f>SUMIFS('Actual - 2026'!E:E,'Actual - 2026'!D:D,G1)</f>
        <v>23637616.780000001</v>
      </c>
      <c r="O7" s="196">
        <f>SUMIFS('Actual - 2026'!F:F,'Actual - 2026'!D:D,G1)</f>
        <v>140949</v>
      </c>
      <c r="P7" s="197">
        <f>N7/O7</f>
        <v>167.70333085016568</v>
      </c>
    </row>
    <row r="8" spans="3:21" ht="28.9" customHeight="1">
      <c r="D8" s="202" t="s">
        <v>78</v>
      </c>
      <c r="E8" s="203"/>
      <c r="F8" s="204">
        <f>SUMIFS('Budget - 2026'!F:F,'Budget - 2026'!B:B,D1)</f>
        <v>445927</v>
      </c>
      <c r="G8" s="205">
        <f>SUMIFS('Budget - 2026'!G:G,'Budget - 2026'!B:B,D1,'Budget - 2026'!$E:$E,G1)</f>
        <v>3171</v>
      </c>
      <c r="H8" s="206">
        <f>F8/G8</f>
        <v>140.62661620939767</v>
      </c>
      <c r="I8" s="194"/>
      <c r="J8" s="204">
        <f>SUMIFS('Budget - 2026'!F:F,'Budget - 2026'!C:C,D4,'Budget - 2026'!$E:$E,G1)</f>
        <v>1814537</v>
      </c>
      <c r="K8" s="205">
        <f>SUMIFS('Budget - 2026'!G:G,'Budget - 2026'!C:C,D4,'Budget - 2026'!$E:$E,G1)</f>
        <v>12915</v>
      </c>
      <c r="L8" s="206">
        <f>J8/K8</f>
        <v>140.49841269841269</v>
      </c>
      <c r="M8" s="194"/>
      <c r="N8" s="204">
        <f>SUMIFS('Budget - 2026'!F:F,'Budget - 2026'!E:E,G1)</f>
        <v>22209566</v>
      </c>
      <c r="O8" s="205">
        <f>SUMIFS('Budget - 2026'!G:G,'Budget - 2026'!E:E,G1)</f>
        <v>137580</v>
      </c>
      <c r="P8" s="206">
        <f>N8/O8</f>
        <v>161.43019334205553</v>
      </c>
    </row>
    <row r="9" spans="3:21" s="54" customFormat="1" ht="28.9" customHeight="1">
      <c r="D9" s="207" t="s">
        <v>105</v>
      </c>
      <c r="E9" s="203"/>
      <c r="F9" s="179">
        <f>(F7-F8)/F8</f>
        <v>0.13805622893433217</v>
      </c>
      <c r="G9" s="179">
        <f>(G7-G8)/G8</f>
        <v>0.19236833806370229</v>
      </c>
      <c r="H9" s="179">
        <f>(H7-H8)/H8</f>
        <v>-4.5549774675808723E-2</v>
      </c>
      <c r="I9" s="194"/>
      <c r="J9" s="179">
        <f>(J7-J8)/J8</f>
        <v>7.4654636416893169E-2</v>
      </c>
      <c r="K9" s="179">
        <f>(K7-K8)/K8</f>
        <v>0.10298102981029811</v>
      </c>
      <c r="L9" s="179">
        <f>(L7-L8)/L8</f>
        <v>-2.5681668703111494E-2</v>
      </c>
      <c r="M9" s="107"/>
      <c r="N9" s="179">
        <f>(N7-N8)/N8</f>
        <v>6.4298905255510228E-2</v>
      </c>
      <c r="O9" s="179">
        <f>(O7-O8)/O8</f>
        <v>2.4487570867858702E-2</v>
      </c>
      <c r="P9" s="179">
        <f>(P7-P8)/P8</f>
        <v>3.8859753421827105E-2</v>
      </c>
      <c r="Q9" s="187">
        <f>L8*K8</f>
        <v>1814537</v>
      </c>
      <c r="U9" s="187">
        <f>SUM(T8:U8)</f>
        <v>0</v>
      </c>
    </row>
    <row r="10" spans="3:21" ht="28.9" customHeight="1">
      <c r="D10" s="198">
        <v>2025</v>
      </c>
      <c r="E10" s="194"/>
      <c r="F10" s="195">
        <f>SUMIFS('Budget - 2026'!I:I,'Budget - 2026'!B:B,D1)</f>
        <v>434064.04</v>
      </c>
      <c r="G10" s="196">
        <f>SUMIFS('Budget - 2026'!J:J,'Budget - 2026'!B:B,D1,'Budget - 2026'!$E:$E,G1)</f>
        <v>3180</v>
      </c>
      <c r="H10" s="197">
        <f>F10/G10</f>
        <v>136.49812578616351</v>
      </c>
      <c r="I10" s="194"/>
      <c r="J10" s="195">
        <f>SUMIFS('Budget - 2026'!I:I,'Budget - 2026'!C:C,D4,'Budget - 2026'!$E:$E,G1)</f>
        <v>1818536.36</v>
      </c>
      <c r="K10" s="196">
        <f>SUMIFS('Budget - 2026'!J:J,'Budget - 2026'!C:C,D4,'Budget - 2026'!$E:$E,G1)</f>
        <v>13000</v>
      </c>
      <c r="L10" s="197">
        <f>J10/K10</f>
        <v>139.88741230769233</v>
      </c>
      <c r="M10" s="194"/>
      <c r="N10" s="195">
        <f>SUMIFS('Budget - 2026'!I:I,'Budget - 2026'!E:E,'RDG Weekly Sales'!G1)</f>
        <v>21737108.609999999</v>
      </c>
      <c r="O10" s="196">
        <f>SUMIFS('Budget - 2026'!J:J,'Budget - 2026'!E:E,'RDG Weekly Sales'!G1)</f>
        <v>131944</v>
      </c>
      <c r="P10" s="197">
        <f>N10/O10</f>
        <v>164.74495702722368</v>
      </c>
      <c r="Q10" s="91"/>
    </row>
    <row r="11" spans="3:21" ht="28.15" customHeight="1" thickBot="1">
      <c r="D11" s="199" t="s">
        <v>105</v>
      </c>
      <c r="E11" s="194"/>
      <c r="F11" s="200">
        <f>(F7-F10)/F10</f>
        <v>0.16915927889350144</v>
      </c>
      <c r="G11" s="200">
        <f>(G7-G10)/G10</f>
        <v>0.18899371069182391</v>
      </c>
      <c r="H11" s="200">
        <f>(H7-H10)/H10</f>
        <v>-1.668169614352431E-2</v>
      </c>
      <c r="I11" s="194"/>
      <c r="J11" s="200">
        <f>(J7-J10)/J10</f>
        <v>7.2291235353688491E-2</v>
      </c>
      <c r="K11" s="200">
        <f>(K7-K10)/K10</f>
        <v>9.5769230769230773E-2</v>
      </c>
      <c r="L11" s="200">
        <f>(L7-L10)/L10</f>
        <v>-2.142604004226396E-2</v>
      </c>
      <c r="M11" s="107"/>
      <c r="N11" s="200">
        <f>(N7-N10)/N10</f>
        <v>8.7431507294658622E-2</v>
      </c>
      <c r="O11" s="200">
        <f>(O7-O10)/O10</f>
        <v>6.8248650942824229E-2</v>
      </c>
      <c r="P11" s="200">
        <f>(P7-P10)/P10</f>
        <v>1.795729518113956E-2</v>
      </c>
    </row>
    <row r="12" spans="3:21" s="194" customFormat="1" ht="7.5" customHeight="1" thickBot="1">
      <c r="D12" s="201"/>
      <c r="E12" s="201"/>
      <c r="F12" s="201"/>
      <c r="G12" s="301"/>
      <c r="H12" s="201"/>
      <c r="I12" s="201"/>
      <c r="J12" s="201"/>
      <c r="K12" s="201"/>
      <c r="L12" s="201"/>
      <c r="M12" s="201"/>
      <c r="N12" s="201"/>
      <c r="O12" s="201"/>
      <c r="P12" s="201"/>
    </row>
    <row r="13" spans="3:21" ht="28.9" customHeight="1">
      <c r="D13" s="193" t="s">
        <v>205</v>
      </c>
      <c r="E13" s="194"/>
      <c r="F13" s="195">
        <f>SUMIFS('Actual - 2026'!H:H,'Actual - 2026'!A:A,D1)</f>
        <v>30216</v>
      </c>
      <c r="G13" s="196">
        <f>SUMIFS('Actual - 2026'!I:I,'Actual - 2026'!A:A,D1)</f>
        <v>269</v>
      </c>
      <c r="H13" s="197">
        <f>F13/G13</f>
        <v>112.32713754646841</v>
      </c>
      <c r="I13" s="194"/>
      <c r="J13" s="195">
        <f>SUMIFS('Actual - 2026'!H:H,'Actual - 2026'!B:B,D4)</f>
        <v>139482.1</v>
      </c>
      <c r="K13" s="196">
        <f>SUMIFS('Actual - 2026'!I:I,'Actual - 2026'!B:B,D4)</f>
        <v>1224</v>
      </c>
      <c r="L13" s="197">
        <f>J13/K13</f>
        <v>113.95596405228758</v>
      </c>
      <c r="M13" s="194"/>
      <c r="N13" s="195">
        <f>SUMIFS('Actual - 2026'!H:H,'Actual - 2026'!D:D,G1)</f>
        <v>1615412.83</v>
      </c>
      <c r="O13" s="196">
        <f>SUMIFS('Actual - 2026'!I:I,'Actual - 2026'!D:D,G1)</f>
        <v>13037</v>
      </c>
      <c r="P13" s="197">
        <f>N13/O13</f>
        <v>123.90985886323541</v>
      </c>
    </row>
    <row r="14" spans="3:21" ht="27.6" customHeight="1">
      <c r="D14" s="202" t="s">
        <v>78</v>
      </c>
      <c r="E14" s="203"/>
      <c r="F14" s="204">
        <f>SUMIFS('Budget - 2026'!L:L,'Budget - 2026'!B:B,D1)</f>
        <v>26049</v>
      </c>
      <c r="G14" s="205">
        <f>SUMIFS('Budget - 2026'!M:M,'Budget - 2026'!B:B,D1,'Budget - 2026'!$E:$E,G1)</f>
        <v>215</v>
      </c>
      <c r="H14" s="206">
        <f>F14/G14</f>
        <v>121.15813953488372</v>
      </c>
      <c r="I14" s="194"/>
      <c r="J14" s="204">
        <f>SUMIFS('Budget - 2026'!L:L,'Budget - 2026'!C:C,D4,'Budget - 2026'!$E:$E,G1)</f>
        <v>119584</v>
      </c>
      <c r="K14" s="205">
        <f>SUMIFS('Budget - 2026'!M:M,'Budget - 2026'!C:C,D4,'Budget - 2026'!$E:$E,G1)</f>
        <v>987</v>
      </c>
      <c r="L14" s="206">
        <f>J14/K14</f>
        <v>121.15906788247214</v>
      </c>
      <c r="M14" s="194"/>
      <c r="N14" s="204">
        <f>SUMIFS('Budget - 2026'!L:L,'Budget - 2026'!E:E,G1)</f>
        <v>1378367</v>
      </c>
      <c r="O14" s="205">
        <f>SUMIFS('Budget - 2026'!M:M,'Budget - 2026'!E:E,G1)</f>
        <v>10514</v>
      </c>
      <c r="P14" s="206">
        <f>N14/O14</f>
        <v>131.09824995244435</v>
      </c>
    </row>
    <row r="15" spans="3:21" s="54" customFormat="1" ht="28.9" customHeight="1">
      <c r="D15" s="207" t="s">
        <v>105</v>
      </c>
      <c r="E15" s="203"/>
      <c r="F15" s="179">
        <f>(F13-F14)/F14</f>
        <v>0.15996775308073247</v>
      </c>
      <c r="G15" s="179">
        <f>(G13-G14)/G14</f>
        <v>0.25116279069767444</v>
      </c>
      <c r="H15" s="179">
        <f>(H13-H14)/H14</f>
        <v>-7.2888227091607805E-2</v>
      </c>
      <c r="I15" s="194"/>
      <c r="J15" s="179">
        <f>(J13-J14)/J14</f>
        <v>0.16639433369012582</v>
      </c>
      <c r="K15" s="179">
        <f>(K13-K14)/K14</f>
        <v>0.24012158054711247</v>
      </c>
      <c r="L15" s="179">
        <f>(L13-L14)/L14</f>
        <v>-5.9451627980266257E-2</v>
      </c>
      <c r="M15" s="107"/>
      <c r="N15" s="179">
        <f>(N13-N14)/N14</f>
        <v>0.17197584533001739</v>
      </c>
      <c r="O15" s="179">
        <f>(O13-O14)/O14</f>
        <v>0.23996575993912878</v>
      </c>
      <c r="P15" s="179">
        <f>(P13-P14)/P14</f>
        <v>-5.4832090373567233E-2</v>
      </c>
      <c r="Q15" s="187">
        <f>L14*K14</f>
        <v>119584</v>
      </c>
      <c r="U15" s="187">
        <f>SUM(T14:U14)</f>
        <v>0</v>
      </c>
    </row>
    <row r="16" spans="3:21" ht="28.9" customHeight="1">
      <c r="D16" s="198">
        <v>2025</v>
      </c>
      <c r="E16" s="194"/>
      <c r="F16" s="195">
        <f>SUMIFS('Budget - 2026'!O:O,'Budget - 2026'!B:B,D1)</f>
        <v>24617.75</v>
      </c>
      <c r="G16" s="196">
        <f>SUMIFS('Budget - 2026'!P:P,'Budget - 2026'!B:B,D1,'Budget - 2026'!$E:$E,G1)</f>
        <v>206</v>
      </c>
      <c r="H16" s="197">
        <f>F16/G16</f>
        <v>119.50364077669903</v>
      </c>
      <c r="I16" s="194"/>
      <c r="J16" s="195">
        <f>SUMIFS('Budget - 2026'!O:O,'Budget - 2026'!C:C,D4,'Budget - 2026'!$E:$E,G1)</f>
        <v>119584.25</v>
      </c>
      <c r="K16" s="196">
        <f>SUMIFS('Budget - 2026'!P:P,'Budget - 2026'!C:C,D4,'Budget - 2026'!$E:$E,G1)</f>
        <v>962</v>
      </c>
      <c r="L16" s="197">
        <f>J16/K16</f>
        <v>124.30795218295218</v>
      </c>
      <c r="M16" s="194"/>
      <c r="N16" s="195">
        <f>SUMIFS('Budget - 2026'!O:O,'Budget - 2026'!E:E,'RDG Weekly Sales'!G1)</f>
        <v>1385518.7</v>
      </c>
      <c r="O16" s="196">
        <f>SUMIFS('Budget - 2026'!P:P,'Budget - 2026'!E:E,'RDG Weekly Sales'!G1)</f>
        <v>10355</v>
      </c>
      <c r="P16" s="197">
        <f>N16/O16</f>
        <v>133.80190246257845</v>
      </c>
    </row>
    <row r="17" spans="2:28" s="54" customFormat="1" ht="28.15" customHeight="1" thickBot="1">
      <c r="D17" s="199" t="s">
        <v>105</v>
      </c>
      <c r="E17" s="194"/>
      <c r="F17" s="200">
        <f>(F13-F16)/F16</f>
        <v>0.22740705385341878</v>
      </c>
      <c r="G17" s="200">
        <f>(G13-G16)/G16</f>
        <v>0.30582524271844658</v>
      </c>
      <c r="H17" s="200">
        <f>(H13-H16)/H16</f>
        <v>-6.0052590729352123E-2</v>
      </c>
      <c r="I17" s="194"/>
      <c r="J17" s="200">
        <f>(J13-J16)/J16</f>
        <v>0.16639189525376466</v>
      </c>
      <c r="K17" s="200">
        <f>(K13-K16)/K16</f>
        <v>0.27234927234927236</v>
      </c>
      <c r="L17" s="200">
        <f>(L13-L16)/L16</f>
        <v>-8.3276958142057503E-2</v>
      </c>
      <c r="M17" s="107"/>
      <c r="N17" s="200">
        <f>(N13-N16)/N16</f>
        <v>0.16592639998290903</v>
      </c>
      <c r="O17" s="200">
        <f>(O13-O16)/O16</f>
        <v>0.259005311443747</v>
      </c>
      <c r="P17" s="200">
        <f>(P13-P16)/P16</f>
        <v>-7.3930515316175227E-2</v>
      </c>
    </row>
    <row r="18" spans="2:28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2:28" ht="28.9" customHeight="1">
      <c r="D19" s="217" t="s">
        <v>242</v>
      </c>
      <c r="E19" s="220"/>
      <c r="F19" s="218">
        <f>SUM(F7,F13)</f>
        <v>537706</v>
      </c>
      <c r="G19" s="219">
        <f t="shared" ref="G19" si="0">SUM(G7,G13)</f>
        <v>4050</v>
      </c>
      <c r="H19" s="218">
        <f>F19/G19</f>
        <v>132.76691358024692</v>
      </c>
      <c r="J19" s="218">
        <f>SUM(J7,J13)</f>
        <v>2089482.7000000002</v>
      </c>
      <c r="K19" s="219">
        <f t="shared" ref="K19:O19" si="1">SUM(K7,K13)</f>
        <v>15469</v>
      </c>
      <c r="L19" s="218">
        <f>J19/K19</f>
        <v>135.07548645678455</v>
      </c>
      <c r="N19" s="218">
        <f>SUM(N7,N13)</f>
        <v>25253029.609999999</v>
      </c>
      <c r="O19" s="219">
        <f t="shared" si="1"/>
        <v>153986</v>
      </c>
      <c r="P19" s="218">
        <f>N19/O19</f>
        <v>163.99562044601456</v>
      </c>
      <c r="Q19" s="49"/>
      <c r="AB19" s="107"/>
    </row>
    <row r="20" spans="2:28" ht="28.9" customHeight="1">
      <c r="D20" s="209" t="s">
        <v>78</v>
      </c>
      <c r="E20" s="210"/>
      <c r="F20" s="211">
        <f>SUM(F8,F14)</f>
        <v>471976</v>
      </c>
      <c r="G20" s="212">
        <f>SUM(G8,G14)</f>
        <v>3386</v>
      </c>
      <c r="H20" s="213">
        <f>F20/G20</f>
        <v>139.39043118724157</v>
      </c>
      <c r="I20" s="194"/>
      <c r="J20" s="211">
        <f>SUM(J8,J14)</f>
        <v>1934121</v>
      </c>
      <c r="K20" s="212">
        <f>SUM(K8,K14)</f>
        <v>13902</v>
      </c>
      <c r="L20" s="213">
        <f>J20/K20</f>
        <v>139.12537764350452</v>
      </c>
      <c r="M20" s="194"/>
      <c r="N20" s="211">
        <f>SUM(N8,N14)</f>
        <v>23587933</v>
      </c>
      <c r="O20" s="212">
        <f>SUM(O8,O14)</f>
        <v>148094</v>
      </c>
      <c r="P20" s="213">
        <f>N20/O20</f>
        <v>159.27676340702527</v>
      </c>
    </row>
    <row r="21" spans="2:28" s="54" customFormat="1" ht="28.9" customHeight="1">
      <c r="D21" s="214" t="s">
        <v>105</v>
      </c>
      <c r="E21" s="210"/>
      <c r="F21" s="215">
        <f>(F19-F20)/F20</f>
        <v>0.13926555587572251</v>
      </c>
      <c r="G21" s="215">
        <f>(G19-G20)/G20</f>
        <v>0.19610159480212641</v>
      </c>
      <c r="H21" s="215">
        <f>(H19-H20)/H20</f>
        <v>-4.7517735260445226E-2</v>
      </c>
      <c r="I21" s="194"/>
      <c r="J21" s="215">
        <f>(J19-J20)/J20</f>
        <v>8.0326773764412968E-2</v>
      </c>
      <c r="K21" s="215">
        <f>(K19-K20)/K20</f>
        <v>0.11271759459070638</v>
      </c>
      <c r="L21" s="215">
        <f>(L19-L20)/L20</f>
        <v>-2.9109650987596485E-2</v>
      </c>
      <c r="M21" s="107"/>
      <c r="N21" s="215">
        <f>(N19-N20)/N20</f>
        <v>7.0591035255187451E-2</v>
      </c>
      <c r="O21" s="215">
        <f>(O19-O20)/O20</f>
        <v>3.9785541615460454E-2</v>
      </c>
      <c r="P21" s="215">
        <f>(P19-P20)/P20</f>
        <v>2.9626776298375915E-2</v>
      </c>
      <c r="Q21" s="187">
        <f>L20*K20</f>
        <v>1934120.9999999998</v>
      </c>
      <c r="S21" s="98">
        <v>768000</v>
      </c>
      <c r="U21" s="187">
        <f>SUM(T20:U20)</f>
        <v>0</v>
      </c>
    </row>
    <row r="22" spans="2:28" ht="28.9" customHeight="1">
      <c r="D22" s="198">
        <v>2025</v>
      </c>
      <c r="E22" s="194"/>
      <c r="F22" s="195">
        <f>SUM(F10,F16)</f>
        <v>458681.79</v>
      </c>
      <c r="G22" s="196">
        <f>SUM(G10,G16)</f>
        <v>3386</v>
      </c>
      <c r="H22" s="197">
        <f>F22/G22</f>
        <v>135.46420259893679</v>
      </c>
      <c r="I22" s="194"/>
      <c r="J22" s="195">
        <f>SUM(J10,J16)</f>
        <v>1938120.61</v>
      </c>
      <c r="K22" s="196">
        <f>SUM(K10,K16)</f>
        <v>13962</v>
      </c>
      <c r="L22" s="197">
        <f>J22/K22</f>
        <v>138.81396719667671</v>
      </c>
      <c r="M22" s="194"/>
      <c r="N22" s="195">
        <f>SUM(N10,N16)</f>
        <v>23122627.309999999</v>
      </c>
      <c r="O22" s="196">
        <f>SUM(O10,O16)</f>
        <v>142299</v>
      </c>
      <c r="P22" s="197">
        <f>N22/O22</f>
        <v>162.49325230676251</v>
      </c>
      <c r="S22" s="98">
        <f>F19</f>
        <v>537706</v>
      </c>
    </row>
    <row r="23" spans="2:28" s="54" customFormat="1" ht="28.9" customHeight="1">
      <c r="D23" s="199" t="s">
        <v>105</v>
      </c>
      <c r="E23" s="194"/>
      <c r="F23" s="200">
        <f>(F19-F22)/F22</f>
        <v>0.17228547486046922</v>
      </c>
      <c r="G23" s="200">
        <f>(G19-G22)/G22</f>
        <v>0.19610159480212641</v>
      </c>
      <c r="H23" s="200">
        <f>(H19-H22)/H22</f>
        <v>-1.9911452375913831E-2</v>
      </c>
      <c r="I23" s="194"/>
      <c r="J23" s="200">
        <f>(J19-J22)/J22</f>
        <v>7.8097353291134999E-2</v>
      </c>
      <c r="K23" s="200">
        <f>(K19-K22)/K22</f>
        <v>0.10793582581292079</v>
      </c>
      <c r="L23" s="200">
        <f>(L19-L22)/L22</f>
        <v>-2.6931589200929265E-2</v>
      </c>
      <c r="M23" s="107"/>
      <c r="N23" s="200">
        <f>(N19-N22)/N22</f>
        <v>9.2134958170547135E-2</v>
      </c>
      <c r="O23" s="200">
        <f>(O19-O22)/O22</f>
        <v>8.21298814468127E-2</v>
      </c>
      <c r="P23" s="200">
        <f>(P19-P22)/P22</f>
        <v>9.2457263173968563E-3</v>
      </c>
      <c r="S23" s="321">
        <f>SUM(S21:S22)</f>
        <v>1305706</v>
      </c>
    </row>
    <row r="24" spans="2:28" ht="16.350000000000001" customHeight="1">
      <c r="D24" s="54"/>
      <c r="F24" s="1"/>
      <c r="G24" s="114"/>
      <c r="H24" s="1"/>
      <c r="J24" s="1"/>
      <c r="K24" s="114"/>
      <c r="L24" s="1"/>
      <c r="N24" s="76"/>
      <c r="O24" s="114"/>
      <c r="P24" s="1"/>
      <c r="S24" s="98">
        <v>1028594</v>
      </c>
    </row>
    <row r="25" spans="2:28" ht="15.75">
      <c r="B25" s="46" t="s">
        <v>99</v>
      </c>
      <c r="M25" s="99"/>
      <c r="S25" s="324">
        <f>S23-S24</f>
        <v>277112</v>
      </c>
    </row>
    <row r="26" spans="2:28">
      <c r="D26" s="208"/>
      <c r="E26" s="208"/>
      <c r="F26" s="208"/>
      <c r="G26" s="292"/>
      <c r="H26" s="208"/>
      <c r="J26" s="208"/>
      <c r="K26" s="208"/>
      <c r="L26" s="208"/>
      <c r="N26" s="208"/>
      <c r="O26" s="208"/>
      <c r="P26" s="208"/>
    </row>
    <row r="27" spans="2:28">
      <c r="D27" s="208"/>
      <c r="E27" s="208"/>
      <c r="F27" s="208"/>
      <c r="G27" s="292">
        <f>G13-G14</f>
        <v>54</v>
      </c>
      <c r="H27" s="208"/>
      <c r="J27" s="208"/>
      <c r="K27" s="208"/>
      <c r="L27" s="208"/>
      <c r="N27" s="208"/>
      <c r="O27" s="208"/>
      <c r="P27" s="208"/>
    </row>
    <row r="29" spans="2:28">
      <c r="J29" s="91"/>
    </row>
    <row r="32" spans="2:28">
      <c r="D32" s="208"/>
      <c r="E32" s="208"/>
      <c r="F32" s="208"/>
      <c r="G32" s="208"/>
      <c r="H32" s="208"/>
      <c r="J32" s="208"/>
      <c r="K32" s="208"/>
      <c r="L32" s="208"/>
      <c r="N32" s="208"/>
      <c r="O32" s="208"/>
      <c r="P32" s="208"/>
    </row>
    <row r="33" spans="4:16">
      <c r="D33" s="208"/>
      <c r="E33" s="208"/>
      <c r="F33" s="208"/>
      <c r="G33" s="208"/>
      <c r="H33" s="208"/>
      <c r="J33" s="208"/>
      <c r="K33" s="208"/>
      <c r="L33" s="208"/>
      <c r="N33" s="208"/>
      <c r="O33" s="208"/>
      <c r="P33" s="208"/>
    </row>
    <row r="39" spans="4:16">
      <c r="D39" s="216"/>
      <c r="E39" s="216"/>
      <c r="F39" s="216"/>
      <c r="G39" s="216"/>
      <c r="H39" s="216"/>
      <c r="J39" s="216"/>
      <c r="K39" s="216"/>
      <c r="L39" s="216"/>
      <c r="N39" s="216"/>
      <c r="O39" s="216"/>
      <c r="P39" s="216"/>
    </row>
    <row r="40" spans="4:16">
      <c r="D40" s="216"/>
      <c r="E40" s="216"/>
      <c r="F40" s="216"/>
      <c r="G40" s="216"/>
      <c r="H40" s="216"/>
      <c r="J40" s="216"/>
      <c r="K40" s="216"/>
      <c r="L40" s="216"/>
      <c r="N40" s="216"/>
      <c r="O40" s="216"/>
      <c r="P40" s="216"/>
    </row>
    <row r="43" spans="4:16">
      <c r="G43" s="189"/>
      <c r="K43" s="189"/>
      <c r="O43" s="189"/>
    </row>
    <row r="44" spans="4:16">
      <c r="G44" s="189"/>
      <c r="K44" s="189"/>
      <c r="O44" s="189"/>
    </row>
  </sheetData>
  <mergeCells count="4">
    <mergeCell ref="D2:P2"/>
    <mergeCell ref="F4:H4"/>
    <mergeCell ref="J4:L4"/>
    <mergeCell ref="N4:P4"/>
  </mergeCells>
  <conditionalFormatting sqref="F17:P17 F21:P21 F23:P23 F15:P15 F9:P9 F11:P11">
    <cfRule type="iconSet" priority="1">
      <iconSet iconSet="3Arrows">
        <cfvo type="percent" val="0"/>
        <cfvo type="num" val="0.01"/>
        <cfvo type="num" val="0.01"/>
      </iconSet>
    </cfRule>
  </conditionalFormatting>
  <pageMargins left="0.7" right="0.7" top="0.75" bottom="0.75" header="0.3" footer="0.3"/>
  <pageSetup scale="52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55BB56-6BFB-4F09-AE6B-DA87835C4695}">
          <x14:formula1>
            <xm:f>'Budget - 2026'!$B$5:$B$56</xm:f>
          </x14:formula1>
          <xm:sqref>D1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201E-62AE-44A8-861D-753F46CAB0CD}">
  <sheetPr>
    <tabColor theme="2" tint="-9.9978637043366805E-2"/>
    <pageSetUpPr fitToPage="1"/>
  </sheetPr>
  <dimension ref="B1:AA44"/>
  <sheetViews>
    <sheetView topLeftCell="A2" zoomScale="70" zoomScaleNormal="70" workbookViewId="0">
      <selection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6" width="11.5703125" style="5" bestFit="1" customWidth="1" outlineLevel="1"/>
    <col min="7" max="7" width="11.7109375" style="5" bestFit="1" customWidth="1" outlineLevel="1"/>
    <col min="8" max="8" width="16.28515625" style="5" bestFit="1" customWidth="1" outlineLevel="1"/>
    <col min="9" max="9" width="1.5703125" style="5" customWidth="1"/>
    <col min="10" max="10" width="13.5703125" style="5" bestFit="1" customWidth="1" outlineLevel="1"/>
    <col min="11" max="11" width="11.7109375" style="5" bestFit="1" customWidth="1" outlineLevel="1"/>
    <col min="12" max="12" width="16.28515625" style="5" bestFit="1" customWidth="1" outlineLevel="1"/>
    <col min="13" max="13" width="1.5703125" style="5" customWidth="1" outlineLevel="1"/>
    <col min="14" max="14" width="15.42578125" style="5" customWidth="1"/>
    <col min="15" max="15" width="11.7109375" style="5" bestFit="1" customWidth="1"/>
    <col min="16" max="16" width="16.28515625" style="5" bestFit="1" customWidth="1"/>
    <col min="17" max="17" width="13" style="5" bestFit="1" customWidth="1"/>
    <col min="18" max="18" width="10.7109375" style="5"/>
    <col min="19" max="19" width="17.85546875" style="5" customWidth="1"/>
    <col min="20" max="20" width="10.7109375" style="5"/>
    <col min="21" max="21" width="12.28515625" style="5" bestFit="1" customWidth="1"/>
    <col min="22" max="22" width="10.7109375" style="5"/>
    <col min="23" max="26" width="11.5703125" style="5" bestFit="1" customWidth="1"/>
    <col min="27" max="27" width="13.28515625" style="5" bestFit="1" customWidth="1"/>
    <col min="28" max="16384" width="10.7109375" style="5"/>
  </cols>
  <sheetData>
    <row r="1" spans="3:27" ht="18.75">
      <c r="D1" s="118" t="str">
        <f>'MILA Sales - 3F'!D1</f>
        <v>Week 34</v>
      </c>
      <c r="F1" s="5">
        <f>VLOOKUP(D1,Dates!$B$2:$E$53,4,FALSE)</f>
        <v>34</v>
      </c>
      <c r="G1" s="5" t="b">
        <v>1</v>
      </c>
      <c r="S1" s="337" t="s">
        <v>243</v>
      </c>
      <c r="T1" s="325" t="s">
        <v>232</v>
      </c>
      <c r="U1" s="325" t="s">
        <v>233</v>
      </c>
      <c r="V1" s="325" t="s">
        <v>234</v>
      </c>
      <c r="W1" s="325" t="s">
        <v>235</v>
      </c>
      <c r="X1" s="325" t="s">
        <v>236</v>
      </c>
      <c r="Y1" s="325" t="s">
        <v>244</v>
      </c>
      <c r="Z1" s="325" t="s">
        <v>245</v>
      </c>
      <c r="AA1" s="325" t="s">
        <v>107</v>
      </c>
    </row>
    <row r="2" spans="3:27" ht="28.5">
      <c r="D2" s="399" t="str">
        <f>CONCATENATE("MILA 2F",)</f>
        <v>MILA 2F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S2" s="329" t="s">
        <v>246</v>
      </c>
      <c r="T2" s="326">
        <v>0</v>
      </c>
      <c r="U2" s="326">
        <f>429186-376225</f>
        <v>52961</v>
      </c>
      <c r="V2" s="326">
        <v>67097</v>
      </c>
      <c r="W2" s="326">
        <v>59449</v>
      </c>
      <c r="X2" s="326">
        <v>107797</v>
      </c>
      <c r="Y2" s="326">
        <v>237418</v>
      </c>
      <c r="Z2" s="326">
        <v>205362</v>
      </c>
      <c r="AA2" s="327">
        <f>SUM(T2:Z2)</f>
        <v>730084</v>
      </c>
    </row>
    <row r="3" spans="3:27">
      <c r="S3" s="331" t="s">
        <v>247</v>
      </c>
      <c r="T3" s="339">
        <v>0</v>
      </c>
      <c r="U3" s="339">
        <v>0</v>
      </c>
      <c r="V3" s="339">
        <v>0</v>
      </c>
      <c r="W3" s="339">
        <v>53645</v>
      </c>
      <c r="X3" s="339">
        <v>87700</v>
      </c>
      <c r="Y3" s="339">
        <v>114616</v>
      </c>
      <c r="Z3" s="339">
        <v>45147</v>
      </c>
      <c r="AA3" s="332">
        <f t="shared" ref="AA3" si="0">SUM(T3:Z3)</f>
        <v>301108</v>
      </c>
    </row>
    <row r="4" spans="3:27" ht="23.25">
      <c r="C4" s="121" t="e">
        <f>VLOOKUP($D$4,#REF!,2,FALSE)</f>
        <v>#REF!</v>
      </c>
      <c r="D4" s="118" t="str">
        <f>VLOOKUP(D1,'Actual - 2026'!$A$5:$B$56,2,FALSE)</f>
        <v>P8</v>
      </c>
      <c r="F4" s="406" t="str">
        <f>D1</f>
        <v>Week 34</v>
      </c>
      <c r="G4" s="406"/>
      <c r="H4" s="406"/>
      <c r="J4" s="406" t="str">
        <f>CONCATENATE("MTD"," ","-"," ",D4)</f>
        <v>MTD - P8</v>
      </c>
      <c r="K4" s="406"/>
      <c r="L4" s="406"/>
      <c r="M4" s="71"/>
      <c r="N4" s="406" t="s">
        <v>7</v>
      </c>
      <c r="O4" s="406"/>
      <c r="P4" s="406"/>
      <c r="S4" s="333" t="s">
        <v>107</v>
      </c>
      <c r="T4" s="334"/>
      <c r="U4" s="340">
        <f>SUM(U2:U3)</f>
        <v>52961</v>
      </c>
      <c r="V4" s="340">
        <f t="shared" ref="V4:AA4" si="1">SUM(V2:V3)</f>
        <v>67097</v>
      </c>
      <c r="W4" s="340">
        <f t="shared" si="1"/>
        <v>113094</v>
      </c>
      <c r="X4" s="340">
        <f t="shared" si="1"/>
        <v>195497</v>
      </c>
      <c r="Y4" s="340">
        <f t="shared" si="1"/>
        <v>352034</v>
      </c>
      <c r="Z4" s="340">
        <f t="shared" si="1"/>
        <v>250509</v>
      </c>
      <c r="AA4" s="335">
        <f t="shared" si="1"/>
        <v>1031192</v>
      </c>
    </row>
    <row r="5" spans="3:27">
      <c r="S5" s="328" t="s">
        <v>248</v>
      </c>
      <c r="T5" s="341">
        <v>0</v>
      </c>
      <c r="U5" s="341">
        <v>52661</v>
      </c>
      <c r="V5" s="341">
        <v>65397</v>
      </c>
      <c r="W5" s="341">
        <v>113096</v>
      </c>
      <c r="X5" s="341">
        <v>195352</v>
      </c>
      <c r="Y5" s="341">
        <v>351698</v>
      </c>
      <c r="Z5" s="341">
        <v>250391</v>
      </c>
      <c r="AA5" s="330">
        <f>SUM(U5:Z5)</f>
        <v>1028595</v>
      </c>
    </row>
    <row r="6" spans="3:27" ht="21">
      <c r="D6" s="54"/>
      <c r="F6" s="142" t="s">
        <v>77</v>
      </c>
      <c r="G6" s="142" t="s">
        <v>81</v>
      </c>
      <c r="H6" s="160" t="s">
        <v>237</v>
      </c>
      <c r="J6" s="142" t="s">
        <v>77</v>
      </c>
      <c r="K6" s="142" t="s">
        <v>81</v>
      </c>
      <c r="L6" s="160" t="s">
        <v>237</v>
      </c>
      <c r="M6" s="141"/>
      <c r="N6" s="142" t="s">
        <v>77</v>
      </c>
      <c r="O6" s="142" t="s">
        <v>81</v>
      </c>
      <c r="P6" s="160" t="s">
        <v>237</v>
      </c>
      <c r="AA6" s="336">
        <f>AA4-AA5</f>
        <v>2597</v>
      </c>
    </row>
    <row r="7" spans="3:27" ht="28.9" customHeight="1">
      <c r="D7" s="193" t="s">
        <v>206</v>
      </c>
      <c r="E7" s="194"/>
      <c r="F7" s="195">
        <f>SUMIFS('Actual - 2026'!N:N,'Actual - 2026'!A:A,D1)</f>
        <v>17523</v>
      </c>
      <c r="G7" s="196">
        <f>SUMIFS('Actual - 2026'!O:O,'Actual - 2026'!A:A,D1)</f>
        <v>0</v>
      </c>
      <c r="H7" s="197" t="e">
        <f>F7/G7</f>
        <v>#DIV/0!</v>
      </c>
      <c r="I7" s="194"/>
      <c r="J7" s="195">
        <f>SUMIFS('Actual - 2026'!N:N,'Actual - 2026'!B:B,D4)</f>
        <v>76841</v>
      </c>
      <c r="K7" s="196">
        <f>SUMIFS('Actual - 2026'!O:O,'Actual - 2026'!B:B,D4)</f>
        <v>209</v>
      </c>
      <c r="L7" s="197">
        <f>J7/K7</f>
        <v>367.66028708133973</v>
      </c>
      <c r="M7" s="194"/>
      <c r="N7" s="195">
        <f>SUMIFS('Actual - 2026'!N:N,'Actual - 2026'!D:D,G1)</f>
        <v>806931.80999999994</v>
      </c>
      <c r="O7" s="196">
        <f>SUMIFS('Actual - 2026'!O:O,'Actual - 2026'!D:D,G1)</f>
        <v>2473</v>
      </c>
      <c r="P7" s="197">
        <f>N7/O7</f>
        <v>326.29672866963199</v>
      </c>
      <c r="S7" s="91">
        <f>J7-J8</f>
        <v>6469</v>
      </c>
      <c r="T7" s="51">
        <f>K7-K8</f>
        <v>-56</v>
      </c>
      <c r="U7" s="91">
        <f>L7-L8</f>
        <v>102.10557010020767</v>
      </c>
      <c r="AA7" s="98">
        <v>994391</v>
      </c>
    </row>
    <row r="8" spans="3:27" ht="28.9" customHeight="1">
      <c r="D8" s="202" t="s">
        <v>78</v>
      </c>
      <c r="E8" s="203"/>
      <c r="F8" s="204">
        <f>SUMIFS('Budget - 2026'!X:X,'Budget - 2026'!B:B,D1)</f>
        <v>23919.600568585643</v>
      </c>
      <c r="G8" s="205">
        <f>SUMIFS('Budget - 2026'!Y:Y,'Budget - 2026'!B:B,D1)</f>
        <v>91</v>
      </c>
      <c r="H8" s="206">
        <f>F8/G8</f>
        <v>262.85275350094116</v>
      </c>
      <c r="I8" s="194"/>
      <c r="J8" s="204">
        <f>SUMIFS('Budget - 2026'!X:X,'Budget - 2026'!C:C,D4,'Budget - 2026'!$E:$E,G1)</f>
        <v>70372</v>
      </c>
      <c r="K8" s="205">
        <f>SUMIFS('Budget - 2026'!Y:Y,'Budget - 2026'!C:C,D4,'Budget - 2026'!$E:$E,G1)</f>
        <v>265</v>
      </c>
      <c r="L8" s="206">
        <f>J8/K8</f>
        <v>265.55471698113206</v>
      </c>
      <c r="M8" s="194"/>
      <c r="N8" s="204">
        <f>SUMIFS('Budget - 2026'!X:X,'Budget - 2026'!E:E,G1)</f>
        <v>843856.89299719885</v>
      </c>
      <c r="O8" s="205">
        <f>SUMIFS('Budget - 2026'!Y:Y,'Budget - 2026'!E:E,G1)</f>
        <v>2839</v>
      </c>
      <c r="P8" s="206">
        <f>N8/O8</f>
        <v>297.23736984755158</v>
      </c>
      <c r="Q8" s="187">
        <f>L7*K7</f>
        <v>76841</v>
      </c>
      <c r="S8" s="254">
        <f>S7/J7</f>
        <v>8.4186827344776879E-2</v>
      </c>
      <c r="T8" s="186">
        <f>T7*L7</f>
        <v>-20588.976076555024</v>
      </c>
      <c r="U8" s="186">
        <f>U7*K8</f>
        <v>27057.976076555035</v>
      </c>
      <c r="AA8" s="324">
        <f>AA5-AA7</f>
        <v>34204</v>
      </c>
    </row>
    <row r="9" spans="3:27" s="54" customFormat="1" ht="28.9" customHeight="1">
      <c r="D9" s="207" t="s">
        <v>105</v>
      </c>
      <c r="E9" s="203"/>
      <c r="F9" s="179">
        <f>(F7-F8)/F8</f>
        <v>-0.2674208772945188</v>
      </c>
      <c r="G9" s="179">
        <f>(G7-G8)/G8</f>
        <v>-1</v>
      </c>
      <c r="H9" s="179" t="e">
        <f>(H7-H8)/H8</f>
        <v>#DIV/0!</v>
      </c>
      <c r="I9" s="194"/>
      <c r="J9" s="179">
        <f>(J7-J8)/J8</f>
        <v>9.1925765929631101E-2</v>
      </c>
      <c r="K9" s="179">
        <f>(K7-K8)/K8</f>
        <v>-0.21132075471698114</v>
      </c>
      <c r="L9" s="179">
        <f>(L7-L8)/L8</f>
        <v>0.38449917689642238</v>
      </c>
      <c r="M9" s="107"/>
      <c r="N9" s="179">
        <f>(N7-N8)/N8</f>
        <v>-4.3757517777746571E-2</v>
      </c>
      <c r="O9" s="179">
        <f>(O7-O8)/O8</f>
        <v>-0.12891863332159212</v>
      </c>
      <c r="P9" s="179">
        <f>(P7-P8)/P8</f>
        <v>9.776482289889897E-2</v>
      </c>
      <c r="Q9" s="187">
        <f>L8*K8</f>
        <v>70372</v>
      </c>
      <c r="U9" s="187">
        <f>SUM(T8:U8)</f>
        <v>6469.0000000000109</v>
      </c>
    </row>
    <row r="10" spans="3:27" ht="28.9" customHeight="1">
      <c r="D10" s="198">
        <v>2025</v>
      </c>
      <c r="E10" s="194"/>
      <c r="F10" s="195">
        <f>SUMIFS('Budget - 2026'!AA:AA,'Budget - 2026'!B:B,D1)</f>
        <v>22674</v>
      </c>
      <c r="G10" s="196">
        <f>SUMIFS('Budget - 2026'!AB:AB,'Budget - 2026'!B:B,D1)</f>
        <v>91</v>
      </c>
      <c r="H10" s="197">
        <f>F10/G10</f>
        <v>249.16483516483515</v>
      </c>
      <c r="I10" s="194"/>
      <c r="J10" s="195">
        <f>SUMIFS('Budget - 2026'!AA:AA,'Budget - 2026'!C:C,D4,'Budget - 2026'!$E:$E,G1)</f>
        <v>70523.05</v>
      </c>
      <c r="K10" s="196">
        <f>SUMIFS('Budget - 2026'!AB:AB,'Budget - 2026'!C:C,D4,'Budget - 2026'!$E:$E,G1)</f>
        <v>265</v>
      </c>
      <c r="L10" s="197">
        <f>J10/K10</f>
        <v>266.12471698113211</v>
      </c>
      <c r="M10" s="194"/>
      <c r="N10" s="195">
        <f>SUMIFS('Budget - 2026'!AA:AA,'Budget - 2026'!E:E,'RDG Weekly Sales'!G1)</f>
        <v>840883.71</v>
      </c>
      <c r="O10" s="196">
        <f>SUMIFS('Budget - 2026'!AB:AB,'Budget - 2026'!E:E,'RDG Weekly Sales'!G1)</f>
        <v>2838</v>
      </c>
      <c r="P10" s="197">
        <f>N10/O10</f>
        <v>296.29447145877378</v>
      </c>
      <c r="R10" s="186">
        <f>J7*0.35</f>
        <v>26894.35</v>
      </c>
    </row>
    <row r="11" spans="3:27" s="54" customFormat="1" ht="28.9" customHeight="1" thickBot="1">
      <c r="D11" s="199" t="s">
        <v>105</v>
      </c>
      <c r="E11" s="194"/>
      <c r="F11" s="200">
        <f>(F7-F10)/F10</f>
        <v>-0.22717650172003176</v>
      </c>
      <c r="G11" s="200">
        <f>(G7-G10)/G10</f>
        <v>-1</v>
      </c>
      <c r="H11" s="200" t="e">
        <f>(H7-H10)/H10</f>
        <v>#DIV/0!</v>
      </c>
      <c r="I11" s="194"/>
      <c r="J11" s="200">
        <f>(J7-J10)/J10</f>
        <v>8.9587021548273887E-2</v>
      </c>
      <c r="K11" s="200">
        <f>(K7-K10)/K10</f>
        <v>-0.21132075471698114</v>
      </c>
      <c r="L11" s="200">
        <f>(L7-L10)/L10</f>
        <v>0.38153378330283527</v>
      </c>
      <c r="M11" s="107"/>
      <c r="N11" s="200">
        <f>(N7-N10)/N10</f>
        <v>-4.037645110285229E-2</v>
      </c>
      <c r="O11" s="200">
        <f>(O7-O10)/O10</f>
        <v>-0.12861169837914024</v>
      </c>
      <c r="P11" s="200">
        <f>(P7-P10)/P10</f>
        <v>0.1012582417186029</v>
      </c>
      <c r="R11" s="187">
        <f>R10/K7</f>
        <v>128.68110047846889</v>
      </c>
    </row>
    <row r="12" spans="3:27" s="194" customFormat="1" ht="7.5" customHeight="1" thickBot="1"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</row>
    <row r="13" spans="3:27" ht="28.9" customHeight="1">
      <c r="D13" s="193" t="s">
        <v>207</v>
      </c>
      <c r="E13" s="194"/>
      <c r="F13" s="195">
        <f>SUMIFS('Actual - 2026'!Q:Q,'Actual - 2026'!A:A,D1)</f>
        <v>43187</v>
      </c>
      <c r="G13" s="196">
        <f>SUMIFS('Actual - 2026'!R:R,'Actual - 2026'!A:A,D1)</f>
        <v>0</v>
      </c>
      <c r="H13" s="197" t="e">
        <f>F13/G13</f>
        <v>#DIV/0!</v>
      </c>
      <c r="I13" s="194"/>
      <c r="J13" s="195">
        <f>SUMIFS('Actual - 2026'!Q:Q,'Actual - 2026'!B:B,D4)</f>
        <v>162556.15000000002</v>
      </c>
      <c r="K13" s="196">
        <f>SUMIFS('Actual - 2026'!R:R,'Actual - 2026'!B:B,D4)</f>
        <v>751</v>
      </c>
      <c r="L13" s="197">
        <f>J13/K13</f>
        <v>216.45292942743012</v>
      </c>
      <c r="M13" s="194"/>
      <c r="N13" s="195">
        <f>SUMIFS('Actual - 2026'!Q:Q,'Actual - 2026'!D:D,G1)</f>
        <v>2819894.63</v>
      </c>
      <c r="O13" s="196">
        <f>SUMIFS('Actual - 2026'!R:R,'Actual - 2026'!D:D,G1)</f>
        <v>12669</v>
      </c>
      <c r="P13" s="197">
        <f>N13/O13</f>
        <v>222.58225826821374</v>
      </c>
      <c r="S13" s="188">
        <f>K9-L9</f>
        <v>-0.59581993161340352</v>
      </c>
    </row>
    <row r="14" spans="3:27" ht="27.6" customHeight="1">
      <c r="D14" s="202" t="s">
        <v>78</v>
      </c>
      <c r="E14" s="203"/>
      <c r="F14" s="204">
        <f>SUMIFS('Budget - 2026'!AD:AD,'Budget - 2026'!B:B,D1)</f>
        <v>38287.934051858196</v>
      </c>
      <c r="G14" s="205">
        <f>SUMIFS('Budget - 2026'!AE:AE,'Budget - 2026'!B:B,D1)</f>
        <v>237</v>
      </c>
      <c r="H14" s="206">
        <f>F14/G14</f>
        <v>161.55246435383205</v>
      </c>
      <c r="I14" s="194"/>
      <c r="J14" s="204">
        <f>SUMIFS('Budget - 2026'!AD:AD,'Budget - 2026'!C:C,D4,'Budget - 2026'!$E:$E,G1)</f>
        <v>169238</v>
      </c>
      <c r="K14" s="205">
        <f>SUMIFS('Budget - 2026'!AE:AE,'Budget - 2026'!C:C,D4,'Budget - 2026'!$E:$E,G1)</f>
        <v>835</v>
      </c>
      <c r="L14" s="206">
        <f>J14/K14</f>
        <v>202.68023952095808</v>
      </c>
      <c r="M14" s="194"/>
      <c r="N14" s="204">
        <f>SUMIFS('Budget - 2026'!AD:AD,'Budget - 2026'!E:E,G1)</f>
        <v>2283719.868852403</v>
      </c>
      <c r="O14" s="205">
        <f>SUMIFS('Budget - 2026'!AE:AE,'Budget - 2026'!E:E,G1)</f>
        <v>10154</v>
      </c>
      <c r="P14" s="206">
        <f>N14/O14</f>
        <v>224.90839756277359</v>
      </c>
    </row>
    <row r="15" spans="3:27" s="54" customFormat="1" ht="28.9" customHeight="1">
      <c r="D15" s="207" t="s">
        <v>105</v>
      </c>
      <c r="E15" s="203"/>
      <c r="F15" s="179">
        <f>(F13-F14)/F14</f>
        <v>0.12795325915225353</v>
      </c>
      <c r="G15" s="179">
        <f>(G13-G14)/G14</f>
        <v>-1</v>
      </c>
      <c r="H15" s="179" t="e">
        <f>(H13-H14)/H14</f>
        <v>#DIV/0!</v>
      </c>
      <c r="I15" s="194"/>
      <c r="J15" s="179">
        <f>(J13-J14)/J14</f>
        <v>-3.9481972133917777E-2</v>
      </c>
      <c r="K15" s="179">
        <f>(K13-K14)/K14</f>
        <v>-0.10059880239520957</v>
      </c>
      <c r="L15" s="179">
        <f>(L13-L14)/L14</f>
        <v>6.7952800623406986E-2</v>
      </c>
      <c r="M15" s="107"/>
      <c r="N15" s="179">
        <f>(N13-N14)/N14</f>
        <v>0.23478131817324477</v>
      </c>
      <c r="O15" s="179">
        <f>(O13-O14)/O14</f>
        <v>0.24768564112664959</v>
      </c>
      <c r="P15" s="179">
        <f>(P13-P14)/P14</f>
        <v>-1.034260756720126E-2</v>
      </c>
    </row>
    <row r="16" spans="3:27" ht="28.9" customHeight="1">
      <c r="D16" s="198">
        <v>2025</v>
      </c>
      <c r="E16" s="194"/>
      <c r="F16" s="195">
        <f>SUMIFS('Budget - 2026'!AG:AG,'Budget - 2026'!B:B,D1)</f>
        <v>38901.75</v>
      </c>
      <c r="G16" s="196">
        <f>SUMIFS('Budget - 2026'!AH:AH,'Budget - 2026'!B:B,D1)</f>
        <v>237</v>
      </c>
      <c r="H16" s="197">
        <f>F16/G16</f>
        <v>164.14240506329114</v>
      </c>
      <c r="I16" s="194"/>
      <c r="J16" s="195">
        <f>SUMIFS('Budget - 2026'!AG:AG,'Budget - 2026'!C:C,D4,'Budget - 2026'!$E:$E,G1)</f>
        <v>169398.97</v>
      </c>
      <c r="K16" s="196">
        <f>SUMIFS('Budget - 2026'!AH:AH,'Budget - 2026'!C:C,D4,'Budget - 2026'!$E:$E,G1)</f>
        <v>835</v>
      </c>
      <c r="L16" s="197">
        <f>J16/K16</f>
        <v>202.87301796407186</v>
      </c>
      <c r="M16" s="194"/>
      <c r="N16" s="195">
        <f>SUMIFS('Budget - 2026'!AG:AG,'Budget - 2026'!E:E,'RDG Weekly Sales'!G1)</f>
        <v>2159611.3699999996</v>
      </c>
      <c r="O16" s="196">
        <f>SUMIFS('Budget - 2026'!AH:AH,'Budget - 2026'!E:E,'RDG Weekly Sales'!G1)</f>
        <v>9863</v>
      </c>
      <c r="P16" s="197">
        <f>N16/O16</f>
        <v>218.96090134847407</v>
      </c>
    </row>
    <row r="17" spans="2:19" s="54" customFormat="1" ht="28.9" customHeight="1" thickBot="1">
      <c r="D17" s="199" t="s">
        <v>105</v>
      </c>
      <c r="E17" s="194"/>
      <c r="F17" s="200">
        <f>(F13-F16)/F16</f>
        <v>0.1101557127892704</v>
      </c>
      <c r="G17" s="200">
        <f>(G13-G16)/G16</f>
        <v>-1</v>
      </c>
      <c r="H17" s="200" t="e">
        <f>(H13-H16)/H16</f>
        <v>#DIV/0!</v>
      </c>
      <c r="I17" s="194"/>
      <c r="J17" s="200">
        <f>(J13-J16)/J16</f>
        <v>-4.039469661474316E-2</v>
      </c>
      <c r="K17" s="200">
        <f>(K13-K16)/K16</f>
        <v>-0.10059880239520957</v>
      </c>
      <c r="L17" s="200">
        <f>(L13-L16)/L16</f>
        <v>6.6937987119426667E-2</v>
      </c>
      <c r="M17" s="107"/>
      <c r="N17" s="200">
        <f>(N13-N16)/N16</f>
        <v>0.30574170388813998</v>
      </c>
      <c r="O17" s="200">
        <f>(O13-O16)/O16</f>
        <v>0.28449761735780188</v>
      </c>
      <c r="P17" s="200">
        <f>(P13-P16)/P16</f>
        <v>1.6538829066913251E-2</v>
      </c>
    </row>
    <row r="18" spans="2:19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2:19" ht="28.9" customHeight="1">
      <c r="D19" s="193" t="s">
        <v>208</v>
      </c>
      <c r="E19" s="194"/>
      <c r="F19" s="195">
        <f>SUMIFS('Actual - 2026'!T:T,'Actual - 2026'!A:A,D1)</f>
        <v>130893</v>
      </c>
      <c r="G19" s="196">
        <f>SUMIFS('Actual - 2026'!U:U,'Actual - 2026'!A:A,D1)</f>
        <v>0</v>
      </c>
      <c r="H19" s="197" t="e">
        <f>F19/G19</f>
        <v>#DIV/0!</v>
      </c>
      <c r="I19" s="194"/>
      <c r="J19" s="195">
        <f>SUMIFS('Actual - 2026'!T:T,'Actual - 2026'!B:B,D4)</f>
        <v>436182.35000000003</v>
      </c>
      <c r="K19" s="196">
        <f>SUMIFS('Actual - 2026'!U:U,'Actual - 2026'!B:B,D4)</f>
        <v>1483</v>
      </c>
      <c r="L19" s="197">
        <f>J19/K19</f>
        <v>294.12161159811194</v>
      </c>
      <c r="M19" s="194"/>
      <c r="N19" s="195">
        <f>SUMIFS('Actual - 2026'!T:T,'Actual - 2026'!D:D,G1)</f>
        <v>8984174.9600000009</v>
      </c>
      <c r="O19" s="196">
        <f>SUMIFS('Actual - 2026'!U:U,'Actual - 2026'!D:D,G1)</f>
        <v>28037</v>
      </c>
      <c r="P19" s="197">
        <f>N19/O19</f>
        <v>320.43995291935659</v>
      </c>
      <c r="Q19" s="91">
        <f>J19-J22</f>
        <v>-302520.44</v>
      </c>
      <c r="S19" s="5">
        <v>375</v>
      </c>
    </row>
    <row r="20" spans="2:19" ht="28.9" customHeight="1">
      <c r="D20" s="202" t="s">
        <v>78</v>
      </c>
      <c r="E20" s="203"/>
      <c r="F20" s="204">
        <f>SUMIFS('Budget - 2026'!AJ:AJ,'Budget - 2026'!B:B,D1)</f>
        <v>164369.63878602296</v>
      </c>
      <c r="G20" s="205">
        <f>SUMIFS('Budget - 2026'!AK:AK,'Budget - 2026'!B:B,D1)</f>
        <v>593.75</v>
      </c>
      <c r="H20" s="206">
        <f>F20/G20</f>
        <v>276.83307585014393</v>
      </c>
      <c r="I20" s="194"/>
      <c r="J20" s="204">
        <f>SUMIFS('Budget - 2026'!AJ:AJ,'Budget - 2026'!C:C,D4,'Budget - 2026'!$E:$E,G1)</f>
        <v>829339.74037363823</v>
      </c>
      <c r="K20" s="205">
        <f>SUMIFS('Budget - 2026'!AK:AK,'Budget - 2026'!C:C,D4,'Budget - 2026'!$E:$E,G1)</f>
        <v>2519.3999999999996</v>
      </c>
      <c r="L20" s="206">
        <f>J20/K20</f>
        <v>329.18144811210539</v>
      </c>
      <c r="M20" s="194"/>
      <c r="N20" s="204">
        <f>SUMIFS('Budget - 2026'!AJ:AJ,'Budget - 2026'!E:E,G1)</f>
        <v>9145134.5440088715</v>
      </c>
      <c r="O20" s="205">
        <f>SUMIFS('Budget - 2026'!AK:AK,'Budget - 2026'!E:E,G1)</f>
        <v>29329.649999999994</v>
      </c>
      <c r="P20" s="206">
        <f>N20/O20</f>
        <v>311.80510316382475</v>
      </c>
      <c r="Q20" s="189">
        <f>G20-G22</f>
        <v>-31.25</v>
      </c>
      <c r="S20" s="5">
        <v>310000</v>
      </c>
    </row>
    <row r="21" spans="2:19" s="54" customFormat="1" ht="28.9" customHeight="1">
      <c r="D21" s="207" t="s">
        <v>105</v>
      </c>
      <c r="E21" s="203"/>
      <c r="F21" s="179">
        <f>(F19-F20)/F20</f>
        <v>-0.20366680266057516</v>
      </c>
      <c r="G21" s="179">
        <f>(G19-G20)/G20</f>
        <v>-1</v>
      </c>
      <c r="H21" s="179" t="e">
        <f>(H19-H20)/H20</f>
        <v>#DIV/0!</v>
      </c>
      <c r="I21" s="194"/>
      <c r="J21" s="179">
        <f>(J19-J20)/J20</f>
        <v>-0.47406071508946501</v>
      </c>
      <c r="K21" s="179">
        <f>(K19-K20)/K20</f>
        <v>-0.41136778598078899</v>
      </c>
      <c r="L21" s="179">
        <f>(L19-L20)/L20</f>
        <v>-0.10650611301173186</v>
      </c>
      <c r="M21" s="107"/>
      <c r="N21" s="179">
        <f>(N19-N20)/N20</f>
        <v>-1.760057036168133E-2</v>
      </c>
      <c r="O21" s="179">
        <f>(O19-O20)/O20</f>
        <v>-4.4073147821402384E-2</v>
      </c>
      <c r="P21" s="179">
        <f>(P19-P20)/P20</f>
        <v>2.7693099528890701E-2</v>
      </c>
      <c r="Q21" s="54">
        <f>Q20/G22</f>
        <v>-0.05</v>
      </c>
      <c r="S21" s="98">
        <v>768000</v>
      </c>
    </row>
    <row r="22" spans="2:19" ht="28.9" customHeight="1">
      <c r="D22" s="198">
        <v>2025</v>
      </c>
      <c r="E22" s="194"/>
      <c r="F22" s="195">
        <f>SUMIFS('Budget - 2026'!AM:AM,'Budget - 2026'!B:B,D1)</f>
        <v>164040.75</v>
      </c>
      <c r="G22" s="196">
        <f>SUMIFS('Budget - 2026'!AN:AN,'Budget - 2026'!B:B,D1)</f>
        <v>625</v>
      </c>
      <c r="H22" s="197">
        <f>F22/G22</f>
        <v>262.46519999999998</v>
      </c>
      <c r="I22" s="194"/>
      <c r="J22" s="195">
        <f>SUMIFS('Budget - 2026'!AM:AM,'Budget - 2026'!C:C,D4,'Budget - 2026'!$E:$E,G1)</f>
        <v>738702.79</v>
      </c>
      <c r="K22" s="196">
        <f>SUMIFS('Budget - 2026'!AN:AN,'Budget - 2026'!C:C,D4,'Budget - 2026'!$E:$E,G1)</f>
        <v>2652</v>
      </c>
      <c r="L22" s="197">
        <f>J22/K22</f>
        <v>278.5455467571644</v>
      </c>
      <c r="M22" s="194"/>
      <c r="N22" s="195">
        <f>SUMIFS('Budget - 2026'!AM:AM,'Budget - 2026'!E:E,'RDG Weekly Sales'!G1)</f>
        <v>8833902.2999999989</v>
      </c>
      <c r="O22" s="196">
        <f>SUMIFS('Budget - 2026'!AN:AN,'Budget - 2026'!E:E,'RDG Weekly Sales'!G1)</f>
        <v>28373</v>
      </c>
      <c r="P22" s="197">
        <f>N22/O22</f>
        <v>311.34889860078238</v>
      </c>
      <c r="S22" s="98">
        <f>F19</f>
        <v>130893</v>
      </c>
    </row>
    <row r="23" spans="2:19" s="54" customFormat="1" ht="28.9" customHeight="1" thickBot="1">
      <c r="D23" s="199" t="s">
        <v>105</v>
      </c>
      <c r="E23" s="194"/>
      <c r="F23" s="200">
        <f>(F19-F22)/F22</f>
        <v>-0.20207021730880895</v>
      </c>
      <c r="G23" s="200">
        <f>(G19-G22)/G22</f>
        <v>-1</v>
      </c>
      <c r="H23" s="200" t="e">
        <f>(H19-H22)/H22</f>
        <v>#DIV/0!</v>
      </c>
      <c r="I23" s="194"/>
      <c r="J23" s="200">
        <f>(J19-J22)/J22</f>
        <v>-0.40952930474243909</v>
      </c>
      <c r="K23" s="200">
        <f>(K19-K22)/K22</f>
        <v>-0.44079939668174961</v>
      </c>
      <c r="L23" s="200">
        <f>(L19-L22)/L22</f>
        <v>5.5919274324377294E-2</v>
      </c>
      <c r="M23" s="107"/>
      <c r="N23" s="200">
        <f>(N19-N22)/N22</f>
        <v>1.701090355051833E-2</v>
      </c>
      <c r="O23" s="200">
        <f>(O19-O22)/O22</f>
        <v>-1.1842244387269588E-2</v>
      </c>
      <c r="P23" s="200">
        <f>(P19-P22)/P22</f>
        <v>2.9198928788346012E-2</v>
      </c>
      <c r="S23" s="321">
        <f>SUM(S21:S22)</f>
        <v>898893</v>
      </c>
    </row>
    <row r="24" spans="2:19" s="194" customFormat="1" ht="7.5" customHeight="1" thickBot="1"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S24" s="98">
        <v>1028594</v>
      </c>
    </row>
    <row r="25" spans="2:19" ht="28.9" customHeight="1">
      <c r="D25" s="221" t="s">
        <v>242</v>
      </c>
      <c r="E25" s="222"/>
      <c r="F25" s="223">
        <f>SUM(F7,F13,F19)</f>
        <v>191603</v>
      </c>
      <c r="G25" s="224">
        <f>SUM(G7,G13,G19)</f>
        <v>0</v>
      </c>
      <c r="H25" s="223" t="e">
        <f>F25/G25</f>
        <v>#DIV/0!</v>
      </c>
      <c r="I25" s="76"/>
      <c r="J25" s="223">
        <f>SUM(J7,J13,J19)</f>
        <v>675579.5</v>
      </c>
      <c r="K25" s="224">
        <f>SUM(K7,K13,K19)</f>
        <v>2443</v>
      </c>
      <c r="L25" s="223">
        <f>J25/K25</f>
        <v>276.53683995088005</v>
      </c>
      <c r="N25" s="223">
        <f>SUM(N7,N13,N19)</f>
        <v>12611001.4</v>
      </c>
      <c r="O25" s="224">
        <f>SUM(O7,O13,O19)</f>
        <v>43179</v>
      </c>
      <c r="P25" s="223">
        <f>N25/O25</f>
        <v>292.06330392088745</v>
      </c>
      <c r="S25" s="324">
        <f>S23-S24</f>
        <v>-129701</v>
      </c>
    </row>
    <row r="26" spans="2:19" ht="28.9" customHeight="1">
      <c r="D26" s="209" t="s">
        <v>78</v>
      </c>
      <c r="E26" s="210"/>
      <c r="F26" s="211">
        <f>SUM(F8,F14,F20)</f>
        <v>226577.17340646678</v>
      </c>
      <c r="G26" s="212">
        <f>SUM(G8,G14,G20)</f>
        <v>921.75</v>
      </c>
      <c r="H26" s="213">
        <f>F26/G26</f>
        <v>245.81195921504397</v>
      </c>
      <c r="I26" s="194"/>
      <c r="J26" s="211">
        <f>SUM(J8,J14,J20)</f>
        <v>1068949.7403736382</v>
      </c>
      <c r="K26" s="212">
        <f>SUM(K8,K14,K20)</f>
        <v>3619.3999999999996</v>
      </c>
      <c r="L26" s="213">
        <f>J26/K26</f>
        <v>295.33893473328129</v>
      </c>
      <c r="M26" s="194"/>
      <c r="N26" s="211">
        <f>SUM(N8,N14,N20)</f>
        <v>12272711.305858474</v>
      </c>
      <c r="O26" s="212">
        <f>SUM(O8,O14,O20)</f>
        <v>42322.649999999994</v>
      </c>
      <c r="P26" s="213">
        <f>N26/O26</f>
        <v>289.97974620820003</v>
      </c>
    </row>
    <row r="27" spans="2:19" s="54" customFormat="1" ht="28.9" customHeight="1">
      <c r="D27" s="214" t="s">
        <v>105</v>
      </c>
      <c r="E27" s="210"/>
      <c r="F27" s="215">
        <f>(F25-F26)/F26</f>
        <v>-0.15435876827594222</v>
      </c>
      <c r="G27" s="215">
        <f>(G25-G26)/G26</f>
        <v>-1</v>
      </c>
      <c r="H27" s="215" t="e">
        <f>(H25-H26)/H26</f>
        <v>#DIV/0!</v>
      </c>
      <c r="I27" s="194"/>
      <c r="J27" s="215">
        <f>(J25-J26)/J26</f>
        <v>-0.3679969464571276</v>
      </c>
      <c r="K27" s="215">
        <f>(K25-K26)/K26</f>
        <v>-0.32502624744432773</v>
      </c>
      <c r="L27" s="215">
        <f>(L25-L26)/L26</f>
        <v>-6.3662770367142046E-2</v>
      </c>
      <c r="M27" s="107"/>
      <c r="N27" s="215">
        <f>(N25-N26)/N26</f>
        <v>2.7564413902577561E-2</v>
      </c>
      <c r="O27" s="215">
        <f>(O25-O26)/O26</f>
        <v>2.0233846415571945E-2</v>
      </c>
      <c r="P27" s="215">
        <f>(P25-P26)/P26</f>
        <v>7.1851835858614327E-3</v>
      </c>
    </row>
    <row r="28" spans="2:19" ht="28.9" customHeight="1">
      <c r="D28" s="198">
        <v>2025</v>
      </c>
      <c r="E28" s="194"/>
      <c r="F28" s="195">
        <f t="shared" ref="F28:G28" si="2">SUM(F10,F16,F22)</f>
        <v>225616.5</v>
      </c>
      <c r="G28" s="196">
        <f t="shared" si="2"/>
        <v>953</v>
      </c>
      <c r="H28" s="197">
        <f>F28/G28</f>
        <v>236.74344176285413</v>
      </c>
      <c r="I28" s="194"/>
      <c r="J28" s="195">
        <f t="shared" ref="J28" si="3">SUM(J10,J16,J22)</f>
        <v>978624.81</v>
      </c>
      <c r="K28" s="196">
        <f>SUM(K10,K16,K22)</f>
        <v>3752</v>
      </c>
      <c r="L28" s="197">
        <f>J28/K28</f>
        <v>260.82750799573563</v>
      </c>
      <c r="M28" s="194"/>
      <c r="N28" s="195">
        <f t="shared" ref="N28:O28" si="4">SUM(N10,N16,N22)</f>
        <v>11834397.379999999</v>
      </c>
      <c r="O28" s="196">
        <f t="shared" si="4"/>
        <v>41074</v>
      </c>
      <c r="P28" s="197">
        <f>N28/O28</f>
        <v>288.12381019623115</v>
      </c>
    </row>
    <row r="29" spans="2:19" s="54" customFormat="1" ht="28.9" customHeight="1">
      <c r="D29" s="199" t="s">
        <v>105</v>
      </c>
      <c r="E29" s="194"/>
      <c r="F29" s="200">
        <f>(F25-F28)/F28</f>
        <v>-0.15075803409768346</v>
      </c>
      <c r="G29" s="200">
        <f>(G25-G28)/G28</f>
        <v>-1</v>
      </c>
      <c r="H29" s="200" t="e">
        <f>(H25-H28)/H28</f>
        <v>#DIV/0!</v>
      </c>
      <c r="I29" s="194"/>
      <c r="J29" s="200">
        <f>(J25-J28)/J28</f>
        <v>-0.30966444637756529</v>
      </c>
      <c r="K29" s="200">
        <f>(K25-K28)/K28</f>
        <v>-0.34888059701492535</v>
      </c>
      <c r="L29" s="200">
        <f>(L25-L28)/L28</f>
        <v>6.022881587858156E-2</v>
      </c>
      <c r="M29" s="107"/>
      <c r="N29" s="200">
        <f>(N25-N28)/N28</f>
        <v>6.5622607984455017E-2</v>
      </c>
      <c r="O29" s="200">
        <f>(O25-O28)/O28</f>
        <v>5.1248965282173639E-2</v>
      </c>
      <c r="P29" s="200">
        <f>(P25-P28)/P28</f>
        <v>1.3672919714525672E-2</v>
      </c>
    </row>
    <row r="30" spans="2:19" ht="15.75">
      <c r="B30" s="46" t="s">
        <v>96</v>
      </c>
      <c r="F30" s="91">
        <f>F25-F26</f>
        <v>-34974.173406466783</v>
      </c>
      <c r="J30" s="91"/>
      <c r="M30" s="99"/>
    </row>
    <row r="31" spans="2:19" ht="15.75">
      <c r="B31" s="46" t="s">
        <v>97</v>
      </c>
      <c r="F31" s="91">
        <f>F19-F20</f>
        <v>-33476.638786022959</v>
      </c>
      <c r="J31" s="91">
        <v>-203516.69000000006</v>
      </c>
      <c r="M31" s="99"/>
    </row>
    <row r="32" spans="2:19">
      <c r="F32" s="91">
        <f>F13-F14</f>
        <v>4899.0659481418043</v>
      </c>
      <c r="J32" s="91">
        <v>-137776</v>
      </c>
    </row>
    <row r="33" spans="7:15">
      <c r="J33" s="91">
        <f>SUM(J31:J32)</f>
        <v>-341292.69000000006</v>
      </c>
    </row>
    <row r="35" spans="7:15">
      <c r="J35" s="91">
        <v>497337</v>
      </c>
    </row>
    <row r="36" spans="7:15">
      <c r="J36" s="91">
        <v>1066731</v>
      </c>
    </row>
    <row r="37" spans="7:15">
      <c r="J37" s="91">
        <v>1564068</v>
      </c>
    </row>
    <row r="39" spans="7:15">
      <c r="J39" s="91">
        <v>972367.75</v>
      </c>
    </row>
    <row r="40" spans="7:15">
      <c r="J40" s="91">
        <f>J19</f>
        <v>436182.35000000003</v>
      </c>
    </row>
    <row r="41" spans="7:15">
      <c r="J41" s="91">
        <f>SUM(J39:J40)</f>
        <v>1408550.1</v>
      </c>
    </row>
    <row r="42" spans="7:15">
      <c r="J42" s="91">
        <f>J37-J41</f>
        <v>155517.89999999991</v>
      </c>
    </row>
    <row r="43" spans="7:15">
      <c r="G43" s="189"/>
      <c r="K43" s="189"/>
      <c r="O43" s="189"/>
    </row>
    <row r="44" spans="7:15">
      <c r="G44" s="189"/>
      <c r="K44" s="189"/>
      <c r="O44" s="189"/>
    </row>
  </sheetData>
  <mergeCells count="4">
    <mergeCell ref="D2:P2"/>
    <mergeCell ref="F4:H4"/>
    <mergeCell ref="J4:L4"/>
    <mergeCell ref="N4:P4"/>
  </mergeCells>
  <conditionalFormatting sqref="F9:P9 F11:P11 F15:P15 F17:P17 F21:P21 F23:P23 F27:P27 F29:P29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scale="56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ED42977-8FE8-4A94-8B29-5A773323A9B3}">
          <x14:formula1>
            <xm:f>'Budget - 2026'!$B$5:$B$56</xm:f>
          </x14:formula1>
          <xm:sqref>D1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A770-CE67-4EF1-BFE4-193B527ED25F}">
  <sheetPr>
    <tabColor theme="2" tint="-9.9978637043366805E-2"/>
    <pageSetUpPr fitToPage="1"/>
  </sheetPr>
  <dimension ref="B1:S44"/>
  <sheetViews>
    <sheetView zoomScale="70" zoomScaleNormal="70" workbookViewId="0">
      <selection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6" width="11.5703125" style="5" bestFit="1" customWidth="1" outlineLevel="1"/>
    <col min="7" max="7" width="11.7109375" style="5" bestFit="1" customWidth="1" outlineLevel="1"/>
    <col min="8" max="8" width="16.28515625" style="5" bestFit="1" customWidth="1" outlineLevel="1"/>
    <col min="9" max="9" width="1.5703125" style="5" customWidth="1"/>
    <col min="10" max="10" width="13.5703125" style="5" bestFit="1" customWidth="1" outlineLevel="1"/>
    <col min="11" max="11" width="11.7109375" style="5" bestFit="1" customWidth="1" outlineLevel="1"/>
    <col min="12" max="12" width="16.28515625" style="5" bestFit="1" customWidth="1" outlineLevel="1"/>
    <col min="13" max="13" width="1.5703125" style="5" customWidth="1" outlineLevel="1"/>
    <col min="14" max="14" width="13.5703125" style="5" bestFit="1" customWidth="1"/>
    <col min="15" max="15" width="11.7109375" style="5" bestFit="1" customWidth="1"/>
    <col min="16" max="16" width="16.28515625" style="5" bestFit="1" customWidth="1"/>
    <col min="17" max="18" width="10.7109375" style="5"/>
    <col min="19" max="19" width="13.28515625" style="5" bestFit="1" customWidth="1"/>
    <col min="20" max="16384" width="10.7109375" style="5"/>
  </cols>
  <sheetData>
    <row r="1" spans="3:19" ht="18.75">
      <c r="D1" s="118" t="str">
        <f>'MILA Sales - 2F'!D1</f>
        <v>Week 34</v>
      </c>
      <c r="F1" s="5">
        <f>VLOOKUP(D1,Dates!$B$2:$E$53,4,FALSE)</f>
        <v>34</v>
      </c>
      <c r="G1" s="5" t="b">
        <v>1</v>
      </c>
    </row>
    <row r="2" spans="3:19" ht="28.5">
      <c r="D2" s="399" t="str">
        <f>CONCATENATE("AVA WP",)</f>
        <v>AVA WP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</row>
    <row r="4" spans="3:19" ht="23.25">
      <c r="C4" s="121" t="e">
        <f>VLOOKUP($D$4,#REF!,2,FALSE)</f>
        <v>#REF!</v>
      </c>
      <c r="D4" s="118" t="str">
        <f>VLOOKUP(D1,'Actual - 2026'!$A$5:$B$56,2,FALSE)</f>
        <v>P8</v>
      </c>
      <c r="F4" s="406" t="str">
        <f>D1</f>
        <v>Week 34</v>
      </c>
      <c r="G4" s="406"/>
      <c r="H4" s="406"/>
      <c r="J4" s="406" t="str">
        <f>CONCATENATE("MTD"," ","-"," ",D4)</f>
        <v>MTD - P8</v>
      </c>
      <c r="K4" s="406"/>
      <c r="L4" s="406"/>
      <c r="M4" s="71"/>
      <c r="N4" s="406" t="s">
        <v>7</v>
      </c>
      <c r="O4" s="406"/>
      <c r="P4" s="406"/>
    </row>
    <row r="6" spans="3:19" ht="16.350000000000001" customHeight="1">
      <c r="D6" s="54"/>
      <c r="F6" s="142" t="s">
        <v>77</v>
      </c>
      <c r="G6" s="142" t="s">
        <v>81</v>
      </c>
      <c r="H6" s="160" t="s">
        <v>237</v>
      </c>
      <c r="J6" s="142" t="s">
        <v>77</v>
      </c>
      <c r="K6" s="142" t="s">
        <v>81</v>
      </c>
      <c r="L6" s="160" t="s">
        <v>237</v>
      </c>
      <c r="M6" s="141"/>
      <c r="N6" s="142" t="s">
        <v>77</v>
      </c>
      <c r="O6" s="142" t="s">
        <v>81</v>
      </c>
      <c r="P6" s="160" t="s">
        <v>237</v>
      </c>
    </row>
    <row r="7" spans="3:19" ht="28.9" customHeight="1">
      <c r="D7" s="193" t="s">
        <v>204</v>
      </c>
      <c r="E7" s="194"/>
      <c r="F7" s="195">
        <f>SUMIFS('Actual - 2026'!Z:Z,'Actual - 2026'!A:A,D1)</f>
        <v>206393.2</v>
      </c>
      <c r="G7" s="196">
        <f>SUMIFS('Actual - 2026'!AA:AA,'Actual - 2026'!A:A,D1)</f>
        <v>0</v>
      </c>
      <c r="H7" s="197" t="e">
        <f>F7/G7</f>
        <v>#DIV/0!</v>
      </c>
      <c r="I7" s="194"/>
      <c r="J7" s="195">
        <f>SUMIFS('Actual - 2026'!Z:Z,'Actual - 2026'!B:B,D4)</f>
        <v>709790.59000000008</v>
      </c>
      <c r="K7" s="196">
        <f>SUMIFS('Actual - 2026'!AA:AA,'Actual - 2026'!B:B,D4)</f>
        <v>4904</v>
      </c>
      <c r="L7" s="197">
        <f>J7/K7</f>
        <v>144.73706973898859</v>
      </c>
      <c r="M7" s="194"/>
      <c r="N7" s="195">
        <f>SUMIFS('Actual - 2026'!Z:Z,'Actual - 2026'!D:D,G1)</f>
        <v>6225252.7199999997</v>
      </c>
      <c r="O7" s="196">
        <f>SUMIFS('Actual - 2026'!AA:AA,'Actual - 2026'!D:D,G1)</f>
        <v>53983.853000000003</v>
      </c>
      <c r="P7" s="197">
        <f>N7/O7</f>
        <v>115.31693967824044</v>
      </c>
      <c r="R7" s="189"/>
      <c r="S7" s="91"/>
    </row>
    <row r="8" spans="3:19" ht="28.9" customHeight="1">
      <c r="D8" s="202" t="s">
        <v>78</v>
      </c>
      <c r="E8" s="203"/>
      <c r="F8" s="204">
        <f>SUMIFS('Budget - 2026'!AV:AV,'Budget - 2026'!B:B,D1)</f>
        <v>196748.34383740666</v>
      </c>
      <c r="G8" s="205">
        <f>SUMIFS('Budget - 2026'!AW:AW,'Budget - 2026'!B:B,D1)</f>
        <v>1787</v>
      </c>
      <c r="H8" s="206">
        <f>F8/G8</f>
        <v>110.09980069244916</v>
      </c>
      <c r="I8" s="194"/>
      <c r="J8" s="204">
        <f>SUMIFS('Budget - 2026'!AV:AV,'Budget - 2026'!C:C,D4,'Budget - 2026'!$E:$E,G1)</f>
        <v>704704</v>
      </c>
      <c r="K8" s="205">
        <f>SUMIFS('Budget - 2026'!AW:AW,'Budget - 2026'!C:C,D4,'Budget - 2026'!$E:$E,G1)</f>
        <v>6378</v>
      </c>
      <c r="L8" s="206">
        <f>J8/K8</f>
        <v>110.48980871746629</v>
      </c>
      <c r="M8" s="194"/>
      <c r="N8" s="204">
        <f>SUMIFS('Budget - 2026'!AV:AV,'Budget - 2026'!E:E,G1)</f>
        <v>6093990.7032558154</v>
      </c>
      <c r="O8" s="205">
        <f>SUMIFS('Budget - 2026'!AW:AW,'Budget - 2026'!E:E,G1)</f>
        <v>54829</v>
      </c>
      <c r="P8" s="206">
        <f>N8/O8</f>
        <v>111.14539209644195</v>
      </c>
      <c r="R8" s="189"/>
    </row>
    <row r="9" spans="3:19" s="54" customFormat="1" ht="28.9" customHeight="1">
      <c r="D9" s="207" t="s">
        <v>105</v>
      </c>
      <c r="E9" s="203"/>
      <c r="F9" s="179">
        <f>(F7-F8)/F8</f>
        <v>4.9021282591145389E-2</v>
      </c>
      <c r="G9" s="179">
        <f>(G7-G8)/G8</f>
        <v>-1</v>
      </c>
      <c r="H9" s="179" t="e">
        <f>(H7-H8)/H8</f>
        <v>#DIV/0!</v>
      </c>
      <c r="I9" s="194"/>
      <c r="J9" s="179">
        <f>(J7-J8)/J8</f>
        <v>7.2180518345292266E-3</v>
      </c>
      <c r="K9" s="179">
        <f>(K7-K8)/K8</f>
        <v>-0.23110693007212293</v>
      </c>
      <c r="L9" s="179">
        <f>(L7-L8)/L8</f>
        <v>0.30995855110126985</v>
      </c>
      <c r="M9" s="107"/>
      <c r="N9" s="179">
        <f>(N7-N8)/N8</f>
        <v>2.1539582703015186E-2</v>
      </c>
      <c r="O9" s="179">
        <f>(O7-O8)/O8</f>
        <v>-1.5414233343668446E-2</v>
      </c>
      <c r="P9" s="179">
        <f>(P7-P8)/P8</f>
        <v>3.753234842321488E-2</v>
      </c>
      <c r="R9" s="257"/>
    </row>
    <row r="10" spans="3:19" ht="28.9" customHeight="1">
      <c r="D10" s="198">
        <v>2025</v>
      </c>
      <c r="E10" s="194"/>
      <c r="F10" s="195">
        <f>SUMIFS('Budget - 2026'!BH:BH,'Budget - 2026'!B:B,D1)</f>
        <v>194952.52</v>
      </c>
      <c r="G10" s="196">
        <f>SUMIFS('Budget - 2026'!BI:BI,'Budget - 2026'!B:B,D1)</f>
        <v>1787</v>
      </c>
      <c r="H10" s="197">
        <f>F10/G10</f>
        <v>109.09486289871292</v>
      </c>
      <c r="I10" s="194"/>
      <c r="J10" s="195">
        <f>SUMIFS('Budget - 2026'!BH:BH,'Budget - 2026'!C:C,D4,'Budget - 2026'!$E:$E,G1)</f>
        <v>701073.91</v>
      </c>
      <c r="K10" s="196">
        <f>SUMIFS('Budget - 2026'!BI:BI,'Budget - 2026'!C:C,D4,'Budget - 2026'!$E:$E,G1)</f>
        <v>6382</v>
      </c>
      <c r="L10" s="197">
        <f>J10/K10</f>
        <v>109.85175650266375</v>
      </c>
      <c r="M10" s="194"/>
      <c r="N10" s="195">
        <f>SUMIFS('Budget - 2026'!BH:BH,'Budget - 2026'!E:E,G1)</f>
        <v>6051118.2299999995</v>
      </c>
      <c r="O10" s="196">
        <f>SUMIFS('Budget - 2026'!BI:BI,'Budget - 2026'!E:E,G1)</f>
        <v>54494</v>
      </c>
      <c r="P10" s="197">
        <f>N10/O10</f>
        <v>111.04191709178991</v>
      </c>
    </row>
    <row r="11" spans="3:19" s="54" customFormat="1" ht="28.9" customHeight="1" thickBot="1">
      <c r="D11" s="199" t="s">
        <v>105</v>
      </c>
      <c r="E11" s="194"/>
      <c r="F11" s="200">
        <f>(F7-F10)/F10</f>
        <v>5.8684442755600301E-2</v>
      </c>
      <c r="G11" s="200">
        <f>(G7-G10)/G10</f>
        <v>-1</v>
      </c>
      <c r="H11" s="200" t="e">
        <f>(H7-H10)/H10</f>
        <v>#DIV/0!</v>
      </c>
      <c r="I11" s="194"/>
      <c r="J11" s="200">
        <f>(J7-J10)/J10</f>
        <v>1.2433325325143038E-2</v>
      </c>
      <c r="K11" s="200">
        <f>(K7-K10)/K10</f>
        <v>-0.23158884362268881</v>
      </c>
      <c r="L11" s="200">
        <f>(L7-L10)/L10</f>
        <v>0.31756718642436027</v>
      </c>
      <c r="M11" s="107"/>
      <c r="N11" s="200">
        <f>(N7-N10)/N10</f>
        <v>2.8777241392621118E-2</v>
      </c>
      <c r="O11" s="200">
        <f>(O7-O10)/O10</f>
        <v>-9.3615260395639374E-3</v>
      </c>
      <c r="P11" s="200">
        <f>(P7-P10)/P10</f>
        <v>3.8499178494159972E-2</v>
      </c>
    </row>
    <row r="12" spans="3:19" s="194" customFormat="1" ht="7.5" customHeight="1" thickBot="1"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</row>
    <row r="13" spans="3:19" ht="28.9" customHeight="1">
      <c r="D13" s="193" t="s">
        <v>205</v>
      </c>
      <c r="E13" s="194"/>
      <c r="F13" s="195">
        <f>SUMIFS('Actual - 2026'!AC:AC,'Actual - 2026'!A:A,D1)</f>
        <v>17786</v>
      </c>
      <c r="G13" s="196">
        <f>SUMIFS('Actual - 2026'!AD:AD,'Actual - 2026'!A:A,D1)</f>
        <v>0</v>
      </c>
      <c r="H13" s="197" t="e">
        <f>F13/G13</f>
        <v>#DIV/0!</v>
      </c>
      <c r="I13" s="194"/>
      <c r="J13" s="195">
        <f>SUMIFS('Actual - 2026'!AC:AC,'Actual - 2026'!B:B,D4)</f>
        <v>74998.44</v>
      </c>
      <c r="K13" s="196">
        <f>SUMIFS('Actual - 2026'!AD:AD,'Actual - 2026'!B:B,D4)</f>
        <v>909</v>
      </c>
      <c r="L13" s="197">
        <f>J13/K13</f>
        <v>82.506534653465351</v>
      </c>
      <c r="M13" s="194"/>
      <c r="N13" s="195">
        <f>SUMIFS('Actual - 2026'!AC:AC,'Actual - 2026'!D:D,G1)</f>
        <v>767544.8600000001</v>
      </c>
      <c r="O13" s="196">
        <f>SUMIFS('Actual - 2026'!AD:AD,'Actual - 2026'!D:D,G1)</f>
        <v>10665.147000000001</v>
      </c>
      <c r="P13" s="197">
        <f>N13/O13</f>
        <v>71.967583756698346</v>
      </c>
      <c r="R13" s="189"/>
    </row>
    <row r="14" spans="3:19" ht="27.6" customHeight="1">
      <c r="D14" s="202" t="s">
        <v>78</v>
      </c>
      <c r="E14" s="203"/>
      <c r="F14" s="204">
        <f>SUMIFS('Budget - 2026'!AY:AY,'Budget - 2026'!B:B,D1)</f>
        <v>18441.243369812237</v>
      </c>
      <c r="G14" s="205">
        <f>SUMIFS('Budget - 2026'!AZ:AZ,'Budget - 2026'!B:B,D1)</f>
        <v>293</v>
      </c>
      <c r="H14" s="206">
        <f>F14/G14</f>
        <v>62.939397166594667</v>
      </c>
      <c r="I14" s="194"/>
      <c r="J14" s="204">
        <f>SUMIFS('Budget - 2026'!AY:AY,'Budget - 2026'!C:C,D4,'Budget - 2026'!$E:$E,G1)</f>
        <v>65974.249886922757</v>
      </c>
      <c r="K14" s="205">
        <f>SUMIFS('Budget - 2026'!AZ:AZ,'Budget - 2026'!C:C,D4,'Budget - 2026'!$E:$E,G1)</f>
        <v>1049</v>
      </c>
      <c r="L14" s="206">
        <f>J14/K14</f>
        <v>62.89251657475954</v>
      </c>
      <c r="M14" s="194"/>
      <c r="N14" s="204">
        <f>SUMIFS('Budget - 2026'!AY:AY,'Budget - 2026'!E:E,G1)</f>
        <v>737687.46746569686</v>
      </c>
      <c r="O14" s="205">
        <f>SUMIFS('Budget - 2026'!AZ:AZ,'Budget - 2026'!E:E,G1)</f>
        <v>11264</v>
      </c>
      <c r="P14" s="206">
        <f>N14/O14</f>
        <v>65.490719767906327</v>
      </c>
    </row>
    <row r="15" spans="3:19" s="54" customFormat="1" ht="28.9" customHeight="1">
      <c r="D15" s="207" t="s">
        <v>105</v>
      </c>
      <c r="E15" s="203"/>
      <c r="F15" s="179">
        <f>(F13-F14)/F14</f>
        <v>-3.5531409497303774E-2</v>
      </c>
      <c r="G15" s="179">
        <f>(G13-G14)/G14</f>
        <v>-1</v>
      </c>
      <c r="H15" s="179" t="e">
        <f>(H13-H14)/H14</f>
        <v>#DIV/0!</v>
      </c>
      <c r="I15" s="194"/>
      <c r="J15" s="179">
        <f>(J13-J14)/J14</f>
        <v>0.13678351976027539</v>
      </c>
      <c r="K15" s="179">
        <f>(K13-K14)/K14</f>
        <v>-0.1334604385128694</v>
      </c>
      <c r="L15" s="179">
        <f>(L13-L14)/L14</f>
        <v>0.31186569002038383</v>
      </c>
      <c r="M15" s="107"/>
      <c r="N15" s="179">
        <f>(N13-N14)/N14</f>
        <v>4.0474311752750014E-2</v>
      </c>
      <c r="O15" s="179">
        <f>(O13-O14)/O14</f>
        <v>-5.3165216619318105E-2</v>
      </c>
      <c r="P15" s="179">
        <f>(P13-P14)/P14</f>
        <v>9.8897431754384243E-2</v>
      </c>
    </row>
    <row r="16" spans="3:19" ht="28.9" customHeight="1">
      <c r="D16" s="198">
        <v>2025</v>
      </c>
      <c r="E16" s="194"/>
      <c r="F16" s="195">
        <f>SUMIFS('Budget - 2026'!BK:BK,'Budget - 2026'!B:B,D1)</f>
        <v>22481</v>
      </c>
      <c r="G16" s="196">
        <f>SUMIFS('Budget - 2026'!BL:BL,'Budget - 2026'!B:B,D1)</f>
        <v>293</v>
      </c>
      <c r="H16" s="197">
        <f>F16/G16</f>
        <v>76.726962457337891</v>
      </c>
      <c r="I16" s="194"/>
      <c r="J16" s="195">
        <f>SUMIFS('Budget - 2026'!BK:BK,'Budget - 2026'!C:C,D4,'Budget - 2026'!$E:$E,G1)</f>
        <v>77583</v>
      </c>
      <c r="K16" s="196">
        <f>SUMIFS('Budget - 2026'!BL:BL,'Budget - 2026'!C:C,D4,'Budget - 2026'!$E:$E,G1)</f>
        <v>1049</v>
      </c>
      <c r="L16" s="197">
        <f>J16/K16</f>
        <v>73.959008579599612</v>
      </c>
      <c r="M16" s="194"/>
      <c r="N16" s="195">
        <f>SUMIFS('Budget - 2026'!BK:BK,'Budget - 2026'!E:E,G1)</f>
        <v>967787</v>
      </c>
      <c r="O16" s="196">
        <f>SUMIFS('Budget - 2026'!BL:BL,'Budget - 2026'!E:E,G1)</f>
        <v>11123</v>
      </c>
      <c r="P16" s="197">
        <f>N16/O16</f>
        <v>87.007731727052061</v>
      </c>
      <c r="R16" s="256"/>
    </row>
    <row r="17" spans="2:19" s="54" customFormat="1" ht="28.9" customHeight="1" thickBot="1">
      <c r="D17" s="199" t="s">
        <v>105</v>
      </c>
      <c r="E17" s="194"/>
      <c r="F17" s="200">
        <f>(F13-F16)/F16</f>
        <v>-0.20884302299719765</v>
      </c>
      <c r="G17" s="200">
        <f>(G13-G16)/G16</f>
        <v>-1</v>
      </c>
      <c r="H17" s="200" t="e">
        <f>(H13-H16)/H16</f>
        <v>#DIV/0!</v>
      </c>
      <c r="I17" s="194"/>
      <c r="J17" s="200">
        <f>(J13-J16)/J16</f>
        <v>-3.3313483623989761E-2</v>
      </c>
      <c r="K17" s="200">
        <f>(K13-K16)/K16</f>
        <v>-0.1334604385128694</v>
      </c>
      <c r="L17" s="200">
        <f>(L13-L16)/L16</f>
        <v>0.11557112835911426</v>
      </c>
      <c r="M17" s="107"/>
      <c r="N17" s="200">
        <f>(N13-N16)/N16</f>
        <v>-0.20690724301938329</v>
      </c>
      <c r="O17" s="200">
        <f>(O13-O16)/O16</f>
        <v>-4.1162725883304788E-2</v>
      </c>
      <c r="P17" s="200">
        <f>(P13-P16)/P16</f>
        <v>-0.17285990189395431</v>
      </c>
    </row>
    <row r="18" spans="2:19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2:19" ht="28.9" customHeight="1">
      <c r="D19" s="193" t="s">
        <v>207</v>
      </c>
      <c r="E19" s="194"/>
      <c r="F19" s="195">
        <f>SUMIFS('Actual - 2026'!AF:AF,'Actual - 2026'!A:A,D1)</f>
        <v>39261.039999999994</v>
      </c>
      <c r="G19" s="196">
        <f>SUMIFS('Actual - 2026'!AG:AG,'Actual - 2026'!A:A,D1)</f>
        <v>0</v>
      </c>
      <c r="H19" s="197" t="e">
        <f>F19/G19</f>
        <v>#DIV/0!</v>
      </c>
      <c r="I19" s="194"/>
      <c r="J19" s="195">
        <f>SUMIFS('Actual - 2026'!AF:AF,'Actual - 2026'!B:B,D4)</f>
        <v>135072.94</v>
      </c>
      <c r="K19" s="196">
        <f>SUMIFS('Actual - 2026'!AG:AG,'Actual - 2026'!B:B,D4)</f>
        <v>496</v>
      </c>
      <c r="L19" s="197">
        <f>J19/K19</f>
        <v>272.32447580645163</v>
      </c>
      <c r="M19" s="194"/>
      <c r="N19" s="195">
        <f>SUMIFS('Actual - 2026'!AF:AF,'Actual - 2026'!D:D,G1)</f>
        <v>1184803.0400000003</v>
      </c>
      <c r="O19" s="196">
        <f>SUMIFS('Actual - 2026'!AG:AG,'Actual - 2026'!D:D,G1)</f>
        <v>5972</v>
      </c>
      <c r="P19" s="197">
        <f>N19/O19</f>
        <v>198.39300736771605</v>
      </c>
      <c r="S19" s="91"/>
    </row>
    <row r="20" spans="2:19" ht="28.9" customHeight="1">
      <c r="D20" s="202" t="s">
        <v>78</v>
      </c>
      <c r="E20" s="203"/>
      <c r="F20" s="204">
        <f>SUMIFS('Budget - 2026'!BB:BB,'Budget - 2026'!B:B,D1)</f>
        <v>28526.740035358402</v>
      </c>
      <c r="G20" s="205">
        <f>SUMIFS('Budget - 2026'!BC:BC,'Budget - 2026'!B:B,D1)</f>
        <v>244</v>
      </c>
      <c r="H20" s="206">
        <f>F20/G20</f>
        <v>116.9128689973705</v>
      </c>
      <c r="I20" s="194"/>
      <c r="J20" s="204">
        <f>SUMIFS('Budget - 2026'!BB:BB,'Budget - 2026'!C:C,D4,'Budget - 2026'!$E:$E,G1)</f>
        <v>115241</v>
      </c>
      <c r="K20" s="205">
        <f>SUMIFS('Budget - 2026'!BC:BC,'Budget - 2026'!C:C,D4,'Budget - 2026'!$E:$E,G1)</f>
        <v>919</v>
      </c>
      <c r="L20" s="206">
        <f>J20/K20</f>
        <v>125.39825897714907</v>
      </c>
      <c r="M20" s="194"/>
      <c r="N20" s="204">
        <f>SUMIFS('Budget - 2026'!BB:BB,'Budget - 2026'!E:E,G1)</f>
        <v>1060586</v>
      </c>
      <c r="O20" s="205">
        <f>SUMIFS('Budget - 2026'!BC:BC,'Budget - 2026'!E:E,G1)</f>
        <v>7388</v>
      </c>
      <c r="P20" s="206">
        <f>N20/O20</f>
        <v>143.55522468868435</v>
      </c>
      <c r="S20" s="186"/>
    </row>
    <row r="21" spans="2:19" s="54" customFormat="1" ht="28.9" customHeight="1">
      <c r="D21" s="207" t="s">
        <v>105</v>
      </c>
      <c r="E21" s="203"/>
      <c r="F21" s="179">
        <f>(F19-F20)/F20</f>
        <v>0.37628905200301938</v>
      </c>
      <c r="G21" s="179">
        <f>(G19-G20)/G20</f>
        <v>-1</v>
      </c>
      <c r="H21" s="179" t="e">
        <f>(H19-H20)/H20</f>
        <v>#DIV/0!</v>
      </c>
      <c r="I21" s="194"/>
      <c r="J21" s="179">
        <f>(J19-J20)/J20</f>
        <v>0.17209100927621249</v>
      </c>
      <c r="K21" s="179">
        <f>(K19-K20)/K20</f>
        <v>-0.46028291621327527</v>
      </c>
      <c r="L21" s="179">
        <f>(L19-L20)/L20</f>
        <v>1.171676688558144</v>
      </c>
      <c r="M21" s="107"/>
      <c r="N21" s="179">
        <f>(N19-N20)/N20</f>
        <v>0.11712113869125207</v>
      </c>
      <c r="O21" s="179">
        <f>(O19-O20)/O20</f>
        <v>-0.19166215484569571</v>
      </c>
      <c r="P21" s="179">
        <f>(P19-P20)/P20</f>
        <v>0.38199781859527304</v>
      </c>
      <c r="S21" s="98">
        <v>768000</v>
      </c>
    </row>
    <row r="22" spans="2:19" ht="28.9" customHeight="1">
      <c r="D22" s="198">
        <v>2025</v>
      </c>
      <c r="E22" s="194"/>
      <c r="F22" s="195">
        <f>SUMIFS('Budget - 2026'!BN:BN,'Budget - 2026'!B:B,D1)</f>
        <v>35661.1</v>
      </c>
      <c r="G22" s="196">
        <f>SUMIFS('Budget - 2026'!BO:BO,'Budget - 2026'!B:B,D1)</f>
        <v>244</v>
      </c>
      <c r="H22" s="197">
        <f>F22/G22</f>
        <v>146.15204918032785</v>
      </c>
      <c r="I22" s="194"/>
      <c r="J22" s="195">
        <f>SUMIFS('Budget - 2026'!BN:BN,'Budget - 2026'!C:C,D4,'Budget - 2026'!$E:$E,G1)</f>
        <v>119463.69</v>
      </c>
      <c r="K22" s="196">
        <f>SUMIFS('Budget - 2026'!BO:BO,'Budget - 2026'!C:C,D4,'Budget - 2026'!$E:$E,G1)</f>
        <v>901</v>
      </c>
      <c r="L22" s="197">
        <f>J22/K22</f>
        <v>132.59011098779135</v>
      </c>
      <c r="M22" s="194"/>
      <c r="N22" s="195">
        <f>SUMIFS('Budget - 2026'!BN:BN,'Budget - 2026'!E:E,G1)</f>
        <v>1105813.3600000001</v>
      </c>
      <c r="O22" s="196">
        <f>SUMIFS('Budget - 2026'!BO:BO,'Budget - 2026'!E:E,G1)</f>
        <v>7419</v>
      </c>
      <c r="P22" s="197">
        <f>N22/O22</f>
        <v>149.05153794311903</v>
      </c>
      <c r="S22" s="98">
        <f>F19</f>
        <v>39261.039999999994</v>
      </c>
    </row>
    <row r="23" spans="2:19" s="54" customFormat="1" ht="28.9" customHeight="1" thickBot="1">
      <c r="D23" s="199" t="s">
        <v>105</v>
      </c>
      <c r="E23" s="194"/>
      <c r="F23" s="200">
        <f>(F19-F22)/F22</f>
        <v>0.10094865273365082</v>
      </c>
      <c r="G23" s="200">
        <f>(G19-G22)/G22</f>
        <v>-1</v>
      </c>
      <c r="H23" s="200" t="e">
        <f>(H19-H22)/H22</f>
        <v>#DIV/0!</v>
      </c>
      <c r="I23" s="194"/>
      <c r="J23" s="200">
        <f>(J19-J22)/J22</f>
        <v>0.13066104018718994</v>
      </c>
      <c r="K23" s="200">
        <f>(K19-K22)/K22</f>
        <v>-0.44950055493895674</v>
      </c>
      <c r="L23" s="200">
        <f>(L19-L22)/L22</f>
        <v>1.0538822524368108</v>
      </c>
      <c r="M23" s="107"/>
      <c r="N23" s="200">
        <f>(N19-N22)/N22</f>
        <v>7.1431294698772824E-2</v>
      </c>
      <c r="O23" s="200">
        <f>(O19-O22)/O22</f>
        <v>-0.19503976277126298</v>
      </c>
      <c r="P23" s="200">
        <f>(P19-P22)/P22</f>
        <v>0.33103629862193495</v>
      </c>
      <c r="S23" s="321">
        <f>SUM(S21:S22)</f>
        <v>807261.04</v>
      </c>
    </row>
    <row r="24" spans="2:19" s="194" customFormat="1" ht="7.5" customHeight="1" thickBot="1"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S24" s="98">
        <v>1028594</v>
      </c>
    </row>
    <row r="25" spans="2:19" ht="28.9" customHeight="1">
      <c r="D25" s="221" t="s">
        <v>242</v>
      </c>
      <c r="E25" s="222"/>
      <c r="F25" s="223">
        <f>SUM(F19,F13,F7)</f>
        <v>263440.24</v>
      </c>
      <c r="G25" s="224">
        <f t="shared" ref="G25" si="0">SUM(G19,G13,G7)</f>
        <v>0</v>
      </c>
      <c r="H25" s="223" t="e">
        <f>F25/G25</f>
        <v>#DIV/0!</v>
      </c>
      <c r="I25" s="76"/>
      <c r="J25" s="223">
        <f>SUM(J19,J13,J7)</f>
        <v>919861.97000000009</v>
      </c>
      <c r="K25" s="224">
        <f t="shared" ref="K25" si="1">SUM(K19,K13,K7)</f>
        <v>6309</v>
      </c>
      <c r="L25" s="223">
        <f>J25/K25</f>
        <v>145.80154858139167</v>
      </c>
      <c r="N25" s="223">
        <f>SUM(N19,N13,N7)</f>
        <v>8177600.6200000001</v>
      </c>
      <c r="O25" s="224">
        <f t="shared" ref="O25" si="2">SUM(O19,O13,O7)</f>
        <v>70621</v>
      </c>
      <c r="P25" s="223">
        <f>N25/O25</f>
        <v>115.79559366194192</v>
      </c>
      <c r="S25" s="324">
        <f>S23-S24</f>
        <v>-221332.95999999996</v>
      </c>
    </row>
    <row r="26" spans="2:19" ht="28.9" customHeight="1">
      <c r="D26" s="209" t="s">
        <v>78</v>
      </c>
      <c r="E26" s="210"/>
      <c r="F26" s="211">
        <f>SUM(F20,F14,F8)</f>
        <v>243716.3272425773</v>
      </c>
      <c r="G26" s="212">
        <f>SUM(G20,G14,G8)</f>
        <v>2324</v>
      </c>
      <c r="H26" s="338">
        <f>F26/G26</f>
        <v>104.86933185997302</v>
      </c>
      <c r="I26" s="194"/>
      <c r="J26" s="211">
        <f>SUM(J20,J14,J8)</f>
        <v>885919.24988692277</v>
      </c>
      <c r="K26" s="212">
        <f>SUM(K20,K14,K8)</f>
        <v>8346</v>
      </c>
      <c r="L26" s="213">
        <f>J26/K26</f>
        <v>106.14896356181677</v>
      </c>
      <c r="M26" s="194"/>
      <c r="N26" s="211">
        <f>SUM(N20,N14,N8)</f>
        <v>7892264.1707215123</v>
      </c>
      <c r="O26" s="212">
        <f>SUM(O20,O14,O8)</f>
        <v>73481</v>
      </c>
      <c r="P26" s="213">
        <f>N26/O26</f>
        <v>107.40550850861464</v>
      </c>
    </row>
    <row r="27" spans="2:19" s="54" customFormat="1" ht="28.9" customHeight="1">
      <c r="D27" s="214" t="s">
        <v>105</v>
      </c>
      <c r="E27" s="210"/>
      <c r="F27" s="215">
        <f>(F25-F26)/F26</f>
        <v>8.0929796458777903E-2</v>
      </c>
      <c r="G27" s="215">
        <f>(G25-G26)/G26</f>
        <v>-1</v>
      </c>
      <c r="H27" s="215" t="e">
        <f>(H25-H26)/H26</f>
        <v>#DIV/0!</v>
      </c>
      <c r="I27" s="194"/>
      <c r="J27" s="215">
        <f>(J25-J26)/J26</f>
        <v>3.8313559748712658E-2</v>
      </c>
      <c r="K27" s="215">
        <f>(K25-K26)/K26</f>
        <v>-0.24406901509705248</v>
      </c>
      <c r="L27" s="215">
        <f>(L25-L26)/L26</f>
        <v>0.37355602625816381</v>
      </c>
      <c r="M27" s="107"/>
      <c r="N27" s="215">
        <f>(N25-N26)/N26</f>
        <v>3.6153940505060704E-2</v>
      </c>
      <c r="O27" s="215">
        <f>(O25-O26)/O26</f>
        <v>-3.8921625998557453E-2</v>
      </c>
      <c r="P27" s="215">
        <f>(P25-P26)/P26</f>
        <v>7.8115966953914068E-2</v>
      </c>
    </row>
    <row r="28" spans="2:19" ht="28.9" customHeight="1">
      <c r="D28" s="198">
        <v>2025</v>
      </c>
      <c r="E28" s="194"/>
      <c r="F28" s="195">
        <f>SUM(F10,F16,F22)</f>
        <v>253094.62</v>
      </c>
      <c r="G28" s="196">
        <f>SUM(G10,G16,G22)</f>
        <v>2324</v>
      </c>
      <c r="H28" s="197">
        <f>F28/G28</f>
        <v>108.90474182444062</v>
      </c>
      <c r="I28" s="194"/>
      <c r="J28" s="195">
        <f>SUM(J10,J16,J22)</f>
        <v>898120.60000000009</v>
      </c>
      <c r="K28" s="196">
        <f>SUM(K10,K16,K22)</f>
        <v>8332</v>
      </c>
      <c r="L28" s="197">
        <f>J28/K28</f>
        <v>107.791718674988</v>
      </c>
      <c r="M28" s="194"/>
      <c r="N28" s="195">
        <f>SUM(N10,N16,N22)</f>
        <v>8124718.5899999999</v>
      </c>
      <c r="O28" s="196">
        <f>SUM(O10,O16,O22)</f>
        <v>73036</v>
      </c>
      <c r="P28" s="197">
        <f>N28/O28</f>
        <v>111.24265553973383</v>
      </c>
    </row>
    <row r="29" spans="2:19" s="54" customFormat="1" ht="28.9" customHeight="1">
      <c r="D29" s="199" t="s">
        <v>105</v>
      </c>
      <c r="E29" s="194"/>
      <c r="F29" s="200">
        <f>(F25-F28)/F28</f>
        <v>4.0876491171562619E-2</v>
      </c>
      <c r="G29" s="200">
        <f>(G25-G28)/G28</f>
        <v>-1</v>
      </c>
      <c r="H29" s="200" t="e">
        <f>(H25-H28)/H28</f>
        <v>#DIV/0!</v>
      </c>
      <c r="I29" s="194"/>
      <c r="J29" s="200">
        <f>(J25-J28)/J28</f>
        <v>2.4207628685947068E-2</v>
      </c>
      <c r="K29" s="200">
        <f>(K25-K28)/K28</f>
        <v>-0.2427988478156505</v>
      </c>
      <c r="L29" s="200">
        <f>(L25-L28)/L28</f>
        <v>0.35262291364896353</v>
      </c>
      <c r="M29" s="107"/>
      <c r="N29" s="200">
        <f>(N25-N28)/N28</f>
        <v>6.5087829706604351E-3</v>
      </c>
      <c r="O29" s="200">
        <f>(O25-O28)/O28</f>
        <v>-3.3065885316830058E-2</v>
      </c>
      <c r="P29" s="200">
        <f>(P25-P28)/P28</f>
        <v>4.0927988460162788E-2</v>
      </c>
    </row>
    <row r="30" spans="2:19" ht="15.75">
      <c r="B30" s="46" t="s">
        <v>95</v>
      </c>
      <c r="M30" s="99"/>
    </row>
    <row r="31" spans="2:19" ht="15.75">
      <c r="B31" s="46" t="s">
        <v>96</v>
      </c>
      <c r="M31" s="99"/>
    </row>
    <row r="32" spans="2:19" ht="15.75">
      <c r="B32" s="46" t="s">
        <v>97</v>
      </c>
      <c r="D32" s="208"/>
      <c r="E32" s="208"/>
      <c r="F32" s="208"/>
      <c r="G32" s="208"/>
      <c r="H32" s="208"/>
      <c r="J32" s="208"/>
      <c r="K32" s="208"/>
      <c r="L32" s="208"/>
      <c r="M32" s="99"/>
      <c r="N32" s="208"/>
      <c r="O32" s="208"/>
      <c r="P32" s="208"/>
    </row>
    <row r="33" spans="2:16" ht="15.75">
      <c r="B33" s="46" t="s">
        <v>98</v>
      </c>
      <c r="D33" s="208"/>
      <c r="E33" s="208"/>
      <c r="F33" s="208"/>
      <c r="G33" s="208"/>
      <c r="H33" s="208"/>
      <c r="J33" s="208"/>
      <c r="K33" s="208"/>
      <c r="L33" s="208"/>
      <c r="N33" s="208"/>
      <c r="O33" s="208"/>
      <c r="P33" s="208"/>
    </row>
    <row r="34" spans="2:16" ht="15.75">
      <c r="B34" s="46" t="s">
        <v>99</v>
      </c>
      <c r="M34" s="99"/>
    </row>
    <row r="39" spans="2:16">
      <c r="D39" s="216"/>
      <c r="E39" s="216"/>
      <c r="F39" s="216"/>
      <c r="G39" s="216"/>
      <c r="H39" s="216"/>
      <c r="J39" s="216"/>
      <c r="K39" s="216"/>
      <c r="L39" s="216"/>
      <c r="N39" s="216"/>
      <c r="O39" s="216"/>
      <c r="P39" s="216"/>
    </row>
    <row r="40" spans="2:16">
      <c r="D40" s="216"/>
      <c r="E40" s="216"/>
      <c r="F40" s="216"/>
      <c r="G40" s="216"/>
      <c r="H40" s="216"/>
      <c r="J40" s="216"/>
      <c r="K40" s="216"/>
      <c r="L40" s="216"/>
      <c r="N40" s="216"/>
      <c r="O40" s="216"/>
      <c r="P40" s="216"/>
    </row>
    <row r="43" spans="2:16">
      <c r="G43" s="189"/>
      <c r="K43" s="189"/>
      <c r="O43" s="189"/>
    </row>
    <row r="44" spans="2:16">
      <c r="G44" s="189"/>
      <c r="K44" s="189"/>
      <c r="O44" s="189"/>
    </row>
  </sheetData>
  <mergeCells count="4">
    <mergeCell ref="D2:P2"/>
    <mergeCell ref="F4:H4"/>
    <mergeCell ref="J4:L4"/>
    <mergeCell ref="N4:P4"/>
  </mergeCells>
  <conditionalFormatting sqref="F9:P9 F11:P11 F15:P15 F17:P17 F21:P21 F23:P23 F27:P27 F29:P29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scale="56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B0FD991-E357-4689-BE46-C2FD00D4AA53}">
          <x14:formula1>
            <xm:f>'Budget - 2026'!$B$5:$B$56</xm:f>
          </x14:formula1>
          <xm:sqref>D1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8FA1-BC2F-43F6-847A-6FFCA6CED2BC}">
  <sheetPr>
    <tabColor theme="2" tint="-9.9978637043366805E-2"/>
    <pageSetUpPr fitToPage="1"/>
  </sheetPr>
  <dimension ref="B1:S44"/>
  <sheetViews>
    <sheetView zoomScale="85" zoomScaleNormal="85" workbookViewId="0">
      <selection activeCell="R14" sqref="R14"/>
    </sheetView>
  </sheetViews>
  <sheetFormatPr defaultColWidth="10.7109375" defaultRowHeight="15" outlineLevelRow="1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6" width="13.140625" style="5" bestFit="1" customWidth="1" outlineLevel="1"/>
    <col min="7" max="7" width="14" style="5" customWidth="1" outlineLevel="1"/>
    <col min="8" max="8" width="13.7109375" style="5" customWidth="1" outlineLevel="1"/>
    <col min="9" max="9" width="1.5703125" style="5" customWidth="1"/>
    <col min="10" max="10" width="17.140625" style="5" customWidth="1" outlineLevel="1"/>
    <col min="11" max="11" width="14.7109375" style="5" customWidth="1" outlineLevel="1"/>
    <col min="12" max="12" width="15.42578125" style="5" customWidth="1" outlineLevel="1"/>
    <col min="13" max="13" width="1.5703125" style="5" customWidth="1" outlineLevel="1"/>
    <col min="14" max="14" width="17.85546875" style="5" customWidth="1"/>
    <col min="15" max="15" width="17.140625" style="5" customWidth="1"/>
    <col min="16" max="16" width="17.42578125" style="5" customWidth="1"/>
    <col min="17" max="18" width="10.7109375" style="5"/>
    <col min="19" max="19" width="13.28515625" style="5" bestFit="1" customWidth="1"/>
    <col min="20" max="16384" width="10.7109375" style="5"/>
  </cols>
  <sheetData>
    <row r="1" spans="3:16" ht="18.75">
      <c r="D1" s="118" t="str">
        <f>'RDG Weekly Sales'!$D$1</f>
        <v>Week 34</v>
      </c>
      <c r="F1" s="5">
        <f>VLOOKUP(D1,Dates!$B$2:$E$53,4,FALSE)</f>
        <v>34</v>
      </c>
      <c r="G1" s="5" t="b">
        <v>1</v>
      </c>
    </row>
    <row r="2" spans="3:16" ht="28.5">
      <c r="D2" s="399" t="str">
        <f>CONCATENATE("CASA NEOS",)</f>
        <v>CASA NEOS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</row>
    <row r="4" spans="3:16" ht="23.25">
      <c r="C4" s="121" t="e">
        <f>VLOOKUP($D$4,#REF!,2,FALSE)</f>
        <v>#REF!</v>
      </c>
      <c r="D4" s="118" t="str">
        <f>VLOOKUP(D1,'Actual - 2026'!$A$5:$B$56,2,FALSE)</f>
        <v>P8</v>
      </c>
      <c r="F4" s="406" t="str">
        <f>D1</f>
        <v>Week 34</v>
      </c>
      <c r="G4" s="406"/>
      <c r="H4" s="406"/>
      <c r="J4" s="406" t="str">
        <f>CONCATENATE("MTD"," ","-"," ",D4)</f>
        <v>MTD - P8</v>
      </c>
      <c r="K4" s="406"/>
      <c r="L4" s="406"/>
      <c r="M4" s="71"/>
      <c r="N4" s="406" t="s">
        <v>7</v>
      </c>
      <c r="O4" s="406"/>
      <c r="P4" s="406"/>
    </row>
    <row r="6" spans="3:16" ht="16.350000000000001" customHeight="1">
      <c r="D6" s="54"/>
      <c r="F6" s="1"/>
      <c r="G6" s="114"/>
      <c r="H6" s="1"/>
      <c r="J6" s="1"/>
      <c r="K6" s="114"/>
      <c r="L6" s="1"/>
      <c r="N6" s="76"/>
      <c r="O6" s="114"/>
      <c r="P6" s="1"/>
    </row>
    <row r="7" spans="3:16" ht="28.9" customHeight="1">
      <c r="D7" s="193" t="s">
        <v>204</v>
      </c>
      <c r="E7" s="194"/>
      <c r="F7" s="195">
        <f>SUMIFS('Actual - 2026'!AO:AO,'Actual - 2026'!A:A,D1)</f>
        <v>323010.56</v>
      </c>
      <c r="G7" s="196">
        <f>SUMIFS('Actual - 2026'!AP:AP,'Actual - 2026'!A:A,D1)</f>
        <v>0</v>
      </c>
      <c r="H7" s="197" t="e">
        <f>F7/G7</f>
        <v>#DIV/0!</v>
      </c>
      <c r="I7" s="194"/>
      <c r="J7" s="195">
        <f>SUMIFS('Actual - 2026'!AO:AO,'Actual - 2026'!B:B,D4)</f>
        <v>1343847.7</v>
      </c>
      <c r="K7" s="196">
        <f>SUMIFS('Actual - 2026'!AP:AP,'Actual - 2026'!B:B,D4)</f>
        <v>6160</v>
      </c>
      <c r="L7" s="197">
        <f>J7/K7</f>
        <v>218.15709415584413</v>
      </c>
      <c r="M7" s="194"/>
      <c r="N7" s="195">
        <f>SUMIFS('Actual - 2026'!AO:AO,'Actual - 2026'!D:D,G1)</f>
        <v>20289923.119999994</v>
      </c>
      <c r="O7" s="196">
        <f>SUMIFS('Actual - 2026'!AP:AP,'Actual - 2026'!D:D,G1)</f>
        <v>97545.402999999991</v>
      </c>
      <c r="P7" s="197">
        <f>N7/O7</f>
        <v>208.00491356830003</v>
      </c>
    </row>
    <row r="8" spans="3:16" ht="28.9" customHeight="1">
      <c r="D8" s="202" t="s">
        <v>78</v>
      </c>
      <c r="E8" s="203"/>
      <c r="F8" s="204">
        <f>SUMIFS('Budget - 2026'!BW:BW,'Budget - 2026'!B:B,D1)</f>
        <v>333261.78221510875</v>
      </c>
      <c r="G8" s="205">
        <f>SUMIFS('Budget - 2026'!BX:BX,'Budget - 2026'!B:B,D1)</f>
        <v>2473</v>
      </c>
      <c r="H8" s="206">
        <f>F8/G8</f>
        <v>134.76012220586685</v>
      </c>
      <c r="I8" s="194"/>
      <c r="J8" s="204">
        <f>SUMIFS('Budget - 2026'!BW:BW,'Budget - 2026'!C:C,D4,'Budget - 2026'!$E:$E,G1)</f>
        <v>1302643.0985106789</v>
      </c>
      <c r="K8" s="205">
        <f>SUMIFS('Budget - 2026'!BX:BX,'Budget - 2026'!C:C,D4,'Budget - 2026'!$E:$E,G1)</f>
        <v>9702</v>
      </c>
      <c r="L8" s="206">
        <f>J8/K8</f>
        <v>134.26541934762719</v>
      </c>
      <c r="M8" s="194"/>
      <c r="N8" s="204">
        <f>SUMIFS('Budget - 2026'!BW:BW,'Budget - 2026'!E:E,G1)</f>
        <v>15967704.137013411</v>
      </c>
      <c r="O8" s="205">
        <f>SUMIFS('Budget - 2026'!BX:BX,'Budget - 2026'!E:E,G1)</f>
        <v>96790</v>
      </c>
      <c r="P8" s="206">
        <f>N8/O8</f>
        <v>164.97266388070474</v>
      </c>
    </row>
    <row r="9" spans="3:16" s="54" customFormat="1" ht="28.9" customHeight="1">
      <c r="D9" s="207" t="s">
        <v>105</v>
      </c>
      <c r="E9" s="203"/>
      <c r="F9" s="179">
        <f>(F7-F8)/F8</f>
        <v>-3.0760269440352286E-2</v>
      </c>
      <c r="G9" s="179">
        <f>(G7-G8)/G8</f>
        <v>-1</v>
      </c>
      <c r="H9" s="179" t="e">
        <f>(H7-H8)/H8</f>
        <v>#DIV/0!</v>
      </c>
      <c r="I9" s="194"/>
      <c r="J9" s="179">
        <f>(J7-J8)/J8</f>
        <v>3.1631535557537296E-2</v>
      </c>
      <c r="K9" s="179">
        <f>(K7-K8)/K8</f>
        <v>-0.36507936507936506</v>
      </c>
      <c r="L9" s="179">
        <f>(L7-L8)/L8</f>
        <v>0.62481966850312098</v>
      </c>
      <c r="M9" s="107"/>
      <c r="N9" s="179">
        <f>(N7-N8)/N8</f>
        <v>0.27068506191617148</v>
      </c>
      <c r="O9" s="179">
        <f>(O7-O8)/O8</f>
        <v>7.8045562558114595E-3</v>
      </c>
      <c r="P9" s="179">
        <f>(P7-P8)/P8</f>
        <v>0.26084472830427724</v>
      </c>
    </row>
    <row r="10" spans="3:16" ht="28.9" customHeight="1">
      <c r="D10" s="198">
        <v>2025</v>
      </c>
      <c r="E10" s="194"/>
      <c r="F10" s="195">
        <f>SUMIFS('Budget - 2026'!CF:CF,'Budget - 2026'!B:B,D1)</f>
        <v>372869.14999999997</v>
      </c>
      <c r="G10" s="196">
        <f>SUMIFS('Budget - 2026'!CG:CG,'Budget - 2026'!B:B,D1)</f>
        <v>2713</v>
      </c>
      <c r="H10" s="197">
        <f>F10/G10</f>
        <v>137.4379469222263</v>
      </c>
      <c r="I10" s="194"/>
      <c r="J10" s="195">
        <f>SUMIFS('Budget - 2026'!CF:CF,'Budget - 2026'!C:C,D4,'Budget - 2026'!$E:$E,G1)</f>
        <v>1461085.41</v>
      </c>
      <c r="K10" s="196">
        <f>SUMIFS('Budget - 2026'!CG:CG,'Budget - 2026'!C:C,D4,'Budget - 2026'!$E:$E,G1)</f>
        <v>10432</v>
      </c>
      <c r="L10" s="197">
        <f>J10/K10</f>
        <v>140.05803393404906</v>
      </c>
      <c r="M10" s="194"/>
      <c r="N10" s="195">
        <f>SUMIFS('Budget - 2026'!CF:CF,'Budget - 2026'!E:E,G1)</f>
        <v>15847328.030000003</v>
      </c>
      <c r="O10" s="196">
        <f>SUMIFS('Budget - 2026'!CG:CG,'Budget - 2026'!E:E,G1)</f>
        <v>96905</v>
      </c>
      <c r="P10" s="197">
        <f>N10/O10</f>
        <v>163.53467860275532</v>
      </c>
    </row>
    <row r="11" spans="3:16" s="54" customFormat="1" ht="28.9" customHeight="1" thickBot="1">
      <c r="D11" s="199" t="s">
        <v>105</v>
      </c>
      <c r="E11" s="194"/>
      <c r="F11" s="200">
        <f>IFERROR((F7-F10)/F10,0)</f>
        <v>-0.13371605025516317</v>
      </c>
      <c r="G11" s="200">
        <f>IFERROR((G7-G10)/G10,0)</f>
        <v>-1</v>
      </c>
      <c r="H11" s="200">
        <f>IFERROR((H7-H10)/H10,0)</f>
        <v>0</v>
      </c>
      <c r="I11" s="194"/>
      <c r="J11" s="200">
        <f>IFERROR((J7-J10)/J10,0)</f>
        <v>-8.0240148315490992E-2</v>
      </c>
      <c r="K11" s="200">
        <f>IFERROR((K7-K10)/K10,0)</f>
        <v>-0.40950920245398775</v>
      </c>
      <c r="L11" s="200">
        <f>IFERROR((L7-L10)/L10,0)</f>
        <v>0.5576192812942854</v>
      </c>
      <c r="M11" s="107"/>
      <c r="N11" s="200">
        <f>IFERROR((N7-N10)/N10,0)</f>
        <v>0.28033716987430779</v>
      </c>
      <c r="O11" s="200">
        <f>IFERROR((O7-O10)/O10,0)</f>
        <v>6.6085650895205735E-3</v>
      </c>
      <c r="P11" s="200">
        <f>IFERROR((P7-P10)/P10,0)</f>
        <v>0.27193152758484979</v>
      </c>
    </row>
    <row r="12" spans="3:16" s="194" customFormat="1" ht="7.5" customHeight="1" thickBot="1"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</row>
    <row r="13" spans="3:16" ht="28.9" customHeight="1">
      <c r="D13" s="193" t="s">
        <v>205</v>
      </c>
      <c r="E13" s="194"/>
      <c r="F13" s="195">
        <f>SUMIFS('Actual - 2026'!AL:AL,'Actual - 2026'!A:A,D1)</f>
        <v>63555.3</v>
      </c>
      <c r="G13" s="196">
        <f>SUMIFS('Actual - 2026'!AM:AM,'Actual - 2026'!A:A,D1)</f>
        <v>0</v>
      </c>
      <c r="H13" s="197" t="e">
        <f>F13/G13</f>
        <v>#DIV/0!</v>
      </c>
      <c r="I13" s="194"/>
      <c r="J13" s="195">
        <f>SUMIFS('Actual - 2026'!AL:AL,'Actual - 2026'!B:B,D4)</f>
        <v>310932.36</v>
      </c>
      <c r="K13" s="196">
        <f>SUMIFS('Actual - 2026'!AM:AM,'Actual - 2026'!B:B,D4)</f>
        <v>2045</v>
      </c>
      <c r="L13" s="197">
        <f>J13/K13</f>
        <v>152.04516381418091</v>
      </c>
      <c r="M13" s="194"/>
      <c r="N13" s="195">
        <f>SUMIFS('Actual - 2026'!AL:AL,'Actual - 2026'!D:D,G1)</f>
        <v>5277262.28</v>
      </c>
      <c r="O13" s="196">
        <f>SUMIFS('Actual - 2026'!AM:AM,'Actual - 2026'!D:D,G1)</f>
        <v>33167.597000000002</v>
      </c>
      <c r="P13" s="197">
        <f>N13/O13</f>
        <v>159.10897253123281</v>
      </c>
    </row>
    <row r="14" spans="3:16" ht="27.6" customHeight="1">
      <c r="D14" s="202" t="s">
        <v>78</v>
      </c>
      <c r="E14" s="203"/>
      <c r="F14" s="204">
        <f>SUMIFS('Budget - 2026'!BT:BT,'Budget - 2026'!B:B,D1)</f>
        <v>171030.70359692711</v>
      </c>
      <c r="G14" s="205">
        <f>SUMIFS('Budget - 2026'!BU:BU,'Budget - 2026'!B:B,D1)</f>
        <v>990</v>
      </c>
      <c r="H14" s="206">
        <f>F14/G14</f>
        <v>172.75828646154253</v>
      </c>
      <c r="I14" s="194"/>
      <c r="J14" s="204">
        <f>SUMIFS('Budget - 2026'!BT:BT,'Budget - 2026'!C:C,D4,'Budget - 2026'!$E:$E,G1)</f>
        <v>559380.43148932094</v>
      </c>
      <c r="K14" s="205">
        <f>SUMIFS('Budget - 2026'!BU:BU,'Budget - 2026'!C:C,D4,'Budget - 2026'!$E:$E,G1)</f>
        <v>3224</v>
      </c>
      <c r="L14" s="206">
        <f>J14/K14</f>
        <v>173.50509661579434</v>
      </c>
      <c r="M14" s="194"/>
      <c r="N14" s="204">
        <f>SUMIFS('Budget - 2026'!BT:BT,'Budget - 2026'!E:E,G1)</f>
        <v>7134345.1328474497</v>
      </c>
      <c r="O14" s="205">
        <f>SUMIFS('Budget - 2026'!BU:BU,'Budget - 2026'!E:E,G1)</f>
        <v>38061.75</v>
      </c>
      <c r="P14" s="206">
        <f>N14/O14</f>
        <v>187.44133238349391</v>
      </c>
    </row>
    <row r="15" spans="3:16" s="54" customFormat="1" ht="28.9" customHeight="1">
      <c r="D15" s="207" t="s">
        <v>105</v>
      </c>
      <c r="E15" s="203"/>
      <c r="F15" s="179">
        <f>(F13-F14)/F14</f>
        <v>-0.62839830122091656</v>
      </c>
      <c r="G15" s="179">
        <f>(G13-G14)/G14</f>
        <v>-1</v>
      </c>
      <c r="H15" s="179" t="e">
        <f>(H13-H14)/H14</f>
        <v>#DIV/0!</v>
      </c>
      <c r="I15" s="194"/>
      <c r="J15" s="179">
        <f>(J13-J14)/J14</f>
        <v>-0.44414866431391076</v>
      </c>
      <c r="K15" s="179">
        <f>(K13-K14)/K14</f>
        <v>-0.36569478908188585</v>
      </c>
      <c r="L15" s="179">
        <f>(L13-L14)/L14</f>
        <v>-0.1236847402190946</v>
      </c>
      <c r="M15" s="107"/>
      <c r="N15" s="179">
        <f>(N13-N14)/N14</f>
        <v>-0.26030179620792376</v>
      </c>
      <c r="O15" s="179">
        <f>(O13-O14)/O14</f>
        <v>-0.12858455010607758</v>
      </c>
      <c r="P15" s="179">
        <f>(P13-P14)/P14</f>
        <v>-0.15115321413899666</v>
      </c>
    </row>
    <row r="16" spans="3:16" ht="28.9" customHeight="1">
      <c r="D16" s="198">
        <v>2025</v>
      </c>
      <c r="E16" s="194"/>
      <c r="F16" s="195">
        <f>SUMIFS('Budget - 2026'!CC:CC,'Budget - 2026'!B:B,D1)</f>
        <v>120642.6</v>
      </c>
      <c r="G16" s="196">
        <f>SUMIFS('Budget - 2026'!CD:CD,'Budget - 2026'!B:B,D1)</f>
        <v>750</v>
      </c>
      <c r="H16" s="197">
        <f>F16/G16</f>
        <v>160.85680000000002</v>
      </c>
      <c r="I16" s="194"/>
      <c r="J16" s="195">
        <f>SUMIFS('Budget - 2026'!CC:CC,'Budget - 2026'!C:C,D4,'Budget - 2026'!$E:$E,G1)</f>
        <v>403745.66000000003</v>
      </c>
      <c r="K16" s="196">
        <f>SUMIFS('Budget - 2026'!CD:CD,'Budget - 2026'!C:C,D4,'Budget - 2026'!$E:$E,G1)</f>
        <v>2510</v>
      </c>
      <c r="L16" s="197">
        <f>J16/K16</f>
        <v>160.85484462151396</v>
      </c>
      <c r="M16" s="194"/>
      <c r="N16" s="195">
        <f>SUMIFS('Budget - 2026'!CC:CC,'Budget - 2026'!E:E,G1)</f>
        <v>5267795.5199999986</v>
      </c>
      <c r="O16" s="196">
        <f>SUMIFS('Budget - 2026'!CD:CD,'Budget - 2026'!E:E,G1)</f>
        <v>32246</v>
      </c>
      <c r="P16" s="197">
        <f>N16/O16</f>
        <v>163.36275879178808</v>
      </c>
    </row>
    <row r="17" spans="4:19" ht="28.9" customHeight="1" thickBot="1">
      <c r="D17" s="199" t="s">
        <v>105</v>
      </c>
      <c r="E17" s="194"/>
      <c r="F17" s="200">
        <f>IFERROR((F13-F16)/F16,0)</f>
        <v>-0.47319354854752799</v>
      </c>
      <c r="G17" s="200">
        <f>IFERROR((G13-G16)/G16,0)</f>
        <v>-1</v>
      </c>
      <c r="H17" s="200">
        <f>IFERROR((H13-H16)/H16,0)</f>
        <v>0</v>
      </c>
      <c r="I17" s="194"/>
      <c r="J17" s="200">
        <f>IFERROR((J13-J16)/J16,0)</f>
        <v>-0.22988061345352923</v>
      </c>
      <c r="K17" s="200">
        <f>IFERROR((K13-K16)/K16,0)</f>
        <v>-0.1852589641434263</v>
      </c>
      <c r="L17" s="200">
        <f>IFERROR((L13-L16)/L16,0)</f>
        <v>-5.4767892307265816E-2</v>
      </c>
      <c r="M17" s="107"/>
      <c r="N17" s="200">
        <f>IFERROR((N13-N16)/N16,0)</f>
        <v>1.797100886710508E-3</v>
      </c>
      <c r="O17" s="200">
        <f>IFERROR((O13-O16)/O16,0)</f>
        <v>2.8580195993301544E-2</v>
      </c>
      <c r="P17" s="200">
        <f>IFERROR((P13-P16)/P16,0)</f>
        <v>-2.6038898290012855E-2</v>
      </c>
    </row>
    <row r="18" spans="4:19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4:19" ht="28.9" hidden="1" customHeight="1" outlineLevel="1">
      <c r="D19" s="193" t="s">
        <v>208</v>
      </c>
      <c r="E19" s="194"/>
      <c r="F19" s="195">
        <v>0</v>
      </c>
      <c r="G19" s="196">
        <v>0</v>
      </c>
      <c r="H19" s="197">
        <v>0</v>
      </c>
      <c r="I19" s="194"/>
      <c r="J19" s="195">
        <v>0</v>
      </c>
      <c r="K19" s="196">
        <v>0</v>
      </c>
      <c r="L19" s="197">
        <v>0</v>
      </c>
      <c r="M19" s="194"/>
      <c r="N19" s="195">
        <v>0</v>
      </c>
      <c r="O19" s="196">
        <v>0</v>
      </c>
      <c r="P19" s="197">
        <v>0</v>
      </c>
    </row>
    <row r="20" spans="4:19" ht="28.9" hidden="1" customHeight="1" outlineLevel="1">
      <c r="D20" s="202" t="s">
        <v>78</v>
      </c>
      <c r="E20" s="203"/>
      <c r="F20" s="204">
        <v>0</v>
      </c>
      <c r="G20" s="205">
        <v>0</v>
      </c>
      <c r="H20" s="206">
        <v>0</v>
      </c>
      <c r="I20" s="194"/>
      <c r="J20" s="204">
        <v>0</v>
      </c>
      <c r="K20" s="205">
        <v>0</v>
      </c>
      <c r="L20" s="206">
        <v>0</v>
      </c>
      <c r="M20" s="194"/>
      <c r="N20" s="204">
        <v>0</v>
      </c>
      <c r="O20" s="205">
        <v>0</v>
      </c>
      <c r="P20" s="206">
        <v>0</v>
      </c>
    </row>
    <row r="21" spans="4:19" ht="28.9" hidden="1" customHeight="1" outlineLevel="1">
      <c r="D21" s="207" t="s">
        <v>105</v>
      </c>
      <c r="E21" s="203"/>
      <c r="F21" s="179">
        <f>IFERROR((F19-F20)/F20,0)</f>
        <v>0</v>
      </c>
      <c r="G21" s="179">
        <f>IFERROR((G19-G20)/G20,0)</f>
        <v>0</v>
      </c>
      <c r="H21" s="179">
        <f>IFERROR((H19-H20)/H20,0)</f>
        <v>0</v>
      </c>
      <c r="I21" s="194"/>
      <c r="J21" s="179">
        <f>IFERROR((J19-J20)/J20,0)</f>
        <v>0</v>
      </c>
      <c r="K21" s="179">
        <f>IFERROR((K19-K20)/K20,0)</f>
        <v>0</v>
      </c>
      <c r="L21" s="179">
        <f>IFERROR((L19-L20)/L20,0)</f>
        <v>0</v>
      </c>
      <c r="M21" s="107"/>
      <c r="N21" s="179">
        <f>IFERROR((N19-N20)/N20,0)</f>
        <v>0</v>
      </c>
      <c r="O21" s="179">
        <f>IFERROR((O19-O20)/O20,0)</f>
        <v>0</v>
      </c>
      <c r="P21" s="179">
        <f>IFERROR((P19-P20)/P20,0)</f>
        <v>0</v>
      </c>
      <c r="S21" s="98">
        <v>768000</v>
      </c>
    </row>
    <row r="22" spans="4:19" ht="28.9" hidden="1" customHeight="1" outlineLevel="1">
      <c r="D22" s="198">
        <v>2025</v>
      </c>
      <c r="E22" s="194"/>
      <c r="F22" s="195">
        <v>0</v>
      </c>
      <c r="G22" s="196">
        <v>0</v>
      </c>
      <c r="H22" s="197">
        <v>0</v>
      </c>
      <c r="I22" s="194"/>
      <c r="J22" s="195">
        <v>0</v>
      </c>
      <c r="K22" s="196">
        <v>0</v>
      </c>
      <c r="L22" s="197">
        <v>0</v>
      </c>
      <c r="M22" s="194"/>
      <c r="N22" s="195">
        <v>0</v>
      </c>
      <c r="O22" s="196">
        <v>0</v>
      </c>
      <c r="P22" s="197">
        <v>0</v>
      </c>
      <c r="S22" s="98">
        <f>F19</f>
        <v>0</v>
      </c>
    </row>
    <row r="23" spans="4:19" ht="28.9" hidden="1" customHeight="1" outlineLevel="1" thickBot="1">
      <c r="D23" s="199" t="s">
        <v>105</v>
      </c>
      <c r="E23" s="194"/>
      <c r="F23" s="200">
        <f>IFERROR((F19-F22)/F22,0)</f>
        <v>0</v>
      </c>
      <c r="G23" s="200">
        <f>IFERROR((G19-G22)/G22,0)</f>
        <v>0</v>
      </c>
      <c r="H23" s="200">
        <f>IFERROR((H19-H22)/H22,0)</f>
        <v>0</v>
      </c>
      <c r="I23" s="194"/>
      <c r="J23" s="200">
        <f>IFERROR((J19-J22)/J22,0)</f>
        <v>0</v>
      </c>
      <c r="K23" s="200">
        <f>IFERROR((K19-K22)/K22,0)</f>
        <v>0</v>
      </c>
      <c r="L23" s="200">
        <f>IFERROR((L19-L22)/L22,0)</f>
        <v>0</v>
      </c>
      <c r="M23" s="107"/>
      <c r="N23" s="200">
        <f>IFERROR((N19-N22)/N22,0)</f>
        <v>0</v>
      </c>
      <c r="O23" s="200">
        <f>IFERROR((O19-O22)/O22,0)</f>
        <v>0</v>
      </c>
      <c r="P23" s="200">
        <f>IFERROR((P19-P22)/P22,0)</f>
        <v>0</v>
      </c>
      <c r="S23" s="324">
        <f>SUM(S21:S22)</f>
        <v>768000</v>
      </c>
    </row>
    <row r="24" spans="4:19" s="194" customFormat="1" ht="7.5" hidden="1" customHeight="1" outlineLevel="1" thickBot="1"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S24" s="98">
        <v>1028594</v>
      </c>
    </row>
    <row r="25" spans="4:19" ht="28.9" hidden="1" customHeight="1" outlineLevel="1">
      <c r="D25" s="193" t="s">
        <v>207</v>
      </c>
      <c r="E25" s="194"/>
      <c r="F25" s="195">
        <v>0</v>
      </c>
      <c r="G25" s="196">
        <v>0</v>
      </c>
      <c r="H25" s="197">
        <v>0</v>
      </c>
      <c r="I25" s="194"/>
      <c r="J25" s="195">
        <v>0</v>
      </c>
      <c r="K25" s="196">
        <v>0</v>
      </c>
      <c r="L25" s="197">
        <v>0</v>
      </c>
      <c r="M25" s="194"/>
      <c r="N25" s="195">
        <v>0</v>
      </c>
      <c r="O25" s="196">
        <v>0</v>
      </c>
      <c r="P25" s="197">
        <v>0</v>
      </c>
      <c r="S25" s="324">
        <f>S23-S24</f>
        <v>-260594</v>
      </c>
    </row>
    <row r="26" spans="4:19" ht="28.9" hidden="1" customHeight="1" outlineLevel="1">
      <c r="D26" s="202" t="s">
        <v>78</v>
      </c>
      <c r="E26" s="203"/>
      <c r="F26" s="204">
        <v>0</v>
      </c>
      <c r="G26" s="205"/>
      <c r="H26" s="206">
        <v>0</v>
      </c>
      <c r="I26" s="194"/>
      <c r="J26" s="204">
        <v>0</v>
      </c>
      <c r="K26" s="205">
        <v>0</v>
      </c>
      <c r="L26" s="206">
        <v>0</v>
      </c>
      <c r="M26" s="194"/>
      <c r="N26" s="204">
        <v>0</v>
      </c>
      <c r="O26" s="205">
        <v>0</v>
      </c>
      <c r="P26" s="206">
        <v>0</v>
      </c>
    </row>
    <row r="27" spans="4:19" ht="28.9" hidden="1" customHeight="1" outlineLevel="1">
      <c r="D27" s="207" t="s">
        <v>105</v>
      </c>
      <c r="E27" s="203"/>
      <c r="F27" s="179">
        <f>IFERROR((F25-F26)/F26,0)</f>
        <v>0</v>
      </c>
      <c r="G27" s="179">
        <f>IFERROR((G25-G26)/G26,0)</f>
        <v>0</v>
      </c>
      <c r="H27" s="179">
        <f>IFERROR((H25-H26)/H26,0)</f>
        <v>0</v>
      </c>
      <c r="I27" s="194"/>
      <c r="J27" s="179">
        <f>IFERROR((J25-J26)/J26,0)</f>
        <v>0</v>
      </c>
      <c r="K27" s="179">
        <f>IFERROR((K25-K26)/K26,0)</f>
        <v>0</v>
      </c>
      <c r="L27" s="179">
        <f>IFERROR((L25-L26)/L26,0)</f>
        <v>0</v>
      </c>
      <c r="M27" s="107"/>
      <c r="N27" s="179">
        <f>IFERROR((N25-N26)/N26,0)</f>
        <v>0</v>
      </c>
      <c r="O27" s="179">
        <f>IFERROR((O25-O26)/O26,0)</f>
        <v>0</v>
      </c>
      <c r="P27" s="179">
        <f>IFERROR((P25-P26)/P26,0)</f>
        <v>0</v>
      </c>
    </row>
    <row r="28" spans="4:19" ht="28.9" hidden="1" customHeight="1" outlineLevel="1">
      <c r="D28" s="198">
        <v>2025</v>
      </c>
      <c r="E28" s="194"/>
      <c r="F28" s="195">
        <v>0</v>
      </c>
      <c r="G28" s="196">
        <v>0</v>
      </c>
      <c r="H28" s="197">
        <v>0</v>
      </c>
      <c r="I28" s="194"/>
      <c r="J28" s="195">
        <v>0</v>
      </c>
      <c r="K28" s="196">
        <v>0</v>
      </c>
      <c r="L28" s="197">
        <v>0</v>
      </c>
      <c r="M28" s="194"/>
      <c r="N28" s="195">
        <v>0</v>
      </c>
      <c r="O28" s="196">
        <v>0</v>
      </c>
      <c r="P28" s="197">
        <v>0</v>
      </c>
    </row>
    <row r="29" spans="4:19" ht="28.9" hidden="1" customHeight="1" outlineLevel="1" thickBot="1">
      <c r="D29" s="199" t="s">
        <v>105</v>
      </c>
      <c r="E29" s="194"/>
      <c r="F29" s="200">
        <f>IFERROR((F25-F28)/F28,0)</f>
        <v>0</v>
      </c>
      <c r="G29" s="200">
        <f>IFERROR((G25-G28)/G28,0)</f>
        <v>0</v>
      </c>
      <c r="H29" s="200">
        <f>IFERROR((H25-H28)/H28,0)</f>
        <v>0</v>
      </c>
      <c r="I29" s="194"/>
      <c r="J29" s="200">
        <f>IFERROR((J25-J28)/J28,0)</f>
        <v>0</v>
      </c>
      <c r="K29" s="200">
        <f>IFERROR((K25-K28)/K28,0)</f>
        <v>0</v>
      </c>
      <c r="L29" s="200">
        <f>IFERROR((L25-L28)/L28,0)</f>
        <v>0</v>
      </c>
      <c r="M29" s="107"/>
      <c r="N29" s="200">
        <f>IFERROR((N25-N28)/N28,0)</f>
        <v>0</v>
      </c>
      <c r="O29" s="200">
        <f>IFERROR((O25-O28)/O28,0)</f>
        <v>0</v>
      </c>
      <c r="P29" s="200">
        <f>IFERROR((P25-P28)/P28,0)</f>
        <v>0</v>
      </c>
    </row>
    <row r="30" spans="4:19" s="194" customFormat="1" ht="7.5" hidden="1" customHeight="1" outlineLevel="1" thickBot="1"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</row>
    <row r="31" spans="4:19" ht="28.9" customHeight="1" collapsed="1">
      <c r="D31" s="221" t="s">
        <v>242</v>
      </c>
      <c r="E31" s="222"/>
      <c r="F31" s="223">
        <f>SUM(F7,F13,F19,F25)</f>
        <v>386565.86</v>
      </c>
      <c r="G31" s="224">
        <f>SUM(G7,G13,G19,G25)</f>
        <v>0</v>
      </c>
      <c r="H31" s="225" t="e">
        <f>F31/G31</f>
        <v>#DIV/0!</v>
      </c>
      <c r="I31" s="76"/>
      <c r="J31" s="223">
        <f>SUM(J7,J13,J19,J25)</f>
        <v>1654780.06</v>
      </c>
      <c r="K31" s="224">
        <f>SUM(K7,K13,K19,K25)</f>
        <v>8205</v>
      </c>
      <c r="L31" s="225">
        <f>J31/K31</f>
        <v>201.67947105423522</v>
      </c>
      <c r="N31" s="223">
        <f>SUM(N7,N13,N19,N25)</f>
        <v>25567185.399999995</v>
      </c>
      <c r="O31" s="224">
        <f>SUM(O7,O13,O19,O25)</f>
        <v>130713</v>
      </c>
      <c r="P31" s="225">
        <f>N31/O31</f>
        <v>195.59787779333345</v>
      </c>
    </row>
    <row r="32" spans="4:19" ht="28.9" customHeight="1">
      <c r="D32" s="209" t="s">
        <v>78</v>
      </c>
      <c r="E32" s="210"/>
      <c r="F32" s="211">
        <f>SUM(F8,F14,F20,F26)</f>
        <v>504292.48581203585</v>
      </c>
      <c r="G32" s="212">
        <f>SUM(G8,G14,G20,G26)</f>
        <v>3463</v>
      </c>
      <c r="H32" s="213">
        <f>F32/G32</f>
        <v>145.62301063009988</v>
      </c>
      <c r="I32" s="194"/>
      <c r="J32" s="211">
        <f>SUM(J8,J14,J20,J26)</f>
        <v>1862023.5299999998</v>
      </c>
      <c r="K32" s="212">
        <f>SUM(K8,K14,K20,K26)</f>
        <v>12926</v>
      </c>
      <c r="L32" s="213">
        <f>J32/K32</f>
        <v>144.05257078755994</v>
      </c>
      <c r="M32" s="194"/>
      <c r="N32" s="211">
        <f>SUM(N8,N14,N20,N26)</f>
        <v>23102049.26986086</v>
      </c>
      <c r="O32" s="212">
        <f>SUM(O8,O14,O20,O26)</f>
        <v>134851.75</v>
      </c>
      <c r="P32" s="213">
        <f>N32/O32</f>
        <v>171.31441950038365</v>
      </c>
    </row>
    <row r="33" spans="4:16" s="54" customFormat="1" ht="28.9" customHeight="1">
      <c r="D33" s="214" t="s">
        <v>105</v>
      </c>
      <c r="E33" s="210"/>
      <c r="F33" s="215">
        <f>(F31-F32)/F32</f>
        <v>-0.23344909774427203</v>
      </c>
      <c r="G33" s="215">
        <f>(G31-G32)/G32</f>
        <v>-1</v>
      </c>
      <c r="H33" s="215" t="e">
        <f>(H31-H32)/H32</f>
        <v>#DIV/0!</v>
      </c>
      <c r="I33" s="194"/>
      <c r="J33" s="215">
        <f>(J31-J32)/J32</f>
        <v>-0.11130013485919792</v>
      </c>
      <c r="K33" s="215">
        <f>(K31-K32)/K32</f>
        <v>-0.36523286399504873</v>
      </c>
      <c r="L33" s="215">
        <f>(L31-L32)/L32</f>
        <v>0.40004076256063464</v>
      </c>
      <c r="M33" s="107"/>
      <c r="N33" s="215">
        <f>(N31-N32)/N32</f>
        <v>0.10670638354819775</v>
      </c>
      <c r="O33" s="215">
        <f>(O31-O32)/O32</f>
        <v>-3.0691110793890329E-2</v>
      </c>
      <c r="P33" s="215">
        <f>(P31-P32)/P32</f>
        <v>0.14174789468259222</v>
      </c>
    </row>
    <row r="34" spans="4:16" ht="28.9" customHeight="1">
      <c r="D34" s="198">
        <v>2025</v>
      </c>
      <c r="E34" s="194"/>
      <c r="F34" s="195">
        <f>SUM(F10,F16,F22,F28)</f>
        <v>493511.75</v>
      </c>
      <c r="G34" s="253">
        <f>SUM(G10,G16,G22,G28)</f>
        <v>3463</v>
      </c>
      <c r="H34" s="197">
        <f>F34/G34</f>
        <v>142.50989026855328</v>
      </c>
      <c r="I34" s="194"/>
      <c r="J34" s="195">
        <f>SUM(J10,J16,J22,J28)</f>
        <v>1864831.0699999998</v>
      </c>
      <c r="K34" s="253">
        <f>SUM(K10,K16,K22,K28)</f>
        <v>12942</v>
      </c>
      <c r="L34" s="197">
        <f>J34/K34</f>
        <v>144.09141322824911</v>
      </c>
      <c r="M34" s="194"/>
      <c r="N34" s="195">
        <f>SUM(N10,N16,N22,N28)</f>
        <v>21115123.550000001</v>
      </c>
      <c r="O34" s="253">
        <f>SUM(O10,O16,O22,O28)</f>
        <v>129151</v>
      </c>
      <c r="P34" s="197">
        <f>N34/O34</f>
        <v>163.49175422567382</v>
      </c>
    </row>
    <row r="35" spans="4:16" ht="28.9" customHeight="1">
      <c r="D35" s="199" t="s">
        <v>105</v>
      </c>
      <c r="E35" s="194"/>
      <c r="F35" s="200">
        <f>IFERROR((F31-F34)/F34,0)</f>
        <v>-0.21670383734531146</v>
      </c>
      <c r="G35" s="200">
        <f>IFERROR((G31-G34)/G34,0)</f>
        <v>-1</v>
      </c>
      <c r="H35" s="200">
        <f>IFERROR((H31-H34)/H34,0)</f>
        <v>0</v>
      </c>
      <c r="I35" s="194"/>
      <c r="J35" s="200">
        <f>IFERROR((J31-J34)/J34,0)</f>
        <v>-0.11263809005498809</v>
      </c>
      <c r="K35" s="200">
        <f>IFERROR((K31-K34)/K34,0)</f>
        <v>-0.36601761706073249</v>
      </c>
      <c r="L35" s="200">
        <f>IFERROR((L31-L34)/L34,0)</f>
        <v>0.39966335630814659</v>
      </c>
      <c r="M35" s="107"/>
      <c r="N35" s="200">
        <f>IFERROR((N31-N34)/N34,0)</f>
        <v>0.21084706605943557</v>
      </c>
      <c r="O35" s="200">
        <f>IFERROR((O31-O34)/O34,0)</f>
        <v>1.2094370155864067E-2</v>
      </c>
      <c r="P35" s="200">
        <f>IFERROR((P31-P34)/P34,0)</f>
        <v>0.19637763213025622</v>
      </c>
    </row>
    <row r="39" spans="4:16">
      <c r="D39" s="216"/>
      <c r="E39" s="216"/>
      <c r="F39" s="216"/>
      <c r="G39" s="216"/>
      <c r="H39" s="216"/>
      <c r="J39" s="216"/>
      <c r="K39" s="216"/>
      <c r="L39" s="216"/>
      <c r="N39" s="216"/>
      <c r="O39" s="216"/>
      <c r="P39" s="216"/>
    </row>
    <row r="40" spans="4:16">
      <c r="D40" s="216"/>
      <c r="E40" s="216"/>
      <c r="F40" s="216"/>
      <c r="G40" s="216"/>
      <c r="H40" s="216"/>
      <c r="J40" s="216"/>
      <c r="K40" s="216"/>
      <c r="L40" s="216"/>
      <c r="N40" s="216"/>
      <c r="O40" s="216"/>
      <c r="P40" s="216"/>
    </row>
    <row r="41" spans="4:16">
      <c r="F41" s="91"/>
    </row>
    <row r="42" spans="4:16">
      <c r="F42" s="91"/>
    </row>
    <row r="43" spans="4:16">
      <c r="G43" s="189"/>
      <c r="K43" s="189"/>
      <c r="O43" s="189"/>
    </row>
    <row r="44" spans="4:16">
      <c r="G44" s="189"/>
      <c r="K44" s="189"/>
      <c r="O44" s="189"/>
    </row>
  </sheetData>
  <mergeCells count="4">
    <mergeCell ref="D2:P2"/>
    <mergeCell ref="F4:H4"/>
    <mergeCell ref="J4:L4"/>
    <mergeCell ref="N4:P4"/>
  </mergeCells>
  <conditionalFormatting sqref="F9:P9 F11:P11 F15:P15 F17:P17 F21:P21 F23:P23 F27:P27 F29:P29 F33:P33 F35:P35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scale="50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89657E-6A5E-476D-9E23-91D7E315ED64}">
          <x14:formula1>
            <xm:f>'Budget - 2026'!$B$5:$B$56</xm:f>
          </x14:formula1>
          <xm:sqref>D1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3BE73-B619-4B2D-8374-627E99C33D8A}">
  <sheetPr>
    <tabColor theme="2" tint="-9.9978637043366805E-2"/>
  </sheetPr>
  <dimension ref="B1:X29"/>
  <sheetViews>
    <sheetView zoomScale="85" zoomScaleNormal="85" workbookViewId="0">
      <selection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 outlineLevel="1"/>
    <col min="9" max="9" width="1.5703125" style="5" customWidth="1"/>
    <col min="10" max="12" width="14.5703125" style="5" customWidth="1" outlineLevel="1"/>
    <col min="13" max="13" width="1.5703125" style="5" customWidth="1" outlineLevel="1"/>
    <col min="14" max="14" width="17.42578125" style="5" customWidth="1"/>
    <col min="15" max="15" width="15.7109375" style="5" customWidth="1"/>
    <col min="16" max="16" width="18.7109375" style="5" customWidth="1"/>
    <col min="17" max="17" width="14.28515625" style="5" bestFit="1" customWidth="1"/>
    <col min="18" max="18" width="10.7109375" style="5"/>
    <col min="19" max="19" width="13.28515625" style="5" bestFit="1" customWidth="1"/>
    <col min="20" max="16384" width="10.7109375" style="5"/>
  </cols>
  <sheetData>
    <row r="1" spans="3:24" ht="18.75">
      <c r="D1" s="118" t="str">
        <f>'RDG Weekly Sales'!D1</f>
        <v>Week 34</v>
      </c>
      <c r="F1" s="5">
        <f>VLOOKUP(D1,Dates!$B$2:$E$53,4,FALSE)</f>
        <v>34</v>
      </c>
      <c r="G1" s="5" t="b">
        <v>1</v>
      </c>
    </row>
    <row r="2" spans="3:24" ht="28.5">
      <c r="D2" s="399" t="s">
        <v>238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T2" s="54"/>
      <c r="U2" s="54"/>
      <c r="V2" s="54"/>
      <c r="W2" s="54"/>
      <c r="X2" s="54"/>
    </row>
    <row r="3" spans="3:24">
      <c r="F3" s="91"/>
    </row>
    <row r="4" spans="3:24" ht="23.25">
      <c r="C4" s="121" t="e">
        <f>VLOOKUP($D$4,#REF!,2,FALSE)</f>
        <v>#REF!</v>
      </c>
      <c r="D4" s="118" t="str">
        <f>VLOOKUP(D1,'Actual - 2026'!$A$5:$B$56,2,FALSE)</f>
        <v>P8</v>
      </c>
      <c r="F4" s="406" t="str">
        <f>D1</f>
        <v>Week 34</v>
      </c>
      <c r="G4" s="406"/>
      <c r="H4" s="406"/>
      <c r="J4" s="406" t="str">
        <f>CONCATENATE("MTD"," ","-"," ",D4)</f>
        <v>MTD - P8</v>
      </c>
      <c r="K4" s="406"/>
      <c r="L4" s="406"/>
      <c r="M4" s="71"/>
      <c r="N4" s="406" t="s">
        <v>7</v>
      </c>
      <c r="O4" s="406"/>
      <c r="P4" s="406"/>
    </row>
    <row r="5" spans="3:24">
      <c r="F5" s="91"/>
    </row>
    <row r="6" spans="3:24" ht="27" customHeight="1">
      <c r="F6" s="142" t="s">
        <v>77</v>
      </c>
      <c r="G6" s="142" t="s">
        <v>81</v>
      </c>
      <c r="H6" s="160" t="s">
        <v>237</v>
      </c>
      <c r="J6" s="142" t="s">
        <v>77</v>
      </c>
      <c r="K6" s="142" t="s">
        <v>81</v>
      </c>
      <c r="L6" s="160" t="s">
        <v>237</v>
      </c>
      <c r="M6" s="141"/>
      <c r="N6" s="142" t="s">
        <v>77</v>
      </c>
      <c r="O6" s="142" t="s">
        <v>81</v>
      </c>
      <c r="P6" s="160" t="s">
        <v>237</v>
      </c>
    </row>
    <row r="7" spans="3:24" s="108" customFormat="1" ht="28.9" customHeight="1">
      <c r="D7" s="193" t="s">
        <v>208</v>
      </c>
      <c r="E7" s="194"/>
      <c r="F7" s="195">
        <f>SUMIFS('Actual - 2026'!BP:BP,'Actual - 2026'!$A:$A,$D$1)</f>
        <v>81304.5</v>
      </c>
      <c r="G7" s="196">
        <f>SUMIFS('Actual - 2026'!BQ:BQ,'Actual - 2026'!$A:$A,$D$1)</f>
        <v>0</v>
      </c>
      <c r="H7" s="197">
        <f>IFERROR(F7/G7,0)</f>
        <v>0</v>
      </c>
      <c r="I7" s="194"/>
      <c r="J7" s="195">
        <f>SUMIFS('Actual - 2026'!BP:BP,'Actual - 2026'!$B:$B,$D$4)</f>
        <v>353288.23</v>
      </c>
      <c r="K7" s="196">
        <f>SUMIFS('Actual - 2026'!BQ:BQ,'Actual - 2026'!$B:$B,$D$4)</f>
        <v>1317</v>
      </c>
      <c r="L7" s="197">
        <f>IFERROR(J7/K7,0)</f>
        <v>268.25226271829916</v>
      </c>
      <c r="M7" s="194"/>
      <c r="N7" s="195">
        <f>SUMIFS('Actual - 2026'!BP:BP,'Actual - 2026'!$D:$D,$G$1)</f>
        <v>4608593.129999999</v>
      </c>
      <c r="O7" s="196">
        <f>SUMIFS('Actual - 2026'!BQ:BQ,'Actual - 2026'!$D:$D,$G$1)</f>
        <v>13079</v>
      </c>
      <c r="P7" s="197">
        <f>IFERROR(N7/O7,0)</f>
        <v>352.36586359813435</v>
      </c>
    </row>
    <row r="8" spans="3:24" ht="28.9" customHeight="1">
      <c r="D8" s="202" t="s">
        <v>78</v>
      </c>
      <c r="E8" s="203"/>
      <c r="F8" s="204">
        <f>SUMIFS('Budget - 2026'!DP:DP,'Budget - 2026'!$B:$B,$D$1)</f>
        <v>181058.39400666943</v>
      </c>
      <c r="G8" s="205">
        <f>SUMIFS('Budget - 2026'!DQ:DQ,'Budget - 2026'!$B:$B,$D$1)</f>
        <v>700</v>
      </c>
      <c r="H8" s="206">
        <f>IFERROR(F8/G8,0)</f>
        <v>258.65484858095635</v>
      </c>
      <c r="I8" s="194"/>
      <c r="J8" s="204">
        <f>SUMIFS('Budget - 2026'!DP:DP,'Budget - 2026'!$C:$C,$D$4,'Budget - 2026'!$E:$E,$G$1)</f>
        <v>724233.57602667774</v>
      </c>
      <c r="K8" s="205">
        <f>SUMIFS('Budget - 2026'!DQ:DQ,'Budget - 2026'!$C:$C,$D$4,'Budget - 2026'!$E:$E,$G$1)</f>
        <v>2800</v>
      </c>
      <c r="L8" s="206">
        <f>IFERROR(J8/K8,0)</f>
        <v>258.65484858095635</v>
      </c>
      <c r="M8" s="194"/>
      <c r="N8" s="204">
        <f>SUMIFS('Budget - 2026'!DP:DP,'Budget - 2026'!$E:$E,$G$1)</f>
        <v>5666905.4942158405</v>
      </c>
      <c r="O8" s="205">
        <f>SUMIFS('Budget - 2026'!DQ:DQ,'Budget - 2026'!$E:$E,$G$1)</f>
        <v>20935</v>
      </c>
      <c r="P8" s="206">
        <f>IFERROR(N8/O8,0)</f>
        <v>270.69049411109819</v>
      </c>
    </row>
    <row r="9" spans="3:24" s="54" customFormat="1" ht="28.9" customHeight="1">
      <c r="D9" s="207" t="s">
        <v>105</v>
      </c>
      <c r="E9" s="203"/>
      <c r="F9" s="179">
        <f>IFERROR((F7-F8)/F8,0)</f>
        <v>-0.55094873979162173</v>
      </c>
      <c r="G9" s="179">
        <f>IFERROR((G7-G8)/G8,0)</f>
        <v>-1</v>
      </c>
      <c r="H9" s="179">
        <f>IFERROR((H7-H8)/H8,0)</f>
        <v>-1</v>
      </c>
      <c r="I9" s="194"/>
      <c r="J9" s="179">
        <f>IFERROR((J7-J8)/J8,0)</f>
        <v>-0.51219020811182836</v>
      </c>
      <c r="K9" s="179">
        <f>IFERROR((K7-K8)/K8,0)</f>
        <v>-0.52964285714285719</v>
      </c>
      <c r="L9" s="179">
        <f>IFERROR((L7-L8)/L8,0)</f>
        <v>3.7105100445619196E-2</v>
      </c>
      <c r="M9" s="107"/>
      <c r="N9" s="179">
        <f>IFERROR((N7-N8)/N8,0)</f>
        <v>-0.18675313454513251</v>
      </c>
      <c r="O9" s="179">
        <f>IFERROR((O7-O8)/O8,0)</f>
        <v>-0.37525674707427753</v>
      </c>
      <c r="P9" s="179">
        <f>IFERROR((P7-P8)/P8,0)</f>
        <v>0.30172972920694635</v>
      </c>
      <c r="Q9" s="187">
        <f>L8*K8</f>
        <v>724233.57602667774</v>
      </c>
      <c r="U9" s="187">
        <f>SUM(T8:U8)</f>
        <v>0</v>
      </c>
    </row>
    <row r="10" spans="3:24" ht="28.9" customHeight="1">
      <c r="D10" s="198">
        <v>2025</v>
      </c>
      <c r="E10" s="194"/>
      <c r="F10" s="195">
        <v>0</v>
      </c>
      <c r="G10" s="196">
        <v>0</v>
      </c>
      <c r="H10" s="197">
        <f>IFERROR(F10/G10,0)</f>
        <v>0</v>
      </c>
      <c r="I10" s="194"/>
      <c r="J10" s="195">
        <v>0</v>
      </c>
      <c r="K10" s="196">
        <v>0</v>
      </c>
      <c r="L10" s="197">
        <f>IFERROR(J10/K10,0)</f>
        <v>0</v>
      </c>
      <c r="M10" s="194"/>
      <c r="N10" s="195">
        <v>0</v>
      </c>
      <c r="O10" s="196">
        <v>0</v>
      </c>
      <c r="P10" s="197">
        <f>IFERROR(N10/O10,0)</f>
        <v>0</v>
      </c>
      <c r="Q10" s="91"/>
    </row>
    <row r="11" spans="3:24" ht="28.15" customHeight="1" thickBot="1">
      <c r="D11" s="199" t="s">
        <v>105</v>
      </c>
      <c r="E11" s="194"/>
      <c r="F11" s="200">
        <f>IFERROR((F7-F10)/F10,0)</f>
        <v>0</v>
      </c>
      <c r="G11" s="200">
        <f>IFERROR((G7-G10)/G10,0)</f>
        <v>0</v>
      </c>
      <c r="H11" s="200">
        <f>IFERROR((H7-H10)/H10,0)</f>
        <v>0</v>
      </c>
      <c r="I11" s="194"/>
      <c r="J11" s="200">
        <f>IFERROR((J7-J10)/J10,0)</f>
        <v>0</v>
      </c>
      <c r="K11" s="200">
        <f>IFERROR((K7-K10)/K10,0)</f>
        <v>0</v>
      </c>
      <c r="L11" s="200">
        <f>IFERROR((L7-L10)/L10,0)</f>
        <v>0</v>
      </c>
      <c r="M11" s="107"/>
      <c r="N11" s="200">
        <f>IFERROR((N7-N10)/N10,0)</f>
        <v>0</v>
      </c>
      <c r="O11" s="200">
        <f>IFERROR((O7-O10)/O10,0)</f>
        <v>0</v>
      </c>
      <c r="P11" s="200">
        <f>IFERROR((P7-P10)/P10,0)</f>
        <v>0</v>
      </c>
    </row>
    <row r="12" spans="3:24" s="194" customFormat="1" ht="7.5" customHeight="1" thickBot="1">
      <c r="D12" s="201"/>
      <c r="E12" s="201"/>
      <c r="F12" s="201"/>
      <c r="G12" s="301"/>
      <c r="H12" s="201"/>
      <c r="I12" s="201"/>
      <c r="J12" s="201"/>
      <c r="K12" s="201"/>
      <c r="L12" s="201"/>
      <c r="M12" s="201"/>
      <c r="N12" s="201"/>
      <c r="O12" s="201"/>
      <c r="P12" s="201"/>
    </row>
    <row r="13" spans="3:24" ht="28.9" customHeight="1">
      <c r="D13" s="193" t="s">
        <v>207</v>
      </c>
      <c r="E13" s="194"/>
      <c r="F13" s="195">
        <f>SUMIFS('Actual - 2026'!BS:BS,'Actual - 2026'!$A:$A,$D$1)</f>
        <v>36205.25</v>
      </c>
      <c r="G13" s="196">
        <f>SUMIFS('Actual - 2026'!BT:BT,'Actual - 2026'!$A:$A,$D$1)</f>
        <v>0</v>
      </c>
      <c r="H13" s="197">
        <f>IFERROR(F13/G13,0)</f>
        <v>0</v>
      </c>
      <c r="I13" s="194"/>
      <c r="J13" s="195">
        <f>SUMIFS('Actual - 2026'!BS:BS,'Actual - 2026'!$B:$B,$D$4)</f>
        <v>78991.25</v>
      </c>
      <c r="K13" s="196">
        <f>SUMIFS('Actual - 2026'!BT:BT,'Actual - 2026'!$B:$B,$D$4)</f>
        <v>610</v>
      </c>
      <c r="L13" s="197">
        <f>IFERROR(J13/K13,0)</f>
        <v>129.49385245901638</v>
      </c>
      <c r="M13" s="194"/>
      <c r="N13" s="195">
        <f>SUMIFS('Actual - 2026'!BS:BS,'Actual - 2026'!$D:$D,$G$1)</f>
        <v>1139731.1299999999</v>
      </c>
      <c r="O13" s="196">
        <f>SUMIFS('Actual - 2026'!BT:BT,'Actual - 2026'!$D:$D,$G$1)</f>
        <v>6796</v>
      </c>
      <c r="P13" s="197">
        <f>IFERROR(N13/O13,0)</f>
        <v>167.70616980576807</v>
      </c>
    </row>
    <row r="14" spans="3:24" ht="27.6" customHeight="1">
      <c r="D14" s="202" t="s">
        <v>78</v>
      </c>
      <c r="E14" s="203"/>
      <c r="F14" s="204">
        <f>SUMIFS('Budget - 2026'!DS:DS,'Budget - 2026'!$B:$B,$D$1)</f>
        <v>61750</v>
      </c>
      <c r="G14" s="205">
        <f>SUMIFS('Budget - 2026'!DT:DT,'Budget - 2026'!$B:$B,$D$1)</f>
        <v>325</v>
      </c>
      <c r="H14" s="206">
        <f>IFERROR(F14/G14,0)</f>
        <v>190</v>
      </c>
      <c r="I14" s="194"/>
      <c r="J14" s="204">
        <f>SUMIFS('Budget - 2026'!DS:DS,'Budget - 2026'!$C:$C,D4,'Budget - 2026'!$E:$E,$G$1)</f>
        <v>247000</v>
      </c>
      <c r="K14" s="205">
        <f>SUMIFS('Budget - 2026'!DT:DT,'Budget - 2026'!$C:$C,D4,'Budget - 2026'!$E:$E,$G$1)</f>
        <v>1300</v>
      </c>
      <c r="L14" s="206">
        <f>IFERROR(J14/K14,0)</f>
        <v>190</v>
      </c>
      <c r="M14" s="194"/>
      <c r="N14" s="204">
        <f>SUMIFS('Budget - 2026'!DS:DS,'Budget - 2026'!$E:$E,$G$1)</f>
        <v>1378500</v>
      </c>
      <c r="O14" s="205">
        <f>SUMIFS('Budget - 2026'!DT:DT,'Budget - 2026'!$E:$E,$G$1)</f>
        <v>6990</v>
      </c>
      <c r="P14" s="206">
        <f>IFERROR(N14/O14,0)</f>
        <v>197.21030042918454</v>
      </c>
    </row>
    <row r="15" spans="3:24" s="54" customFormat="1" ht="28.9" customHeight="1">
      <c r="D15" s="207" t="s">
        <v>105</v>
      </c>
      <c r="E15" s="203"/>
      <c r="F15" s="179">
        <f>IFERROR((F13-F14)/F14,0)</f>
        <v>-0.41368016194331986</v>
      </c>
      <c r="G15" s="179">
        <f>IFERROR((G13-G14)/G14,0)</f>
        <v>-1</v>
      </c>
      <c r="H15" s="179">
        <f>IFERROR((H13-H14)/H14,0)</f>
        <v>-1</v>
      </c>
      <c r="I15" s="194"/>
      <c r="J15" s="179">
        <f>IFERROR((J13-J14)/J14,0)</f>
        <v>-0.68019736842105261</v>
      </c>
      <c r="K15" s="179">
        <f>IFERROR((K13-K14)/K14,0)</f>
        <v>-0.53076923076923077</v>
      </c>
      <c r="L15" s="179">
        <f>IFERROR((L13-L14)/L14,0)</f>
        <v>-0.31845340811044009</v>
      </c>
      <c r="M15" s="107"/>
      <c r="N15" s="179">
        <f>IFERROR((N13-N14)/N14,0)</f>
        <v>-0.1732091911498006</v>
      </c>
      <c r="O15" s="179">
        <f>IFERROR((O13-O14)/O14,0)</f>
        <v>-2.7753934191702433E-2</v>
      </c>
      <c r="P15" s="179">
        <f>IFERROR((P13-P14)/P14,0)</f>
        <v>-0.14960745234507156</v>
      </c>
      <c r="Q15" s="187">
        <f>L14*K14</f>
        <v>247000</v>
      </c>
      <c r="U15" s="187">
        <f>SUM(T14:U14)</f>
        <v>0</v>
      </c>
    </row>
    <row r="16" spans="3:24" ht="28.9" customHeight="1">
      <c r="D16" s="198">
        <v>2025</v>
      </c>
      <c r="E16" s="194"/>
      <c r="F16" s="195">
        <v>0</v>
      </c>
      <c r="G16" s="196">
        <v>0</v>
      </c>
      <c r="H16" s="197">
        <f>IFERROR(F16/G16,0)</f>
        <v>0</v>
      </c>
      <c r="I16" s="194"/>
      <c r="J16" s="195">
        <v>0</v>
      </c>
      <c r="K16" s="196">
        <v>0</v>
      </c>
      <c r="L16" s="197">
        <f>IFERROR(J16/K16,0)</f>
        <v>0</v>
      </c>
      <c r="M16" s="194"/>
      <c r="N16" s="195">
        <v>0</v>
      </c>
      <c r="O16" s="196">
        <v>0</v>
      </c>
      <c r="P16" s="197">
        <f>IFERROR(N16/O16,0)</f>
        <v>0</v>
      </c>
    </row>
    <row r="17" spans="2:21" s="54" customFormat="1" ht="28.15" customHeight="1" thickBot="1">
      <c r="D17" s="199" t="s">
        <v>105</v>
      </c>
      <c r="E17" s="194"/>
      <c r="F17" s="200">
        <f>IFERROR((F13-F16)/F16,0)</f>
        <v>0</v>
      </c>
      <c r="G17" s="200">
        <f>IFERROR((G13-G16)/G16,0)</f>
        <v>0</v>
      </c>
      <c r="H17" s="200">
        <f>IFERROR((H13-H16)/H16,0)</f>
        <v>0</v>
      </c>
      <c r="I17" s="194"/>
      <c r="J17" s="200">
        <f>IFERROR((J13-J16)/J16,0)</f>
        <v>0</v>
      </c>
      <c r="K17" s="200">
        <f>IFERROR((K13-K16)/K16,0)</f>
        <v>0</v>
      </c>
      <c r="L17" s="200">
        <f>IFERROR((L13-L16)/L16,0)</f>
        <v>0</v>
      </c>
      <c r="M17" s="107"/>
      <c r="N17" s="200">
        <f>IFERROR((N13-N16)/N16,0)</f>
        <v>0</v>
      </c>
      <c r="O17" s="200">
        <f>IFERROR((O13-O16)/O16,0)</f>
        <v>0</v>
      </c>
      <c r="P17" s="200">
        <f>IFERROR((P13-P16)/P16,0)</f>
        <v>0</v>
      </c>
    </row>
    <row r="18" spans="2:21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2:21" ht="28.9" customHeight="1">
      <c r="D19" s="217" t="s">
        <v>242</v>
      </c>
      <c r="E19" s="220"/>
      <c r="F19" s="218">
        <f>SUM(F7,F13)</f>
        <v>117509.75</v>
      </c>
      <c r="G19" s="219">
        <f t="shared" ref="G19" si="0">SUM(G7,G13)</f>
        <v>0</v>
      </c>
      <c r="H19" s="218">
        <f>IFERROR(F19/G19,0)</f>
        <v>0</v>
      </c>
      <c r="J19" s="218">
        <f>SUM(J7,J13)</f>
        <v>432279.48</v>
      </c>
      <c r="K19" s="219">
        <f t="shared" ref="K19:O19" si="1">SUM(K7,K13)</f>
        <v>1927</v>
      </c>
      <c r="L19" s="218">
        <f>IFERROR(J19/K19,0)</f>
        <v>224.32770108977684</v>
      </c>
      <c r="N19" s="218">
        <f>SUM(N7,N13)</f>
        <v>5748324.2599999988</v>
      </c>
      <c r="O19" s="219">
        <f t="shared" si="1"/>
        <v>19875</v>
      </c>
      <c r="P19" s="218">
        <f>IFERROR(N19/O19,0)</f>
        <v>289.22386213836472</v>
      </c>
      <c r="Q19" s="49"/>
    </row>
    <row r="20" spans="2:21" ht="28.9" customHeight="1">
      <c r="D20" s="209" t="s">
        <v>78</v>
      </c>
      <c r="E20" s="210"/>
      <c r="F20" s="211">
        <f>SUM(F8,F14)</f>
        <v>242808.39400666943</v>
      </c>
      <c r="G20" s="212">
        <f>SUM(G8,G14)</f>
        <v>1025</v>
      </c>
      <c r="H20" s="213">
        <f>IFERROR(F20/G20,0)</f>
        <v>236.88623805528727</v>
      </c>
      <c r="I20" s="194"/>
      <c r="J20" s="211">
        <f>SUM(J8,J14)</f>
        <v>971233.57602667774</v>
      </c>
      <c r="K20" s="212">
        <f>SUM(K8,K14)</f>
        <v>4100</v>
      </c>
      <c r="L20" s="213">
        <f>IFERROR(J20/K20,0)</f>
        <v>236.88623805528727</v>
      </c>
      <c r="M20" s="194"/>
      <c r="N20" s="211">
        <f>SUM(N8,N14)</f>
        <v>7045405.4942158405</v>
      </c>
      <c r="O20" s="212">
        <f>SUM(O8,O14)</f>
        <v>27925</v>
      </c>
      <c r="P20" s="213">
        <f>IFERROR(N20/O20,0)</f>
        <v>252.29742145804263</v>
      </c>
    </row>
    <row r="21" spans="2:21" s="54" customFormat="1" ht="28.9" customHeight="1">
      <c r="D21" s="214" t="s">
        <v>105</v>
      </c>
      <c r="E21" s="210"/>
      <c r="F21" s="215">
        <f>IFERROR((F19-F20)/F20,0)</f>
        <v>-0.51603917780217989</v>
      </c>
      <c r="G21" s="215">
        <f>IFERROR((G19-G20)/G20,0)</f>
        <v>-1</v>
      </c>
      <c r="H21" s="215">
        <f>IFERROR((H19-H20)/H20,0)</f>
        <v>-1</v>
      </c>
      <c r="I21" s="194"/>
      <c r="J21" s="215">
        <f>IFERROR((J19-J20)/J20,0)</f>
        <v>-0.55491707590211425</v>
      </c>
      <c r="K21" s="215">
        <f>IFERROR((K19-K20)/K20,0)</f>
        <v>-0.53</v>
      </c>
      <c r="L21" s="215">
        <f>IFERROR((L19-L20)/L20,0)</f>
        <v>-5.3015055110881407E-2</v>
      </c>
      <c r="M21" s="107"/>
      <c r="N21" s="215">
        <f>IFERROR((N19-N20)/N20,0)</f>
        <v>-0.18410313434488951</v>
      </c>
      <c r="O21" s="215">
        <f>IFERROR((O19-O20)/O20,0)</f>
        <v>-0.28827215756490598</v>
      </c>
      <c r="P21" s="215">
        <f>IFERROR((P19-P20)/P20,0)</f>
        <v>0.1463607533795703</v>
      </c>
      <c r="Q21" s="187">
        <f>L20*K20</f>
        <v>971233.57602667774</v>
      </c>
      <c r="S21" s="98">
        <v>768000</v>
      </c>
      <c r="U21" s="187">
        <f>SUM(T20:U20)</f>
        <v>0</v>
      </c>
    </row>
    <row r="22" spans="2:21" ht="28.9" customHeight="1">
      <c r="D22" s="198">
        <v>2025</v>
      </c>
      <c r="E22" s="194"/>
      <c r="F22" s="195">
        <f>SUM(F10,F16)</f>
        <v>0</v>
      </c>
      <c r="G22" s="196">
        <f>SUM(G10,G16)</f>
        <v>0</v>
      </c>
      <c r="H22" s="197">
        <f>IFERROR(F22/G22,0)</f>
        <v>0</v>
      </c>
      <c r="I22" s="194"/>
      <c r="J22" s="195">
        <f>SUM(J10,J16)</f>
        <v>0</v>
      </c>
      <c r="K22" s="196">
        <f>SUM(K10,K16)</f>
        <v>0</v>
      </c>
      <c r="L22" s="197">
        <f>IFERROR(J22/K22,0)</f>
        <v>0</v>
      </c>
      <c r="M22" s="194"/>
      <c r="N22" s="195">
        <f>SUM(N10,N16)</f>
        <v>0</v>
      </c>
      <c r="O22" s="196">
        <f>SUM(O10,O16)</f>
        <v>0</v>
      </c>
      <c r="P22" s="197">
        <f>IFERROR(N22/O22,0)</f>
        <v>0</v>
      </c>
      <c r="S22" s="98">
        <f>F19</f>
        <v>117509.75</v>
      </c>
    </row>
    <row r="23" spans="2:21" s="54" customFormat="1" ht="28.9" customHeight="1">
      <c r="D23" s="199" t="s">
        <v>105</v>
      </c>
      <c r="E23" s="194"/>
      <c r="F23" s="200">
        <f>IFERROR((F19-F22)/F22,0)</f>
        <v>0</v>
      </c>
      <c r="G23" s="200">
        <f>IFERROR((G19-G22)/G22,0)</f>
        <v>0</v>
      </c>
      <c r="H23" s="200">
        <f>IFERROR((H19-H22)/H22,0)</f>
        <v>0</v>
      </c>
      <c r="I23" s="194"/>
      <c r="J23" s="200">
        <f>IFERROR((J19-J22)/J22,0)</f>
        <v>0</v>
      </c>
      <c r="K23" s="200">
        <f>IFERROR((K19-K22)/K22,0)</f>
        <v>0</v>
      </c>
      <c r="L23" s="200">
        <f>IFERROR((L19-L22)/L22,0)</f>
        <v>0</v>
      </c>
      <c r="M23" s="107"/>
      <c r="N23" s="200">
        <f>IFERROR((N19-N22)/N22,0)</f>
        <v>0</v>
      </c>
      <c r="O23" s="200">
        <f>IFERROR((O19-O22)/O22,0)</f>
        <v>0</v>
      </c>
      <c r="P23" s="200">
        <f>IFERROR((P19-P22)/P22,0)</f>
        <v>0</v>
      </c>
      <c r="S23" s="321">
        <f>SUM(S21:S22)</f>
        <v>885509.75</v>
      </c>
    </row>
    <row r="24" spans="2:21" ht="16.350000000000001" customHeight="1">
      <c r="D24" s="54"/>
      <c r="F24" s="1"/>
      <c r="G24" s="114"/>
      <c r="H24" s="1"/>
      <c r="J24" s="1"/>
      <c r="K24" s="114"/>
      <c r="L24" s="1"/>
      <c r="N24" s="76"/>
      <c r="O24" s="114"/>
      <c r="P24" s="1"/>
      <c r="S24" s="98">
        <v>1028594</v>
      </c>
    </row>
    <row r="25" spans="2:21" ht="15.75">
      <c r="B25" s="46" t="s">
        <v>99</v>
      </c>
      <c r="M25" s="99"/>
      <c r="S25" s="324">
        <f>S23-S24</f>
        <v>-143084.25</v>
      </c>
    </row>
    <row r="26" spans="2:21">
      <c r="G26" s="54"/>
    </row>
    <row r="28" spans="2:21">
      <c r="G28" s="189"/>
      <c r="K28" s="189"/>
      <c r="O28" s="189"/>
    </row>
    <row r="29" spans="2:21">
      <c r="G29" s="189"/>
      <c r="K29" s="189"/>
      <c r="O29" s="189"/>
    </row>
  </sheetData>
  <mergeCells count="4">
    <mergeCell ref="D2:P2"/>
    <mergeCell ref="F4:H4"/>
    <mergeCell ref="J4:L4"/>
    <mergeCell ref="N4:P4"/>
  </mergeCells>
  <conditionalFormatting sqref="F17:P17 F21:P21 F23:P23 F15:P15 F9:P9 F11:P11">
    <cfRule type="iconSet" priority="1">
      <iconSet iconSet="3Arrows">
        <cfvo type="percent" val="0"/>
        <cfvo type="num" val="0.01"/>
        <cfvo type="num" val="0.01"/>
      </iconSet>
    </cfRule>
  </conditionalFormatting>
  <pageMargins left="0.7" right="0.7" top="0.75" bottom="0.75" header="0.3" footer="0.3"/>
  <pageSetup scale="5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4E0F-5910-4C95-8712-68C1473B0750}">
  <sheetPr>
    <tabColor theme="2" tint="-9.9978637043366805E-2"/>
    <pageSetUpPr fitToPage="1"/>
  </sheetPr>
  <dimension ref="B1:S44"/>
  <sheetViews>
    <sheetView zoomScale="70" zoomScaleNormal="70" workbookViewId="0">
      <selection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 outlineLevel="1"/>
    <col min="9" max="9" width="1.5703125" style="5" customWidth="1"/>
    <col min="10" max="12" width="14.5703125" style="5" customWidth="1" outlineLevel="1"/>
    <col min="13" max="13" width="1.5703125" style="5" customWidth="1" outlineLevel="1"/>
    <col min="14" max="14" width="17.42578125" style="5" customWidth="1"/>
    <col min="15" max="15" width="15.7109375" style="5" customWidth="1"/>
    <col min="16" max="16" width="15.42578125" style="5" customWidth="1"/>
    <col min="17" max="18" width="10.7109375" style="5"/>
    <col min="19" max="19" width="13.28515625" style="5" bestFit="1" customWidth="1"/>
    <col min="20" max="16384" width="10.7109375" style="5"/>
  </cols>
  <sheetData>
    <row r="1" spans="3:16" ht="18.75">
      <c r="D1" s="118" t="str">
        <f>'RDG Weekly Sales'!D1</f>
        <v>Week 34</v>
      </c>
      <c r="F1" s="5">
        <f>VLOOKUP(D1,Dates!$B$2:$E$53,4,FALSE)</f>
        <v>34</v>
      </c>
      <c r="G1" s="5" t="b">
        <v>1</v>
      </c>
    </row>
    <row r="2" spans="3:16" ht="28.5">
      <c r="D2" s="399" t="str">
        <f>CONCATENATE("CLAUDIE",)</f>
        <v>CLAUDIE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</row>
    <row r="4" spans="3:16" ht="23.25">
      <c r="C4" s="121" t="e">
        <f>VLOOKUP($D$4,#REF!,2,FALSE)</f>
        <v>#REF!</v>
      </c>
      <c r="D4" s="118" t="str">
        <f>VLOOKUP(D1,'Actual - 2026'!$A$5:$B$56,2,FALSE)</f>
        <v>P8</v>
      </c>
      <c r="F4" s="406" t="str">
        <f>D1</f>
        <v>Week 34</v>
      </c>
      <c r="G4" s="406"/>
      <c r="H4" s="406"/>
      <c r="J4" s="406" t="str">
        <f>CONCATENATE("MTD"," ","-"," ",D4)</f>
        <v>MTD - P8</v>
      </c>
      <c r="K4" s="406"/>
      <c r="L4" s="406"/>
      <c r="M4" s="71"/>
      <c r="N4" s="406" t="s">
        <v>7</v>
      </c>
      <c r="O4" s="406"/>
      <c r="P4" s="406"/>
    </row>
    <row r="6" spans="3:16" ht="27" customHeight="1">
      <c r="F6" s="142" t="s">
        <v>77</v>
      </c>
      <c r="G6" s="142" t="s">
        <v>81</v>
      </c>
      <c r="H6" s="160" t="s">
        <v>237</v>
      </c>
      <c r="J6" s="142" t="s">
        <v>77</v>
      </c>
      <c r="K6" s="142" t="s">
        <v>81</v>
      </c>
      <c r="L6" s="160" t="s">
        <v>237</v>
      </c>
      <c r="M6" s="141"/>
      <c r="N6" s="142" t="s">
        <v>77</v>
      </c>
      <c r="O6" s="142" t="s">
        <v>81</v>
      </c>
      <c r="P6" s="160" t="s">
        <v>237</v>
      </c>
    </row>
    <row r="7" spans="3:16" s="108" customFormat="1" ht="28.9" customHeight="1">
      <c r="D7" s="193" t="s">
        <v>204</v>
      </c>
      <c r="E7" s="194"/>
      <c r="F7" s="195">
        <f>SUMIFS('Actual - 2026'!AX:AX,'Actual - 2026'!A:A,D1)</f>
        <v>243338.46000000002</v>
      </c>
      <c r="G7" s="196">
        <f>SUMIFS('Actual - 2026'!AY:AY,'Actual - 2026'!A:A,D1)</f>
        <v>0</v>
      </c>
      <c r="H7" s="197" t="e">
        <f>F7/G7</f>
        <v>#DIV/0!</v>
      </c>
      <c r="I7" s="194"/>
      <c r="J7" s="195">
        <f>SUMIFS('Actual - 2026'!AX:AX,'Actual - 2026'!B:B,D4)</f>
        <v>915803.31</v>
      </c>
      <c r="K7" s="196">
        <f>SUMIFS('Actual - 2026'!AY:AY,'Actual - 2026'!B:B,D4)</f>
        <v>5103</v>
      </c>
      <c r="L7" s="197">
        <f>J7/K7</f>
        <v>179.46370958259848</v>
      </c>
      <c r="M7" s="194"/>
      <c r="N7" s="195">
        <f>SUMIFS('Actual - 2026'!AX:AX,'Actual - 2026'!D:D,G1)</f>
        <v>9962193.9600000009</v>
      </c>
      <c r="O7" s="196">
        <f>SUMIFS('Actual - 2026'!AY:AY,'Actual - 2026'!D:D,G1)</f>
        <v>61209</v>
      </c>
      <c r="P7" s="197">
        <f>N7/O7</f>
        <v>162.75701220408766</v>
      </c>
    </row>
    <row r="8" spans="3:16" ht="28.9" customHeight="1">
      <c r="D8" s="202" t="s">
        <v>78</v>
      </c>
      <c r="E8" s="203"/>
      <c r="F8" s="204">
        <f>SUMIFS('Budget - 2026'!CX:CX,'Budget - 2026'!B:B,D1)</f>
        <v>299664.84999999998</v>
      </c>
      <c r="G8" s="205">
        <f>SUMIFS('Budget - 2026'!CY:CY,'Budget - 2026'!B:B,D1)</f>
        <v>1848</v>
      </c>
      <c r="H8" s="206">
        <f>F8/G8</f>
        <v>162.1563041125541</v>
      </c>
      <c r="I8" s="194"/>
      <c r="J8" s="204">
        <f>SUMIFS('Budget - 2026'!CX:CX,'Budget - 2026'!C:C,D4,'Budget - 2026'!$E:$E,G1)</f>
        <v>1143855.9908505653</v>
      </c>
      <c r="K8" s="205">
        <f>SUMIFS('Budget - 2026'!CY:CY,'Budget - 2026'!C:C,D4,'Budget - 2026'!$E:$E,G1)</f>
        <v>6980</v>
      </c>
      <c r="L8" s="206">
        <f>J8/K8</f>
        <v>163.8762164542357</v>
      </c>
      <c r="M8" s="194"/>
      <c r="N8" s="204">
        <f>SUMIFS('Budget - 2026'!CX:CX,'Budget - 2026'!E:E,G1)</f>
        <v>10962237.102283526</v>
      </c>
      <c r="O8" s="205">
        <f>SUMIFS('Budget - 2026'!CY:CY,'Budget - 2026'!E:E,G1)</f>
        <v>64780</v>
      </c>
      <c r="P8" s="206">
        <f>N8/O8</f>
        <v>169.22255483611494</v>
      </c>
    </row>
    <row r="9" spans="3:16" s="54" customFormat="1" ht="28.9" customHeight="1">
      <c r="D9" s="207" t="s">
        <v>105</v>
      </c>
      <c r="E9" s="203"/>
      <c r="F9" s="179">
        <f>(F7-F8)/F8</f>
        <v>-0.18796462114258633</v>
      </c>
      <c r="G9" s="179">
        <f>(G7-G8)/G8</f>
        <v>-1</v>
      </c>
      <c r="H9" s="179" t="e">
        <f>(H7-H8)/H8</f>
        <v>#DIV/0!</v>
      </c>
      <c r="I9" s="194"/>
      <c r="J9" s="179">
        <f>(J7-J8)/J8</f>
        <v>-0.1993718463466598</v>
      </c>
      <c r="K9" s="179">
        <f>(K7-K8)/K8</f>
        <v>-0.26891117478510029</v>
      </c>
      <c r="L9" s="179">
        <f>(L7-L8)/L8</f>
        <v>9.5117482363377387E-2</v>
      </c>
      <c r="M9" s="107"/>
      <c r="N9" s="179">
        <f>(N7-N8)/N8</f>
        <v>-9.1226191602369916E-2</v>
      </c>
      <c r="O9" s="179">
        <f>(O7-O8)/O8</f>
        <v>-5.5125038592158074E-2</v>
      </c>
      <c r="P9" s="179">
        <f>(P7-P8)/P8</f>
        <v>-3.8207333758132248E-2</v>
      </c>
    </row>
    <row r="10" spans="3:16" ht="28.9" customHeight="1">
      <c r="D10" s="198">
        <v>2025</v>
      </c>
      <c r="E10" s="194"/>
      <c r="F10" s="195">
        <f>SUMIFS('Budget - 2026'!CO:CO,'Budget - 2026'!$B:$B,$D$1)</f>
        <v>304876.25</v>
      </c>
      <c r="G10" s="196">
        <f>SUMIFS('Budget - 2026'!CP:CP,'Budget - 2026'!$B:$B,$D$1)</f>
        <v>1948</v>
      </c>
      <c r="H10" s="197">
        <f>F10/G10</f>
        <v>156.50731519507187</v>
      </c>
      <c r="I10" s="194"/>
      <c r="J10" s="195">
        <f>SUMIFS('Budget - 2026'!CO:CO,'Budget - 2026'!$C:$C,$D$4,'Budget - 2026'!$E:$E,$G$1)</f>
        <v>1134063.31</v>
      </c>
      <c r="K10" s="196">
        <f>SUMIFS('Budget - 2026'!CP:CP,'Budget - 2026'!$C:$C,$D$4,'Budget - 2026'!$E:$E,$G$1)</f>
        <v>7365</v>
      </c>
      <c r="L10" s="197">
        <f>J10/K10</f>
        <v>153.98008282416836</v>
      </c>
      <c r="M10" s="194"/>
      <c r="N10" s="195">
        <f>SUMIFS('Budget - 2026'!CO:CO,'Budget - 2026'!$E:$E,$G$1)</f>
        <v>8809258.9199999999</v>
      </c>
      <c r="O10" s="196">
        <f>SUMIFS('Budget - 2026'!CP:CP,'Budget - 2026'!$E:$E,$G$1)</f>
        <v>53295</v>
      </c>
      <c r="P10" s="197">
        <f>N10/O10</f>
        <v>165.29240866873064</v>
      </c>
    </row>
    <row r="11" spans="3:16" ht="28.9" customHeight="1" thickBot="1">
      <c r="D11" s="199" t="s">
        <v>105</v>
      </c>
      <c r="E11" s="194"/>
      <c r="F11" s="200">
        <f>IFERROR((F7-F10)/F10,0)</f>
        <v>-0.20184514208633825</v>
      </c>
      <c r="G11" s="200">
        <f>IFERROR((G7-G10)/G10,0)</f>
        <v>-1</v>
      </c>
      <c r="H11" s="200">
        <f>IFERROR((H7-H10)/H10,0)</f>
        <v>0</v>
      </c>
      <c r="I11" s="194"/>
      <c r="J11" s="200">
        <f>IFERROR((J7-J10)/J10,0)</f>
        <v>-0.19245839105755039</v>
      </c>
      <c r="K11" s="200">
        <f>IFERROR((K7-K10)/K10,0)</f>
        <v>-0.30712830957230142</v>
      </c>
      <c r="L11" s="200">
        <f>IFERROR((L7-L10)/L10,0)</f>
        <v>0.16549950026673363</v>
      </c>
      <c r="M11" s="107"/>
      <c r="N11" s="200">
        <f>IFERROR((N7-N10)/N10,0)</f>
        <v>0.13087764254294401</v>
      </c>
      <c r="O11" s="200">
        <f>IFERROR((O7-O10)/O10,0)</f>
        <v>0.14849423022797636</v>
      </c>
      <c r="P11" s="200">
        <f>IFERROR((P7-P10)/P10,0)</f>
        <v>-1.5338856061588883E-2</v>
      </c>
    </row>
    <row r="12" spans="3:16" s="194" customFormat="1" ht="7.5" customHeight="1" thickBot="1"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</row>
    <row r="13" spans="3:16" ht="28.9" customHeight="1">
      <c r="D13" s="193" t="s">
        <v>205</v>
      </c>
      <c r="E13" s="194"/>
      <c r="F13" s="195">
        <f>SUMIFS('Actual - 2026'!AU:AU,'Actual - 2026'!A:A,D1)</f>
        <v>38676.46</v>
      </c>
      <c r="G13" s="196">
        <f>SUMIFS('Actual - 2026'!AV:AV,'Actual - 2026'!A:A,D1)</f>
        <v>0</v>
      </c>
      <c r="H13" s="197">
        <f>IFERROR(F13/G13,0)</f>
        <v>0</v>
      </c>
      <c r="I13" s="194"/>
      <c r="J13" s="195">
        <f>SUMIFS('Actual - 2026'!AU:AU,'Actual - 2026'!B:B,D4)</f>
        <v>135439.84</v>
      </c>
      <c r="K13" s="196">
        <f>SUMIFS('Actual - 2026'!AV:AV,'Actual - 2026'!B:B,D4)</f>
        <v>1108</v>
      </c>
      <c r="L13" s="197">
        <f>IFERROR(J13/K13,0)</f>
        <v>122.23812274368231</v>
      </c>
      <c r="M13" s="194"/>
      <c r="N13" s="195">
        <f>SUMIFS('Actual - 2026'!AU:AU,'Actual - 2026'!D:D,G1)</f>
        <v>1024643.6299999999</v>
      </c>
      <c r="O13" s="196">
        <f>SUMIFS('Actual - 2026'!AV:AV,'Actual - 2026'!D:D,G1)</f>
        <v>8189</v>
      </c>
      <c r="P13" s="197">
        <f>IFERROR(N13/O13,0)</f>
        <v>125.12439003541334</v>
      </c>
    </row>
    <row r="14" spans="3:16" ht="27.6" customHeight="1">
      <c r="D14" s="202" t="s">
        <v>78</v>
      </c>
      <c r="E14" s="203"/>
      <c r="F14" s="204">
        <f>SUMIFS('Budget - 2026'!CU:CU,'Budget - 2026'!B:B,D1)</f>
        <v>30211.181933920358</v>
      </c>
      <c r="G14" s="205">
        <f>SUMIFS('Budget - 2026'!CV:CV,'Budget - 2026'!B:B,D1)</f>
        <v>344.25</v>
      </c>
      <c r="H14" s="206">
        <f>IFERROR(F14/G14,0)</f>
        <v>87.759424644648817</v>
      </c>
      <c r="I14" s="194"/>
      <c r="J14" s="204">
        <f>SUMIFS('Budget - 2026'!CU:CU,'Budget - 2026'!C:C,D4,'Budget - 2026'!$E:$E,G1)</f>
        <v>120844.72773568143</v>
      </c>
      <c r="K14" s="205">
        <f>SUMIFS('Budget - 2026'!CV:CV,'Budget - 2026'!C:C,D4,'Budget - 2026'!$E:$E,G1)</f>
        <v>1377</v>
      </c>
      <c r="L14" s="206">
        <f>IFERROR(J14/K14,0)</f>
        <v>87.759424644648817</v>
      </c>
      <c r="M14" s="194"/>
      <c r="N14" s="204">
        <f>SUMIFS('Budget - 2026'!CU:CU,'Budget - 2026'!E:E,G1)</f>
        <v>876625.23245192319</v>
      </c>
      <c r="O14" s="205">
        <f>SUMIFS('Budget - 2026'!CV:CV,'Budget - 2026'!E:E,G1)</f>
        <v>9591</v>
      </c>
      <c r="P14" s="206">
        <f>IFERROR(N14/O14,0)</f>
        <v>91.400816646014306</v>
      </c>
    </row>
    <row r="15" spans="3:16" ht="27.6" customHeight="1">
      <c r="D15" s="207" t="s">
        <v>105</v>
      </c>
      <c r="E15" s="203"/>
      <c r="F15" s="179">
        <f>(F13-F14)/F14</f>
        <v>0.28020347183355443</v>
      </c>
      <c r="G15" s="179">
        <f>(G13-G14)/G14</f>
        <v>-1</v>
      </c>
      <c r="H15" s="179">
        <f>(H13-H14)/H14</f>
        <v>-1</v>
      </c>
      <c r="I15" s="194"/>
      <c r="J15" s="179">
        <f>(J13-J14)/J14</f>
        <v>0.12077574700852352</v>
      </c>
      <c r="K15" s="179">
        <f>(K13-K14)/K14</f>
        <v>-0.19535221496005808</v>
      </c>
      <c r="L15" s="179">
        <f>(L13-L14)/L14</f>
        <v>0.39287744009994319</v>
      </c>
      <c r="M15" s="107"/>
      <c r="N15" s="179">
        <f>(N13-N14)/N14</f>
        <v>0.16885025900300502</v>
      </c>
      <c r="O15" s="179">
        <f>(O13-O14)/O14</f>
        <v>-0.1461787092065478</v>
      </c>
      <c r="P15" s="179">
        <f>(P13-P14)/P14</f>
        <v>0.36896358946120655</v>
      </c>
    </row>
    <row r="16" spans="3:16" ht="28.9" customHeight="1">
      <c r="D16" s="198">
        <v>2025</v>
      </c>
      <c r="E16" s="194"/>
      <c r="F16" s="195">
        <f>SUMIFS('Budget - 2026'!CL:CL,'Budget - 2026'!$B:$B,$D$1)</f>
        <v>0</v>
      </c>
      <c r="G16" s="196">
        <f>SUMIFS('Budget - 2026'!CM:CM,'Budget - 2026'!B:B,D3)</f>
        <v>0</v>
      </c>
      <c r="H16" s="197">
        <f>IFERROR(F16/G16,0)</f>
        <v>0</v>
      </c>
      <c r="I16" s="194"/>
      <c r="J16" s="195">
        <f>SUMIFS('Budget - 2026'!CM:CM,'Budget - 2026'!C:C,D4,'Budget - 2026'!$E:$E,G1)</f>
        <v>0</v>
      </c>
      <c r="K16" s="196">
        <f>SUMIFS('Budget - 2026'!CN:CN,'Budget - 2026'!C:C,D4,'Budget - 2026'!$E:$E,G1)</f>
        <v>0</v>
      </c>
      <c r="L16" s="197">
        <f>IFERROR(J16/K16,0)</f>
        <v>0</v>
      </c>
      <c r="M16" s="194"/>
      <c r="N16" s="195">
        <f>SUMIFS('Budget - 2026'!CM:CM,'Budget - 2026'!E:E,G1)</f>
        <v>0</v>
      </c>
      <c r="O16" s="196">
        <f>SUMIFS('Budget - 2026'!CN:CN,'Budget - 2026'!E:E,G1)</f>
        <v>0</v>
      </c>
      <c r="P16" s="197">
        <f>IFERROR(N16/O16,0)</f>
        <v>0</v>
      </c>
    </row>
    <row r="17" spans="2:19" ht="28.9" customHeight="1" thickBot="1">
      <c r="D17" s="199" t="s">
        <v>105</v>
      </c>
      <c r="E17" s="194"/>
      <c r="F17" s="200">
        <f>IFERROR((F13-F16)/F16,0)</f>
        <v>0</v>
      </c>
      <c r="G17" s="200">
        <f>IFERROR((G13-G16)/G16,0)</f>
        <v>0</v>
      </c>
      <c r="H17" s="200">
        <f>IFERROR((H13-H16)/H16,0)</f>
        <v>0</v>
      </c>
      <c r="I17" s="194"/>
      <c r="J17" s="200">
        <f>IFERROR((J13-J16)/J16,0)</f>
        <v>0</v>
      </c>
      <c r="K17" s="200">
        <f>IFERROR((K13-K16)/K16,0)</f>
        <v>0</v>
      </c>
      <c r="L17" s="200">
        <f>IFERROR((L13-L16)/L16,0)</f>
        <v>0</v>
      </c>
      <c r="M17" s="107"/>
      <c r="N17" s="200">
        <f>IFERROR((N13-N16)/N16,0)</f>
        <v>0</v>
      </c>
      <c r="O17" s="200">
        <f>IFERROR((O13-O16)/O16,0)</f>
        <v>0</v>
      </c>
      <c r="P17" s="200">
        <f>IFERROR((P13-P16)/P16,0)</f>
        <v>0</v>
      </c>
    </row>
    <row r="18" spans="2:19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</row>
    <row r="19" spans="2:19" ht="28.9" customHeight="1">
      <c r="D19" s="221" t="s">
        <v>242</v>
      </c>
      <c r="E19" s="226"/>
      <c r="F19" s="223">
        <f>SUM(F13,F7)</f>
        <v>282014.92000000004</v>
      </c>
      <c r="G19" s="224">
        <f>SUM(G13,G7)</f>
        <v>0</v>
      </c>
      <c r="H19" s="225" t="e">
        <f>F19/G19</f>
        <v>#DIV/0!</v>
      </c>
      <c r="J19" s="223">
        <f>SUM(J13,J7)</f>
        <v>1051243.1500000001</v>
      </c>
      <c r="K19" s="224">
        <f>SUM(K13,K7)</f>
        <v>6211</v>
      </c>
      <c r="L19" s="225">
        <f>J19/K19</f>
        <v>169.25505554661086</v>
      </c>
      <c r="N19" s="223">
        <f>SUM(N13,N7)</f>
        <v>10986837.59</v>
      </c>
      <c r="O19" s="224">
        <f>SUM(O13,O7)</f>
        <v>69398</v>
      </c>
      <c r="P19" s="225">
        <f>N19/O19</f>
        <v>158.31634326637655</v>
      </c>
      <c r="R19" s="91"/>
    </row>
    <row r="20" spans="2:19" ht="28.9" customHeight="1">
      <c r="D20" s="209" t="s">
        <v>78</v>
      </c>
      <c r="E20" s="210"/>
      <c r="F20" s="211">
        <f>SUM(F8,F14)</f>
        <v>329876.03193392034</v>
      </c>
      <c r="G20" s="212">
        <f>SUM(G8,G14)</f>
        <v>2192.25</v>
      </c>
      <c r="H20" s="213">
        <f>F20/G20</f>
        <v>150.47372878728262</v>
      </c>
      <c r="I20" s="194"/>
      <c r="J20" s="211">
        <f>SUM(J8,J14)</f>
        <v>1264700.7185862467</v>
      </c>
      <c r="K20" s="212">
        <f>SUM(K8,K14)</f>
        <v>8357</v>
      </c>
      <c r="L20" s="213">
        <f>J20/K20</f>
        <v>151.33429682735991</v>
      </c>
      <c r="M20" s="194"/>
      <c r="N20" s="211">
        <f>SUM(N8,N14)</f>
        <v>11838862.334735449</v>
      </c>
      <c r="O20" s="212">
        <f>SUM(O8,O14)</f>
        <v>74371</v>
      </c>
      <c r="P20" s="213">
        <f>N20/O20</f>
        <v>159.18654226426227</v>
      </c>
    </row>
    <row r="21" spans="2:19" ht="28.9" customHeight="1">
      <c r="D21" s="214" t="s">
        <v>105</v>
      </c>
      <c r="E21" s="210"/>
      <c r="F21" s="215">
        <f>(F19-F20)/F20</f>
        <v>-0.1450881764683882</v>
      </c>
      <c r="G21" s="215">
        <f>(G19-G20)/G20</f>
        <v>-1</v>
      </c>
      <c r="H21" s="215" t="e">
        <f>(H19-H20)/H20</f>
        <v>#DIV/0!</v>
      </c>
      <c r="I21" s="194"/>
      <c r="J21" s="215">
        <f>(J19-J20)/J20</f>
        <v>-0.16878109219773466</v>
      </c>
      <c r="K21" s="215">
        <f>(K19-K20)/K20</f>
        <v>-0.25679071437118584</v>
      </c>
      <c r="L21" s="215">
        <f>(L19-L20)/L20</f>
        <v>0.11841835654540828</v>
      </c>
      <c r="M21" s="107"/>
      <c r="N21" s="215">
        <f>(N19-N20)/N20</f>
        <v>-7.1968464591026848E-2</v>
      </c>
      <c r="O21" s="215">
        <f>(O19-O20)/O20</f>
        <v>-6.6867461779457044E-2</v>
      </c>
      <c r="P21" s="215">
        <f>(P19-P20)/P20</f>
        <v>-5.4665362128484673E-3</v>
      </c>
      <c r="S21" s="98">
        <v>768000</v>
      </c>
    </row>
    <row r="22" spans="2:19" ht="28.9" customHeight="1">
      <c r="D22" s="198">
        <v>2025</v>
      </c>
      <c r="E22" s="194"/>
      <c r="F22" s="195">
        <v>0</v>
      </c>
      <c r="G22" s="196">
        <v>0</v>
      </c>
      <c r="H22" s="197">
        <v>0</v>
      </c>
      <c r="I22" s="194"/>
      <c r="J22" s="195">
        <v>0</v>
      </c>
      <c r="K22" s="196">
        <v>0</v>
      </c>
      <c r="L22" s="197">
        <v>0</v>
      </c>
      <c r="M22" s="194"/>
      <c r="N22" s="195">
        <v>0</v>
      </c>
      <c r="O22" s="196">
        <v>0</v>
      </c>
      <c r="P22" s="197">
        <v>0</v>
      </c>
      <c r="S22" s="98">
        <f>F19</f>
        <v>282014.92000000004</v>
      </c>
    </row>
    <row r="23" spans="2:19" ht="28.9" customHeight="1">
      <c r="D23" s="199" t="s">
        <v>105</v>
      </c>
      <c r="E23" s="194"/>
      <c r="F23" s="200">
        <f>IFERROR((F19-F22)/F22,0)</f>
        <v>0</v>
      </c>
      <c r="G23" s="200">
        <f>IFERROR((G19-G22)/G22,0)</f>
        <v>0</v>
      </c>
      <c r="H23" s="200">
        <f>IFERROR((H19-H22)/H22,0)</f>
        <v>0</v>
      </c>
      <c r="I23" s="194"/>
      <c r="J23" s="200">
        <f>IFERROR((J19-J22)/J22,0)</f>
        <v>0</v>
      </c>
      <c r="K23" s="200">
        <f>IFERROR((K19-K22)/K22,0)</f>
        <v>0</v>
      </c>
      <c r="L23" s="200">
        <f>IFERROR((L19-L22)/L22,0)</f>
        <v>0</v>
      </c>
      <c r="M23" s="107"/>
      <c r="N23" s="200">
        <f>IFERROR((N19-N22)/N22,0)</f>
        <v>0</v>
      </c>
      <c r="O23" s="200">
        <f>IFERROR((O19-O22)/O22,0)</f>
        <v>0</v>
      </c>
      <c r="P23" s="200">
        <f>IFERROR((P19-P22)/P22,0)</f>
        <v>0</v>
      </c>
      <c r="S23" s="324">
        <f>SUM(S21:S22)</f>
        <v>1050014.92</v>
      </c>
    </row>
    <row r="24" spans="2:19" ht="16.350000000000001" customHeight="1">
      <c r="D24" s="54"/>
      <c r="F24" s="1"/>
      <c r="G24" s="114"/>
      <c r="H24" s="1"/>
      <c r="J24" s="1"/>
      <c r="K24" s="114"/>
      <c r="L24" s="1"/>
      <c r="N24" s="76"/>
      <c r="O24" s="114"/>
      <c r="P24" s="1"/>
      <c r="S24" s="98">
        <v>1028594</v>
      </c>
    </row>
    <row r="25" spans="2:19" ht="15.75">
      <c r="B25" s="46" t="s">
        <v>99</v>
      </c>
      <c r="M25" s="99"/>
      <c r="S25" s="324">
        <f>S23-S24</f>
        <v>21420.919999999925</v>
      </c>
    </row>
    <row r="26" spans="2:19">
      <c r="D26" s="208"/>
      <c r="E26" s="208"/>
      <c r="F26" s="208"/>
      <c r="G26" s="208"/>
      <c r="H26" s="208"/>
      <c r="J26" s="208"/>
      <c r="K26" s="208"/>
      <c r="L26" s="208"/>
      <c r="N26" s="208"/>
      <c r="O26" s="208"/>
      <c r="P26" s="208"/>
    </row>
    <row r="27" spans="2:19">
      <c r="D27" s="208"/>
      <c r="E27" s="208"/>
      <c r="F27" s="208"/>
      <c r="G27" s="208"/>
      <c r="H27" s="208"/>
      <c r="J27" s="208"/>
      <c r="K27" s="208"/>
      <c r="L27" s="208"/>
      <c r="N27" s="208"/>
      <c r="O27" s="208"/>
      <c r="P27" s="208"/>
    </row>
    <row r="32" spans="2:19">
      <c r="D32" s="208"/>
      <c r="E32" s="208"/>
      <c r="F32" s="208"/>
      <c r="G32" s="208"/>
      <c r="H32" s="208"/>
      <c r="J32" s="208"/>
      <c r="K32" s="208"/>
      <c r="L32" s="208"/>
      <c r="N32" s="208"/>
      <c r="O32" s="208"/>
      <c r="P32" s="208"/>
    </row>
    <row r="33" spans="4:16">
      <c r="D33" s="208"/>
      <c r="E33" s="208"/>
      <c r="F33" s="208"/>
      <c r="G33" s="208"/>
      <c r="H33" s="208"/>
      <c r="J33" s="208"/>
      <c r="K33" s="208"/>
      <c r="L33" s="208"/>
      <c r="N33" s="208"/>
      <c r="O33" s="208"/>
      <c r="P33" s="208"/>
    </row>
    <row r="39" spans="4:16">
      <c r="D39" s="216"/>
      <c r="E39" s="216"/>
      <c r="F39" s="216"/>
      <c r="G39" s="216"/>
      <c r="H39" s="216"/>
      <c r="J39" s="216"/>
      <c r="K39" s="216"/>
      <c r="L39" s="216"/>
      <c r="N39" s="216"/>
      <c r="O39" s="216"/>
      <c r="P39" s="216"/>
    </row>
    <row r="40" spans="4:16">
      <c r="D40" s="216"/>
      <c r="E40" s="216"/>
      <c r="F40" s="216"/>
      <c r="G40" s="216"/>
      <c r="H40" s="216"/>
      <c r="J40" s="216"/>
      <c r="K40" s="216"/>
      <c r="L40" s="216"/>
      <c r="N40" s="216"/>
      <c r="O40" s="216"/>
      <c r="P40" s="216"/>
    </row>
    <row r="43" spans="4:16">
      <c r="G43" s="189"/>
      <c r="K43" s="189"/>
      <c r="O43" s="189"/>
    </row>
    <row r="44" spans="4:16">
      <c r="G44" s="189"/>
      <c r="K44" s="189"/>
      <c r="O44" s="189"/>
    </row>
  </sheetData>
  <mergeCells count="4">
    <mergeCell ref="D2:P2"/>
    <mergeCell ref="F4:H4"/>
    <mergeCell ref="J4:L4"/>
    <mergeCell ref="N4:P4"/>
  </mergeCells>
  <conditionalFormatting sqref="F9:P9 F11:P11 F15:P15 F17:P17 F21:P21 F23:P23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scale="52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1BC025-4BC6-437E-9447-8AC15094D91D}">
          <x14:formula1>
            <xm:f>'Budget - 2026'!$B$5:$B$56</xm:f>
          </x14:formula1>
          <xm:sqref>D1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C4EA-41C0-44E1-8C15-1EF0CCF15E8B}">
  <sheetPr>
    <tabColor theme="2" tint="-9.9978637043366805E-2"/>
    <pageSetUpPr fitToPage="1"/>
  </sheetPr>
  <dimension ref="B1:Z44"/>
  <sheetViews>
    <sheetView topLeftCell="A2" zoomScale="70" zoomScaleNormal="70" workbookViewId="0">
      <selection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7" width="13.42578125" style="5" bestFit="1" customWidth="1" outlineLevel="1"/>
    <col min="8" max="8" width="15.85546875" style="5" bestFit="1" customWidth="1" outlineLevel="1"/>
    <col min="9" max="9" width="1.5703125" style="5" customWidth="1"/>
    <col min="10" max="11" width="13.42578125" style="5" bestFit="1" customWidth="1" outlineLevel="1"/>
    <col min="12" max="12" width="15.85546875" style="5" bestFit="1" customWidth="1" outlineLevel="1"/>
    <col min="13" max="13" width="1.5703125" style="5" customWidth="1" outlineLevel="1"/>
    <col min="14" max="14" width="13.5703125" style="5" bestFit="1" customWidth="1"/>
    <col min="15" max="15" width="13.42578125" style="5" bestFit="1" customWidth="1"/>
    <col min="16" max="16" width="15.85546875" style="5" bestFit="1" customWidth="1"/>
    <col min="17" max="18" width="10.7109375" style="5"/>
    <col min="19" max="19" width="13.28515625" style="5" bestFit="1" customWidth="1"/>
    <col min="20" max="16384" width="10.7109375" style="5"/>
  </cols>
  <sheetData>
    <row r="1" spans="3:26" ht="18.75" hidden="1" customHeight="1">
      <c r="D1" s="118" t="str">
        <f>'RDG Weekly Sales'!$D$1</f>
        <v>Week 34</v>
      </c>
      <c r="F1" s="5">
        <f>VLOOKUP(D1,Dates!$B$2:$E$53,4,FALSE)</f>
        <v>34</v>
      </c>
      <c r="G1" s="5" t="b">
        <v>1</v>
      </c>
    </row>
    <row r="2" spans="3:26" ht="28.5">
      <c r="D2" s="399" t="str">
        <f>CONCATENATE("AVA CG",)</f>
        <v>AVA CG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</row>
    <row r="4" spans="3:26" ht="23.25">
      <c r="C4" s="121" t="e">
        <f>VLOOKUP($D$4,#REF!,2,FALSE)</f>
        <v>#REF!</v>
      </c>
      <c r="D4" s="118" t="str">
        <f>VLOOKUP(D1,'Actual - 2026'!$A$5:$B$56,2,FALSE)</f>
        <v>P8</v>
      </c>
      <c r="F4" s="406" t="str">
        <f>D1</f>
        <v>Week 34</v>
      </c>
      <c r="G4" s="406"/>
      <c r="H4" s="406"/>
      <c r="J4" s="406" t="str">
        <f>CONCATENATE("MTD"," ","-"," ",D4)</f>
        <v>MTD - P8</v>
      </c>
      <c r="K4" s="406"/>
      <c r="L4" s="406"/>
      <c r="M4" s="71"/>
      <c r="N4" s="406" t="s">
        <v>7</v>
      </c>
      <c r="O4" s="406"/>
      <c r="P4" s="406"/>
    </row>
    <row r="6" spans="3:26" ht="16.350000000000001" customHeight="1">
      <c r="D6" s="54"/>
      <c r="F6" s="142" t="s">
        <v>77</v>
      </c>
      <c r="G6" s="142" t="s">
        <v>81</v>
      </c>
      <c r="H6" s="160" t="s">
        <v>237</v>
      </c>
      <c r="J6" s="142" t="s">
        <v>77</v>
      </c>
      <c r="K6" s="142" t="s">
        <v>81</v>
      </c>
      <c r="L6" s="160" t="s">
        <v>237</v>
      </c>
      <c r="M6" s="141"/>
      <c r="N6" s="142" t="s">
        <v>77</v>
      </c>
      <c r="O6" s="142" t="s">
        <v>81</v>
      </c>
      <c r="P6" s="160" t="s">
        <v>237</v>
      </c>
    </row>
    <row r="7" spans="3:26" ht="28.9" customHeight="1">
      <c r="D7" s="193" t="s">
        <v>204</v>
      </c>
      <c r="E7" s="194"/>
      <c r="F7" s="195">
        <f>SUMIFS('Actual - 2026'!BD:BD,'Actual - 2026'!A:A,D1)</f>
        <v>184934.81999999998</v>
      </c>
      <c r="G7" s="196">
        <f>SUMIFS('Actual - 2026'!BE:BE,'Actual - 2026'!A:A,D1)</f>
        <v>0</v>
      </c>
      <c r="H7" s="197" t="e">
        <f>F7/G7</f>
        <v>#DIV/0!</v>
      </c>
      <c r="I7" s="194"/>
      <c r="J7" s="195">
        <f>SUMIFS('Actual - 2026'!BD:BD,'Actual - 2026'!B:B,D4)</f>
        <v>635831.34</v>
      </c>
      <c r="K7" s="196">
        <f>SUMIFS('Actual - 2026'!BE:BE,'Actual - 2026'!B:B,D4)</f>
        <v>3962</v>
      </c>
      <c r="L7" s="197">
        <f>J7/K7</f>
        <v>160.48241797072185</v>
      </c>
      <c r="M7" s="194"/>
      <c r="N7" s="195">
        <f>SUMIFS('Actual - 2026'!BD:BD,'Actual - 2026'!D:D,G1)</f>
        <v>5975332.8200000003</v>
      </c>
      <c r="O7" s="196">
        <f>SUMIFS('Actual - 2026'!BE:BE,'Actual - 2026'!D:D,G1)</f>
        <v>47746</v>
      </c>
      <c r="P7" s="197">
        <f>N7/O7</f>
        <v>125.14834373560089</v>
      </c>
    </row>
    <row r="8" spans="3:26" ht="28.9" customHeight="1">
      <c r="D8" s="202" t="s">
        <v>78</v>
      </c>
      <c r="E8" s="203"/>
      <c r="F8" s="204">
        <f>SUMIFS('Budget - 2026'!DD:DD,'Budget - 2026'!B:B,D1)</f>
        <v>172521.29199999999</v>
      </c>
      <c r="G8" s="205">
        <f>SUMIFS('Budget - 2026'!DE:DE,'Budget - 2026'!B:B,D1)</f>
        <v>1559.317</v>
      </c>
      <c r="H8" s="206">
        <f>F8/G8</f>
        <v>110.63901182376642</v>
      </c>
      <c r="I8" s="194"/>
      <c r="J8" s="204">
        <f>SUMIFS('Budget - 2026'!DD:DD,'Budget - 2026'!C:C,D4,'Budget - 2026'!$E:$E,G1)</f>
        <v>690085.16799999995</v>
      </c>
      <c r="K8" s="205">
        <f>SUMIFS('Budget - 2026'!DE:DE,'Budget - 2026'!C:C,D4,'Budget - 2026'!$E:$E,G1)</f>
        <v>6237.268</v>
      </c>
      <c r="L8" s="206">
        <f>J8/K8</f>
        <v>110.63901182376642</v>
      </c>
      <c r="M8" s="194"/>
      <c r="N8" s="204">
        <f>SUMIFS('Budget - 2026'!DD:DD,'Budget - 2026'!E:E,G1)</f>
        <v>6587178.2500000028</v>
      </c>
      <c r="O8" s="205">
        <f>SUMIFS('Budget - 2026'!DE:DE,'Budget - 2026'!E:E,G1)</f>
        <v>56022.775000000009</v>
      </c>
      <c r="P8" s="206">
        <f>N8/O8</f>
        <v>117.58036352179987</v>
      </c>
    </row>
    <row r="9" spans="3:26" s="54" customFormat="1" ht="28.9" customHeight="1">
      <c r="D9" s="207" t="s">
        <v>105</v>
      </c>
      <c r="E9" s="203"/>
      <c r="F9" s="179">
        <f>(F7-F8)/F8</f>
        <v>7.1953599791033288E-2</v>
      </c>
      <c r="G9" s="179">
        <f>(G7-G8)/G8</f>
        <v>-1</v>
      </c>
      <c r="H9" s="179" t="e">
        <f>(H7-H8)/H8</f>
        <v>#DIV/0!</v>
      </c>
      <c r="I9" s="194"/>
      <c r="J9" s="179">
        <f>(J7-J8)/J8</f>
        <v>-7.8619032136624592E-2</v>
      </c>
      <c r="K9" s="179">
        <f>(K7-K8)/K8</f>
        <v>-0.36478599284173774</v>
      </c>
      <c r="L9" s="179">
        <f>(L7-L8)/L8</f>
        <v>0.45050480228754669</v>
      </c>
      <c r="M9" s="107"/>
      <c r="N9" s="179">
        <f>(N7-N8)/N8</f>
        <v>-9.2884298371613411E-2</v>
      </c>
      <c r="O9" s="179">
        <f>(O7-O8)/O8</f>
        <v>-0.14773946845724811</v>
      </c>
      <c r="P9" s="179">
        <f>(P7-P8)/P8</f>
        <v>6.4364320598463601E-2</v>
      </c>
      <c r="Z9" s="5"/>
    </row>
    <row r="10" spans="3:26" ht="28.9" customHeight="1">
      <c r="D10" s="198">
        <v>2025</v>
      </c>
      <c r="E10" s="194"/>
      <c r="F10" s="195">
        <v>0</v>
      </c>
      <c r="G10" s="196">
        <v>0</v>
      </c>
      <c r="H10" s="197">
        <f>IFERROR(F10/G10,0)</f>
        <v>0</v>
      </c>
      <c r="I10" s="194"/>
      <c r="J10" s="195">
        <v>0</v>
      </c>
      <c r="K10" s="196">
        <v>0</v>
      </c>
      <c r="L10" s="197">
        <f>IFERROR(J10/K10,0)</f>
        <v>0</v>
      </c>
      <c r="M10" s="194"/>
      <c r="N10" s="195">
        <v>0</v>
      </c>
      <c r="O10" s="196">
        <v>0</v>
      </c>
      <c r="P10" s="197">
        <f>IFERROR(N10/O10,0)</f>
        <v>0</v>
      </c>
    </row>
    <row r="11" spans="3:26" s="54" customFormat="1" ht="28.9" customHeight="1" thickBot="1">
      <c r="D11" s="199" t="s">
        <v>105</v>
      </c>
      <c r="E11" s="194"/>
      <c r="F11" s="200">
        <f>IFERROR((F7-F10)/F10,0)</f>
        <v>0</v>
      </c>
      <c r="G11" s="200">
        <f>IFERROR((G7-G10)/G10,0)</f>
        <v>0</v>
      </c>
      <c r="H11" s="200">
        <f>IFERROR((H7-H10)/H10,0)</f>
        <v>0</v>
      </c>
      <c r="I11" s="194"/>
      <c r="J11" s="200">
        <f>IFERROR((J7-J10)/J10,0)</f>
        <v>0</v>
      </c>
      <c r="K11" s="200">
        <f>IFERROR((K7-K10)/K10,0)</f>
        <v>0</v>
      </c>
      <c r="L11" s="200">
        <f>IFERROR((L7-L10)/L10,0)</f>
        <v>0</v>
      </c>
      <c r="M11" s="107"/>
      <c r="N11" s="200">
        <f>IFERROR((N7-N10)/N10,0)</f>
        <v>0</v>
      </c>
      <c r="O11" s="200">
        <f>IFERROR((O7-O10)/O10,0)</f>
        <v>0</v>
      </c>
      <c r="P11" s="200">
        <f>IFERROR((P7-P10)/P10,0)</f>
        <v>0</v>
      </c>
      <c r="Z11" s="5"/>
    </row>
    <row r="12" spans="3:26" s="194" customFormat="1" ht="7.5" customHeight="1" thickBot="1"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Z12" s="5"/>
    </row>
    <row r="13" spans="3:26" ht="28.9" customHeight="1">
      <c r="D13" s="193" t="s">
        <v>205</v>
      </c>
      <c r="E13" s="194"/>
      <c r="F13" s="195">
        <f>SUMIFS('Actual - 2026'!BG:BG,'Actual - 2026'!A:A,D1)</f>
        <v>31587.200000000001</v>
      </c>
      <c r="G13" s="196">
        <f>SUMIFS('Actual - 2026'!BH:BH,'Actual - 2026'!A:A,D1)</f>
        <v>0</v>
      </c>
      <c r="H13" s="197" t="e">
        <f>F13/G13</f>
        <v>#DIV/0!</v>
      </c>
      <c r="I13" s="194"/>
      <c r="J13" s="195">
        <f>SUMIFS('Actual - 2026'!BG:BG,'Actual - 2026'!B:B,D4)</f>
        <v>130779.95</v>
      </c>
      <c r="K13" s="196">
        <f>SUMIFS('Actual - 2026'!BH:BH,'Actual - 2026'!B:B,D4)</f>
        <v>1162</v>
      </c>
      <c r="L13" s="197">
        <f>J13/K13</f>
        <v>112.5472891566265</v>
      </c>
      <c r="M13" s="194"/>
      <c r="N13" s="195">
        <f>SUMIFS('Actual - 2026'!BG:BG,'Actual - 2026'!D:D,G1)</f>
        <v>1407142.0300000003</v>
      </c>
      <c r="O13" s="196">
        <f>SUMIFS('Actual - 2026'!BH:BH,'Actual - 2026'!D:D,G1)</f>
        <v>16386</v>
      </c>
      <c r="P13" s="197">
        <f>N13/O13</f>
        <v>85.874650921518381</v>
      </c>
    </row>
    <row r="14" spans="3:26" ht="27.6" customHeight="1">
      <c r="D14" s="202" t="s">
        <v>78</v>
      </c>
      <c r="E14" s="203"/>
      <c r="F14" s="204">
        <f>SUMIFS('Budget - 2026'!DG:DG,'Budget - 2026'!B:B,D1)</f>
        <v>58152.200000000004</v>
      </c>
      <c r="G14" s="205">
        <f>SUMIFS('Budget - 2026'!DH:DH,'Budget - 2026'!B:B,D1)</f>
        <v>719.6</v>
      </c>
      <c r="H14" s="206">
        <f>F14/G14</f>
        <v>80.81183991106171</v>
      </c>
      <c r="I14" s="194"/>
      <c r="J14" s="204">
        <f>SUMIFS('Budget - 2026'!DG:DG,'Budget - 2026'!C:C,D4,'Budget - 2026'!$E:$E,G1)</f>
        <v>232608.80000000002</v>
      </c>
      <c r="K14" s="205">
        <f>SUMIFS('Budget - 2026'!DH:DH,'Budget - 2026'!C:C,D4,'Budget - 2026'!$E:$E,G1)</f>
        <v>2878.4</v>
      </c>
      <c r="L14" s="206">
        <f>J14/K14</f>
        <v>80.81183991106171</v>
      </c>
      <c r="M14" s="194"/>
      <c r="N14" s="204">
        <f>SUMIFS('Budget - 2026'!DG:DG,'Budget - 2026'!E:E,G1)</f>
        <v>1506428.7999999998</v>
      </c>
      <c r="O14" s="205">
        <f>SUMIFS('Budget - 2026'!DH:DH,'Budget - 2026'!E:E,G1)</f>
        <v>17898.399999999998</v>
      </c>
      <c r="P14" s="206">
        <f>N14/O14</f>
        <v>84.165556697805386</v>
      </c>
    </row>
    <row r="15" spans="3:26" s="54" customFormat="1" ht="28.9" customHeight="1">
      <c r="D15" s="207" t="s">
        <v>105</v>
      </c>
      <c r="E15" s="203"/>
      <c r="F15" s="179">
        <f>(F13-F14)/F14</f>
        <v>-0.45681848666086583</v>
      </c>
      <c r="G15" s="179">
        <f>(G13-G14)/G14</f>
        <v>-1</v>
      </c>
      <c r="H15" s="179" t="e">
        <f>(H13-H14)/H14</f>
        <v>#DIV/0!</v>
      </c>
      <c r="I15" s="194"/>
      <c r="J15" s="179">
        <f>(J13-J14)/J14</f>
        <v>-0.43776869146825059</v>
      </c>
      <c r="K15" s="179">
        <f>(K13-K14)/K14</f>
        <v>-0.59630350194552528</v>
      </c>
      <c r="L15" s="179">
        <f>(L13-L14)/L14</f>
        <v>0.39270791607382738</v>
      </c>
      <c r="M15" s="107"/>
      <c r="N15" s="179">
        <f>(N13-N14)/N14</f>
        <v>-6.5908704082130912E-2</v>
      </c>
      <c r="O15" s="179">
        <f>(O13-O14)/O14</f>
        <v>-8.4499173110445511E-2</v>
      </c>
      <c r="P15" s="179">
        <f>(P13-P14)/P14</f>
        <v>2.0306337779591489E-2</v>
      </c>
      <c r="Z15" s="5"/>
    </row>
    <row r="16" spans="3:26" ht="28.9" customHeight="1">
      <c r="D16" s="198">
        <v>2025</v>
      </c>
      <c r="E16" s="194"/>
      <c r="F16" s="195">
        <v>0</v>
      </c>
      <c r="G16" s="196">
        <v>0</v>
      </c>
      <c r="H16" s="197">
        <f>IFERROR(F16/G16,0)</f>
        <v>0</v>
      </c>
      <c r="I16" s="194"/>
      <c r="J16" s="195">
        <v>0</v>
      </c>
      <c r="K16" s="196">
        <v>0</v>
      </c>
      <c r="L16" s="197">
        <f>IFERROR(J16/K16,0)</f>
        <v>0</v>
      </c>
      <c r="M16" s="194"/>
      <c r="N16" s="195">
        <v>0</v>
      </c>
      <c r="O16" s="196">
        <v>0</v>
      </c>
      <c r="P16" s="197">
        <f>IFERROR(N16/O16,0)</f>
        <v>0</v>
      </c>
    </row>
    <row r="17" spans="2:26" s="54" customFormat="1" ht="28.9" customHeight="1" thickBot="1">
      <c r="D17" s="199" t="s">
        <v>105</v>
      </c>
      <c r="E17" s="194"/>
      <c r="F17" s="200">
        <f>IFERROR((F13-F16)/F16,0)</f>
        <v>0</v>
      </c>
      <c r="G17" s="200">
        <f>IFERROR((G13-G16)/G16,0)</f>
        <v>0</v>
      </c>
      <c r="H17" s="200">
        <f>IFERROR((H13-H16)/H16,0)</f>
        <v>0</v>
      </c>
      <c r="I17" s="194"/>
      <c r="J17" s="200">
        <f>IFERROR((J13-J16)/J16,0)</f>
        <v>0</v>
      </c>
      <c r="K17" s="200">
        <f>IFERROR((K13-K16)/K16,0)</f>
        <v>0</v>
      </c>
      <c r="L17" s="200">
        <f>IFERROR((L13-L16)/L16,0)</f>
        <v>0</v>
      </c>
      <c r="M17" s="107"/>
      <c r="N17" s="200">
        <f>IFERROR((N13-N16)/N16,0)</f>
        <v>0</v>
      </c>
      <c r="O17" s="200">
        <f>IFERROR((O13-O16)/O16,0)</f>
        <v>0</v>
      </c>
      <c r="P17" s="200">
        <f>IFERROR((P13-P16)/P16,0)</f>
        <v>0</v>
      </c>
      <c r="Z17" s="5"/>
    </row>
    <row r="18" spans="2:26" s="194" customFormat="1" ht="7.5" customHeight="1" thickBot="1"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Z18" s="5"/>
    </row>
    <row r="19" spans="2:26" ht="28.9" customHeight="1">
      <c r="D19" s="193" t="s">
        <v>207</v>
      </c>
      <c r="E19" s="194"/>
      <c r="F19" s="195">
        <f>SUMIFS('Actual - 2026'!BJ:BJ,'Actual - 2026'!A:A,D1)</f>
        <v>0</v>
      </c>
      <c r="G19" s="196">
        <f>SUMIFS('Actual - 2026'!BK:BK,'Actual - 2026'!A:A,D1)</f>
        <v>0</v>
      </c>
      <c r="H19" s="197">
        <f>IFERROR(F19/G19,0)</f>
        <v>0</v>
      </c>
      <c r="I19" s="194"/>
      <c r="J19" s="195">
        <f>SUMIFS('Actual - 2026'!BJ:BJ,'Actual - 2026'!B:B,D4)</f>
        <v>0</v>
      </c>
      <c r="K19" s="196">
        <f>SUMIFS('Actual - 2026'!BK:BK,'Actual - 2026'!B:B,D4)</f>
        <v>0</v>
      </c>
      <c r="L19" s="197">
        <f>IFERROR(J19/K19,0)</f>
        <v>0</v>
      </c>
      <c r="M19" s="194"/>
      <c r="N19" s="195">
        <f>SUMIFS('Actual - 2026'!BJ:BJ,'Actual - 2026'!D:D,G1)</f>
        <v>0</v>
      </c>
      <c r="O19" s="196">
        <f>SUMIFS('Actual - 2026'!BK:BK,'Actual - 2026'!D:D,G1)</f>
        <v>0</v>
      </c>
      <c r="P19" s="197">
        <f>IFERROR(N19/O19,0)</f>
        <v>0</v>
      </c>
      <c r="S19" s="91"/>
    </row>
    <row r="20" spans="2:26" ht="28.9" customHeight="1">
      <c r="D20" s="202" t="s">
        <v>78</v>
      </c>
      <c r="E20" s="203"/>
      <c r="F20" s="204">
        <f>SUMIFS('Budget - 2026'!DJ:DJ,'Budget - 2026'!B:B,D1)</f>
        <v>0</v>
      </c>
      <c r="G20" s="205">
        <f>SUMIFS('Budget - 2026'!DK:DK,'Budget - 2026'!B:B,D1)</f>
        <v>0</v>
      </c>
      <c r="H20" s="206">
        <f>IFERROR(F20/G20,0)</f>
        <v>0</v>
      </c>
      <c r="I20" s="194"/>
      <c r="J20" s="204">
        <f>SUMIFS('Budget - 2026'!DJ:DJ,'Budget - 2026'!C:C,D4,'Budget - 2026'!$E:$E,G1)</f>
        <v>0</v>
      </c>
      <c r="K20" s="205">
        <f>SUMIFS('Budget - 2026'!DK:DK,'Budget - 2026'!C:C,D4,'Budget - 2026'!$E:$E,G1)</f>
        <v>0</v>
      </c>
      <c r="L20" s="206">
        <f>IFERROR(J20/K20,0)</f>
        <v>0</v>
      </c>
      <c r="M20" s="194"/>
      <c r="N20" s="204">
        <f>SUMIFS('Budget - 2026'!DJ:DJ,'Budget - 2026'!E:E,G1)</f>
        <v>0</v>
      </c>
      <c r="O20" s="205">
        <f>SUMIFS('Budget - 2026'!DK:DK,'Budget - 2026'!E:E,G1)</f>
        <v>0</v>
      </c>
      <c r="P20" s="206">
        <f>IFERROR(N20/O20,0)</f>
        <v>0</v>
      </c>
      <c r="S20" s="186"/>
    </row>
    <row r="21" spans="2:26" s="54" customFormat="1" ht="28.9" customHeight="1">
      <c r="D21" s="207" t="s">
        <v>105</v>
      </c>
      <c r="E21" s="203"/>
      <c r="F21" s="179">
        <f>IFERROR((F19-F20)/F20,0)</f>
        <v>0</v>
      </c>
      <c r="G21" s="179">
        <f>IFERROR((G19-G20)/G20,0)</f>
        <v>0</v>
      </c>
      <c r="H21" s="179">
        <f>IFERROR((H19-H20)/H20,0)</f>
        <v>0</v>
      </c>
      <c r="I21" s="194"/>
      <c r="J21" s="179">
        <f>IFERROR((J19-J20)/J20,0)</f>
        <v>0</v>
      </c>
      <c r="K21" s="179">
        <f>IFERROR((K19-K20)/K20,0)</f>
        <v>0</v>
      </c>
      <c r="L21" s="179">
        <f>IFERROR((L19-L20)/L20,0)</f>
        <v>0</v>
      </c>
      <c r="M21" s="107"/>
      <c r="N21" s="179">
        <f>IFERROR((N19-N20)/N20,0)</f>
        <v>0</v>
      </c>
      <c r="O21" s="179">
        <f>IFERROR((O19-O20)/O20,0)</f>
        <v>0</v>
      </c>
      <c r="P21" s="179">
        <f>IFERROR((P19-P20)/P20,0)</f>
        <v>0</v>
      </c>
      <c r="S21" s="98">
        <v>768000</v>
      </c>
      <c r="Z21" s="5"/>
    </row>
    <row r="22" spans="2:26" ht="28.9" customHeight="1">
      <c r="D22" s="198">
        <v>2025</v>
      </c>
      <c r="E22" s="194"/>
      <c r="F22" s="195">
        <v>0</v>
      </c>
      <c r="G22" s="196">
        <v>0</v>
      </c>
      <c r="H22" s="197">
        <f>IFERROR(F22/G22,0)</f>
        <v>0</v>
      </c>
      <c r="I22" s="194"/>
      <c r="J22" s="195">
        <v>0</v>
      </c>
      <c r="K22" s="196">
        <v>0</v>
      </c>
      <c r="L22" s="197">
        <f>IFERROR(J22/K22,0)</f>
        <v>0</v>
      </c>
      <c r="M22" s="194"/>
      <c r="N22" s="195">
        <v>0</v>
      </c>
      <c r="O22" s="196">
        <v>0</v>
      </c>
      <c r="P22" s="197">
        <f>IFERROR(N22/O22,0)</f>
        <v>0</v>
      </c>
      <c r="S22" s="98">
        <f>F19</f>
        <v>0</v>
      </c>
    </row>
    <row r="23" spans="2:26" s="54" customFormat="1" ht="28.9" customHeight="1" thickBot="1">
      <c r="D23" s="199" t="s">
        <v>105</v>
      </c>
      <c r="E23" s="194"/>
      <c r="F23" s="200">
        <f>IFERROR((F19-F22)/F22,0)</f>
        <v>0</v>
      </c>
      <c r="G23" s="200">
        <f>IFERROR((G19-G22)/G22,0)</f>
        <v>0</v>
      </c>
      <c r="H23" s="200">
        <f>IFERROR((H19-H22)/H22,0)</f>
        <v>0</v>
      </c>
      <c r="I23" s="194"/>
      <c r="J23" s="200">
        <f>IFERROR((J19-J22)/J22,0)</f>
        <v>0</v>
      </c>
      <c r="K23" s="200">
        <f>IFERROR((K19-K22)/K22,0)</f>
        <v>0</v>
      </c>
      <c r="L23" s="200">
        <f>IFERROR((L19-L22)/L22,0)</f>
        <v>0</v>
      </c>
      <c r="M23" s="107"/>
      <c r="N23" s="200">
        <f>IFERROR((N19-N22)/N22,0)</f>
        <v>0</v>
      </c>
      <c r="O23" s="200">
        <f>IFERROR((O19-O22)/O22,0)</f>
        <v>0</v>
      </c>
      <c r="P23" s="200">
        <f>IFERROR((P19-P22)/P22,0)</f>
        <v>0</v>
      </c>
      <c r="S23" s="321">
        <f>SUM(S21:S22)</f>
        <v>768000</v>
      </c>
      <c r="Z23" s="5"/>
    </row>
    <row r="24" spans="2:26" s="194" customFormat="1" ht="7.5" customHeight="1" thickBot="1"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S24" s="98">
        <v>1028594</v>
      </c>
      <c r="Z24" s="5"/>
    </row>
    <row r="25" spans="2:26" ht="28.9" customHeight="1">
      <c r="D25" s="221" t="s">
        <v>242</v>
      </c>
      <c r="E25" s="222"/>
      <c r="F25" s="223">
        <f>SUM(F19,F13,F7)</f>
        <v>216522.02</v>
      </c>
      <c r="G25" s="224">
        <f t="shared" ref="G25" si="0">SUM(G19,G13,G7)</f>
        <v>0</v>
      </c>
      <c r="H25" s="223" t="e">
        <f>F25/G25</f>
        <v>#DIV/0!</v>
      </c>
      <c r="I25" s="76"/>
      <c r="J25" s="223">
        <f>SUM(J19,J13,J7)</f>
        <v>766611.28999999992</v>
      </c>
      <c r="K25" s="224">
        <f t="shared" ref="K25" si="1">SUM(K19,K13,K7)</f>
        <v>5124</v>
      </c>
      <c r="L25" s="223">
        <f>J25/K25</f>
        <v>149.61188329430132</v>
      </c>
      <c r="N25" s="223">
        <f>SUM(N19,N13,N7)</f>
        <v>7382474.8500000006</v>
      </c>
      <c r="O25" s="224">
        <f t="shared" ref="O25" si="2">SUM(O19,O13,O7)</f>
        <v>64132</v>
      </c>
      <c r="P25" s="223">
        <f>N25/O25</f>
        <v>115.11374742718145</v>
      </c>
      <c r="S25" s="324">
        <f>S23-S24</f>
        <v>-260594</v>
      </c>
    </row>
    <row r="26" spans="2:26" ht="28.9" customHeight="1">
      <c r="D26" s="209" t="s">
        <v>78</v>
      </c>
      <c r="E26" s="210"/>
      <c r="F26" s="211">
        <f>SUM(F20,F14,F8)</f>
        <v>230673.492</v>
      </c>
      <c r="G26" s="212">
        <f>SUM(G20,G14,G8)</f>
        <v>2278.9169999999999</v>
      </c>
      <c r="H26" s="213">
        <f>F26/G26</f>
        <v>101.22066402593865</v>
      </c>
      <c r="I26" s="194"/>
      <c r="J26" s="211">
        <f>SUM(J20,J14,J8)</f>
        <v>922693.96799999999</v>
      </c>
      <c r="K26" s="212">
        <f>SUM(K20,K14,K8)</f>
        <v>9115.6679999999997</v>
      </c>
      <c r="L26" s="213">
        <f>J26/K26</f>
        <v>101.22066402593865</v>
      </c>
      <c r="M26" s="194"/>
      <c r="N26" s="211">
        <f>SUM(N20,N14,N8)</f>
        <v>8093607.0500000026</v>
      </c>
      <c r="O26" s="212">
        <f>SUM(O20,O14,O8)</f>
        <v>73921.175000000003</v>
      </c>
      <c r="P26" s="213">
        <f>N26/O26</f>
        <v>109.48969696436782</v>
      </c>
    </row>
    <row r="27" spans="2:26" s="54" customFormat="1" ht="28.9" customHeight="1">
      <c r="D27" s="214" t="s">
        <v>105</v>
      </c>
      <c r="E27" s="210"/>
      <c r="F27" s="215">
        <f>(F25-F26)/F26</f>
        <v>-6.1348496861529322E-2</v>
      </c>
      <c r="G27" s="215">
        <f>(G25-G26)/G26</f>
        <v>-1</v>
      </c>
      <c r="H27" s="215" t="e">
        <f>(H25-H26)/H26</f>
        <v>#DIV/0!</v>
      </c>
      <c r="I27" s="194"/>
      <c r="J27" s="215">
        <f>(J25-J26)/J26</f>
        <v>-0.16915974679916848</v>
      </c>
      <c r="K27" s="215">
        <f>(K25-K26)/K26</f>
        <v>-0.43789089291097477</v>
      </c>
      <c r="L27" s="215">
        <f>(L25-L26)/L26</f>
        <v>0.47807648501458178</v>
      </c>
      <c r="M27" s="107"/>
      <c r="N27" s="215">
        <f>(N25-N26)/N26</f>
        <v>-8.7863445260787876E-2</v>
      </c>
      <c r="O27" s="215">
        <f>(O25-O26)/O26</f>
        <v>-0.13242721047115394</v>
      </c>
      <c r="P27" s="215">
        <f>(P25-P26)/P26</f>
        <v>5.1366024555204594E-2</v>
      </c>
      <c r="Z27" s="5"/>
    </row>
    <row r="28" spans="2:26" ht="28.9" customHeight="1">
      <c r="D28" s="198">
        <v>2025</v>
      </c>
      <c r="E28" s="194"/>
      <c r="F28" s="195">
        <f>SUM(F10,F16,F22)</f>
        <v>0</v>
      </c>
      <c r="G28" s="196">
        <f>SUM(G10,G16,G22)</f>
        <v>0</v>
      </c>
      <c r="H28" s="197">
        <f>IFERROR(F28/G28,0)</f>
        <v>0</v>
      </c>
      <c r="I28" s="194"/>
      <c r="J28" s="195">
        <f>SUM(J10,J16,J22)</f>
        <v>0</v>
      </c>
      <c r="K28" s="196">
        <f>SUM(K10,K16,K22)</f>
        <v>0</v>
      </c>
      <c r="L28" s="197">
        <f>IFERROR(J28/K28,0)</f>
        <v>0</v>
      </c>
      <c r="M28" s="194"/>
      <c r="N28" s="195">
        <f>SUM(N10,N16,N22)</f>
        <v>0</v>
      </c>
      <c r="O28" s="196">
        <f>SUM(O10,O16,O22)</f>
        <v>0</v>
      </c>
      <c r="P28" s="197">
        <f>IFERROR(N28/O28,0)</f>
        <v>0</v>
      </c>
    </row>
    <row r="29" spans="2:26" s="54" customFormat="1" ht="28.9" customHeight="1">
      <c r="D29" s="199" t="s">
        <v>105</v>
      </c>
      <c r="E29" s="194"/>
      <c r="F29" s="200">
        <f>IFERROR((F25-F28)/F28,0)</f>
        <v>0</v>
      </c>
      <c r="G29" s="200">
        <f>IFERROR((G25-G28)/G28,0)</f>
        <v>0</v>
      </c>
      <c r="H29" s="200">
        <f>IFERROR((H25-H28)/H28,0)</f>
        <v>0</v>
      </c>
      <c r="I29" s="194"/>
      <c r="J29" s="200">
        <f>IFERROR((J25-J28)/J28,0)</f>
        <v>0</v>
      </c>
      <c r="K29" s="200">
        <f>IFERROR((K25-K28)/K28,0)</f>
        <v>0</v>
      </c>
      <c r="L29" s="200">
        <f>IFERROR((L25-L28)/L28,0)</f>
        <v>0</v>
      </c>
      <c r="M29" s="107"/>
      <c r="N29" s="200">
        <f>IFERROR((N25-N28)/N28,0)</f>
        <v>0</v>
      </c>
      <c r="O29" s="200">
        <f>IFERROR((O25-O28)/O28,0)</f>
        <v>0</v>
      </c>
      <c r="P29" s="200">
        <f>IFERROR((P25-P28)/P28,0)</f>
        <v>0</v>
      </c>
      <c r="Z29" s="5"/>
    </row>
    <row r="30" spans="2:26" ht="15.75">
      <c r="B30" s="46" t="s">
        <v>95</v>
      </c>
      <c r="M30" s="99"/>
    </row>
    <row r="31" spans="2:26" ht="15.75">
      <c r="B31" s="46" t="s">
        <v>96</v>
      </c>
      <c r="M31" s="99"/>
    </row>
    <row r="32" spans="2:26" ht="15.75">
      <c r="B32" s="46" t="s">
        <v>97</v>
      </c>
      <c r="D32" s="208"/>
      <c r="E32" s="208"/>
      <c r="F32" s="208"/>
      <c r="G32" s="208"/>
      <c r="H32" s="208"/>
      <c r="J32" s="208"/>
      <c r="K32" s="208"/>
      <c r="L32" s="208"/>
      <c r="M32" s="99"/>
      <c r="N32" s="208"/>
      <c r="O32" s="208"/>
      <c r="P32" s="208"/>
    </row>
    <row r="33" spans="2:16" ht="15.75">
      <c r="B33" s="46" t="s">
        <v>98</v>
      </c>
      <c r="D33" s="208"/>
      <c r="E33" s="208"/>
      <c r="F33" s="208"/>
      <c r="G33" s="208"/>
      <c r="H33" s="208"/>
      <c r="J33" s="208"/>
      <c r="K33" s="208"/>
      <c r="L33" s="208"/>
      <c r="N33" s="208"/>
      <c r="O33" s="208"/>
      <c r="P33" s="208"/>
    </row>
    <row r="34" spans="2:16" ht="15.75">
      <c r="B34" s="46" t="s">
        <v>99</v>
      </c>
      <c r="M34" s="99"/>
    </row>
    <row r="39" spans="2:16">
      <c r="D39" s="216"/>
      <c r="E39" s="216"/>
      <c r="F39" s="216"/>
      <c r="G39" s="216"/>
      <c r="H39" s="216"/>
      <c r="J39" s="216"/>
      <c r="K39" s="216"/>
      <c r="L39" s="216"/>
      <c r="N39" s="216"/>
      <c r="O39" s="216"/>
      <c r="P39" s="216"/>
    </row>
    <row r="40" spans="2:16">
      <c r="D40" s="216"/>
      <c r="E40" s="216"/>
      <c r="F40" s="216"/>
      <c r="G40" s="216"/>
      <c r="H40" s="216"/>
      <c r="J40" s="216"/>
      <c r="K40" s="216"/>
      <c r="L40" s="216"/>
      <c r="N40" s="216"/>
      <c r="O40" s="216"/>
      <c r="P40" s="216"/>
    </row>
    <row r="43" spans="2:16">
      <c r="G43" s="189"/>
      <c r="K43" s="189"/>
      <c r="O43" s="189"/>
    </row>
    <row r="44" spans="2:16">
      <c r="G44" s="189"/>
      <c r="K44" s="189"/>
      <c r="O44" s="189"/>
    </row>
  </sheetData>
  <mergeCells count="4">
    <mergeCell ref="D2:P2"/>
    <mergeCell ref="F4:H4"/>
    <mergeCell ref="J4:L4"/>
    <mergeCell ref="N4:P4"/>
  </mergeCells>
  <conditionalFormatting sqref="F9:P9 F15:P15 F21:P21 F27:P27 F11:P11 F17:P17 F23:P23 F29:P29">
    <cfRule type="iconSet" priority="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scale="54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DD452F3-D50A-4A81-9E5E-4A75A8AC4029}">
          <x14:formula1>
            <xm:f>'Budget - 2026'!$B$5:$B$56</xm:f>
          </x14:formula1>
          <xm:sqref>D1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7ADA-4915-47AE-B969-9BEFA40F17AB}">
  <sheetPr>
    <pageSetUpPr fitToPage="1"/>
  </sheetPr>
  <dimension ref="D1:S44"/>
  <sheetViews>
    <sheetView workbookViewId="0">
      <selection activeCell="R14" sqref="R14"/>
    </sheetView>
  </sheetViews>
  <sheetFormatPr defaultRowHeight="15"/>
  <cols>
    <col min="19" max="19" width="13.28515625" bestFit="1" customWidth="1"/>
  </cols>
  <sheetData>
    <row r="1" spans="4:4">
      <c r="D1" t="str">
        <f>'AVA CG Sales'!$D$1</f>
        <v>Week 34</v>
      </c>
    </row>
    <row r="21" spans="19:19">
      <c r="S21" s="167"/>
    </row>
    <row r="22" spans="19:19">
      <c r="S22" s="167"/>
    </row>
    <row r="23" spans="19:19">
      <c r="S23" s="3"/>
    </row>
    <row r="24" spans="19:19">
      <c r="S24" s="167"/>
    </row>
    <row r="25" spans="19:19">
      <c r="S25" s="3"/>
    </row>
    <row r="43" spans="7:15">
      <c r="G43" s="307"/>
      <c r="K43" s="307"/>
      <c r="O43" s="307"/>
    </row>
    <row r="44" spans="7:15">
      <c r="G44" s="307"/>
      <c r="K44" s="307"/>
      <c r="O44" s="307"/>
    </row>
  </sheetData>
  <pageMargins left="0.7" right="0.7" top="0.75" bottom="0.75" header="0.3" footer="0.3"/>
  <pageSetup scale="76" orientation="portrait" r:id="rId1"/>
  <headerFooter>
    <oddFooter>&amp;LRDG&amp;CRDG OPS - SALES&amp;R&amp;P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AE77-6E93-4842-9043-C376B71F0A61}">
  <sheetPr>
    <tabColor theme="2" tint="-9.9978637043366805E-2"/>
    <pageSetUpPr fitToPage="1"/>
  </sheetPr>
  <dimension ref="B1:T70"/>
  <sheetViews>
    <sheetView workbookViewId="0">
      <selection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6" width="14.28515625" style="5" bestFit="1" customWidth="1"/>
    <col min="7" max="7" width="14.5703125" style="232" customWidth="1"/>
    <col min="8" max="8" width="14.5703125" style="5" customWidth="1"/>
    <col min="9" max="9" width="1.5703125" style="5" customWidth="1"/>
    <col min="10" max="11" width="14.5703125" style="5" customWidth="1"/>
    <col min="12" max="12" width="1.5703125" style="5" customWidth="1"/>
    <col min="13" max="18" width="14.7109375" style="5" customWidth="1"/>
    <col min="19" max="19" width="13.28515625" style="5" bestFit="1" customWidth="1"/>
    <col min="20" max="16384" width="10.7109375" style="5"/>
  </cols>
  <sheetData>
    <row r="1" spans="4:20" ht="18.75">
      <c r="D1" s="118" t="str">
        <f>Appendix!$D$1</f>
        <v>Week 34</v>
      </c>
      <c r="F1" s="5">
        <f>VLOOKUP(D1,Dates!$B$2:$E$53,4,FALSE)</f>
        <v>34</v>
      </c>
      <c r="G1" s="232" t="b">
        <v>1</v>
      </c>
    </row>
    <row r="2" spans="4:20" ht="28.5" customHeight="1">
      <c r="D2" s="400" t="str">
        <f>CONCATENATE("MILA 3F",)</f>
        <v>MILA 3F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</row>
    <row r="3" spans="4:20" s="252" customFormat="1" ht="14.65" customHeight="1"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4:20">
      <c r="F4" s="430" t="s">
        <v>249</v>
      </c>
      <c r="G4" s="430"/>
      <c r="H4" s="430"/>
      <c r="I4" s="430"/>
      <c r="J4" s="430"/>
      <c r="K4" s="430"/>
      <c r="M4" s="428" t="s">
        <v>240</v>
      </c>
      <c r="N4" s="429"/>
      <c r="O4" s="429"/>
      <c r="P4" s="428" t="s">
        <v>241</v>
      </c>
      <c r="Q4" s="429"/>
      <c r="R4" s="429"/>
    </row>
    <row r="5" spans="4:20" ht="19.5" thickBot="1">
      <c r="D5" s="229" t="s">
        <v>250</v>
      </c>
      <c r="E5" s="230"/>
      <c r="F5" s="234">
        <v>2026</v>
      </c>
      <c r="G5" s="235" t="s">
        <v>15</v>
      </c>
      <c r="H5" s="234" t="s">
        <v>251</v>
      </c>
      <c r="I5" s="230"/>
      <c r="J5" s="234">
        <v>2025</v>
      </c>
      <c r="K5" s="234" t="s">
        <v>251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</row>
    <row r="6" spans="4:20" s="108" customFormat="1" ht="22.15" customHeight="1">
      <c r="D6" s="193" t="s">
        <v>122</v>
      </c>
      <c r="E6" s="194"/>
      <c r="F6" s="236">
        <f>SUMIFS('Actual - 2026'!$K$5:$K$56,'Actual - 2026'!$A$5:$A$56,'MILA 3F - Overview'!D6)</f>
        <v>1101888.97</v>
      </c>
      <c r="G6" s="237">
        <f>SUMIFS('Budget - 2026'!$R$5:$R$56,'Budget - 2026'!$B$5:$B$56,'MILA 3F - Overview'!D6)</f>
        <v>987037</v>
      </c>
      <c r="H6" s="246">
        <f>(F6-G6)/G6</f>
        <v>0.1163603492067673</v>
      </c>
      <c r="I6" s="194"/>
      <c r="J6" s="236">
        <f>SUMIFS('Budget - 2026'!$U$5:$U$56,'Budget - 2026'!$B$5:$B$56,'MILA 3F - Overview'!D6)</f>
        <v>983905</v>
      </c>
      <c r="K6" s="250">
        <f>(F6-J6)/J6</f>
        <v>0.11991398559820304</v>
      </c>
      <c r="L6" s="194"/>
      <c r="M6" s="236">
        <f>SUMIFS('Actual - 2026'!$E$5:$E$56,'Actual - 2026'!$A$5:$A$56,'MILA 2F - Overview'!D6)</f>
        <v>1054246.27</v>
      </c>
      <c r="N6" s="237">
        <f>SUMIFS('Budget - 2026'!$F$5:$F$56,'Budget - 2026'!$B$5:$B$56,'MILA 2F - Overview'!D6)</f>
        <v>944575</v>
      </c>
      <c r="O6" s="238">
        <f>SUMIFS('Budget - 2026'!$I$5:$I$56,'Budget - 2026'!$B$5:$B$56,'MILA 2F - Overview'!D6)</f>
        <v>947713</v>
      </c>
      <c r="P6" s="236">
        <f>SUMIFS('Actual - 2026'!$H$5:$H$56,'Actual - 2026'!$A$5:$A$56,'MILA 2F - Overview'!D6)</f>
        <v>47642.7</v>
      </c>
      <c r="Q6" s="237">
        <f>SUMIFS('Budget - 2026'!$L$5:$L$56,'Budget - 2026'!$B$5:$B$56,'MILA 2F - Overview'!D6)</f>
        <v>42462</v>
      </c>
      <c r="R6" s="238">
        <f>SUMIFS('Budget - 2026'!$O$5:$O$56,'Budget - 2026'!$B$5:$B$56,'MILA 2F - Overview'!D6)</f>
        <v>36192</v>
      </c>
    </row>
    <row r="7" spans="4:20" s="108" customFormat="1" ht="22.15" customHeight="1">
      <c r="D7" s="193" t="s">
        <v>123</v>
      </c>
      <c r="E7" s="194"/>
      <c r="F7" s="239">
        <f>SUMIFS('Actual - 2026'!$K$5:$K$56,'Actual - 2026'!$A$5:$A$56,'MILA 3F - Overview'!D7)</f>
        <v>804460.63</v>
      </c>
      <c r="G7" s="233">
        <f>SUMIFS('Budget - 2026'!$R$5:$R$56,'Budget - 2026'!$B$5:$B$56,'MILA 3F - Overview'!D7)</f>
        <v>667149</v>
      </c>
      <c r="H7" s="247">
        <f t="shared" ref="H7:H68" si="0">(F7-G7)/G7</f>
        <v>0.20581853528971789</v>
      </c>
      <c r="I7" s="194"/>
      <c r="J7" s="239">
        <f>SUMIFS('Budget - 2026'!$U$5:$U$56,'Budget - 2026'!$B$5:$B$56,'MILA 3F - Overview'!D7)</f>
        <v>678491</v>
      </c>
      <c r="K7" s="251">
        <f t="shared" ref="K7:K68" si="1">(F7-J7)/J7</f>
        <v>0.18566146050573995</v>
      </c>
      <c r="L7" s="194"/>
      <c r="M7" s="239">
        <f>SUMIFS('Actual - 2026'!$E$5:$E$56,'Actual - 2026'!$A$5:$A$56,'MILA 2F - Overview'!D7)</f>
        <v>751094.63</v>
      </c>
      <c r="N7" s="233">
        <f>SUMIFS('Budget - 2026'!$F$5:$F$56,'Budget - 2026'!$B$5:$B$56,'MILA 2F - Overview'!D7)</f>
        <v>629707</v>
      </c>
      <c r="O7" s="240">
        <f>SUMIFS('Budget - 2026'!$I$5:$I$56,'Budget - 2026'!$B$5:$B$56,'MILA 2F - Overview'!D7)</f>
        <v>629707</v>
      </c>
      <c r="P7" s="239">
        <f>SUMIFS('Actual - 2026'!$H$5:$H$56,'Actual - 2026'!$A$5:$A$56,'MILA 2F - Overview'!D7)</f>
        <v>53366</v>
      </c>
      <c r="Q7" s="233">
        <f>SUMIFS('Budget - 2026'!$L$5:$L$56,'Budget - 2026'!$B$5:$B$56,'MILA 2F - Overview'!D7)</f>
        <v>37442</v>
      </c>
      <c r="R7" s="240">
        <f>SUMIFS('Budget - 2026'!$O$5:$O$56,'Budget - 2026'!$B$5:$B$56,'MILA 2F - Overview'!D7)</f>
        <v>48784</v>
      </c>
    </row>
    <row r="8" spans="4:20" s="108" customFormat="1" ht="22.15" customHeight="1">
      <c r="D8" s="193" t="s">
        <v>124</v>
      </c>
      <c r="E8" s="194"/>
      <c r="F8" s="239">
        <f>SUMIFS('Actual - 2026'!$K$5:$K$56,'Actual - 2026'!$A$5:$A$56,'MILA 3F - Overview'!D8)</f>
        <v>917600.51</v>
      </c>
      <c r="G8" s="233">
        <f>SUMIFS('Budget - 2026'!$R$5:$R$56,'Budget - 2026'!$B$5:$B$56,'MILA 3F - Overview'!D8)</f>
        <v>790033</v>
      </c>
      <c r="H8" s="247">
        <f t="shared" si="0"/>
        <v>0.16147111576351875</v>
      </c>
      <c r="I8" s="194"/>
      <c r="J8" s="239">
        <f>SUMIFS('Budget - 2026'!$U$5:$U$56,'Budget - 2026'!$B$5:$B$56,'MILA 3F - Overview'!D8)</f>
        <v>800336</v>
      </c>
      <c r="K8" s="251">
        <f t="shared" si="1"/>
        <v>0.14651909947821917</v>
      </c>
      <c r="L8" s="194"/>
      <c r="M8" s="239">
        <f>SUMIFS('Actual - 2026'!$E$5:$E$56,'Actual - 2026'!$A$5:$A$56,'MILA 2F - Overview'!D8)</f>
        <v>850056.06</v>
      </c>
      <c r="N8" s="233">
        <f>SUMIFS('Budget - 2026'!$F$5:$F$56,'Budget - 2026'!$B$5:$B$56,'MILA 2F - Overview'!D8)</f>
        <v>742823</v>
      </c>
      <c r="O8" s="240">
        <f>SUMIFS('Budget - 2026'!$I$5:$I$56,'Budget - 2026'!$B$5:$B$56,'MILA 2F - Overview'!D8)</f>
        <v>756718</v>
      </c>
      <c r="P8" s="239">
        <f>SUMIFS('Actual - 2026'!$H$5:$H$56,'Actual - 2026'!$A$5:$A$56,'MILA 2F - Overview'!D8)</f>
        <v>67544.45</v>
      </c>
      <c r="Q8" s="233">
        <f>SUMIFS('Budget - 2026'!$L$5:$L$56,'Budget - 2026'!$B$5:$B$56,'MILA 2F - Overview'!D8)</f>
        <v>47210</v>
      </c>
      <c r="R8" s="240">
        <f>SUMIFS('Budget - 2026'!$O$5:$O$56,'Budget - 2026'!$B$5:$B$56,'MILA 2F - Overview'!D8)</f>
        <v>43618</v>
      </c>
      <c r="T8" s="108">
        <f>SUM(S7:T7)</f>
        <v>0</v>
      </c>
    </row>
    <row r="9" spans="4:20" s="108" customFormat="1" ht="22.15" customHeight="1">
      <c r="D9" s="193" t="s">
        <v>125</v>
      </c>
      <c r="E9" s="194"/>
      <c r="F9" s="239">
        <f>SUMIFS('Actual - 2026'!$K$5:$K$56,'Actual - 2026'!$A$5:$A$56,'MILA 3F - Overview'!D9)</f>
        <v>743326.1</v>
      </c>
      <c r="G9" s="233">
        <f>SUMIFS('Budget - 2026'!$R$5:$R$56,'Budget - 2026'!$B$5:$B$56,'MILA 3F - Overview'!D9)</f>
        <v>745074</v>
      </c>
      <c r="H9" s="247">
        <f t="shared" si="0"/>
        <v>-2.3459414769539983E-3</v>
      </c>
      <c r="I9" s="194"/>
      <c r="J9" s="239">
        <f>SUMIFS('Budget - 2026'!$U$5:$U$56,'Budget - 2026'!$B$5:$B$56,'MILA 3F - Overview'!D9)</f>
        <v>743594</v>
      </c>
      <c r="K9" s="251">
        <f t="shared" si="1"/>
        <v>-3.6027724806819754E-4</v>
      </c>
      <c r="L9" s="194"/>
      <c r="M9" s="239">
        <f>SUMIFS('Actual - 2026'!$E$5:$E$56,'Actual - 2026'!$A$5:$A$56,'MILA 2F - Overview'!D9)</f>
        <v>697530.35</v>
      </c>
      <c r="N9" s="233">
        <f>SUMIFS('Budget - 2026'!$F$5:$F$56,'Budget - 2026'!$B$5:$B$56,'MILA 2F - Overview'!D9)</f>
        <v>704105</v>
      </c>
      <c r="O9" s="240">
        <f>SUMIFS('Budget - 2026'!$I$5:$I$56,'Budget - 2026'!$B$5:$B$56,'MILA 2F - Overview'!D9)</f>
        <v>704105</v>
      </c>
      <c r="P9" s="239">
        <f>SUMIFS('Actual - 2026'!$H$5:$H$56,'Actual - 2026'!$A$5:$A$56,'MILA 2F - Overview'!D9)</f>
        <v>45795.75</v>
      </c>
      <c r="Q9" s="233">
        <f>SUMIFS('Budget - 2026'!$L$5:$L$56,'Budget - 2026'!$B$5:$B$56,'MILA 2F - Overview'!D9)</f>
        <v>40969</v>
      </c>
      <c r="R9" s="240">
        <f>SUMIFS('Budget - 2026'!$O$5:$O$56,'Budget - 2026'!$B$5:$B$56,'MILA 2F - Overview'!D9)</f>
        <v>39489</v>
      </c>
    </row>
    <row r="10" spans="4:20" s="108" customFormat="1" ht="22.15" customHeight="1">
      <c r="D10" s="227" t="s">
        <v>252</v>
      </c>
      <c r="E10" s="194"/>
      <c r="F10" s="241">
        <f>SUM(F6:F9)</f>
        <v>3567276.2100000004</v>
      </c>
      <c r="G10" s="228">
        <f>SUM(G6:G9)</f>
        <v>3189293</v>
      </c>
      <c r="H10" s="248">
        <f t="shared" si="0"/>
        <v>0.11851630126175314</v>
      </c>
      <c r="I10" s="194"/>
      <c r="J10" s="241">
        <f>SUM(J6:J9)</f>
        <v>3206326</v>
      </c>
      <c r="K10" s="248">
        <f>(F10-J10)/J10</f>
        <v>0.11257439511765192</v>
      </c>
      <c r="L10" s="194"/>
      <c r="M10" s="241">
        <f t="shared" ref="M10:R10" si="2">SUM(M6:M9)</f>
        <v>3352927.31</v>
      </c>
      <c r="N10" s="228">
        <f t="shared" si="2"/>
        <v>3021210</v>
      </c>
      <c r="O10" s="242">
        <f t="shared" si="2"/>
        <v>3038243</v>
      </c>
      <c r="P10" s="241">
        <f t="shared" si="2"/>
        <v>214348.9</v>
      </c>
      <c r="Q10" s="228">
        <f t="shared" si="2"/>
        <v>168083</v>
      </c>
      <c r="R10" s="242">
        <f t="shared" si="2"/>
        <v>168083</v>
      </c>
    </row>
    <row r="11" spans="4:20" s="108" customFormat="1" ht="22.15" customHeight="1">
      <c r="D11" s="193" t="s">
        <v>128</v>
      </c>
      <c r="E11" s="194"/>
      <c r="F11" s="239">
        <f>SUMIFS('Actual - 2026'!$K$5:$K$56,'Actual - 2026'!$A$5:$A$56,'MILA 3F - Overview'!D11)</f>
        <v>831663.5</v>
      </c>
      <c r="G11" s="233">
        <f>SUMIFS('Budget - 2026'!$R$5:$R$56,'Budget - 2026'!$B$5:$B$56,'MILA 3F - Overview'!D11)</f>
        <v>807513</v>
      </c>
      <c r="H11" s="247">
        <f t="shared" si="0"/>
        <v>2.9907258458996944E-2</v>
      </c>
      <c r="I11" s="194"/>
      <c r="J11" s="239">
        <f>SUMIFS('Budget - 2026'!$U$5:$U$56,'Budget - 2026'!$B$5:$B$56,'MILA 3F - Overview'!D11)</f>
        <v>825477</v>
      </c>
      <c r="K11" s="251">
        <f t="shared" si="1"/>
        <v>7.4944547213308182E-3</v>
      </c>
      <c r="L11" s="194"/>
      <c r="M11" s="239">
        <f>SUMIFS('Actual - 2026'!$E$5:$E$56,'Actual - 2026'!$A$5:$A$56,'MILA 2F - Overview'!D11)</f>
        <v>774111.65</v>
      </c>
      <c r="N11" s="233">
        <f>SUMIFS('Budget - 2026'!$F$5:$F$56,'Budget - 2026'!$B$5:$B$56,'MILA 2F - Overview'!D11)</f>
        <v>762340</v>
      </c>
      <c r="O11" s="240">
        <f>SUMIFS('Budget - 2026'!$I$5:$I$56,'Budget - 2026'!$B$5:$B$56,'MILA 2F - Overview'!D11)</f>
        <v>788629</v>
      </c>
      <c r="P11" s="239">
        <f>SUMIFS('Actual - 2026'!$H$5:$H$56,'Actual - 2026'!$A$5:$A$56,'MILA 2F - Overview'!D11)</f>
        <v>57551.85</v>
      </c>
      <c r="Q11" s="233">
        <f>SUMIFS('Budget - 2026'!$L$5:$L$56,'Budget - 2026'!$B$5:$B$56,'MILA 2F - Overview'!D11)</f>
        <v>45173</v>
      </c>
      <c r="R11" s="240">
        <f>SUMIFS('Budget - 2026'!$O$5:$O$56,'Budget - 2026'!$B$5:$B$56,'MILA 2F - Overview'!D11)</f>
        <v>36848</v>
      </c>
    </row>
    <row r="12" spans="4:20" s="108" customFormat="1" ht="22.15" customHeight="1">
      <c r="D12" s="193" t="s">
        <v>129</v>
      </c>
      <c r="E12" s="194"/>
      <c r="F12" s="239">
        <f>SUMIFS('Actual - 2026'!$K$5:$K$56,'Actual - 2026'!$A$5:$A$56,'MILA 3F - Overview'!D12)</f>
        <v>727245.11</v>
      </c>
      <c r="G12" s="233">
        <f>SUMIFS('Budget - 2026'!$R$5:$R$56,'Budget - 2026'!$B$5:$B$56,'MILA 3F - Overview'!D12)</f>
        <v>683964</v>
      </c>
      <c r="H12" s="247">
        <f t="shared" si="0"/>
        <v>6.327980712435155E-2</v>
      </c>
      <c r="I12" s="194"/>
      <c r="J12" s="239">
        <f>SUMIFS('Budget - 2026'!$U$5:$U$56,'Budget - 2026'!$B$5:$B$56,'MILA 3F - Overview'!D12)</f>
        <v>666335</v>
      </c>
      <c r="K12" s="251">
        <f t="shared" si="1"/>
        <v>9.1410641794292646E-2</v>
      </c>
      <c r="L12" s="194"/>
      <c r="M12" s="239">
        <f>SUMIFS('Actual - 2026'!$E$5:$E$56,'Actual - 2026'!$A$5:$A$56,'MILA 2F - Overview'!D12)</f>
        <v>687569.11</v>
      </c>
      <c r="N12" s="233">
        <f>SUMIFS('Budget - 2026'!$F$5:$F$56,'Budget - 2026'!$B$5:$B$56,'MILA 2F - Overview'!D12)</f>
        <v>645752</v>
      </c>
      <c r="O12" s="240">
        <f>SUMIFS('Budget - 2026'!$I$5:$I$56,'Budget - 2026'!$B$5:$B$56,'MILA 2F - Overview'!D12)</f>
        <v>631908</v>
      </c>
      <c r="P12" s="239">
        <f>SUMIFS('Actual - 2026'!$H$5:$H$56,'Actual - 2026'!$A$5:$A$56,'MILA 2F - Overview'!D12)</f>
        <v>39676</v>
      </c>
      <c r="Q12" s="233">
        <f>SUMIFS('Budget - 2026'!$L$5:$L$56,'Budget - 2026'!$B$5:$B$56,'MILA 2F - Overview'!D12)</f>
        <v>38212</v>
      </c>
      <c r="R12" s="240">
        <f>SUMIFS('Budget - 2026'!$O$5:$O$56,'Budget - 2026'!$B$5:$B$56,'MILA 2F - Overview'!D12)</f>
        <v>34427</v>
      </c>
    </row>
    <row r="13" spans="4:20" s="108" customFormat="1" ht="22.15" customHeight="1">
      <c r="D13" s="193" t="s">
        <v>130</v>
      </c>
      <c r="E13" s="194"/>
      <c r="F13" s="239">
        <f>SUMIFS('Actual - 2026'!$K$5:$K$56,'Actual - 2026'!$A$5:$A$56,'MILA 3F - Overview'!D13)</f>
        <v>867892.16</v>
      </c>
      <c r="G13" s="233">
        <f>SUMIFS('Budget - 2026'!$R$5:$R$56,'Budget - 2026'!$B$5:$B$56,'MILA 3F - Overview'!D13)</f>
        <v>739789</v>
      </c>
      <c r="H13" s="247">
        <f t="shared" si="0"/>
        <v>0.17316175287818558</v>
      </c>
      <c r="I13" s="194"/>
      <c r="J13" s="239">
        <f>SUMIFS('Budget - 2026'!$U$5:$U$56,'Budget - 2026'!$B$5:$B$56,'MILA 3F - Overview'!D13)</f>
        <v>766897</v>
      </c>
      <c r="K13" s="251">
        <f t="shared" si="1"/>
        <v>0.13169325215772135</v>
      </c>
      <c r="L13" s="194"/>
      <c r="M13" s="239">
        <f>SUMIFS('Actual - 2026'!$E$5:$E$56,'Actual - 2026'!$A$5:$A$56,'MILA 2F - Overview'!D13)</f>
        <v>792091.81</v>
      </c>
      <c r="N13" s="233">
        <f>SUMIFS('Budget - 2026'!$F$5:$F$56,'Budget - 2026'!$B$5:$B$56,'MILA 2F - Overview'!D13)</f>
        <v>690617</v>
      </c>
      <c r="O13" s="240">
        <f>SUMIFS('Budget - 2026'!$I$5:$I$56,'Budget - 2026'!$B$5:$B$56,'MILA 2F - Overview'!D13)</f>
        <v>724371</v>
      </c>
      <c r="P13" s="239">
        <f>SUMIFS('Actual - 2026'!$H$5:$H$56,'Actual - 2026'!$A$5:$A$56,'MILA 2F - Overview'!D13)</f>
        <v>75800.350000000006</v>
      </c>
      <c r="Q13" s="233">
        <f>SUMIFS('Budget - 2026'!$L$5:$L$56,'Budget - 2026'!$B$5:$B$56,'MILA 2F - Overview'!D13)</f>
        <v>49172</v>
      </c>
      <c r="R13" s="240">
        <f>SUMIFS('Budget - 2026'!$O$5:$O$56,'Budget - 2026'!$B$5:$B$56,'MILA 2F - Overview'!D13)</f>
        <v>42526</v>
      </c>
    </row>
    <row r="14" spans="4:20" s="108" customFormat="1" ht="22.15" customHeight="1">
      <c r="D14" s="193" t="s">
        <v>131</v>
      </c>
      <c r="E14" s="194"/>
      <c r="F14" s="239">
        <f>SUMIFS('Actual - 2026'!$K$5:$K$56,'Actual - 2026'!$A$5:$A$56,'MILA 3F - Overview'!D14)</f>
        <v>804579.83</v>
      </c>
      <c r="G14" s="233">
        <f>SUMIFS('Budget - 2026'!$R$5:$R$56,'Budget - 2026'!$B$5:$B$56,'MILA 3F - Overview'!D14)</f>
        <v>779982</v>
      </c>
      <c r="H14" s="247">
        <f t="shared" si="0"/>
        <v>3.1536407250423677E-2</v>
      </c>
      <c r="I14" s="194"/>
      <c r="J14" s="239">
        <f>SUMIFS('Budget - 2026'!$U$5:$U$56,'Budget - 2026'!$B$5:$B$56,'MILA 3F - Overview'!D14)</f>
        <v>798737</v>
      </c>
      <c r="K14" s="251">
        <f t="shared" si="1"/>
        <v>7.3150861923260823E-3</v>
      </c>
      <c r="L14" s="194"/>
      <c r="M14" s="239">
        <f>SUMIFS('Actual - 2026'!$E$5:$E$56,'Actual - 2026'!$A$5:$A$56,'MILA 2F - Overview'!D14)</f>
        <v>747327.48</v>
      </c>
      <c r="N14" s="233">
        <f>SUMIFS('Budget - 2026'!$F$5:$F$56,'Budget - 2026'!$B$5:$B$56,'MILA 2F - Overview'!D14)</f>
        <v>731699</v>
      </c>
      <c r="O14" s="240">
        <f>SUMIFS('Budget - 2026'!$I$5:$I$56,'Budget - 2026'!$B$5:$B$56,'MILA 2F - Overview'!D14)</f>
        <v>731699</v>
      </c>
      <c r="P14" s="239">
        <f>SUMIFS('Actual - 2026'!$H$5:$H$56,'Actual - 2026'!$A$5:$A$56,'MILA 2F - Overview'!D14)</f>
        <v>57252.35</v>
      </c>
      <c r="Q14" s="233">
        <f>SUMIFS('Budget - 2026'!$L$5:$L$56,'Budget - 2026'!$B$5:$B$56,'MILA 2F - Overview'!D14)</f>
        <v>48283</v>
      </c>
      <c r="R14" s="240">
        <f>SUMIFS('Budget - 2026'!$O$5:$O$56,'Budget - 2026'!$B$5:$B$56,'MILA 2F - Overview'!D14)</f>
        <v>67038</v>
      </c>
    </row>
    <row r="15" spans="4:20" s="108" customFormat="1" ht="22.15" customHeight="1">
      <c r="D15" s="227" t="s">
        <v>253</v>
      </c>
      <c r="E15" s="194"/>
      <c r="F15" s="241">
        <f>SUM(F11:F14)</f>
        <v>3231380.6</v>
      </c>
      <c r="G15" s="228">
        <f>SUM(G11:G14)</f>
        <v>3011248</v>
      </c>
      <c r="H15" s="248">
        <f t="shared" ref="H15" si="3">(F15-G15)/G15</f>
        <v>7.3103444153387598E-2</v>
      </c>
      <c r="I15" s="194"/>
      <c r="J15" s="241">
        <f>SUM(J11:J14)</f>
        <v>3057446</v>
      </c>
      <c r="K15" s="248">
        <f>(F15-J15)/J15</f>
        <v>5.688885429211181E-2</v>
      </c>
      <c r="L15" s="194"/>
      <c r="M15" s="241">
        <f t="shared" ref="M15:R15" si="4">SUM(M11:M14)</f>
        <v>3001100.0500000003</v>
      </c>
      <c r="N15" s="228">
        <f t="shared" si="4"/>
        <v>2830408</v>
      </c>
      <c r="O15" s="242">
        <f t="shared" si="4"/>
        <v>2876607</v>
      </c>
      <c r="P15" s="241">
        <f t="shared" si="4"/>
        <v>230280.55000000002</v>
      </c>
      <c r="Q15" s="228">
        <f t="shared" si="4"/>
        <v>180840</v>
      </c>
      <c r="R15" s="242">
        <f t="shared" si="4"/>
        <v>180839</v>
      </c>
    </row>
    <row r="16" spans="4:20" s="108" customFormat="1" ht="22.15" customHeight="1">
      <c r="D16" s="193" t="s">
        <v>134</v>
      </c>
      <c r="E16" s="194"/>
      <c r="F16" s="239">
        <f>SUMIFS('Actual - 2026'!$K$5:$K$56,'Actual - 2026'!$A$5:$A$56,'MILA 3F - Overview'!D16)</f>
        <v>884649</v>
      </c>
      <c r="G16" s="233">
        <f>SUMIFS('Budget - 2026'!$R$5:$R$56,'Budget - 2026'!$B$5:$B$56,'MILA 3F - Overview'!D16)</f>
        <v>799870</v>
      </c>
      <c r="H16" s="247">
        <f t="shared" si="0"/>
        <v>0.10599097353319914</v>
      </c>
      <c r="I16" s="194"/>
      <c r="J16" s="239">
        <f>SUMIFS('Budget - 2026'!$U$5:$U$56,'Budget - 2026'!$B$5:$B$56,'MILA 3F - Overview'!D16)</f>
        <v>800117</v>
      </c>
      <c r="K16" s="251">
        <f t="shared" si="1"/>
        <v>0.1056495487534948</v>
      </c>
      <c r="L16" s="194"/>
      <c r="M16" s="239">
        <f>SUMIFS('Actual - 2026'!$E$5:$E$56,'Actual - 2026'!$A$5:$A$56,'MILA 2F - Overview'!D16)</f>
        <v>824772.95</v>
      </c>
      <c r="N16" s="233">
        <f>SUMIFS('Budget - 2026'!$F$5:$F$56,'Budget - 2026'!$B$5:$B$56,'MILA 2F - Overview'!D16)</f>
        <v>764081</v>
      </c>
      <c r="O16" s="240">
        <f>SUMIFS('Budget - 2026'!$I$5:$I$56,'Budget - 2026'!$B$5:$B$56,'MILA 2F - Overview'!D16)</f>
        <v>764081</v>
      </c>
      <c r="P16" s="239">
        <f>SUMIFS('Actual - 2026'!$H$5:$H$56,'Actual - 2026'!$A$5:$A$56,'MILA 2F - Overview'!D16)</f>
        <v>59876.05</v>
      </c>
      <c r="Q16" s="233">
        <f>SUMIFS('Budget - 2026'!$L$5:$L$56,'Budget - 2026'!$B$5:$B$56,'MILA 2F - Overview'!D16)</f>
        <v>35789</v>
      </c>
      <c r="R16" s="240">
        <f>SUMIFS('Budget - 2026'!$O$5:$O$56,'Budget - 2026'!$B$5:$B$56,'MILA 2F - Overview'!D16)</f>
        <v>36036</v>
      </c>
      <c r="T16" s="108">
        <f>SUM(S14:T14)</f>
        <v>0</v>
      </c>
    </row>
    <row r="17" spans="2:20" s="108" customFormat="1" ht="22.15" customHeight="1">
      <c r="D17" s="193" t="s">
        <v>135</v>
      </c>
      <c r="E17" s="194"/>
      <c r="F17" s="239">
        <f>SUMIFS('Actual - 2026'!$K$5:$K$56,'Actual - 2026'!$A$5:$A$56,'MILA 3F - Overview'!D17)</f>
        <v>851268.84000000008</v>
      </c>
      <c r="G17" s="233">
        <f>SUMIFS('Budget - 2026'!$R$5:$R$56,'Budget - 2026'!$B$5:$B$56,'MILA 3F - Overview'!D17)</f>
        <v>749546</v>
      </c>
      <c r="H17" s="247">
        <f t="shared" si="0"/>
        <v>0.13571260469670984</v>
      </c>
      <c r="I17" s="194"/>
      <c r="J17" s="239">
        <f>SUMIFS('Budget - 2026'!$U$5:$U$56,'Budget - 2026'!$B$5:$B$56,'MILA 3F - Overview'!D17)</f>
        <v>752297</v>
      </c>
      <c r="K17" s="251">
        <f t="shared" si="1"/>
        <v>0.13155953034506329</v>
      </c>
      <c r="L17" s="194"/>
      <c r="M17" s="239">
        <f>SUMIFS('Actual - 2026'!$E$5:$E$56,'Actual - 2026'!$A$5:$A$56,'MILA 2F - Overview'!D17)</f>
        <v>803318.59000000008</v>
      </c>
      <c r="N17" s="233">
        <f>SUMIFS('Budget - 2026'!$F$5:$F$56,'Budget - 2026'!$B$5:$B$56,'MILA 2F - Overview'!D17)</f>
        <v>712712</v>
      </c>
      <c r="O17" s="240">
        <f>SUMIFS('Budget - 2026'!$I$5:$I$56,'Budget - 2026'!$B$5:$B$56,'MILA 2F - Overview'!D17)</f>
        <v>712712</v>
      </c>
      <c r="P17" s="239">
        <f>SUMIFS('Actual - 2026'!$H$5:$H$56,'Actual - 2026'!$A$5:$A$56,'MILA 2F - Overview'!D17)</f>
        <v>47950.25</v>
      </c>
      <c r="Q17" s="233">
        <f>SUMIFS('Budget - 2026'!$L$5:$L$56,'Budget - 2026'!$B$5:$B$56,'MILA 2F - Overview'!D17)</f>
        <v>36834</v>
      </c>
      <c r="R17" s="240">
        <f>SUMIFS('Budget - 2026'!$O$5:$O$56,'Budget - 2026'!$B$5:$B$56,'MILA 2F - Overview'!D17)</f>
        <v>39585</v>
      </c>
    </row>
    <row r="18" spans="2:20" s="108" customFormat="1" ht="22.15" customHeight="1">
      <c r="D18" s="193" t="s">
        <v>136</v>
      </c>
      <c r="E18" s="194"/>
      <c r="F18" s="239">
        <f>SUMIFS('Actual - 2026'!$K$5:$K$56,'Actual - 2026'!$A$5:$A$56,'MILA 3F - Overview'!D18)</f>
        <v>849444.03</v>
      </c>
      <c r="G18" s="233">
        <f>SUMIFS('Budget - 2026'!$R$5:$R$56,'Budget - 2026'!$B$5:$B$56,'MILA 3F - Overview'!D18)</f>
        <v>749970</v>
      </c>
      <c r="H18" s="247">
        <f t="shared" si="0"/>
        <v>0.13263734549381978</v>
      </c>
      <c r="I18" s="194"/>
      <c r="J18" s="239">
        <f>SUMIFS('Budget - 2026'!$U$5:$U$56,'Budget - 2026'!$B$5:$B$56,'MILA 3F - Overview'!D18)</f>
        <v>803423</v>
      </c>
      <c r="K18" s="251">
        <f t="shared" si="1"/>
        <v>5.7281195584393312E-2</v>
      </c>
      <c r="L18" s="194"/>
      <c r="M18" s="239">
        <f>SUMIFS('Actual - 2026'!$E$5:$E$56,'Actual - 2026'!$A$5:$A$56,'MILA 2F - Overview'!D18)</f>
        <v>792520.88</v>
      </c>
      <c r="N18" s="233">
        <f>SUMIFS('Budget - 2026'!$F$5:$F$56,'Budget - 2026'!$B$5:$B$56,'MILA 2F - Overview'!D18)</f>
        <v>715226</v>
      </c>
      <c r="O18" s="240">
        <f>SUMIFS('Budget - 2026'!$I$5:$I$56,'Budget - 2026'!$B$5:$B$56,'MILA 2F - Overview'!D18)</f>
        <v>769769</v>
      </c>
      <c r="P18" s="239">
        <f>SUMIFS('Actual - 2026'!$H$5:$H$56,'Actual - 2026'!$A$5:$A$56,'MILA 2F - Overview'!D18)</f>
        <v>56923.15</v>
      </c>
      <c r="Q18" s="233">
        <f>SUMIFS('Budget - 2026'!$L$5:$L$56,'Budget - 2026'!$B$5:$B$56,'MILA 2F - Overview'!D18)</f>
        <v>34744</v>
      </c>
      <c r="R18" s="240">
        <f>SUMIFS('Budget - 2026'!$O$5:$O$56,'Budget - 2026'!$B$5:$B$56,'MILA 2F - Overview'!D18)</f>
        <v>33654</v>
      </c>
    </row>
    <row r="19" spans="2:20" s="108" customFormat="1" ht="22.15" customHeight="1">
      <c r="D19" s="193" t="s">
        <v>137</v>
      </c>
      <c r="E19" s="194"/>
      <c r="F19" s="239">
        <f>SUMIFS('Actual - 2026'!$K$5:$K$56,'Actual - 2026'!$A$5:$A$56,'MILA 3F - Overview'!D19)</f>
        <v>866528.76</v>
      </c>
      <c r="G19" s="233">
        <f>SUMIFS('Budget - 2026'!$R$5:$R$56,'Budget - 2026'!$B$5:$B$56,'MILA 3F - Overview'!D19)</f>
        <v>745312</v>
      </c>
      <c r="H19" s="247">
        <f t="shared" si="0"/>
        <v>0.16263894852088792</v>
      </c>
      <c r="I19" s="194"/>
      <c r="J19" s="239">
        <f>SUMIFS('Budget - 2026'!$U$5:$U$56,'Budget - 2026'!$B$5:$B$56,'MILA 3F - Overview'!D19)</f>
        <v>745995</v>
      </c>
      <c r="K19" s="251">
        <f t="shared" si="1"/>
        <v>0.16157448776466332</v>
      </c>
      <c r="L19" s="194"/>
      <c r="M19" s="239">
        <f>SUMIFS('Actual - 2026'!$E$5:$E$56,'Actual - 2026'!$A$5:$A$56,'MILA 2F - Overview'!D19)</f>
        <v>819512.76</v>
      </c>
      <c r="N19" s="233">
        <f>SUMIFS('Budget - 2026'!$F$5:$F$56,'Budget - 2026'!$B$5:$B$56,'MILA 2F - Overview'!D19)</f>
        <v>709392</v>
      </c>
      <c r="O19" s="240">
        <f>SUMIFS('Budget - 2026'!$I$5:$I$56,'Budget - 2026'!$B$5:$B$56,'MILA 2F - Overview'!D19)</f>
        <v>709392</v>
      </c>
      <c r="P19" s="239">
        <f>SUMIFS('Actual - 2026'!$H$5:$H$56,'Actual - 2026'!$A$5:$A$56,'MILA 2F - Overview'!D19)</f>
        <v>47016</v>
      </c>
      <c r="Q19" s="233">
        <f>SUMIFS('Budget - 2026'!$L$5:$L$56,'Budget - 2026'!$B$5:$B$56,'MILA 2F - Overview'!D19)</f>
        <v>35920</v>
      </c>
      <c r="R19" s="240">
        <f>SUMIFS('Budget - 2026'!$O$5:$O$56,'Budget - 2026'!$B$5:$B$56,'MILA 2F - Overview'!D19)</f>
        <v>36603</v>
      </c>
    </row>
    <row r="20" spans="2:20" s="108" customFormat="1" ht="22.15" customHeight="1">
      <c r="D20" s="193" t="s">
        <v>138</v>
      </c>
      <c r="E20" s="194"/>
      <c r="F20" s="239">
        <f>SUMIFS('Actual - 2026'!$K$5:$K$56,'Actual - 2026'!$A$5:$A$56,'MILA 3F - Overview'!D20)</f>
        <v>846647.52</v>
      </c>
      <c r="G20" s="233">
        <f>SUMIFS('Budget - 2026'!$R$5:$R$56,'Budget - 2026'!$B$5:$B$56,'MILA 3F - Overview'!D20)</f>
        <v>784281</v>
      </c>
      <c r="H20" s="247">
        <f t="shared" si="0"/>
        <v>7.9520630998328429E-2</v>
      </c>
      <c r="I20" s="194"/>
      <c r="J20" s="239">
        <f>SUMIFS('Budget - 2026'!$U$5:$U$56,'Budget - 2026'!$B$5:$B$56,'MILA 3F - Overview'!D20)</f>
        <v>781690</v>
      </c>
      <c r="K20" s="251">
        <f t="shared" si="1"/>
        <v>8.3098824342130534E-2</v>
      </c>
      <c r="L20" s="194"/>
      <c r="M20" s="239">
        <f>SUMIFS('Actual - 2026'!$E$5:$E$56,'Actual - 2026'!$A$5:$A$56,'MILA 2F - Overview'!D20)</f>
        <v>799812.52</v>
      </c>
      <c r="N20" s="233">
        <f>SUMIFS('Budget - 2026'!$F$5:$F$56,'Budget - 2026'!$B$5:$B$56,'MILA 2F - Overview'!D20)</f>
        <v>737781</v>
      </c>
      <c r="O20" s="240">
        <f>SUMIFS('Budget - 2026'!$I$5:$I$56,'Budget - 2026'!$B$5:$B$56,'MILA 2F - Overview'!D20)</f>
        <v>737781</v>
      </c>
      <c r="P20" s="239">
        <f>SUMIFS('Actual - 2026'!$H$5:$H$56,'Actual - 2026'!$A$5:$A$56,'MILA 2F - Overview'!D20)</f>
        <v>46835</v>
      </c>
      <c r="Q20" s="233">
        <f>SUMIFS('Budget - 2026'!$L$5:$L$56,'Budget - 2026'!$B$5:$B$56,'MILA 2F - Overview'!D20)</f>
        <v>46500</v>
      </c>
      <c r="R20" s="240">
        <f>SUMIFS('Budget - 2026'!$O$5:$O$56,'Budget - 2026'!$B$5:$B$56,'MILA 2F - Overview'!D20)</f>
        <v>43909</v>
      </c>
    </row>
    <row r="21" spans="2:20" s="108" customFormat="1" ht="22.15" customHeight="1">
      <c r="D21" s="227" t="s">
        <v>254</v>
      </c>
      <c r="E21" s="194"/>
      <c r="F21" s="241">
        <f>SUM(F16:F20)</f>
        <v>4298538.1500000004</v>
      </c>
      <c r="G21" s="228">
        <f>SUM(G16:G20)</f>
        <v>3828979</v>
      </c>
      <c r="H21" s="248">
        <f t="shared" si="0"/>
        <v>0.12263299171920253</v>
      </c>
      <c r="I21" s="194"/>
      <c r="J21" s="241">
        <f>SUM(J16:J20)</f>
        <v>3883522</v>
      </c>
      <c r="K21" s="248">
        <f>(F21-J21)/J21</f>
        <v>0.10686591964716574</v>
      </c>
      <c r="L21" s="194"/>
      <c r="M21" s="241">
        <f t="shared" ref="M21:R21" si="5">SUM(M16:M20)</f>
        <v>4039937.6999999997</v>
      </c>
      <c r="N21" s="228">
        <f t="shared" si="5"/>
        <v>3639192</v>
      </c>
      <c r="O21" s="242">
        <f t="shared" si="5"/>
        <v>3693735</v>
      </c>
      <c r="P21" s="241">
        <f t="shared" si="5"/>
        <v>258600.45</v>
      </c>
      <c r="Q21" s="228">
        <f t="shared" si="5"/>
        <v>189787</v>
      </c>
      <c r="R21" s="242">
        <f t="shared" si="5"/>
        <v>189787</v>
      </c>
      <c r="S21" s="342">
        <v>768000</v>
      </c>
    </row>
    <row r="22" spans="2:20" s="108" customFormat="1" ht="22.15" customHeight="1">
      <c r="D22" s="193" t="s">
        <v>141</v>
      </c>
      <c r="E22" s="194"/>
      <c r="F22" s="239">
        <f>SUMIFS('Actual - 2026'!$K$5:$K$56,'Actual - 2026'!$A$5:$A$56,'MILA 3F - Overview'!D22)</f>
        <v>784525.09</v>
      </c>
      <c r="G22" s="233">
        <f>SUMIFS('Budget - 2026'!$R$5:$R$56,'Budget - 2026'!$B$5:$B$56,'MILA 3F - Overview'!D22)</f>
        <v>708097</v>
      </c>
      <c r="H22" s="247">
        <f t="shared" si="0"/>
        <v>0.10793449202580997</v>
      </c>
      <c r="I22" s="194"/>
      <c r="J22" s="239">
        <f>SUMIFS('Budget - 2026'!$U$5:$U$56,'Budget - 2026'!$B$5:$B$56,'MILA 3F - Overview'!D22)</f>
        <v>737253</v>
      </c>
      <c r="K22" s="251">
        <f t="shared" si="1"/>
        <v>6.4119223658635455E-2</v>
      </c>
      <c r="L22" s="194"/>
      <c r="M22" s="239">
        <f>SUMIFS('Actual - 2026'!$E$5:$E$56,'Actual - 2026'!$A$5:$A$56,'MILA 2F - Overview'!D22)</f>
        <v>724988.19</v>
      </c>
      <c r="N22" s="233">
        <f>SUMIFS('Budget - 2026'!$F$5:$F$56,'Budget - 2026'!$B$5:$B$56,'MILA 2F - Overview'!D22)</f>
        <v>667932</v>
      </c>
      <c r="O22" s="240">
        <f>SUMIFS('Budget - 2026'!$I$5:$I$56,'Budget - 2026'!$B$5:$B$56,'MILA 2F - Overview'!D22)</f>
        <v>704341</v>
      </c>
      <c r="P22" s="239">
        <f>SUMIFS('Actual - 2026'!$H$5:$H$56,'Actual - 2026'!$A$5:$A$56,'MILA 2F - Overview'!D22)</f>
        <v>59536.9</v>
      </c>
      <c r="Q22" s="233">
        <f>SUMIFS('Budget - 2026'!$L$5:$L$56,'Budget - 2026'!$B$5:$B$56,'MILA 2F - Overview'!D22)</f>
        <v>40165</v>
      </c>
      <c r="R22" s="240">
        <f>SUMIFS('Budget - 2026'!$O$5:$O$56,'Budget - 2026'!$B$5:$B$56,'MILA 2F - Overview'!D22)</f>
        <v>32912</v>
      </c>
      <c r="S22" s="342">
        <f>F19</f>
        <v>866528.76</v>
      </c>
    </row>
    <row r="23" spans="2:20" s="108" customFormat="1" ht="22.15" customHeight="1">
      <c r="D23" s="193" t="s">
        <v>142</v>
      </c>
      <c r="E23" s="194"/>
      <c r="F23" s="239">
        <f>SUMIFS('Actual - 2026'!$K$5:$K$56,'Actual - 2026'!$A$5:$A$56,'MILA 3F - Overview'!D23)</f>
        <v>734270.80999999994</v>
      </c>
      <c r="G23" s="233">
        <f>SUMIFS('Budget - 2026'!$R$5:$R$56,'Budget - 2026'!$B$5:$B$56,'MILA 3F - Overview'!D23)</f>
        <v>678099</v>
      </c>
      <c r="H23" s="247">
        <f t="shared" si="0"/>
        <v>8.2837181591478445E-2</v>
      </c>
      <c r="I23" s="194"/>
      <c r="J23" s="239">
        <f>SUMIFS('Budget - 2026'!$U$5:$U$56,'Budget - 2026'!$B$5:$B$56,'MILA 3F - Overview'!D23)</f>
        <v>702708</v>
      </c>
      <c r="K23" s="251">
        <f t="shared" si="1"/>
        <v>4.4915967941164668E-2</v>
      </c>
      <c r="L23" s="194"/>
      <c r="M23" s="239">
        <f>SUMIFS('Actual - 2026'!$E$5:$E$56,'Actual - 2026'!$A$5:$A$56,'MILA 2F - Overview'!D23)</f>
        <v>686335.86</v>
      </c>
      <c r="N23" s="233">
        <f>SUMIFS('Budget - 2026'!$F$5:$F$56,'Budget - 2026'!$B$5:$B$56,'MILA 2F - Overview'!D23)</f>
        <v>642994</v>
      </c>
      <c r="O23" s="240">
        <f>SUMIFS('Budget - 2026'!$I$5:$I$56,'Budget - 2026'!$B$5:$B$56,'MILA 2F - Overview'!D23)</f>
        <v>659995</v>
      </c>
      <c r="P23" s="239">
        <f>SUMIFS('Actual - 2026'!$H$5:$H$56,'Actual - 2026'!$A$5:$A$56,'MILA 2F - Overview'!D23)</f>
        <v>47934.95</v>
      </c>
      <c r="Q23" s="233">
        <f>SUMIFS('Budget - 2026'!$L$5:$L$56,'Budget - 2026'!$B$5:$B$56,'MILA 2F - Overview'!D23)</f>
        <v>35105</v>
      </c>
      <c r="R23" s="240">
        <f>SUMIFS('Budget - 2026'!$O$5:$O$56,'Budget - 2026'!$B$5:$B$56,'MILA 2F - Overview'!D23)</f>
        <v>42713</v>
      </c>
      <c r="S23" s="323">
        <f>SUM(S21:S22)</f>
        <v>1634528.76</v>
      </c>
      <c r="T23" s="108">
        <f>SUM(S22:T22)</f>
        <v>866528.76</v>
      </c>
    </row>
    <row r="24" spans="2:20" s="108" customFormat="1" ht="22.15" customHeight="1">
      <c r="D24" s="193" t="s">
        <v>143</v>
      </c>
      <c r="E24" s="194"/>
      <c r="F24" s="239">
        <f>SUMIFS('Actual - 2026'!$K$5:$K$56,'Actual - 2026'!$A$5:$A$56,'MILA 3F - Overview'!D24)</f>
        <v>830242.66</v>
      </c>
      <c r="G24" s="233">
        <f>SUMIFS('Budget - 2026'!$R$5:$R$56,'Budget - 2026'!$B$5:$B$56,'MILA 3F - Overview'!D24)</f>
        <v>765252</v>
      </c>
      <c r="H24" s="247">
        <f t="shared" si="0"/>
        <v>8.4927135113661942E-2</v>
      </c>
      <c r="I24" s="194"/>
      <c r="J24" s="239">
        <f>SUMIFS('Budget - 2026'!$U$5:$U$56,'Budget - 2026'!$B$5:$B$56,'MILA 3F - Overview'!D24)</f>
        <v>809866</v>
      </c>
      <c r="K24" s="251">
        <f t="shared" si="1"/>
        <v>2.516053273010601E-2</v>
      </c>
      <c r="L24" s="194"/>
      <c r="M24" s="239">
        <f>SUMIFS('Actual - 2026'!$E$5:$E$56,'Actual - 2026'!$A$5:$A$56,'MILA 2F - Overview'!D24)</f>
        <v>783587.64</v>
      </c>
      <c r="N24" s="233">
        <f>SUMIFS('Budget - 2026'!$F$5:$F$56,'Budget - 2026'!$B$5:$B$56,'MILA 2F - Overview'!D24)</f>
        <v>706347</v>
      </c>
      <c r="O24" s="240">
        <f>SUMIFS('Budget - 2026'!$I$5:$I$56,'Budget - 2026'!$B$5:$B$56,'MILA 2F - Overview'!D24)</f>
        <v>743115</v>
      </c>
      <c r="P24" s="239">
        <f>SUMIFS('Actual - 2026'!$H$5:$H$56,'Actual - 2026'!$A$5:$A$56,'MILA 2F - Overview'!D24)</f>
        <v>46655.02</v>
      </c>
      <c r="Q24" s="233">
        <f>SUMIFS('Budget - 2026'!$L$5:$L$56,'Budget - 2026'!$B$5:$B$56,'MILA 2F - Overview'!D24)</f>
        <v>58905</v>
      </c>
      <c r="R24" s="240">
        <f>SUMIFS('Budget - 2026'!$O$5:$O$56,'Budget - 2026'!$B$5:$B$56,'MILA 2F - Overview'!D24)</f>
        <v>66751</v>
      </c>
      <c r="S24" s="342">
        <v>1028594</v>
      </c>
    </row>
    <row r="25" spans="2:20" s="108" customFormat="1" ht="22.15" customHeight="1">
      <c r="D25" s="193" t="s">
        <v>144</v>
      </c>
      <c r="E25" s="194"/>
      <c r="F25" s="239">
        <f>SUMIFS('Actual - 2026'!$K$5:$K$56,'Actual - 2026'!$A$5:$A$56,'MILA 3F - Overview'!D25)</f>
        <v>776230.83</v>
      </c>
      <c r="G25" s="233">
        <f>SUMIFS('Budget - 2026'!$R$5:$R$56,'Budget - 2026'!$B$5:$B$56,'MILA 3F - Overview'!D25)</f>
        <v>687064</v>
      </c>
      <c r="H25" s="247">
        <f t="shared" si="0"/>
        <v>0.12977951107902605</v>
      </c>
      <c r="I25" s="194"/>
      <c r="J25" s="239">
        <f>SUMIFS('Budget - 2026'!$U$5:$U$56,'Budget - 2026'!$B$5:$B$56,'MILA 3F - Overview'!D25)</f>
        <v>690935</v>
      </c>
      <c r="K25" s="251">
        <f t="shared" si="1"/>
        <v>0.12344986141967039</v>
      </c>
      <c r="L25" s="194"/>
      <c r="M25" s="239">
        <f>SUMIFS('Actual - 2026'!$E$5:$E$56,'Actual - 2026'!$A$5:$A$56,'MILA 2F - Overview'!D25)</f>
        <v>725768.73</v>
      </c>
      <c r="N25" s="233">
        <f>SUMIFS('Budget - 2026'!$F$5:$F$56,'Budget - 2026'!$B$5:$B$56,'MILA 2F - Overview'!D25)</f>
        <v>651126</v>
      </c>
      <c r="O25" s="240">
        <f>SUMIFS('Budget - 2026'!$I$5:$I$56,'Budget - 2026'!$B$5:$B$56,'MILA 2F - Overview'!D25)</f>
        <v>646535</v>
      </c>
      <c r="P25" s="239">
        <f>SUMIFS('Actual - 2026'!$H$5:$H$56,'Actual - 2026'!$A$5:$A$56,'MILA 2F - Overview'!D25)</f>
        <v>50462.1</v>
      </c>
      <c r="Q25" s="233">
        <f>SUMIFS('Budget - 2026'!$L$5:$L$56,'Budget - 2026'!$B$5:$B$56,'MILA 2F - Overview'!D25)</f>
        <v>35938</v>
      </c>
      <c r="R25" s="240">
        <f>SUMIFS('Budget - 2026'!$O$5:$O$56,'Budget - 2026'!$B$5:$B$56,'MILA 2F - Overview'!D25)</f>
        <v>44400</v>
      </c>
      <c r="S25" s="323">
        <f>S23-S24</f>
        <v>605934.76</v>
      </c>
    </row>
    <row r="26" spans="2:20" s="108" customFormat="1" ht="22.15" customHeight="1">
      <c r="D26" s="227" t="s">
        <v>255</v>
      </c>
      <c r="E26" s="194"/>
      <c r="F26" s="241">
        <f>SUM(F22:F25)</f>
        <v>3125269.39</v>
      </c>
      <c r="G26" s="228"/>
      <c r="H26" s="248" t="e">
        <f t="shared" si="0"/>
        <v>#DIV/0!</v>
      </c>
      <c r="I26" s="194"/>
      <c r="J26" s="241">
        <f>SUM(J22:J25)</f>
        <v>2940762</v>
      </c>
      <c r="K26" s="248">
        <f>(F26-J26)/J26</f>
        <v>6.2741354111621447E-2</v>
      </c>
      <c r="L26" s="194"/>
      <c r="M26" s="241">
        <f t="shared" ref="M26:R26" si="6">SUM(M22:M25)</f>
        <v>2920680.42</v>
      </c>
      <c r="N26" s="228">
        <f t="shared" si="6"/>
        <v>2668399</v>
      </c>
      <c r="O26" s="242">
        <f t="shared" si="6"/>
        <v>2753986</v>
      </c>
      <c r="P26" s="241">
        <f t="shared" si="6"/>
        <v>204588.97</v>
      </c>
      <c r="Q26" s="228">
        <f t="shared" si="6"/>
        <v>170113</v>
      </c>
      <c r="R26" s="242">
        <f t="shared" si="6"/>
        <v>186776</v>
      </c>
    </row>
    <row r="27" spans="2:20" s="108" customFormat="1" ht="22.15" customHeight="1">
      <c r="D27" s="193" t="s">
        <v>147</v>
      </c>
      <c r="E27" s="194"/>
      <c r="F27" s="239">
        <f>SUMIFS('Actual - 2026'!$K$5:$K$56,'Actual - 2026'!$A$5:$A$56,'MILA 3F - Overview'!D27)</f>
        <v>1081289.94</v>
      </c>
      <c r="G27" s="233">
        <f>SUMIFS('Budget - 2026'!$R$5:$R$56,'Budget - 2026'!$B$5:$B$56,'MILA 3F - Overview'!D27)</f>
        <v>1089995</v>
      </c>
      <c r="H27" s="247">
        <f t="shared" si="0"/>
        <v>-7.9863302125239618E-3</v>
      </c>
      <c r="I27" s="194"/>
      <c r="J27" s="239">
        <f>SUMIFS('Budget - 2026'!$U$5:$U$56,'Budget - 2026'!$B$5:$B$56,'MILA 3F - Overview'!D27)</f>
        <v>1081801</v>
      </c>
      <c r="K27" s="251">
        <f t="shared" si="1"/>
        <v>-4.7241590643755724E-4</v>
      </c>
      <c r="L27" s="194"/>
      <c r="M27" s="239">
        <f>SUMIFS('Actual - 2026'!$E$5:$E$56,'Actual - 2026'!$A$5:$A$56,'MILA 2F - Overview'!D27)</f>
        <v>1025559.6599999999</v>
      </c>
      <c r="N27" s="233">
        <f>SUMIFS('Budget - 2026'!$F$5:$F$56,'Budget - 2026'!$B$5:$B$56,'MILA 2F - Overview'!D27)</f>
        <v>1048290</v>
      </c>
      <c r="O27" s="240">
        <f>SUMIFS('Budget - 2026'!$I$5:$I$56,'Budget - 2026'!$B$5:$B$56,'MILA 2F - Overview'!D27)</f>
        <v>1048290</v>
      </c>
      <c r="P27" s="239">
        <f>SUMIFS('Actual - 2026'!$H$5:$H$56,'Actual - 2026'!$A$5:$A$56,'MILA 2F - Overview'!D27)</f>
        <v>55730.28</v>
      </c>
      <c r="Q27" s="233">
        <f>SUMIFS('Budget - 2026'!$L$5:$L$56,'Budget - 2026'!$B$5:$B$56,'MILA 2F - Overview'!D27)</f>
        <v>41705</v>
      </c>
      <c r="R27" s="240">
        <f>SUMIFS('Budget - 2026'!$O$5:$O$56,'Budget - 2026'!$B$5:$B$56,'MILA 2F - Overview'!D27)</f>
        <v>33511</v>
      </c>
    </row>
    <row r="28" spans="2:20" s="108" customFormat="1" ht="22.15" customHeight="1">
      <c r="B28" s="108" t="s">
        <v>99</v>
      </c>
      <c r="D28" s="193" t="s">
        <v>148</v>
      </c>
      <c r="E28" s="194"/>
      <c r="F28" s="239">
        <f>SUMIFS('Actual - 2026'!$K$5:$K$56,'Actual - 2026'!$A$5:$A$56,'MILA 3F - Overview'!D28)</f>
        <v>903366.02</v>
      </c>
      <c r="G28" s="233">
        <f>SUMIFS('Budget - 2026'!$R$5:$R$56,'Budget - 2026'!$B$5:$B$56,'MILA 3F - Overview'!D28)</f>
        <v>673849</v>
      </c>
      <c r="H28" s="247">
        <f t="shared" si="0"/>
        <v>0.34060601113899408</v>
      </c>
      <c r="I28" s="194"/>
      <c r="J28" s="239">
        <f>SUMIFS('Budget - 2026'!$U$5:$U$56,'Budget - 2026'!$B$5:$B$56,'MILA 3F - Overview'!D28)</f>
        <v>671015</v>
      </c>
      <c r="K28" s="251">
        <f t="shared" si="1"/>
        <v>0.34626799698963512</v>
      </c>
      <c r="L28" s="194"/>
      <c r="M28" s="239">
        <f>SUMIFS('Actual - 2026'!$E$5:$E$56,'Actual - 2026'!$A$5:$A$56,'MILA 2F - Overview'!D28)</f>
        <v>843237.07000000007</v>
      </c>
      <c r="N28" s="233">
        <f>SUMIFS('Budget - 2026'!$F$5:$F$56,'Budget - 2026'!$B$5:$B$56,'MILA 2F - Overview'!D28)</f>
        <v>608823</v>
      </c>
      <c r="O28" s="240">
        <f>SUMIFS('Budget - 2026'!$I$5:$I$56,'Budget - 2026'!$B$5:$B$56,'MILA 2F - Overview'!D28)</f>
        <v>608822</v>
      </c>
      <c r="P28" s="239">
        <f>SUMIFS('Actual - 2026'!$H$5:$H$56,'Actual - 2026'!$A$5:$A$56,'MILA 2F - Overview'!D28)</f>
        <v>60128.95</v>
      </c>
      <c r="Q28" s="233">
        <f>SUMIFS('Budget - 2026'!$L$5:$L$56,'Budget - 2026'!$B$5:$B$56,'MILA 2F - Overview'!D28)</f>
        <v>65026</v>
      </c>
      <c r="R28" s="240">
        <f>SUMIFS('Budget - 2026'!$O$5:$O$56,'Budget - 2026'!$B$5:$B$56,'MILA 2F - Overview'!D28)</f>
        <v>62193</v>
      </c>
    </row>
    <row r="29" spans="2:20" s="108" customFormat="1" ht="22.15" customHeight="1">
      <c r="D29" s="193" t="s">
        <v>149</v>
      </c>
      <c r="E29" s="194"/>
      <c r="F29" s="239">
        <f>SUMIFS('Actual - 2026'!$K$5:$K$56,'Actual - 2026'!$A$5:$A$56,'MILA 3F - Overview'!D29)</f>
        <v>711921.33</v>
      </c>
      <c r="G29" s="233">
        <f>SUMIFS('Budget - 2026'!$R$5:$R$56,'Budget - 2026'!$B$5:$B$56,'MILA 3F - Overview'!D29)</f>
        <v>732061</v>
      </c>
      <c r="H29" s="247">
        <f t="shared" si="0"/>
        <v>-2.7510917806029881E-2</v>
      </c>
      <c r="I29" s="194"/>
      <c r="J29" s="239">
        <f>SUMIFS('Budget - 2026'!$U$5:$U$56,'Budget - 2026'!$B$5:$B$56,'MILA 3F - Overview'!D29)</f>
        <v>732196</v>
      </c>
      <c r="K29" s="251">
        <f t="shared" si="1"/>
        <v>-2.7690222290206505E-2</v>
      </c>
      <c r="L29" s="194"/>
      <c r="M29" s="239">
        <f>SUMIFS('Actual - 2026'!$E$5:$E$56,'Actual - 2026'!$A$5:$A$56,'MILA 2F - Overview'!D29)</f>
        <v>669559.57999999996</v>
      </c>
      <c r="N29" s="233">
        <f>SUMIFS('Budget - 2026'!$F$5:$F$56,'Budget - 2026'!$B$5:$B$56,'MILA 2F - Overview'!D29)</f>
        <v>695468</v>
      </c>
      <c r="O29" s="240">
        <f>SUMIFS('Budget - 2026'!$I$5:$I$56,'Budget - 2026'!$B$5:$B$56,'MILA 2F - Overview'!D29)</f>
        <v>695468</v>
      </c>
      <c r="P29" s="239">
        <f>SUMIFS('Actual - 2026'!$H$5:$H$56,'Actual - 2026'!$A$5:$A$56,'MILA 2F - Overview'!D29)</f>
        <v>42361.75</v>
      </c>
      <c r="Q29" s="233">
        <f>SUMIFS('Budget - 2026'!$L$5:$L$56,'Budget - 2026'!$B$5:$B$56,'MILA 2F - Overview'!D29)</f>
        <v>36593</v>
      </c>
      <c r="R29" s="240">
        <f>SUMIFS('Budget - 2026'!$O$5:$O$56,'Budget - 2026'!$B$5:$B$56,'MILA 2F - Overview'!D29)</f>
        <v>36728</v>
      </c>
    </row>
    <row r="30" spans="2:20" s="108" customFormat="1" ht="22.15" customHeight="1">
      <c r="D30" s="193" t="s">
        <v>150</v>
      </c>
      <c r="E30" s="194"/>
      <c r="F30" s="239">
        <f>SUMIFS('Actual - 2026'!$K$5:$K$56,'Actual - 2026'!$A$5:$A$56,'MILA 3F - Overview'!D30)</f>
        <v>733615.49999999988</v>
      </c>
      <c r="G30" s="233">
        <f>SUMIFS('Budget - 2026'!$R$5:$R$56,'Budget - 2026'!$B$5:$B$56,'MILA 3F - Overview'!D30)</f>
        <v>761934</v>
      </c>
      <c r="H30" s="247">
        <f t="shared" si="0"/>
        <v>-3.7166604981533985E-2</v>
      </c>
      <c r="I30" s="194"/>
      <c r="J30" s="239">
        <f>SUMIFS('Budget - 2026'!$U$5:$U$56,'Budget - 2026'!$B$5:$B$56,'MILA 3F - Overview'!D30)</f>
        <v>760955</v>
      </c>
      <c r="K30" s="251">
        <f t="shared" si="1"/>
        <v>-3.592788009803486E-2</v>
      </c>
      <c r="L30" s="194"/>
      <c r="M30" s="239">
        <f>SUMIFS('Actual - 2026'!$E$5:$E$56,'Actual - 2026'!$A$5:$A$56,'MILA 2F - Overview'!D30)</f>
        <v>689359.89999999991</v>
      </c>
      <c r="N30" s="233">
        <f>SUMIFS('Budget - 2026'!$F$5:$F$56,'Budget - 2026'!$B$5:$B$56,'MILA 2F - Overview'!D30)</f>
        <v>723046</v>
      </c>
      <c r="O30" s="240">
        <f>SUMIFS('Budget - 2026'!$I$5:$I$56,'Budget - 2026'!$B$5:$B$56,'MILA 2F - Overview'!D30)</f>
        <v>723045</v>
      </c>
      <c r="P30" s="239">
        <f>SUMIFS('Actual - 2026'!$H$5:$H$56,'Actual - 2026'!$A$5:$A$56,'MILA 2F - Overview'!D30)</f>
        <v>44255.6</v>
      </c>
      <c r="Q30" s="233">
        <f>SUMIFS('Budget - 2026'!$L$5:$L$56,'Budget - 2026'!$B$5:$B$56,'MILA 2F - Overview'!D30)</f>
        <v>38888</v>
      </c>
      <c r="R30" s="240">
        <f>SUMIFS('Budget - 2026'!$O$5:$O$56,'Budget - 2026'!$B$5:$B$56,'MILA 2F - Overview'!D30)</f>
        <v>37910</v>
      </c>
    </row>
    <row r="31" spans="2:20" s="108" customFormat="1" ht="22.15" customHeight="1">
      <c r="D31" s="227" t="s">
        <v>256</v>
      </c>
      <c r="E31" s="194"/>
      <c r="F31" s="241">
        <f>SUM(F27:F30)</f>
        <v>3430192.79</v>
      </c>
      <c r="G31" s="228">
        <f>SUM(G27:G30)</f>
        <v>3257839</v>
      </c>
      <c r="H31" s="248">
        <f t="shared" ref="H31" si="7">(F31-G31)/G31</f>
        <v>5.2904330140316952E-2</v>
      </c>
      <c r="I31" s="194"/>
      <c r="J31" s="241">
        <f>SUM(J27:J30)</f>
        <v>3245967</v>
      </c>
      <c r="K31" s="248">
        <f>(F31-J31)/J31</f>
        <v>5.6755287407419745E-2</v>
      </c>
      <c r="L31" s="194"/>
      <c r="M31" s="241">
        <f t="shared" ref="M31:R31" si="8">SUM(M27:M30)</f>
        <v>3227716.21</v>
      </c>
      <c r="N31" s="228">
        <f t="shared" si="8"/>
        <v>3075627</v>
      </c>
      <c r="O31" s="242">
        <f t="shared" si="8"/>
        <v>3075625</v>
      </c>
      <c r="P31" s="241">
        <f t="shared" si="8"/>
        <v>202476.58</v>
      </c>
      <c r="Q31" s="228">
        <f t="shared" si="8"/>
        <v>182212</v>
      </c>
      <c r="R31" s="242">
        <f t="shared" si="8"/>
        <v>170342</v>
      </c>
    </row>
    <row r="32" spans="2:20" s="108" customFormat="1" ht="22.15" customHeight="1">
      <c r="D32" s="193" t="s">
        <v>153</v>
      </c>
      <c r="E32" s="194"/>
      <c r="F32" s="239">
        <f>SUMIFS('Actual - 2026'!$K$5:$K$56,'Actual - 2026'!$A$5:$A$56,'MILA 3F - Overview'!D32)</f>
        <v>707380.64</v>
      </c>
      <c r="G32" s="233">
        <f>SUMIFS('Budget - 2026'!$R$5:$R$56,'Budget - 2026'!$B$5:$B$56,'MILA 3F - Overview'!D32)</f>
        <v>573980</v>
      </c>
      <c r="H32" s="247">
        <f t="shared" si="0"/>
        <v>0.23241339419491971</v>
      </c>
      <c r="I32" s="194"/>
      <c r="J32" s="239">
        <f>SUMIFS('Budget - 2026'!$U$5:$U$56,'Budget - 2026'!$B$5:$B$56,'MILA 3F - Overview'!D32)</f>
        <v>572975</v>
      </c>
      <c r="K32" s="251">
        <f t="shared" si="1"/>
        <v>0.23457505126750733</v>
      </c>
      <c r="L32" s="194"/>
      <c r="M32" s="239">
        <f>SUMIFS('Actual - 2026'!$E$5:$E$56,'Actual - 2026'!$A$5:$A$56,'MILA 2F - Overview'!D32)</f>
        <v>655710.44000000006</v>
      </c>
      <c r="N32" s="233">
        <f>SUMIFS('Budget - 2026'!$F$5:$F$56,'Budget - 2026'!$B$5:$B$56,'MILA 2F - Overview'!D32)</f>
        <v>534908</v>
      </c>
      <c r="O32" s="240">
        <f>SUMIFS('Budget - 2026'!$I$5:$I$56,'Budget - 2026'!$B$5:$B$56,'MILA 2F - Overview'!D32)</f>
        <v>537456</v>
      </c>
      <c r="P32" s="239">
        <f>SUMIFS('Actual - 2026'!$H$5:$H$56,'Actual - 2026'!$A$5:$A$56,'MILA 2F - Overview'!D32)</f>
        <v>51670.2</v>
      </c>
      <c r="Q32" s="233">
        <f>SUMIFS('Budget - 2026'!$L$5:$L$56,'Budget - 2026'!$B$5:$B$56,'MILA 2F - Overview'!D32)</f>
        <v>39072</v>
      </c>
      <c r="R32" s="240">
        <f>SUMIFS('Budget - 2026'!$O$5:$O$56,'Budget - 2026'!$B$5:$B$56,'MILA 2F - Overview'!D32)</f>
        <v>35519</v>
      </c>
    </row>
    <row r="33" spans="4:18" s="108" customFormat="1" ht="22.15" customHeight="1">
      <c r="D33" s="193" t="s">
        <v>154</v>
      </c>
      <c r="E33" s="194"/>
      <c r="F33" s="239">
        <f>SUMIFS('Actual - 2026'!$K$5:$K$56,'Actual - 2026'!$A$5:$A$56,'MILA 3F - Overview'!D33)</f>
        <v>632806.93000000005</v>
      </c>
      <c r="G33" s="233">
        <f>SUMIFS('Budget - 2026'!$R$5:$R$56,'Budget - 2026'!$B$5:$B$56,'MILA 3F - Overview'!D33)</f>
        <v>539971</v>
      </c>
      <c r="H33" s="247">
        <f t="shared" si="0"/>
        <v>0.17192762203896145</v>
      </c>
      <c r="I33" s="194"/>
      <c r="J33" s="239">
        <f>SUMIFS('Budget - 2026'!$U$5:$U$56,'Budget - 2026'!$B$5:$B$56,'MILA 3F - Overview'!D33)</f>
        <v>538577</v>
      </c>
      <c r="K33" s="251">
        <f t="shared" si="1"/>
        <v>0.17496092480740924</v>
      </c>
      <c r="L33" s="194"/>
      <c r="M33" s="239">
        <f>SUMIFS('Actual - 2026'!$E$5:$E$56,'Actual - 2026'!$A$5:$A$56,'MILA 2F - Overview'!D33)</f>
        <v>593590</v>
      </c>
      <c r="N33" s="233">
        <f>SUMIFS('Budget - 2026'!$F$5:$F$56,'Budget - 2026'!$B$5:$B$56,'MILA 2F - Overview'!D33)</f>
        <v>497221</v>
      </c>
      <c r="O33" s="240">
        <f>SUMIFS('Budget - 2026'!$I$5:$I$56,'Budget - 2026'!$B$5:$B$56,'MILA 2F - Overview'!D33)</f>
        <v>492749</v>
      </c>
      <c r="P33" s="239">
        <f>SUMIFS('Actual - 2026'!$H$5:$H$56,'Actual - 2026'!$A$5:$A$56,'MILA 2F - Overview'!D33)</f>
        <v>39216.93</v>
      </c>
      <c r="Q33" s="233">
        <f>SUMIFS('Budget - 2026'!$L$5:$L$56,'Budget - 2026'!$B$5:$B$56,'MILA 2F - Overview'!D33)</f>
        <v>42750</v>
      </c>
      <c r="R33" s="240">
        <f>SUMIFS('Budget - 2026'!$O$5:$O$56,'Budget - 2026'!$B$5:$B$56,'MILA 2F - Overview'!D33)</f>
        <v>45828</v>
      </c>
    </row>
    <row r="34" spans="4:18" s="108" customFormat="1" ht="22.15" customHeight="1">
      <c r="D34" s="193" t="s">
        <v>155</v>
      </c>
      <c r="E34" s="194"/>
      <c r="F34" s="239">
        <f>SUMIFS('Actual - 2026'!$K$5:$K$56,'Actual - 2026'!$A$5:$A$56,'MILA 3F - Overview'!D34)</f>
        <v>562647</v>
      </c>
      <c r="G34" s="233">
        <f>SUMIFS('Budget - 2026'!$R$5:$R$56,'Budget - 2026'!$B$5:$B$56,'MILA 3F - Overview'!D34)</f>
        <v>556231</v>
      </c>
      <c r="H34" s="247">
        <f t="shared" si="0"/>
        <v>1.1534776019315716E-2</v>
      </c>
      <c r="I34" s="194"/>
      <c r="J34" s="239">
        <f>SUMIFS('Budget - 2026'!$U$5:$U$56,'Budget - 2026'!$B$5:$B$56,'MILA 3F - Overview'!D34)</f>
        <v>585644</v>
      </c>
      <c r="K34" s="251">
        <f t="shared" si="1"/>
        <v>-3.9267882877652635E-2</v>
      </c>
      <c r="L34" s="194"/>
      <c r="M34" s="239">
        <f>SUMIFS('Actual - 2026'!$E$5:$E$56,'Actual - 2026'!$A$5:$A$56,'MILA 2F - Overview'!D34)</f>
        <v>526690.5</v>
      </c>
      <c r="N34" s="233">
        <f>SUMIFS('Budget - 2026'!$F$5:$F$56,'Budget - 2026'!$B$5:$B$56,'MILA 2F - Overview'!D34)</f>
        <v>502190</v>
      </c>
      <c r="O34" s="240">
        <f>SUMIFS('Budget - 2026'!$I$5:$I$56,'Budget - 2026'!$B$5:$B$56,'MILA 2F - Overview'!D34)</f>
        <v>503014</v>
      </c>
      <c r="P34" s="239">
        <f>SUMIFS('Actual - 2026'!$H$5:$H$56,'Actual - 2026'!$A$5:$A$56,'MILA 2F - Overview'!D34)</f>
        <v>35956.5</v>
      </c>
      <c r="Q34" s="233">
        <f>SUMIFS('Budget - 2026'!$L$5:$L$56,'Budget - 2026'!$B$5:$B$56,'MILA 2F - Overview'!D34)</f>
        <v>54041</v>
      </c>
      <c r="R34" s="240">
        <f>SUMIFS('Budget - 2026'!$O$5:$O$56,'Budget - 2026'!$B$5:$B$56,'MILA 2F - Overview'!D34)</f>
        <v>82630</v>
      </c>
    </row>
    <row r="35" spans="4:18" s="108" customFormat="1" ht="22.15" customHeight="1">
      <c r="D35" s="193" t="s">
        <v>156</v>
      </c>
      <c r="E35" s="194"/>
      <c r="F35" s="239">
        <f>SUMIFS('Actual - 2026'!$K$5:$K$56,'Actual - 2026'!$A$5:$A$56,'MILA 3F - Overview'!D35)</f>
        <v>644853.84</v>
      </c>
      <c r="G35" s="233">
        <f>SUMIFS('Budget - 2026'!$R$5:$R$56,'Budget - 2026'!$B$5:$B$56,'MILA 3F - Overview'!D35)</f>
        <v>741370</v>
      </c>
      <c r="H35" s="247">
        <f t="shared" si="0"/>
        <v>-0.13018622280372827</v>
      </c>
      <c r="I35" s="194"/>
      <c r="J35" s="239">
        <f>SUMIFS('Budget - 2026'!$U$5:$U$56,'Budget - 2026'!$B$5:$B$56,'MILA 3F - Overview'!D35)</f>
        <v>602106</v>
      </c>
      <c r="K35" s="251">
        <f t="shared" si="1"/>
        <v>7.0997199828601559E-2</v>
      </c>
      <c r="L35" s="194"/>
      <c r="M35" s="239">
        <f>SUMIFS('Actual - 2026'!$E$5:$E$56,'Actual - 2026'!$A$5:$A$56,'MILA 2F - Overview'!D35)</f>
        <v>589991.64</v>
      </c>
      <c r="N35" s="233">
        <f>SUMIFS('Budget - 2026'!$F$5:$F$56,'Budget - 2026'!$B$5:$B$56,'MILA 2F - Overview'!D35)</f>
        <v>703694</v>
      </c>
      <c r="O35" s="240">
        <f>SUMIFS('Budget - 2026'!$I$5:$I$56,'Budget - 2026'!$B$5:$B$56,'MILA 2F - Overview'!D35)</f>
        <v>561259</v>
      </c>
      <c r="P35" s="239">
        <f>SUMIFS('Actual - 2026'!$H$5:$H$56,'Actual - 2026'!$A$5:$A$56,'MILA 2F - Overview'!D35)</f>
        <v>54862.2</v>
      </c>
      <c r="Q35" s="233">
        <f>SUMIFS('Budget - 2026'!$L$5:$L$56,'Budget - 2026'!$B$5:$B$56,'MILA 2F - Overview'!D35)</f>
        <v>37676</v>
      </c>
      <c r="R35" s="240">
        <f>SUMIFS('Budget - 2026'!$O$5:$O$56,'Budget - 2026'!$B$5:$B$56,'MILA 2F - Overview'!D35)</f>
        <v>40847</v>
      </c>
    </row>
    <row r="36" spans="4:18" s="108" customFormat="1" ht="22.15" customHeight="1">
      <c r="D36" s="193" t="s">
        <v>157</v>
      </c>
      <c r="E36" s="194"/>
      <c r="F36" s="239">
        <f>SUMIFS('Actual - 2026'!$K$5:$K$56,'Actual - 2026'!$A$5:$A$56,'MILA 3F - Overview'!D36)</f>
        <v>657002.75</v>
      </c>
      <c r="G36" s="233">
        <f>SUMIFS('Budget - 2026'!$R$5:$R$56,'Budget - 2026'!$B$5:$B$56,'MILA 3F - Overview'!D36)</f>
        <v>625184</v>
      </c>
      <c r="H36" s="247">
        <f t="shared" si="0"/>
        <v>5.0895016507140296E-2</v>
      </c>
      <c r="I36" s="194"/>
      <c r="J36" s="239">
        <f>SUMIFS('Budget - 2026'!$U$5:$U$56,'Budget - 2026'!$B$5:$B$56,'MILA 3F - Overview'!D36)</f>
        <v>565488.82000000007</v>
      </c>
      <c r="K36" s="251">
        <f t="shared" si="1"/>
        <v>0.16183154602419889</v>
      </c>
      <c r="L36" s="194"/>
      <c r="M36" s="239">
        <f>SUMIFS('Actual - 2026'!$E$5:$E$56,'Actual - 2026'!$A$5:$A$56,'MILA 2F - Overview'!D36)</f>
        <v>611321.75</v>
      </c>
      <c r="N36" s="233">
        <f>SUMIFS('Budget - 2026'!$F$5:$F$56,'Budget - 2026'!$B$5:$B$56,'MILA 2F - Overview'!D36)</f>
        <v>596895</v>
      </c>
      <c r="O36" s="240">
        <f>SUMIFS('Budget - 2026'!$I$5:$I$56,'Budget - 2026'!$B$5:$B$56,'MILA 2F - Overview'!D36)</f>
        <v>537121.52</v>
      </c>
      <c r="P36" s="239">
        <f>SUMIFS('Actual - 2026'!$H$5:$H$56,'Actual - 2026'!$A$5:$A$56,'MILA 2F - Overview'!D36)</f>
        <v>45681</v>
      </c>
      <c r="Q36" s="233">
        <f>SUMIFS('Budget - 2026'!$L$5:$L$56,'Budget - 2026'!$B$5:$B$56,'MILA 2F - Overview'!D36)</f>
        <v>28289</v>
      </c>
      <c r="R36" s="240">
        <f>SUMIFS('Budget - 2026'!$O$5:$O$56,'Budget - 2026'!$B$5:$B$56,'MILA 2F - Overview'!D36)</f>
        <v>28367.3</v>
      </c>
    </row>
    <row r="37" spans="4:18" s="108" customFormat="1" ht="22.15" customHeight="1">
      <c r="D37" s="227" t="s">
        <v>257</v>
      </c>
      <c r="E37" s="194"/>
      <c r="F37" s="241">
        <f>SUM(F32:F36)</f>
        <v>3204691.16</v>
      </c>
      <c r="G37" s="228">
        <f>SUM(G32:G36)</f>
        <v>3036736</v>
      </c>
      <c r="H37" s="248">
        <f t="shared" ref="H37" si="9">(F37-G37)/G37</f>
        <v>5.5307790996649085E-2</v>
      </c>
      <c r="I37" s="194"/>
      <c r="J37" s="241">
        <f>SUM(J32:J36)</f>
        <v>2864790.8200000003</v>
      </c>
      <c r="K37" s="248">
        <f>(F37-J37)/J37</f>
        <v>0.11864752484790489</v>
      </c>
      <c r="L37" s="194"/>
      <c r="M37" s="241">
        <f t="shared" ref="M37:R37" si="10">SUM(M32:M36)</f>
        <v>2977304.33</v>
      </c>
      <c r="N37" s="228">
        <f t="shared" si="10"/>
        <v>2834908</v>
      </c>
      <c r="O37" s="242">
        <f t="shared" si="10"/>
        <v>2631599.52</v>
      </c>
      <c r="P37" s="241">
        <f t="shared" si="10"/>
        <v>227386.83000000002</v>
      </c>
      <c r="Q37" s="228">
        <f t="shared" si="10"/>
        <v>201828</v>
      </c>
      <c r="R37" s="242">
        <f t="shared" si="10"/>
        <v>233191.3</v>
      </c>
    </row>
    <row r="38" spans="4:18" s="108" customFormat="1" ht="22.15" customHeight="1">
      <c r="D38" s="193" t="s">
        <v>160</v>
      </c>
      <c r="E38" s="194"/>
      <c r="F38" s="239">
        <f>SUMIFS('Actual - 2026'!$K$5:$K$56,'Actual - 2026'!$A$5:$A$56,'MILA 3F - Overview'!D38)</f>
        <v>583369.5</v>
      </c>
      <c r="G38" s="233">
        <f>SUMIFS('Budget - 2026'!$R$5:$R$56,'Budget - 2026'!$B$5:$B$56,'MILA 3F - Overview'!D38)</f>
        <v>699345</v>
      </c>
      <c r="H38" s="247">
        <f t="shared" si="0"/>
        <v>-0.16583445938699784</v>
      </c>
      <c r="I38" s="194"/>
      <c r="J38" s="239">
        <f>SUMIFS('Budget - 2026'!$U$5:$U$56,'Budget - 2026'!$B$5:$B$56,'MILA 3F - Overview'!D38)</f>
        <v>483479.75</v>
      </c>
      <c r="K38" s="251">
        <f t="shared" si="1"/>
        <v>0.2066058609486747</v>
      </c>
      <c r="L38" s="194"/>
      <c r="M38" s="239">
        <f>SUMIFS('Actual - 2026'!$E$5:$E$56,'Actual - 2026'!$A$5:$A$56,'MILA 2F - Overview'!D38)</f>
        <v>542559</v>
      </c>
      <c r="N38" s="233">
        <f>SUMIFS('Budget - 2026'!$F$5:$F$56,'Budget - 2026'!$B$5:$B$56,'MILA 2F - Overview'!D38)</f>
        <v>655284</v>
      </c>
      <c r="O38" s="240">
        <f>SUMIFS('Budget - 2026'!$I$5:$I$56,'Budget - 2026'!$B$5:$B$56,'MILA 2F - Overview'!D38)</f>
        <v>450868.75</v>
      </c>
      <c r="P38" s="239">
        <f>SUMIFS('Actual - 2026'!$H$5:$H$56,'Actual - 2026'!$A$5:$A$56,'MILA 2F - Overview'!D38)</f>
        <v>40810.5</v>
      </c>
      <c r="Q38" s="233">
        <f>SUMIFS('Budget - 2026'!$L$5:$L$56,'Budget - 2026'!$B$5:$B$56,'MILA 2F - Overview'!D38)</f>
        <v>44061</v>
      </c>
      <c r="R38" s="240">
        <f>SUMIFS('Budget - 2026'!$O$5:$O$56,'Budget - 2026'!$B$5:$B$56,'MILA 2F - Overview'!D38)</f>
        <v>32611</v>
      </c>
    </row>
    <row r="39" spans="4:18" s="108" customFormat="1" ht="22.15" customHeight="1">
      <c r="D39" s="193" t="s">
        <v>161</v>
      </c>
      <c r="E39" s="194"/>
      <c r="F39" s="239">
        <f>SUMIFS('Actual - 2026'!$K$5:$K$56,'Actual - 2026'!$A$5:$A$56,'MILA 3F - Overview'!D39)</f>
        <v>648301.75</v>
      </c>
      <c r="G39" s="233">
        <f>SUMIFS('Budget - 2026'!$R$5:$R$56,'Budget - 2026'!$B$5:$B$56,'MILA 3F - Overview'!D39)</f>
        <v>707036</v>
      </c>
      <c r="H39" s="247">
        <f t="shared" si="0"/>
        <v>-8.30710883179923E-2</v>
      </c>
      <c r="I39" s="194"/>
      <c r="J39" s="239">
        <f>SUMIFS('Budget - 2026'!$U$5:$U$56,'Budget - 2026'!$B$5:$B$56,'MILA 3F - Overview'!D39)</f>
        <v>520043.62</v>
      </c>
      <c r="K39" s="251">
        <f t="shared" si="1"/>
        <v>0.24662956157408489</v>
      </c>
      <c r="L39" s="194"/>
      <c r="M39" s="239">
        <f>SUMIFS('Actual - 2026'!$E$5:$E$56,'Actual - 2026'!$A$5:$A$56,'MILA 2F - Overview'!D39)</f>
        <v>610790.25</v>
      </c>
      <c r="N39" s="233">
        <f>SUMIFS('Budget - 2026'!$F$5:$F$56,'Budget - 2026'!$B$5:$B$56,'MILA 2F - Overview'!D39)</f>
        <v>662975</v>
      </c>
      <c r="O39" s="240">
        <f>SUMIFS('Budget - 2026'!$I$5:$I$56,'Budget - 2026'!$B$5:$B$56,'MILA 2F - Overview'!D39)</f>
        <v>489209.62</v>
      </c>
      <c r="P39" s="239">
        <f>SUMIFS('Actual - 2026'!$H$5:$H$56,'Actual - 2026'!$A$5:$A$56,'MILA 2F - Overview'!D39)</f>
        <v>37511.5</v>
      </c>
      <c r="Q39" s="233">
        <f>SUMIFS('Budget - 2026'!$L$5:$L$56,'Budget - 2026'!$B$5:$B$56,'MILA 2F - Overview'!D39)</f>
        <v>44061</v>
      </c>
      <c r="R39" s="240">
        <f>SUMIFS('Budget - 2026'!$O$5:$O$56,'Budget - 2026'!$B$5:$B$56,'MILA 2F - Overview'!D39)</f>
        <v>30834</v>
      </c>
    </row>
    <row r="40" spans="4:18" s="108" customFormat="1" ht="22.15" customHeight="1">
      <c r="D40" s="193" t="s">
        <v>162</v>
      </c>
      <c r="E40" s="194"/>
      <c r="F40" s="239">
        <f>SUMIFS('Actual - 2026'!$K$5:$K$56,'Actual - 2026'!$A$5:$A$56,'MILA 3F - Overview'!D40)</f>
        <v>541152.36</v>
      </c>
      <c r="G40" s="233">
        <f>SUMIFS('Budget - 2026'!$R$5:$R$56,'Budget - 2026'!$B$5:$B$56,'MILA 3F - Overview'!D40)</f>
        <v>575651</v>
      </c>
      <c r="H40" s="247">
        <f t="shared" si="0"/>
        <v>-5.9929783844725387E-2</v>
      </c>
      <c r="I40" s="194"/>
      <c r="J40" s="239">
        <f>SUMIFS('Budget - 2026'!$U$5:$U$56,'Budget - 2026'!$B$5:$B$56,'MILA 3F - Overview'!D40)</f>
        <v>485188.75</v>
      </c>
      <c r="K40" s="251">
        <f t="shared" si="1"/>
        <v>0.11534399756795677</v>
      </c>
      <c r="L40" s="194"/>
      <c r="M40" s="239">
        <f>SUMIFS('Actual - 2026'!$E$5:$E$56,'Actual - 2026'!$A$5:$A$56,'MILA 2F - Overview'!D40)</f>
        <v>517648.36</v>
      </c>
      <c r="N40" s="233">
        <f>SUMIFS('Budget - 2026'!$F$5:$F$56,'Budget - 2026'!$B$5:$B$56,'MILA 2F - Overview'!D40)</f>
        <v>541158</v>
      </c>
      <c r="O40" s="240">
        <f>SUMIFS('Budget - 2026'!$I$5:$I$56,'Budget - 2026'!$B$5:$B$56,'MILA 2F - Overview'!D40)</f>
        <v>452653.6</v>
      </c>
      <c r="P40" s="239">
        <f>SUMIFS('Actual - 2026'!$H$5:$H$56,'Actual - 2026'!$A$5:$A$56,'MILA 2F - Overview'!D40)</f>
        <v>23504</v>
      </c>
      <c r="Q40" s="233">
        <f>SUMIFS('Budget - 2026'!$L$5:$L$56,'Budget - 2026'!$B$5:$B$56,'MILA 2F - Overview'!D40)</f>
        <v>34493</v>
      </c>
      <c r="R40" s="240">
        <f>SUMIFS('Budget - 2026'!$O$5:$O$56,'Budget - 2026'!$B$5:$B$56,'MILA 2F - Overview'!D40)</f>
        <v>32535.15</v>
      </c>
    </row>
    <row r="41" spans="4:18" s="108" customFormat="1" ht="22.15" customHeight="1">
      <c r="D41" s="193" t="s">
        <v>163</v>
      </c>
      <c r="E41" s="194"/>
      <c r="F41" s="239">
        <f>SUMIFS('Actual - 2026'!$K$5:$K$56,'Actual - 2026'!$A$5:$A$56,'MILA 3F - Overview'!D41)</f>
        <v>533375</v>
      </c>
      <c r="G41" s="233">
        <f>SUMIFS('Budget - 2026'!$R$5:$R$56,'Budget - 2026'!$B$5:$B$56,'MILA 3F - Overview'!D41)</f>
        <v>509173</v>
      </c>
      <c r="H41" s="247">
        <f t="shared" si="0"/>
        <v>4.7531978325637846E-2</v>
      </c>
      <c r="I41" s="194"/>
      <c r="J41" s="239">
        <f>SUMIFS('Budget - 2026'!$U$5:$U$56,'Budget - 2026'!$B$5:$B$56,'MILA 3F - Overview'!D41)</f>
        <v>496980.75999999995</v>
      </c>
      <c r="K41" s="251">
        <f t="shared" si="1"/>
        <v>7.323068200869598E-2</v>
      </c>
      <c r="L41" s="194"/>
      <c r="M41" s="239">
        <f>SUMIFS('Actual - 2026'!$E$5:$E$56,'Actual - 2026'!$A$5:$A$56,'MILA 2F - Overview'!D41)</f>
        <v>496952.55000000005</v>
      </c>
      <c r="N41" s="233">
        <f>SUMIFS('Budget - 2026'!$F$5:$F$56,'Budget - 2026'!$B$5:$B$56,'MILA 2F - Overview'!D41)</f>
        <v>465868</v>
      </c>
      <c r="O41" s="240">
        <f>SUMIFS('Budget - 2026'!$I$5:$I$56,'Budget - 2026'!$B$5:$B$56,'MILA 2F - Overview'!D41)</f>
        <v>456044.75999999995</v>
      </c>
      <c r="P41" s="239">
        <f>SUMIFS('Actual - 2026'!$H$5:$H$56,'Actual - 2026'!$A$5:$A$56,'MILA 2F - Overview'!D41)</f>
        <v>36422.449999999997</v>
      </c>
      <c r="Q41" s="233">
        <f>SUMIFS('Budget - 2026'!$L$5:$L$56,'Budget - 2026'!$B$5:$B$56,'MILA 2F - Overview'!D41)</f>
        <v>43305</v>
      </c>
      <c r="R41" s="240">
        <f>SUMIFS('Budget - 2026'!$O$5:$O$56,'Budget - 2026'!$B$5:$B$56,'MILA 2F - Overview'!D41)</f>
        <v>40936</v>
      </c>
    </row>
    <row r="42" spans="4:18" s="108" customFormat="1" ht="22.15" customHeight="1">
      <c r="D42" s="227" t="s">
        <v>258</v>
      </c>
      <c r="E42" s="194"/>
      <c r="F42" s="241">
        <f>SUM(F38:F41)</f>
        <v>2306198.61</v>
      </c>
      <c r="G42" s="228">
        <f>SUM(G38:G41)</f>
        <v>2491205</v>
      </c>
      <c r="H42" s="248">
        <f t="shared" si="0"/>
        <v>-7.426381610505764E-2</v>
      </c>
      <c r="I42" s="194"/>
      <c r="J42" s="241">
        <f>SUM(J38:J41)</f>
        <v>1985692.8800000001</v>
      </c>
      <c r="K42" s="248">
        <f>(F42-J42)/J42</f>
        <v>0.1614075032590134</v>
      </c>
      <c r="L42" s="194"/>
      <c r="M42" s="241">
        <f t="shared" ref="M42:R42" si="11">SUM(M38:M41)</f>
        <v>2167950.16</v>
      </c>
      <c r="N42" s="228">
        <f t="shared" si="11"/>
        <v>2325285</v>
      </c>
      <c r="O42" s="242">
        <f t="shared" si="11"/>
        <v>1848776.73</v>
      </c>
      <c r="P42" s="241">
        <f t="shared" si="11"/>
        <v>138248.45000000001</v>
      </c>
      <c r="Q42" s="228">
        <f t="shared" si="11"/>
        <v>165920</v>
      </c>
      <c r="R42" s="242">
        <f t="shared" si="11"/>
        <v>136916.15</v>
      </c>
    </row>
    <row r="43" spans="4:18" s="108" customFormat="1" ht="22.15" customHeight="1">
      <c r="D43" s="193" t="s">
        <v>166</v>
      </c>
      <c r="E43" s="194"/>
      <c r="F43" s="239">
        <f>SUMIFS('Actual - 2026'!$K$5:$K$56,'Actual - 2026'!$A$5:$A$56,'MILA 3F - Overview'!D43)</f>
        <v>499724.9</v>
      </c>
      <c r="G43" s="205">
        <f>SUMIFS('Budget - 2026'!$R$5:$R$56,'Budget - 2026'!$B$5:$B$56,'MILA 3F - Overview'!D43)</f>
        <v>474576</v>
      </c>
      <c r="H43" s="247">
        <f t="shared" si="0"/>
        <v>5.2992355281345924E-2</v>
      </c>
      <c r="I43" s="194"/>
      <c r="J43" s="239">
        <f>SUMIFS('Budget - 2026'!$U$5:$U$56,'Budget - 2026'!$B$5:$B$56,'MILA 3F - Overview'!D43)</f>
        <v>508023.64999999997</v>
      </c>
      <c r="K43" s="305">
        <f t="shared" si="1"/>
        <v>-1.6335361552557527E-2</v>
      </c>
      <c r="L43" s="194"/>
      <c r="M43" s="239">
        <f>SUMIFS('Actual - 2026'!$E$5:$E$56,'Actual - 2026'!$A$5:$A$56,'MILA 2F - Overview'!D43)</f>
        <v>465200.9</v>
      </c>
      <c r="N43" s="233">
        <f>SUMIFS('Budget - 2026'!$F$5:$F$56,'Budget - 2026'!$B$5:$B$56,'MILA 2F - Overview'!D43)</f>
        <v>441015</v>
      </c>
      <c r="O43" s="306">
        <f>SUMIFS('Budget - 2026'!$I$5:$I$56,'Budget - 2026'!$B$5:$B$56,'MILA 2F - Overview'!D43)</f>
        <v>472918.64999999997</v>
      </c>
      <c r="P43" s="239">
        <f>SUMIFS('Actual - 2026'!$H$5:$H$56,'Actual - 2026'!$A$5:$A$56,'MILA 2F - Overview'!D43)</f>
        <v>34524</v>
      </c>
      <c r="Q43" s="233">
        <f>SUMIFS('Budget - 2026'!$L$5:$L$56,'Budget - 2026'!$B$5:$B$56,'MILA 2F - Overview'!D43)</f>
        <v>33561</v>
      </c>
      <c r="R43" s="240">
        <f>SUMIFS('Budget - 2026'!$O$5:$O$56,'Budget - 2026'!$B$5:$B$56,'MILA 2F - Overview'!D43)</f>
        <v>35105</v>
      </c>
    </row>
    <row r="44" spans="4:18" s="108" customFormat="1" ht="22.15" customHeight="1">
      <c r="D44" s="193" t="s">
        <v>167</v>
      </c>
      <c r="E44" s="194"/>
      <c r="F44" s="239">
        <f>SUMIFS('Actual - 2026'!$K$5:$K$56,'Actual - 2026'!$A$5:$A$56,'MILA 3F - Overview'!D44)</f>
        <v>526652</v>
      </c>
      <c r="G44" s="205">
        <f>SUMIFS('Budget - 2026'!$R$5:$R$56,'Budget - 2026'!$B$5:$B$56,'MILA 3F - Overview'!D44)</f>
        <v>466934</v>
      </c>
      <c r="H44" s="247">
        <f t="shared" si="0"/>
        <v>0.12789387793563972</v>
      </c>
      <c r="I44" s="194"/>
      <c r="J44" s="239">
        <f>SUMIFS('Budget - 2026'!$U$5:$U$56,'Budget - 2026'!$B$5:$B$56,'MILA 3F - Overview'!D44)</f>
        <v>465517.06</v>
      </c>
      <c r="K44" s="305">
        <f t="shared" si="1"/>
        <v>0.13132695931702268</v>
      </c>
      <c r="L44" s="194"/>
      <c r="M44" s="239">
        <f>SUMIFS('Actual - 2026'!$E$5:$E$56,'Actual - 2026'!$A$5:$A$56,'MILA 2F - Overview'!D44)</f>
        <v>486246.9</v>
      </c>
      <c r="N44" s="233">
        <f>SUMIFS('Budget - 2026'!$F$5:$F$56,'Budget - 2026'!$B$5:$B$56,'MILA 2F - Overview'!D44)</f>
        <v>439673</v>
      </c>
      <c r="O44" s="306">
        <f>SUMIFS('Budget - 2026'!$I$5:$I$56,'Budget - 2026'!$B$5:$B$56,'MILA 2F - Overview'!D44)</f>
        <v>437834.56</v>
      </c>
      <c r="P44" s="239">
        <f>SUMIFS('Actual - 2026'!$H$5:$H$56,'Actual - 2026'!$A$5:$A$56,'MILA 2F - Overview'!D44)</f>
        <v>40405.1</v>
      </c>
      <c r="Q44" s="233">
        <f>SUMIFS('Budget - 2026'!$L$5:$L$56,'Budget - 2026'!$B$5:$B$56,'MILA 2F - Overview'!D44)</f>
        <v>27261</v>
      </c>
      <c r="R44" s="240">
        <f>SUMIFS('Budget - 2026'!$O$5:$O$56,'Budget - 2026'!$B$5:$B$56,'MILA 2F - Overview'!D44)</f>
        <v>27682.5</v>
      </c>
    </row>
    <row r="45" spans="4:18" s="108" customFormat="1" ht="22.15" customHeight="1">
      <c r="D45" s="193" t="s">
        <v>168</v>
      </c>
      <c r="E45" s="194"/>
      <c r="F45" s="239">
        <f>SUMIFS('Actual - 2026'!$K$5:$K$56,'Actual - 2026'!$A$5:$A$56,'MILA 3F - Overview'!D45)</f>
        <v>525399.80000000005</v>
      </c>
      <c r="G45" s="233">
        <f>SUMIFS('Budget - 2026'!$R$5:$R$56,'Budget - 2026'!$B$5:$B$56,'MILA 3F - Overview'!D45)</f>
        <v>520635</v>
      </c>
      <c r="H45" s="247">
        <f t="shared" si="0"/>
        <v>9.1519010439176131E-3</v>
      </c>
      <c r="I45" s="194"/>
      <c r="J45" s="239">
        <f>SUMIFS('Budget - 2026'!$U$5:$U$56,'Budget - 2026'!$B$5:$B$56,'MILA 3F - Overview'!D45)</f>
        <v>505898.11000000004</v>
      </c>
      <c r="K45" s="251">
        <f t="shared" si="1"/>
        <v>3.8548651624731312E-2</v>
      </c>
      <c r="L45" s="194"/>
      <c r="M45" s="239">
        <f>SUMIFS('Actual - 2026'!$E$5:$E$56,'Actual - 2026'!$A$5:$A$56,'MILA 2F - Overview'!D45)</f>
        <v>491062.8</v>
      </c>
      <c r="N45" s="233">
        <f>SUMIFS('Budget - 2026'!$F$5:$F$56,'Budget - 2026'!$B$5:$B$56,'MILA 2F - Overview'!D45)</f>
        <v>487922</v>
      </c>
      <c r="O45" s="240">
        <f>SUMIFS('Budget - 2026'!$I$5:$I$56,'Budget - 2026'!$B$5:$B$56,'MILA 2F - Overview'!D45)</f>
        <v>473719.11000000004</v>
      </c>
      <c r="P45" s="239">
        <f>SUMIFS('Actual - 2026'!$H$5:$H$56,'Actual - 2026'!$A$5:$A$56,'MILA 2F - Overview'!D45)</f>
        <v>34337</v>
      </c>
      <c r="Q45" s="233">
        <f>SUMIFS('Budget - 2026'!$L$5:$L$56,'Budget - 2026'!$B$5:$B$56,'MILA 2F - Overview'!D45)</f>
        <v>32713</v>
      </c>
      <c r="R45" s="240">
        <f>SUMIFS('Budget - 2026'!$O$5:$O$56,'Budget - 2026'!$B$5:$B$56,'MILA 2F - Overview'!D45)</f>
        <v>32179</v>
      </c>
    </row>
    <row r="46" spans="4:18" s="108" customFormat="1" ht="22.15" customHeight="1">
      <c r="D46" s="193" t="s">
        <v>101</v>
      </c>
      <c r="E46" s="194"/>
      <c r="F46" s="239">
        <f>SUMIFS('Actual - 2026'!$K$5:$K$56,'Actual - 2026'!$A$5:$A$56,'MILA 3F - Overview'!D46)</f>
        <v>537706</v>
      </c>
      <c r="G46" s="233">
        <f>SUMIFS('Budget - 2026'!$R$5:$R$56,'Budget - 2026'!$B$5:$B$56,'MILA 3F - Overview'!D46)</f>
        <v>471976</v>
      </c>
      <c r="H46" s="247">
        <f t="shared" si="0"/>
        <v>0.13926555587572251</v>
      </c>
      <c r="I46" s="194"/>
      <c r="J46" s="239">
        <f>SUMIFS('Budget - 2026'!$U$5:$U$56,'Budget - 2026'!$B$5:$B$56,'MILA 3F - Overview'!D46)</f>
        <v>458681.79</v>
      </c>
      <c r="K46" s="251">
        <f t="shared" si="1"/>
        <v>0.17228547486046922</v>
      </c>
      <c r="L46" s="194"/>
      <c r="M46" s="239">
        <f>SUMIFS('Actual - 2026'!$E$5:$E$56,'Actual - 2026'!$A$5:$A$56,'MILA 2F - Overview'!D46)</f>
        <v>507489.99999999994</v>
      </c>
      <c r="N46" s="233">
        <f>SUMIFS('Budget - 2026'!$F$5:$F$56,'Budget - 2026'!$B$5:$B$56,'MILA 2F - Overview'!D46)</f>
        <v>445927</v>
      </c>
      <c r="O46" s="240">
        <f>SUMIFS('Budget - 2026'!$I$5:$I$56,'Budget - 2026'!$B$5:$B$56,'MILA 2F - Overview'!D46)</f>
        <v>434064.04</v>
      </c>
      <c r="P46" s="239">
        <f>SUMIFS('Actual - 2026'!$H$5:$H$56,'Actual - 2026'!$A$5:$A$56,'MILA 2F - Overview'!D46)</f>
        <v>30216</v>
      </c>
      <c r="Q46" s="233">
        <f>SUMIFS('Budget - 2026'!$L$5:$L$56,'Budget - 2026'!$B$5:$B$56,'MILA 2F - Overview'!D46)</f>
        <v>26049</v>
      </c>
      <c r="R46" s="240">
        <f>SUMIFS('Budget - 2026'!$O$5:$O$56,'Budget - 2026'!$B$5:$B$56,'MILA 2F - Overview'!D46)</f>
        <v>24617.75</v>
      </c>
    </row>
    <row r="47" spans="4:18" s="108" customFormat="1" ht="22.15" customHeight="1">
      <c r="D47" s="227" t="s">
        <v>259</v>
      </c>
      <c r="E47" s="194"/>
      <c r="F47" s="241">
        <f>SUM(F43:F46)</f>
        <v>2089482.7000000002</v>
      </c>
      <c r="G47" s="228">
        <f>SUM(G43:G46)</f>
        <v>1934121</v>
      </c>
      <c r="H47" s="248">
        <f t="shared" ref="H47" si="12">(F47-G47)/G47</f>
        <v>8.0326773764412968E-2</v>
      </c>
      <c r="I47" s="194"/>
      <c r="J47" s="241">
        <f>SUM(J43:J46)</f>
        <v>1938120.61</v>
      </c>
      <c r="K47" s="248">
        <f>(F47-J47)/J47</f>
        <v>7.8097353291134999E-2</v>
      </c>
      <c r="L47" s="194"/>
      <c r="M47" s="241">
        <f t="shared" ref="M47:R47" si="13">SUM(M43:M46)</f>
        <v>1950000.6</v>
      </c>
      <c r="N47" s="228">
        <f t="shared" si="13"/>
        <v>1814537</v>
      </c>
      <c r="O47" s="242">
        <f t="shared" si="13"/>
        <v>1818536.36</v>
      </c>
      <c r="P47" s="241">
        <f t="shared" si="13"/>
        <v>139482.1</v>
      </c>
      <c r="Q47" s="228">
        <f t="shared" si="13"/>
        <v>119584</v>
      </c>
      <c r="R47" s="242">
        <f t="shared" si="13"/>
        <v>119584.25</v>
      </c>
    </row>
    <row r="48" spans="4:18" s="108" customFormat="1" ht="22.15" customHeight="1">
      <c r="D48" s="193" t="s">
        <v>171</v>
      </c>
      <c r="E48" s="194"/>
      <c r="F48" s="239">
        <f>SUMIFS('Actual - 2026'!$K$5:$K$56,'Actual - 2026'!$A$5:$A$56,'MILA 3F - Overview'!D48)</f>
        <v>0</v>
      </c>
      <c r="G48" s="233">
        <f>SUMIFS('Budget - 2026'!$R$5:$R$56,'Budget - 2026'!$B$5:$B$56,'MILA 3F - Overview'!D48)</f>
        <v>552157</v>
      </c>
      <c r="H48" s="247">
        <f t="shared" si="0"/>
        <v>-1</v>
      </c>
      <c r="I48" s="194"/>
      <c r="J48" s="239">
        <f>SUMIFS('Budget - 2026'!$U$5:$U$56,'Budget - 2026'!$B$5:$B$56,'MILA 3F - Overview'!D48)</f>
        <v>531087.78</v>
      </c>
      <c r="K48" s="251">
        <f t="shared" si="1"/>
        <v>-1</v>
      </c>
      <c r="L48" s="194"/>
      <c r="M48" s="239">
        <f>SUMIFS('Actual - 2026'!$E$5:$E$56,'Actual - 2026'!$A$5:$A$56,'MILA 2F - Overview'!D48)</f>
        <v>0</v>
      </c>
      <c r="N48" s="233">
        <f>SUMIFS('Budget - 2026'!$F$5:$F$56,'Budget - 2026'!$B$5:$B$56,'MILA 2F - Overview'!D48)</f>
        <v>513139</v>
      </c>
      <c r="O48" s="240">
        <f>SUMIFS('Budget - 2026'!$I$5:$I$56,'Budget - 2026'!$B$5:$B$56,'MILA 2F - Overview'!D48)</f>
        <v>490876.68</v>
      </c>
      <c r="P48" s="239">
        <f>SUMIFS('Actual - 2026'!$H$5:$H$56,'Actual - 2026'!$A$5:$A$56,'MILA 2F - Overview'!D48)</f>
        <v>0</v>
      </c>
      <c r="Q48" s="233">
        <f>SUMIFS('Budget - 2026'!$L$5:$L$56,'Budget - 2026'!$B$5:$B$56,'MILA 2F - Overview'!D48)</f>
        <v>39018</v>
      </c>
      <c r="R48" s="240">
        <f>SUMIFS('Budget - 2026'!$O$5:$O$56,'Budget - 2026'!$B$5:$B$56,'MILA 2F - Overview'!D48)</f>
        <v>40211.1</v>
      </c>
    </row>
    <row r="49" spans="4:18" s="108" customFormat="1" ht="22.15" customHeight="1">
      <c r="D49" s="193" t="s">
        <v>172</v>
      </c>
      <c r="E49" s="194"/>
      <c r="F49" s="239">
        <f>SUMIFS('Actual - 2026'!$K$5:$K$56,'Actual - 2026'!$A$5:$A$56,'MILA 3F - Overview'!D49)</f>
        <v>0</v>
      </c>
      <c r="G49" s="233">
        <f>SUMIFS('Budget - 2026'!$R$5:$R$56,'Budget - 2026'!$B$5:$B$56,'MILA 3F - Overview'!D49)</f>
        <v>435252</v>
      </c>
      <c r="H49" s="247">
        <f t="shared" si="0"/>
        <v>-1</v>
      </c>
      <c r="I49" s="194"/>
      <c r="J49" s="239">
        <f>SUMIFS('Budget - 2026'!$U$5:$U$56,'Budget - 2026'!$B$5:$B$56,'MILA 3F - Overview'!D49)</f>
        <v>405782.51</v>
      </c>
      <c r="K49" s="251">
        <f t="shared" si="1"/>
        <v>-1</v>
      </c>
      <c r="L49" s="194"/>
      <c r="M49" s="239">
        <f>SUMIFS('Actual - 2026'!$E$5:$E$56,'Actual - 2026'!$A$5:$A$56,'MILA 2F - Overview'!D49)</f>
        <v>0</v>
      </c>
      <c r="N49" s="233">
        <f>SUMIFS('Budget - 2026'!$F$5:$F$56,'Budget - 2026'!$B$5:$B$56,'MILA 2F - Overview'!D49)</f>
        <v>410628</v>
      </c>
      <c r="O49" s="240">
        <f>SUMIFS('Budget - 2026'!$I$5:$I$56,'Budget - 2026'!$B$5:$B$56,'MILA 2F - Overview'!D49)</f>
        <v>382745.51</v>
      </c>
      <c r="P49" s="239">
        <f>SUMIFS('Actual - 2026'!$H$5:$H$56,'Actual - 2026'!$A$5:$A$56,'MILA 2F - Overview'!D49)</f>
        <v>0</v>
      </c>
      <c r="Q49" s="233">
        <f>SUMIFS('Budget - 2026'!$L$5:$L$56,'Budget - 2026'!$B$5:$B$56,'MILA 2F - Overview'!D49)</f>
        <v>24624</v>
      </c>
      <c r="R49" s="240">
        <f>SUMIFS('Budget - 2026'!$O$5:$O$56,'Budget - 2026'!$B$5:$B$56,'MILA 2F - Overview'!D49)</f>
        <v>23037</v>
      </c>
    </row>
    <row r="50" spans="4:18" s="108" customFormat="1" ht="22.15" customHeight="1">
      <c r="D50" s="193" t="s">
        <v>173</v>
      </c>
      <c r="E50" s="194"/>
      <c r="F50" s="239">
        <f>SUMIFS('Actual - 2026'!$K$5:$K$56,'Actual - 2026'!$A$5:$A$56,'MILA 3F - Overview'!D50)</f>
        <v>0</v>
      </c>
      <c r="G50" s="233">
        <f>SUMIFS('Budget - 2026'!$R$5:$R$56,'Budget - 2026'!$B$5:$B$56,'MILA 3F - Overview'!D50)</f>
        <v>495911</v>
      </c>
      <c r="H50" s="247">
        <f t="shared" si="0"/>
        <v>-1</v>
      </c>
      <c r="I50" s="194"/>
      <c r="J50" s="239">
        <f>SUMIFS('Budget - 2026'!$U$5:$U$56,'Budget - 2026'!$B$5:$B$56,'MILA 3F - Overview'!D50)</f>
        <v>510929.30000000005</v>
      </c>
      <c r="K50" s="251">
        <f t="shared" si="1"/>
        <v>-1</v>
      </c>
      <c r="L50" s="194"/>
      <c r="M50" s="239">
        <f>SUMIFS('Actual - 2026'!$E$5:$E$56,'Actual - 2026'!$A$5:$A$56,'MILA 2F - Overview'!D50)</f>
        <v>0</v>
      </c>
      <c r="N50" s="233">
        <f>SUMIFS('Budget - 2026'!$F$5:$F$56,'Budget - 2026'!$B$5:$B$56,'MILA 2F - Overview'!D50)</f>
        <v>458915</v>
      </c>
      <c r="O50" s="240">
        <f>SUMIFS('Budget - 2026'!$I$5:$I$56,'Budget - 2026'!$B$5:$B$56,'MILA 2F - Overview'!D50)</f>
        <v>473332.70000000007</v>
      </c>
      <c r="P50" s="239">
        <f>SUMIFS('Actual - 2026'!$H$5:$H$56,'Actual - 2026'!$A$5:$A$56,'MILA 2F - Overview'!D50)</f>
        <v>0</v>
      </c>
      <c r="Q50" s="233">
        <f>SUMIFS('Budget - 2026'!$L$5:$L$56,'Budget - 2026'!$B$5:$B$56,'MILA 2F - Overview'!D50)</f>
        <v>36996</v>
      </c>
      <c r="R50" s="240">
        <f>SUMIFS('Budget - 2026'!$O$5:$O$56,'Budget - 2026'!$B$5:$B$56,'MILA 2F - Overview'!D50)</f>
        <v>37596.6</v>
      </c>
    </row>
    <row r="51" spans="4:18" s="108" customFormat="1" ht="22.15" customHeight="1">
      <c r="D51" s="193" t="s">
        <v>174</v>
      </c>
      <c r="E51" s="194"/>
      <c r="F51" s="239">
        <f>SUMIFS('Actual - 2026'!$K$5:$K$56,'Actual - 2026'!$A$5:$A$56,'MILA 3F - Overview'!D51)</f>
        <v>0</v>
      </c>
      <c r="G51" s="233">
        <f>SUMIFS('Budget - 2026'!$R$5:$R$56,'Budget - 2026'!$B$5:$B$56,'MILA 3F - Overview'!D51)</f>
        <v>500317</v>
      </c>
      <c r="H51" s="247">
        <f t="shared" si="0"/>
        <v>-1</v>
      </c>
      <c r="I51" s="194"/>
      <c r="J51" s="239">
        <f>SUMIFS('Budget - 2026'!$U$5:$U$56,'Budget - 2026'!$B$5:$B$56,'MILA 3F - Overview'!D51)</f>
        <v>530741.75</v>
      </c>
      <c r="K51" s="251">
        <f t="shared" si="1"/>
        <v>-1</v>
      </c>
      <c r="L51" s="194"/>
      <c r="M51" s="239">
        <f>SUMIFS('Actual - 2026'!$E$5:$E$56,'Actual - 2026'!$A$5:$A$56,'MILA 2F - Overview'!D51)</f>
        <v>0</v>
      </c>
      <c r="N51" s="233">
        <f>SUMIFS('Budget - 2026'!$F$5:$F$56,'Budget - 2026'!$B$5:$B$56,'MILA 2F - Overview'!D51)</f>
        <v>469269</v>
      </c>
      <c r="O51" s="240">
        <f>SUMIFS('Budget - 2026'!$I$5:$I$56,'Budget - 2026'!$B$5:$B$56,'MILA 2F - Overview'!D51)</f>
        <v>500351.8</v>
      </c>
      <c r="P51" s="239">
        <f>SUMIFS('Actual - 2026'!$H$5:$H$56,'Actual - 2026'!$A$5:$A$56,'MILA 2F - Overview'!D51)</f>
        <v>0</v>
      </c>
      <c r="Q51" s="233">
        <f>SUMIFS('Budget - 2026'!$L$5:$L$56,'Budget - 2026'!$B$5:$B$56,'MILA 2F - Overview'!D51)</f>
        <v>31048</v>
      </c>
      <c r="R51" s="240">
        <f>SUMIFS('Budget - 2026'!$O$5:$O$56,'Budget - 2026'!$B$5:$B$56,'MILA 2F - Overview'!D51)</f>
        <v>30389.95</v>
      </c>
    </row>
    <row r="52" spans="4:18" s="108" customFormat="1" ht="22.15" customHeight="1">
      <c r="D52" s="193" t="s">
        <v>175</v>
      </c>
      <c r="E52" s="194"/>
      <c r="F52" s="239">
        <f>SUMIFS('Actual - 2026'!$K$5:$K$56,'Actual - 2026'!$A$5:$A$56,'MILA 3F - Overview'!D52)</f>
        <v>0</v>
      </c>
      <c r="G52" s="233">
        <f>SUMIFS('Budget - 2026'!$R$5:$R$56,'Budget - 2026'!$B$5:$B$56,'MILA 3F - Overview'!D52)</f>
        <v>514288</v>
      </c>
      <c r="H52" s="247">
        <f t="shared" si="0"/>
        <v>-1</v>
      </c>
      <c r="I52" s="194"/>
      <c r="J52" s="239">
        <f>SUMIFS('Budget - 2026'!$U$5:$U$56,'Budget - 2026'!$B$5:$B$56,'MILA 3F - Overview'!D52)</f>
        <v>526014.55000000005</v>
      </c>
      <c r="K52" s="251">
        <f t="shared" si="1"/>
        <v>-1</v>
      </c>
      <c r="L52" s="194"/>
      <c r="M52" s="239">
        <f>SUMIFS('Actual - 2026'!$E$5:$E$56,'Actual - 2026'!$A$5:$A$56,'MILA 2F - Overview'!D52)</f>
        <v>0</v>
      </c>
      <c r="N52" s="233">
        <f>SUMIFS('Budget - 2026'!$F$5:$F$56,'Budget - 2026'!$B$5:$B$56,'MILA 2F - Overview'!D52)</f>
        <v>480980</v>
      </c>
      <c r="O52" s="240">
        <f>SUMIFS('Budget - 2026'!$I$5:$I$56,'Budget - 2026'!$B$5:$B$56,'MILA 2F - Overview'!D52)</f>
        <v>492188.30000000005</v>
      </c>
      <c r="P52" s="239">
        <f>SUMIFS('Actual - 2026'!$H$5:$H$56,'Actual - 2026'!$A$5:$A$56,'MILA 2F - Overview'!D52)</f>
        <v>0</v>
      </c>
      <c r="Q52" s="233">
        <f>SUMIFS('Budget - 2026'!$L$5:$L$56,'Budget - 2026'!$B$5:$B$56,'MILA 2F - Overview'!D52)</f>
        <v>33308</v>
      </c>
      <c r="R52" s="240">
        <f>SUMIFS('Budget - 2026'!$O$5:$O$56,'Budget - 2026'!$B$5:$B$56,'MILA 2F - Overview'!D52)</f>
        <v>33826.25</v>
      </c>
    </row>
    <row r="53" spans="4:18" s="108" customFormat="1" ht="22.15" customHeight="1">
      <c r="D53" s="227" t="s">
        <v>260</v>
      </c>
      <c r="E53" s="194"/>
      <c r="F53" s="241">
        <f>SUM(F48:F52)</f>
        <v>0</v>
      </c>
      <c r="G53" s="228">
        <f>SUM(G48:G52)</f>
        <v>2497925</v>
      </c>
      <c r="H53" s="248">
        <f t="shared" si="0"/>
        <v>-1</v>
      </c>
      <c r="I53" s="194"/>
      <c r="J53" s="241">
        <f>SUM(J48:J52)</f>
        <v>2504555.89</v>
      </c>
      <c r="K53" s="248">
        <f>(F53-J53)/J53</f>
        <v>-1</v>
      </c>
      <c r="L53" s="194"/>
      <c r="M53" s="241">
        <f t="shared" ref="M53:R53" si="14">SUM(M48:M52)</f>
        <v>0</v>
      </c>
      <c r="N53" s="228">
        <f t="shared" si="14"/>
        <v>2332931</v>
      </c>
      <c r="O53" s="242">
        <f t="shared" si="14"/>
        <v>2339494.9900000002</v>
      </c>
      <c r="P53" s="241">
        <f t="shared" si="14"/>
        <v>0</v>
      </c>
      <c r="Q53" s="228">
        <f t="shared" si="14"/>
        <v>164994</v>
      </c>
      <c r="R53" s="242">
        <f t="shared" si="14"/>
        <v>165060.9</v>
      </c>
    </row>
    <row r="54" spans="4:18" s="108" customFormat="1" ht="22.15" customHeight="1">
      <c r="D54" s="193" t="s">
        <v>177</v>
      </c>
      <c r="E54" s="194"/>
      <c r="F54" s="239">
        <f>SUMIFS('Actual - 2026'!$K$5:$K$56,'Actual - 2026'!$A$5:$A$56,'MILA 3F - Overview'!D54)</f>
        <v>0</v>
      </c>
      <c r="G54" s="233">
        <f>SUMIFS('Budget - 2026'!$R$5:$R$56,'Budget - 2026'!$B$5:$B$56,'MILA 3F - Overview'!D54)</f>
        <v>459903</v>
      </c>
      <c r="H54" s="247">
        <f t="shared" si="0"/>
        <v>-1</v>
      </c>
      <c r="I54" s="194"/>
      <c r="J54" s="239">
        <f>SUMIFS('Budget - 2026'!$U$5:$U$56,'Budget - 2026'!$B$5:$B$56,'MILA 3F - Overview'!D54)</f>
        <v>488577.75</v>
      </c>
      <c r="K54" s="251">
        <f t="shared" si="1"/>
        <v>-1</v>
      </c>
      <c r="L54" s="194"/>
      <c r="M54" s="239">
        <f>SUMIFS('Actual - 2026'!$E$5:$E$56,'Actual - 2026'!$A$5:$A$56,'MILA 2F - Overview'!D54)</f>
        <v>0</v>
      </c>
      <c r="N54" s="233">
        <f>SUMIFS('Budget - 2026'!$F$5:$F$56,'Budget - 2026'!$B$5:$B$56,'MILA 2F - Overview'!D54)</f>
        <v>433377</v>
      </c>
      <c r="O54" s="240">
        <f>SUMIFS('Budget - 2026'!$I$5:$I$56,'Budget - 2026'!$B$5:$B$56,'MILA 2F - Overview'!D54)</f>
        <v>460535.75</v>
      </c>
      <c r="P54" s="239">
        <f>SUMIFS('Actual - 2026'!$H$5:$H$56,'Actual - 2026'!$A$5:$A$56,'MILA 2F - Overview'!D54)</f>
        <v>0</v>
      </c>
      <c r="Q54" s="233">
        <f>SUMIFS('Budget - 2026'!$L$5:$L$56,'Budget - 2026'!$B$5:$B$56,'MILA 2F - Overview'!D54)</f>
        <v>26526</v>
      </c>
      <c r="R54" s="240">
        <f>SUMIFS('Budget - 2026'!$O$5:$O$56,'Budget - 2026'!$B$5:$B$56,'MILA 2F - Overview'!D54)</f>
        <v>28042</v>
      </c>
    </row>
    <row r="55" spans="4:18" s="108" customFormat="1" ht="22.15" customHeight="1">
      <c r="D55" s="193" t="s">
        <v>178</v>
      </c>
      <c r="E55" s="194"/>
      <c r="F55" s="239">
        <f>SUMIFS('Actual - 2026'!$K$5:$K$56,'Actual - 2026'!$A$5:$A$56,'MILA 3F - Overview'!D55)</f>
        <v>0</v>
      </c>
      <c r="G55" s="233">
        <f>SUMIFS('Budget - 2026'!$R$5:$R$56,'Budget - 2026'!$B$5:$B$56,'MILA 3F - Overview'!D55)</f>
        <v>566071</v>
      </c>
      <c r="H55" s="247">
        <f t="shared" si="0"/>
        <v>-1</v>
      </c>
      <c r="I55" s="194"/>
      <c r="J55" s="239">
        <f>SUMIFS('Budget - 2026'!$U$5:$U$56,'Budget - 2026'!$B$5:$B$56,'MILA 3F - Overview'!D55)</f>
        <v>557601.55000000005</v>
      </c>
      <c r="K55" s="251">
        <f t="shared" si="1"/>
        <v>-1</v>
      </c>
      <c r="L55" s="194"/>
      <c r="M55" s="239">
        <f>SUMIFS('Actual - 2026'!$E$5:$E$56,'Actual - 2026'!$A$5:$A$56,'MILA 2F - Overview'!D55)</f>
        <v>0</v>
      </c>
      <c r="N55" s="233">
        <f>SUMIFS('Budget - 2026'!$F$5:$F$56,'Budget - 2026'!$B$5:$B$56,'MILA 2F - Overview'!D55)</f>
        <v>528840</v>
      </c>
      <c r="O55" s="240">
        <f>SUMIFS('Budget - 2026'!$I$5:$I$56,'Budget - 2026'!$B$5:$B$56,'MILA 2F - Overview'!D55)</f>
        <v>521842.55</v>
      </c>
      <c r="P55" s="239">
        <f>SUMIFS('Actual - 2026'!$H$5:$H$56,'Actual - 2026'!$A$5:$A$56,'MILA 2F - Overview'!D55)</f>
        <v>0</v>
      </c>
      <c r="Q55" s="233">
        <f>SUMIFS('Budget - 2026'!$L$5:$L$56,'Budget - 2026'!$B$5:$B$56,'MILA 2F - Overview'!D55)</f>
        <v>37231</v>
      </c>
      <c r="R55" s="240">
        <f>SUMIFS('Budget - 2026'!$O$5:$O$56,'Budget - 2026'!$B$5:$B$56,'MILA 2F - Overview'!D55)</f>
        <v>35759</v>
      </c>
    </row>
    <row r="56" spans="4:18" s="108" customFormat="1" ht="22.15" customHeight="1">
      <c r="D56" s="193" t="s">
        <v>179</v>
      </c>
      <c r="E56" s="194"/>
      <c r="F56" s="239">
        <f>SUMIFS('Actual - 2026'!$K$5:$K$56,'Actual - 2026'!$A$5:$A$56,'MILA 3F - Overview'!D56)</f>
        <v>0</v>
      </c>
      <c r="G56" s="233">
        <f>SUMIFS('Budget - 2026'!$R$5:$R$56,'Budget - 2026'!$B$5:$B$56,'MILA 3F - Overview'!D56)</f>
        <v>603868</v>
      </c>
      <c r="H56" s="247">
        <f t="shared" si="0"/>
        <v>-1</v>
      </c>
      <c r="I56" s="194"/>
      <c r="J56" s="239">
        <f>SUMIFS('Budget - 2026'!$U$5:$U$56,'Budget - 2026'!$B$5:$B$56,'MILA 3F - Overview'!D56)</f>
        <v>626474.08000000007</v>
      </c>
      <c r="K56" s="251">
        <f t="shared" si="1"/>
        <v>-1</v>
      </c>
      <c r="L56" s="194"/>
      <c r="M56" s="239">
        <f>SUMIFS('Actual - 2026'!$E$5:$E$56,'Actual - 2026'!$A$5:$A$56,'MILA 2F - Overview'!D56)</f>
        <v>0</v>
      </c>
      <c r="N56" s="233">
        <f>SUMIFS('Budget - 2026'!$F$5:$F$56,'Budget - 2026'!$B$5:$B$56,'MILA 2F - Overview'!D56)</f>
        <v>568302</v>
      </c>
      <c r="O56" s="240">
        <f>SUMIFS('Budget - 2026'!$I$5:$I$56,'Budget - 2026'!$B$5:$B$56,'MILA 2F - Overview'!D56)</f>
        <v>590552.12000000011</v>
      </c>
      <c r="P56" s="239">
        <f>SUMIFS('Actual - 2026'!$H$5:$H$56,'Actual - 2026'!$A$5:$A$56,'MILA 2F - Overview'!D56)</f>
        <v>0</v>
      </c>
      <c r="Q56" s="233">
        <f>SUMIFS('Budget - 2026'!$L$5:$L$56,'Budget - 2026'!$B$5:$B$56,'MILA 2F - Overview'!D56)</f>
        <v>35566</v>
      </c>
      <c r="R56" s="240">
        <f>SUMIFS('Budget - 2026'!$O$5:$O$56,'Budget - 2026'!$B$5:$B$56,'MILA 2F - Overview'!D56)</f>
        <v>35921.96</v>
      </c>
    </row>
    <row r="57" spans="4:18" s="108" customFormat="1" ht="22.15" customHeight="1">
      <c r="D57" s="193" t="s">
        <v>180</v>
      </c>
      <c r="E57" s="194"/>
      <c r="F57" s="239">
        <f>SUMIFS('Actual - 2026'!$K$5:$K$56,'Actual - 2026'!$A$5:$A$56,'MILA 3F - Overview'!D57)</f>
        <v>0</v>
      </c>
      <c r="G57" s="233">
        <f>SUMIFS('Budget - 2026'!$R$5:$R$56,'Budget - 2026'!$B$5:$B$56,'MILA 3F - Overview'!D57)</f>
        <v>664639</v>
      </c>
      <c r="H57" s="247">
        <f t="shared" si="0"/>
        <v>-1</v>
      </c>
      <c r="I57" s="194"/>
      <c r="J57" s="239">
        <f>SUMIFS('Budget - 2026'!$U$5:$U$56,'Budget - 2026'!$B$5:$B$56,'MILA 3F - Overview'!D57)</f>
        <v>653533.80000000005</v>
      </c>
      <c r="K57" s="251">
        <f t="shared" si="1"/>
        <v>-1</v>
      </c>
      <c r="L57" s="194"/>
      <c r="M57" s="239">
        <f>SUMIFS('Actual - 2026'!$E$5:$E$56,'Actual - 2026'!$A$5:$A$56,'MILA 2F - Overview'!D57)</f>
        <v>0</v>
      </c>
      <c r="N57" s="233">
        <f>SUMIFS('Budget - 2026'!$F$5:$F$56,'Budget - 2026'!$B$5:$B$56,'MILA 2F - Overview'!D57)</f>
        <v>624672</v>
      </c>
      <c r="O57" s="240">
        <f>SUMIFS('Budget - 2026'!$I$5:$I$56,'Budget - 2026'!$B$5:$B$56,'MILA 2F - Overview'!D57)</f>
        <v>613897.05000000005</v>
      </c>
      <c r="P57" s="239">
        <f>SUMIFS('Actual - 2026'!$H$5:$H$56,'Actual - 2026'!$A$5:$A$56,'MILA 2F - Overview'!D57)</f>
        <v>0</v>
      </c>
      <c r="Q57" s="233">
        <f>SUMIFS('Budget - 2026'!$L$5:$L$56,'Budget - 2026'!$B$5:$B$56,'MILA 2F - Overview'!D57)</f>
        <v>39967</v>
      </c>
      <c r="R57" s="240">
        <f>SUMIFS('Budget - 2026'!$O$5:$O$56,'Budget - 2026'!$B$5:$B$56,'MILA 2F - Overview'!D57)</f>
        <v>39636.75</v>
      </c>
    </row>
    <row r="58" spans="4:18" s="108" customFormat="1" ht="22.15" customHeight="1">
      <c r="D58" s="227" t="s">
        <v>261</v>
      </c>
      <c r="E58" s="194"/>
      <c r="F58" s="241">
        <f>SUM(F54:F57)</f>
        <v>0</v>
      </c>
      <c r="G58" s="228">
        <f>SUM(G54:G57)</f>
        <v>2294481</v>
      </c>
      <c r="H58" s="248">
        <f t="shared" si="0"/>
        <v>-1</v>
      </c>
      <c r="I58" s="194"/>
      <c r="J58" s="241">
        <f>SUM(J54:J57)</f>
        <v>2326187.1800000002</v>
      </c>
      <c r="K58" s="248">
        <f>(F58-J58)/J58</f>
        <v>-1</v>
      </c>
      <c r="L58" s="194"/>
      <c r="M58" s="241">
        <f t="shared" ref="M58:R58" si="15">SUM(M54:M57)</f>
        <v>0</v>
      </c>
      <c r="N58" s="228">
        <f t="shared" si="15"/>
        <v>2155191</v>
      </c>
      <c r="O58" s="242">
        <f t="shared" si="15"/>
        <v>2186827.4700000002</v>
      </c>
      <c r="P58" s="241">
        <f t="shared" si="15"/>
        <v>0</v>
      </c>
      <c r="Q58" s="228">
        <f t="shared" si="15"/>
        <v>139290</v>
      </c>
      <c r="R58" s="242">
        <f t="shared" si="15"/>
        <v>139359.71</v>
      </c>
    </row>
    <row r="59" spans="4:18" s="108" customFormat="1" ht="22.15" customHeight="1">
      <c r="D59" s="193" t="s">
        <v>183</v>
      </c>
      <c r="E59" s="194"/>
      <c r="F59" s="239">
        <f>SUMIFS('Actual - 2026'!$K$5:$K$56,'Actual - 2026'!$A$5:$A$56,'MILA 3F - Overview'!D59)</f>
        <v>0</v>
      </c>
      <c r="G59" s="233">
        <f>SUMIFS('Budget - 2026'!$R$5:$R$56,'Budget - 2026'!$B$5:$B$56,'MILA 3F - Overview'!D59)</f>
        <v>620989</v>
      </c>
      <c r="H59" s="247">
        <f t="shared" si="0"/>
        <v>-1</v>
      </c>
      <c r="I59" s="194"/>
      <c r="J59" s="239">
        <f>SUMIFS('Budget - 2026'!$U$5:$U$56,'Budget - 2026'!$B$5:$B$56,'MILA 3F - Overview'!D59)</f>
        <v>603975.67999999993</v>
      </c>
      <c r="K59" s="251">
        <f t="shared" si="1"/>
        <v>-1</v>
      </c>
      <c r="L59" s="194"/>
      <c r="M59" s="239">
        <f>SUMIFS('Actual - 2026'!$E$5:$E$56,'Actual - 2026'!$A$5:$A$56,'MILA 2F - Overview'!D59)</f>
        <v>0</v>
      </c>
      <c r="N59" s="233">
        <f>SUMIFS('Budget - 2026'!$F$5:$F$56,'Budget - 2026'!$B$5:$B$56,'MILA 2F - Overview'!D59)</f>
        <v>583614</v>
      </c>
      <c r="O59" s="240">
        <f>SUMIFS('Budget - 2026'!$I$5:$I$56,'Budget - 2026'!$B$5:$B$56,'MILA 2F - Overview'!D59)</f>
        <v>572519.67999999993</v>
      </c>
      <c r="P59" s="239">
        <f>SUMIFS('Actual - 2026'!$H$5:$H$56,'Actual - 2026'!$A$5:$A$56,'MILA 2F - Overview'!D59)</f>
        <v>0</v>
      </c>
      <c r="Q59" s="233">
        <f>SUMIFS('Budget - 2026'!$L$5:$L$56,'Budget - 2026'!$B$5:$B$56,'MILA 2F - Overview'!D59)</f>
        <v>37375</v>
      </c>
      <c r="R59" s="240">
        <f>SUMIFS('Budget - 2026'!$O$5:$O$56,'Budget - 2026'!$B$5:$B$56,'MILA 2F - Overview'!D59)</f>
        <v>31456</v>
      </c>
    </row>
    <row r="60" spans="4:18" s="108" customFormat="1" ht="22.15" customHeight="1">
      <c r="D60" s="193" t="s">
        <v>184</v>
      </c>
      <c r="E60" s="194"/>
      <c r="F60" s="239">
        <f>SUMIFS('Actual - 2026'!$K$5:$K$56,'Actual - 2026'!$A$5:$A$56,'MILA 3F - Overview'!D60)</f>
        <v>0</v>
      </c>
      <c r="G60" s="233">
        <f>SUMIFS('Budget - 2026'!$R$5:$R$56,'Budget - 2026'!$B$5:$B$56,'MILA 3F - Overview'!D60)</f>
        <v>734976</v>
      </c>
      <c r="H60" s="247">
        <f t="shared" si="0"/>
        <v>-1</v>
      </c>
      <c r="I60" s="194"/>
      <c r="J60" s="239">
        <f>SUMIFS('Budget - 2026'!$U$5:$U$56,'Budget - 2026'!$B$5:$B$56,'MILA 3F - Overview'!D60)</f>
        <v>730874.01</v>
      </c>
      <c r="K60" s="251">
        <f t="shared" si="1"/>
        <v>-1</v>
      </c>
      <c r="L60" s="194"/>
      <c r="M60" s="239">
        <f>SUMIFS('Actual - 2026'!$E$5:$E$56,'Actual - 2026'!$A$5:$A$56,'MILA 2F - Overview'!D60)</f>
        <v>0</v>
      </c>
      <c r="N60" s="233">
        <f>SUMIFS('Budget - 2026'!$F$5:$F$56,'Budget - 2026'!$B$5:$B$56,'MILA 2F - Overview'!D60)</f>
        <v>700611</v>
      </c>
      <c r="O60" s="240">
        <f>SUMIFS('Budget - 2026'!$I$5:$I$56,'Budget - 2026'!$B$5:$B$56,'MILA 2F - Overview'!D60)</f>
        <v>681208.86</v>
      </c>
      <c r="P60" s="239">
        <f>SUMIFS('Actual - 2026'!$H$5:$H$56,'Actual - 2026'!$A$5:$A$56,'MILA 2F - Overview'!D60)</f>
        <v>0</v>
      </c>
      <c r="Q60" s="233">
        <f>SUMIFS('Budget - 2026'!$L$5:$L$56,'Budget - 2026'!$B$5:$B$56,'MILA 2F - Overview'!D60)</f>
        <v>34365</v>
      </c>
      <c r="R60" s="240">
        <f>SUMIFS('Budget - 2026'!$O$5:$O$56,'Budget - 2026'!$B$5:$B$56,'MILA 2F - Overview'!D60)</f>
        <v>49665.15</v>
      </c>
    </row>
    <row r="61" spans="4:18" s="108" customFormat="1" ht="22.15" customHeight="1">
      <c r="D61" s="193" t="s">
        <v>185</v>
      </c>
      <c r="E61" s="194"/>
      <c r="F61" s="239">
        <f>SUMIFS('Actual - 2026'!$K$5:$K$56,'Actual - 2026'!$A$5:$A$56,'MILA 3F - Overview'!D61)</f>
        <v>0</v>
      </c>
      <c r="G61" s="233">
        <f>SUMIFS('Budget - 2026'!$R$5:$R$56,'Budget - 2026'!$B$5:$B$56,'MILA 3F - Overview'!D61)</f>
        <v>713570</v>
      </c>
      <c r="H61" s="247">
        <f t="shared" si="0"/>
        <v>-1</v>
      </c>
      <c r="I61" s="194"/>
      <c r="J61" s="239">
        <f>SUMIFS('Budget - 2026'!$U$5:$U$56,'Budget - 2026'!$B$5:$B$56,'MILA 3F - Overview'!D61)</f>
        <v>767986</v>
      </c>
      <c r="K61" s="251">
        <f t="shared" si="1"/>
        <v>-1</v>
      </c>
      <c r="L61" s="194"/>
      <c r="M61" s="239">
        <f>SUMIFS('Actual - 2026'!$E$5:$E$56,'Actual - 2026'!$A$5:$A$56,'MILA 2F - Overview'!D61)</f>
        <v>0</v>
      </c>
      <c r="N61" s="233">
        <f>SUMIFS('Budget - 2026'!$F$5:$F$56,'Budget - 2026'!$B$5:$B$56,'MILA 2F - Overview'!D61)</f>
        <v>674063</v>
      </c>
      <c r="O61" s="240">
        <f>SUMIFS('Budget - 2026'!$I$5:$I$56,'Budget - 2026'!$B$5:$B$56,'MILA 2F - Overview'!D61)</f>
        <v>740686</v>
      </c>
      <c r="P61" s="239">
        <f>SUMIFS('Actual - 2026'!$H$5:$H$56,'Actual - 2026'!$A$5:$A$56,'MILA 2F - Overview'!D61)</f>
        <v>0</v>
      </c>
      <c r="Q61" s="233">
        <f>SUMIFS('Budget - 2026'!$L$5:$L$56,'Budget - 2026'!$B$5:$B$56,'MILA 2F - Overview'!D61)</f>
        <v>39507</v>
      </c>
      <c r="R61" s="240">
        <f>SUMIFS('Budget - 2026'!$O$5:$O$56,'Budget - 2026'!$B$5:$B$56,'MILA 2F - Overview'!D61)</f>
        <v>27300</v>
      </c>
    </row>
    <row r="62" spans="4:18" s="108" customFormat="1" ht="22.15" customHeight="1">
      <c r="D62" s="193" t="s">
        <v>186</v>
      </c>
      <c r="E62" s="194"/>
      <c r="F62" s="239">
        <f>SUMIFS('Actual - 2026'!$K$5:$K$56,'Actual - 2026'!$A$5:$A$56,'MILA 3F - Overview'!D62)</f>
        <v>0</v>
      </c>
      <c r="G62" s="233">
        <f>SUMIFS('Budget - 2026'!$R$5:$R$56,'Budget - 2026'!$B$5:$B$56,'MILA 3F - Overview'!D62)</f>
        <v>616211</v>
      </c>
      <c r="H62" s="247">
        <f t="shared" si="0"/>
        <v>-1</v>
      </c>
      <c r="I62" s="194"/>
      <c r="J62" s="239">
        <f>SUMIFS('Budget - 2026'!$U$5:$U$56,'Budget - 2026'!$B$5:$B$56,'MILA 3F - Overview'!D62)</f>
        <v>586888</v>
      </c>
      <c r="K62" s="251">
        <f t="shared" si="1"/>
        <v>-1</v>
      </c>
      <c r="L62" s="194"/>
      <c r="M62" s="239">
        <f>SUMIFS('Actual - 2026'!$E$5:$E$56,'Actual - 2026'!$A$5:$A$56,'MILA 2F - Overview'!D62)</f>
        <v>0</v>
      </c>
      <c r="N62" s="233">
        <f>SUMIFS('Budget - 2026'!$F$5:$F$56,'Budget - 2026'!$B$5:$B$56,'MILA 2F - Overview'!D62)</f>
        <v>584981</v>
      </c>
      <c r="O62" s="240">
        <f>SUMIFS('Budget - 2026'!$I$5:$I$56,'Budget - 2026'!$B$5:$B$56,'MILA 2F - Overview'!D62)</f>
        <v>557228.44999999995</v>
      </c>
      <c r="P62" s="239">
        <f>SUMIFS('Actual - 2026'!$H$5:$H$56,'Actual - 2026'!$A$5:$A$56,'MILA 2F - Overview'!D62)</f>
        <v>0</v>
      </c>
      <c r="Q62" s="233">
        <f>SUMIFS('Budget - 2026'!$L$5:$L$56,'Budget - 2026'!$B$5:$B$56,'MILA 2F - Overview'!D62)</f>
        <v>31230</v>
      </c>
      <c r="R62" s="240">
        <f>SUMIFS('Budget - 2026'!$O$5:$O$56,'Budget - 2026'!$B$5:$B$56,'MILA 2F - Overview'!D62)</f>
        <v>29659.55</v>
      </c>
    </row>
    <row r="63" spans="4:18" s="108" customFormat="1" ht="22.15" customHeight="1">
      <c r="D63" s="227" t="s">
        <v>262</v>
      </c>
      <c r="E63" s="194"/>
      <c r="F63" s="241">
        <f>SUM(F59:F62)</f>
        <v>0</v>
      </c>
      <c r="G63" s="228">
        <f>SUM(G59:G62)</f>
        <v>2685746</v>
      </c>
      <c r="H63" s="248">
        <f t="shared" ref="H63" si="16">(F63-G63)/G63</f>
        <v>-1</v>
      </c>
      <c r="I63" s="194"/>
      <c r="J63" s="241">
        <f>SUM(J59:J62)</f>
        <v>2689723.69</v>
      </c>
      <c r="K63" s="248">
        <f>(F63-J63)/J63</f>
        <v>-1</v>
      </c>
      <c r="L63" s="194"/>
      <c r="M63" s="241">
        <f t="shared" ref="M63:R63" si="17">SUM(M59:M62)</f>
        <v>0</v>
      </c>
      <c r="N63" s="228">
        <f t="shared" si="17"/>
        <v>2543269</v>
      </c>
      <c r="O63" s="242">
        <f t="shared" si="17"/>
        <v>2551642.9900000002</v>
      </c>
      <c r="P63" s="241">
        <f t="shared" si="17"/>
        <v>0</v>
      </c>
      <c r="Q63" s="228">
        <f t="shared" si="17"/>
        <v>142477</v>
      </c>
      <c r="R63" s="242">
        <f t="shared" si="17"/>
        <v>138080.69999999998</v>
      </c>
    </row>
    <row r="64" spans="4:18" s="108" customFormat="1" ht="22.15" customHeight="1">
      <c r="D64" s="193" t="s">
        <v>189</v>
      </c>
      <c r="E64" s="194"/>
      <c r="F64" s="239">
        <f>SUMIFS('Actual - 2026'!$K$5:$K$56,'Actual - 2026'!$A$5:$A$56,'MILA 3F - Overview'!D64)</f>
        <v>0</v>
      </c>
      <c r="G64" s="233">
        <f>SUMIFS('Budget - 2026'!$R$5:$R$56,'Budget - 2026'!$B$5:$B$56,'MILA 3F - Overview'!D64)</f>
        <v>559600</v>
      </c>
      <c r="H64" s="247">
        <f t="shared" si="0"/>
        <v>-1</v>
      </c>
      <c r="I64" s="194"/>
      <c r="J64" s="239">
        <f>SUMIFS('Budget - 2026'!$U$5:$U$56,'Budget - 2026'!$B$5:$B$56,'MILA 3F - Overview'!D64)</f>
        <v>567191.55999999994</v>
      </c>
      <c r="K64" s="251">
        <f t="shared" si="1"/>
        <v>-1</v>
      </c>
      <c r="L64" s="194"/>
      <c r="M64" s="239">
        <f>SUMIFS('Actual - 2026'!$E$5:$E$56,'Actual - 2026'!$A$5:$A$56,'MILA 2F - Overview'!D64)</f>
        <v>0</v>
      </c>
      <c r="N64" s="233">
        <f>SUMIFS('Budget - 2026'!$F$5:$F$56,'Budget - 2026'!$B$5:$B$56,'MILA 2F - Overview'!D64)</f>
        <v>527740</v>
      </c>
      <c r="O64" s="240">
        <f>SUMIFS('Budget - 2026'!$I$5:$I$56,'Budget - 2026'!$B$5:$B$56,'MILA 2F - Overview'!D64)</f>
        <v>527223.00999999989</v>
      </c>
      <c r="P64" s="239">
        <f>SUMIFS('Actual - 2026'!$H$5:$H$56,'Actual - 2026'!$A$5:$A$56,'MILA 2F - Overview'!D64)</f>
        <v>0</v>
      </c>
      <c r="Q64" s="233">
        <f>SUMIFS('Budget - 2026'!$L$5:$L$56,'Budget - 2026'!$B$5:$B$56,'MILA 2F - Overview'!D64)</f>
        <v>31860</v>
      </c>
      <c r="R64" s="240">
        <f>SUMIFS('Budget - 2026'!$O$5:$O$56,'Budget - 2026'!$B$5:$B$56,'MILA 2F - Overview'!D64)</f>
        <v>39968.550000000003</v>
      </c>
    </row>
    <row r="65" spans="4:18" s="108" customFormat="1" ht="22.15" customHeight="1">
      <c r="D65" s="193" t="s">
        <v>190</v>
      </c>
      <c r="E65" s="194"/>
      <c r="F65" s="239">
        <f>SUMIFS('Actual - 2026'!$K$5:$K$56,'Actual - 2026'!$A$5:$A$56,'MILA 3F - Overview'!D65)</f>
        <v>0</v>
      </c>
      <c r="G65" s="233">
        <f>SUMIFS('Budget - 2026'!$R$5:$R$56,'Budget - 2026'!$B$5:$B$56,'MILA 3F - Overview'!D65)</f>
        <v>1431278</v>
      </c>
      <c r="H65" s="247">
        <f t="shared" si="0"/>
        <v>-1</v>
      </c>
      <c r="I65" s="194"/>
      <c r="J65" s="239">
        <f>SUMIFS('Budget - 2026'!$U$5:$U$56,'Budget - 2026'!$B$5:$B$56,'MILA 3F - Overview'!D65)</f>
        <v>1419458.9200000002</v>
      </c>
      <c r="K65" s="251">
        <f t="shared" si="1"/>
        <v>-1</v>
      </c>
      <c r="L65" s="194"/>
      <c r="M65" s="239">
        <f>SUMIFS('Actual - 2026'!$E$5:$E$56,'Actual - 2026'!$A$5:$A$56,'MILA 2F - Overview'!D65)</f>
        <v>0</v>
      </c>
      <c r="N65" s="233">
        <f>SUMIFS('Budget - 2026'!$F$5:$F$56,'Budget - 2026'!$B$5:$B$56,'MILA 2F - Overview'!D65)</f>
        <v>1364762</v>
      </c>
      <c r="O65" s="240">
        <f>SUMIFS('Budget - 2026'!$I$5:$I$56,'Budget - 2026'!$B$5:$B$56,'MILA 2F - Overview'!D65)</f>
        <v>1364544.07</v>
      </c>
      <c r="P65" s="239">
        <f>SUMIFS('Actual - 2026'!$H$5:$H$56,'Actual - 2026'!$A$5:$A$56,'MILA 2F - Overview'!D65)</f>
        <v>0</v>
      </c>
      <c r="Q65" s="233">
        <f>SUMIFS('Budget - 2026'!$L$5:$L$56,'Budget - 2026'!$B$5:$B$56,'MILA 2F - Overview'!D65)</f>
        <v>66516</v>
      </c>
      <c r="R65" s="240">
        <f>SUMIFS('Budget - 2026'!$O$5:$O$56,'Budget - 2026'!$B$5:$B$56,'MILA 2F - Overview'!D65)</f>
        <v>54914.85</v>
      </c>
    </row>
    <row r="66" spans="4:18" s="108" customFormat="1" ht="22.15" customHeight="1">
      <c r="D66" s="193" t="s">
        <v>191</v>
      </c>
      <c r="E66" s="194"/>
      <c r="F66" s="239">
        <f>SUMIFS('Actual - 2026'!$K$5:$K$56,'Actual - 2026'!$A$5:$A$56,'MILA 3F - Overview'!D66)</f>
        <v>0</v>
      </c>
      <c r="G66" s="233">
        <f>SUMIFS('Budget - 2026'!$R$5:$R$56,'Budget - 2026'!$B$5:$B$56,'MILA 3F - Overview'!D66)</f>
        <v>764540</v>
      </c>
      <c r="H66" s="247">
        <f t="shared" si="0"/>
        <v>-1</v>
      </c>
      <c r="I66" s="194"/>
      <c r="J66" s="239">
        <f>SUMIFS('Budget - 2026'!$U$5:$U$56,'Budget - 2026'!$B$5:$B$56,'MILA 3F - Overview'!D66)</f>
        <v>753709.98</v>
      </c>
      <c r="K66" s="251">
        <f t="shared" si="1"/>
        <v>-1</v>
      </c>
      <c r="L66" s="194"/>
      <c r="M66" s="239">
        <f>SUMIFS('Actual - 2026'!$E$5:$E$56,'Actual - 2026'!$A$5:$A$56,'MILA 2F - Overview'!D66)</f>
        <v>0</v>
      </c>
      <c r="N66" s="233">
        <f>SUMIFS('Budget - 2026'!$F$5:$F$56,'Budget - 2026'!$B$5:$B$56,'MILA 2F - Overview'!D66)</f>
        <v>712272</v>
      </c>
      <c r="O66" s="240">
        <f>SUMIFS('Budget - 2026'!$I$5:$I$56,'Budget - 2026'!$B$5:$B$56,'MILA 2F - Overview'!D66)</f>
        <v>712865.55999999994</v>
      </c>
      <c r="P66" s="239">
        <f>SUMIFS('Actual - 2026'!$H$5:$H$56,'Actual - 2026'!$A$5:$A$56,'MILA 2F - Overview'!D66)</f>
        <v>0</v>
      </c>
      <c r="Q66" s="233">
        <f>SUMIFS('Budget - 2026'!$L$5:$L$56,'Budget - 2026'!$B$5:$B$56,'MILA 2F - Overview'!D66)</f>
        <v>52268</v>
      </c>
      <c r="R66" s="240">
        <f>SUMIFS('Budget - 2026'!$O$5:$O$56,'Budget - 2026'!$B$5:$B$56,'MILA 2F - Overview'!D66)</f>
        <v>40844.42</v>
      </c>
    </row>
    <row r="67" spans="4:18" s="108" customFormat="1" ht="22.15" customHeight="1">
      <c r="D67" s="193" t="s">
        <v>192</v>
      </c>
      <c r="E67" s="194"/>
      <c r="F67" s="239">
        <f>SUMIFS('Actual - 2026'!$K$5:$K$56,'Actual - 2026'!$A$5:$A$56,'MILA 3F - Overview'!D67)</f>
        <v>0</v>
      </c>
      <c r="G67" s="233">
        <f>SUMIFS('Budget - 2026'!$R$5:$R$56,'Budget - 2026'!$B$5:$B$56,'MILA 3F - Overview'!D67)</f>
        <v>625135</v>
      </c>
      <c r="H67" s="247">
        <f t="shared" si="0"/>
        <v>-1</v>
      </c>
      <c r="I67" s="194"/>
      <c r="J67" s="239">
        <f>SUMIFS('Budget - 2026'!$U$5:$U$56,'Budget - 2026'!$B$5:$B$56,'MILA 3F - Overview'!D67)</f>
        <v>625670.88</v>
      </c>
      <c r="K67" s="251">
        <f t="shared" si="1"/>
        <v>-1</v>
      </c>
      <c r="L67" s="194"/>
      <c r="M67" s="239">
        <f>SUMIFS('Actual - 2026'!$E$5:$E$56,'Actual - 2026'!$A$5:$A$56,'MILA 2F - Overview'!D67)</f>
        <v>0</v>
      </c>
      <c r="N67" s="233">
        <f>SUMIFS('Budget - 2026'!$F$5:$F$56,'Budget - 2026'!$B$5:$B$56,'MILA 2F - Overview'!D67)</f>
        <v>578844</v>
      </c>
      <c r="O67" s="240">
        <f>SUMIFS('Budget - 2026'!$I$5:$I$56,'Budget - 2026'!$B$5:$B$56,'MILA 2F - Overview'!D67)</f>
        <v>578766.03</v>
      </c>
      <c r="P67" s="239">
        <f>SUMIFS('Actual - 2026'!$H$5:$H$56,'Actual - 2026'!$A$5:$A$56,'MILA 2F - Overview'!D67)</f>
        <v>0</v>
      </c>
      <c r="Q67" s="233">
        <f>SUMIFS('Budget - 2026'!$L$5:$L$56,'Budget - 2026'!$B$5:$B$56,'MILA 2F - Overview'!D67)</f>
        <v>46291</v>
      </c>
      <c r="R67" s="240">
        <f>SUMIFS('Budget - 2026'!$O$5:$O$56,'Budget - 2026'!$B$5:$B$56,'MILA 2F - Overview'!D67)</f>
        <v>46904.85</v>
      </c>
    </row>
    <row r="68" spans="4:18" s="108" customFormat="1" ht="22.15" customHeight="1">
      <c r="D68" s="193" t="s">
        <v>193</v>
      </c>
      <c r="E68" s="194"/>
      <c r="F68" s="239">
        <f>SUMIFS('Actual - 2026'!$K$5:$K$56,'Actual - 2026'!$A$5:$A$56,'MILA 3F - Overview'!D68)</f>
        <v>0</v>
      </c>
      <c r="G68" s="233">
        <f>SUMIFS('Budget - 2026'!$R$5:$R$56,'Budget - 2026'!$B$5:$B$56,'MILA 3F - Overview'!D68)</f>
        <v>752294</v>
      </c>
      <c r="H68" s="247">
        <f t="shared" si="0"/>
        <v>-1</v>
      </c>
      <c r="I68" s="194"/>
      <c r="J68" s="239">
        <f>SUMIFS('Budget - 2026'!$U$5:$U$56,'Budget - 2026'!$B$5:$B$56,'MILA 3F - Overview'!D68)</f>
        <v>741652.25</v>
      </c>
      <c r="K68" s="251">
        <f t="shared" si="1"/>
        <v>-1</v>
      </c>
      <c r="L68" s="194"/>
      <c r="M68" s="239">
        <f>SUMIFS('Actual - 2026'!$E$5:$E$56,'Actual - 2026'!$A$5:$A$56,'MILA 2F - Overview'!D68)</f>
        <v>0</v>
      </c>
      <c r="N68" s="233">
        <f>SUMIFS('Budget - 2026'!$F$5:$F$56,'Budget - 2026'!$B$5:$B$56,'MILA 2F - Overview'!D68)</f>
        <v>690864</v>
      </c>
      <c r="O68" s="240">
        <f>SUMIFS('Budget - 2026'!$I$5:$I$56,'Budget - 2026'!$B$5:$B$56,'MILA 2F - Overview'!D68)</f>
        <v>690779.5</v>
      </c>
      <c r="P68" s="239">
        <f>SUMIFS('Actual - 2026'!$H$5:$H$56,'Actual - 2026'!$A$5:$A$56,'MILA 2F - Overview'!D68)</f>
        <v>0</v>
      </c>
      <c r="Q68" s="233">
        <f>SUMIFS('Budget - 2026'!$L$5:$L$56,'Budget - 2026'!$B$5:$B$56,'MILA 2F - Overview'!D68)</f>
        <v>61430</v>
      </c>
      <c r="R68" s="240">
        <f>SUMIFS('Budget - 2026'!$O$5:$O$56,'Budget - 2026'!$B$5:$B$56,'MILA 2F - Overview'!D68)</f>
        <v>50872.75</v>
      </c>
    </row>
    <row r="69" spans="4:18" s="108" customFormat="1" ht="22.15" customHeight="1" thickBot="1">
      <c r="D69" s="227" t="s">
        <v>263</v>
      </c>
      <c r="E69" s="194"/>
      <c r="F69" s="243">
        <f>SUM(F64:F68)</f>
        <v>0</v>
      </c>
      <c r="G69" s="244">
        <f>SUM(G64:G68)</f>
        <v>4132847</v>
      </c>
      <c r="H69" s="249">
        <f t="shared" ref="H69" si="18">(F69-G69)/G69</f>
        <v>-1</v>
      </c>
      <c r="I69" s="194"/>
      <c r="J69" s="243">
        <f>SUM(J64:J68)</f>
        <v>4107683.59</v>
      </c>
      <c r="K69" s="249">
        <f>(F69-J69)/J69</f>
        <v>-1</v>
      </c>
      <c r="L69" s="194"/>
      <c r="M69" s="243">
        <f t="shared" ref="M69:Q69" si="19">SUM(M64:M68)</f>
        <v>0</v>
      </c>
      <c r="N69" s="244">
        <f t="shared" si="19"/>
        <v>3874482</v>
      </c>
      <c r="O69" s="245">
        <f t="shared" si="19"/>
        <v>3874178.17</v>
      </c>
      <c r="P69" s="243">
        <f t="shared" si="19"/>
        <v>0</v>
      </c>
      <c r="Q69" s="244">
        <f t="shared" si="19"/>
        <v>258365</v>
      </c>
      <c r="R69" s="245">
        <f>SUM(R64:R68)</f>
        <v>233505.42</v>
      </c>
    </row>
    <row r="70" spans="4:18" ht="22.15" customHeight="1"/>
  </sheetData>
  <mergeCells count="4">
    <mergeCell ref="M4:O4"/>
    <mergeCell ref="P4:R4"/>
    <mergeCell ref="D2:R2"/>
    <mergeCell ref="F4:K4"/>
  </mergeCells>
  <phoneticPr fontId="24" type="noConversion"/>
  <conditionalFormatting sqref="H1 K1">
    <cfRule type="cellIs" dxfId="245" priority="2" operator="lessThan">
      <formula>0.01</formula>
    </cfRule>
  </conditionalFormatting>
  <conditionalFormatting sqref="H4:H1048576 K4:K1048576">
    <cfRule type="cellIs" dxfId="244" priority="1" operator="lessThan">
      <formula>0.000001</formula>
    </cfRule>
  </conditionalFormatting>
  <pageMargins left="0.7" right="0.7" top="0.75" bottom="0.75" header="0.3" footer="0.3"/>
  <pageSetup scale="45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CD916E-D51C-49C9-945B-F684D7797822}">
          <x14:formula1>
            <xm:f>'Budget - 2026'!$B$5:$B$56</xm:f>
          </x14:formula1>
          <xm:sqref>D1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B115-B656-43F2-9F3E-2C554047BA8E}">
  <sheetPr>
    <tabColor theme="2" tint="-9.9978637043366805E-2"/>
    <pageSetUpPr fitToPage="1"/>
  </sheetPr>
  <dimension ref="B1:U70"/>
  <sheetViews>
    <sheetView workbookViewId="0">
      <selection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/>
    <col min="9" max="9" width="1.5703125" style="5" customWidth="1"/>
    <col min="10" max="11" width="14.5703125" style="5" customWidth="1"/>
    <col min="12" max="12" width="1.5703125" style="5" customWidth="1"/>
    <col min="13" max="21" width="14.7109375" style="5" customWidth="1"/>
    <col min="22" max="16384" width="10.7109375" style="5"/>
  </cols>
  <sheetData>
    <row r="1" spans="4:21" ht="18.75">
      <c r="D1" s="118" t="str">
        <f>'MILA 3F - Overview'!D1</f>
        <v>Week 34</v>
      </c>
      <c r="F1" s="5">
        <f>VLOOKUP(D1,Dates!$B$2:$E$53,4,FALSE)</f>
        <v>34</v>
      </c>
      <c r="G1" s="5" t="b">
        <v>1</v>
      </c>
    </row>
    <row r="2" spans="4:21" ht="28.5">
      <c r="D2" s="399" t="str">
        <f>CONCATENATE("MILA 2F",)</f>
        <v>MILA 2F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</row>
    <row r="3" spans="4:21">
      <c r="T3" s="5">
        <v>0</v>
      </c>
    </row>
    <row r="4" spans="4:21">
      <c r="F4" s="431" t="s">
        <v>249</v>
      </c>
      <c r="G4" s="431"/>
      <c r="H4" s="431"/>
      <c r="I4" s="431"/>
      <c r="J4" s="431"/>
      <c r="K4" s="431"/>
      <c r="M4" s="432" t="s">
        <v>230</v>
      </c>
      <c r="N4" s="433"/>
      <c r="O4" s="433"/>
      <c r="P4" s="432" t="s">
        <v>207</v>
      </c>
      <c r="Q4" s="433"/>
      <c r="R4" s="433"/>
      <c r="S4" s="432" t="s">
        <v>231</v>
      </c>
      <c r="T4" s="433"/>
      <c r="U4" s="433"/>
    </row>
    <row r="5" spans="4:21" ht="27" customHeight="1" thickBot="1">
      <c r="D5" s="229" t="s">
        <v>250</v>
      </c>
      <c r="E5" s="230"/>
      <c r="F5" s="234">
        <v>2026</v>
      </c>
      <c r="G5" s="235" t="s">
        <v>15</v>
      </c>
      <c r="H5" s="234" t="s">
        <v>251</v>
      </c>
      <c r="I5" s="230"/>
      <c r="J5" s="234">
        <v>2025</v>
      </c>
      <c r="K5" s="234" t="s">
        <v>251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  <c r="S5" s="234">
        <v>2026</v>
      </c>
      <c r="T5" s="235" t="s">
        <v>15</v>
      </c>
      <c r="U5" s="234">
        <v>2025</v>
      </c>
    </row>
    <row r="6" spans="4:21" s="108" customFormat="1" ht="22.15" customHeight="1">
      <c r="D6" s="193" t="s">
        <v>122</v>
      </c>
      <c r="E6" s="194"/>
      <c r="F6" s="236">
        <f>SUMIFS('Actual - 2026'!$W$5:$W$56,'Actual - 2026'!$A$5:$A$56,'MILA 2F - Overview'!D6)</f>
        <v>803399.8600000001</v>
      </c>
      <c r="G6" s="237">
        <f>SUMIFS('Budget - 2026'!$AP$5:$AP$56,'Budget - 2026'!$B$5:$B$56,'MILA 2F - Overview'!D6)</f>
        <v>634034.65</v>
      </c>
      <c r="H6" s="246">
        <f t="shared" ref="H6:H9" si="0">IFERROR((F6-G6)/G6,0)</f>
        <v>0.26712295613496845</v>
      </c>
      <c r="I6" s="194"/>
      <c r="J6" s="236">
        <f>SUMIFS('Budget - 2026'!$AS$5:$AS$56,'Budget - 2026'!$B$5:$B$56,'MILA 2F - Overview'!D6)</f>
        <v>641588</v>
      </c>
      <c r="K6" s="250">
        <f>IFERROR((F6-J6)/J6,0)</f>
        <v>0.25220524698092872</v>
      </c>
      <c r="L6" s="194"/>
      <c r="M6" s="236">
        <f>SUMIFS('Actual - 2026'!$N$5:$N$56,'Actual - 2026'!$A$5:$A$56,'MILA 2F - Overview'!D6)</f>
        <v>37270</v>
      </c>
      <c r="N6" s="237">
        <f>SUMIFS('Budget - 2026'!$X$5:$X$56,'Budget - 2026'!$B$5:$B$56,'MILA 2F - Overview'!D6)</f>
        <v>36316</v>
      </c>
      <c r="O6" s="238">
        <f>SUMIFS('Budget - 2026'!$AA$5:$AA$56,'Budget - 2026'!$B$5:$B$56,'MILA 2F - Overview'!D6)</f>
        <v>36316</v>
      </c>
      <c r="P6" s="236">
        <f>SUMIFS('Actual - 2026'!$Q$5:$Q$56,'Actual - 2026'!$A$5:$A$56,'MILA 2F - Overview'!D6)</f>
        <v>173900.92</v>
      </c>
      <c r="Q6" s="237">
        <f>SUMIFS('Budget - 2026'!$AD$5:$AD$56,'Budget - 2026'!$B$5:$B$56,'MILA 2F - Overview'!D6)</f>
        <v>117411</v>
      </c>
      <c r="R6" s="238">
        <f>SUMIFS('Budget - 2026'!$AG$5:$AG$56,'Budget - 2026'!$B$5:$B$56,'MILA 2F - Overview'!D6)</f>
        <v>116456</v>
      </c>
      <c r="S6" s="236">
        <f>SUMIFS('Actual - 2026'!$T$5:$T$56,'Actual - 2026'!$A$5:$A$56,'MILA 2F - Overview'!D6)</f>
        <v>592228.94000000006</v>
      </c>
      <c r="T6" s="237">
        <f>SUMIFS('Budget - 2026'!$AJ$5:$AJ$56,'Budget - 2026'!$B$5:$B$56,'MILA 2F - Overview'!D6)</f>
        <v>480307.65</v>
      </c>
      <c r="U6" s="238">
        <f>SUMIFS('Budget - 2026'!$AM$5:$AM$56,'Budget - 2026'!$B$5:$B$56,'MILA 2F - Overview'!D6)</f>
        <v>488816</v>
      </c>
    </row>
    <row r="7" spans="4:21" s="108" customFormat="1" ht="22.15" customHeight="1">
      <c r="D7" s="193" t="s">
        <v>123</v>
      </c>
      <c r="E7" s="194"/>
      <c r="F7" s="239">
        <f>SUMIFS('Actual - 2026'!$W$5:$W$56,'Actual - 2026'!$A$5:$A$56,'MILA 2F - Overview'!D7)</f>
        <v>445491.87000000005</v>
      </c>
      <c r="G7" s="233">
        <f>SUMIFS('Budget - 2026'!$AP$5:$AP$56,'Budget - 2026'!$B$5:$B$56,'MILA 2F - Overview'!D7)</f>
        <v>340714.94999999995</v>
      </c>
      <c r="H7" s="247">
        <f t="shared" si="0"/>
        <v>0.30752075892179109</v>
      </c>
      <c r="I7" s="194"/>
      <c r="J7" s="239">
        <f>SUMIFS('Budget - 2026'!$AS$5:$AS$56,'Budget - 2026'!$B$5:$B$56,'MILA 2F - Overview'!D7)</f>
        <v>350113</v>
      </c>
      <c r="K7" s="251">
        <f t="shared" ref="K7:K68" si="1">IFERROR((F7-J7)/J7,0)</f>
        <v>0.27242310339804593</v>
      </c>
      <c r="L7" s="194"/>
      <c r="M7" s="239">
        <f>SUMIFS('Actual - 2026'!$N$5:$N$56,'Actual - 2026'!$A$5:$A$56,'MILA 2F - Overview'!D7)</f>
        <v>18797</v>
      </c>
      <c r="N7" s="233">
        <f>SUMIFS('Budget - 2026'!$X$5:$X$56,'Budget - 2026'!$B$5:$B$56,'MILA 2F - Overview'!D7)</f>
        <v>25216</v>
      </c>
      <c r="O7" s="240">
        <f>SUMIFS('Budget - 2026'!$AA$5:$AA$56,'Budget - 2026'!$B$5:$B$56,'MILA 2F - Overview'!D7)</f>
        <v>25216</v>
      </c>
      <c r="P7" s="239">
        <f>SUMIFS('Actual - 2026'!$Q$5:$Q$56,'Actual - 2026'!$A$5:$A$56,'MILA 2F - Overview'!D7)</f>
        <v>109590.17</v>
      </c>
      <c r="Q7" s="233">
        <f>SUMIFS('Budget - 2026'!$AD$5:$AD$56,'Budget - 2026'!$B$5:$B$56,'MILA 2F - Overview'!D7)</f>
        <v>54134</v>
      </c>
      <c r="R7" s="240">
        <f>SUMIFS('Budget - 2026'!$AG$5:$AG$56,'Budget - 2026'!$B$5:$B$56,'MILA 2F - Overview'!D7)</f>
        <v>53460</v>
      </c>
      <c r="S7" s="239">
        <f>SUMIFS('Actual - 2026'!$T$5:$T$56,'Actual - 2026'!$A$5:$A$56,'MILA 2F - Overview'!D7)</f>
        <v>317104.70000000007</v>
      </c>
      <c r="T7" s="233">
        <f>SUMIFS('Budget - 2026'!$AJ$5:$AJ$56,'Budget - 2026'!$B$5:$B$56,'MILA 2F - Overview'!D7)</f>
        <v>261364.94999999998</v>
      </c>
      <c r="U7" s="240">
        <f>SUMIFS('Budget - 2026'!$AM$5:$AM$56,'Budget - 2026'!$B$5:$B$56,'MILA 2F - Overview'!D7)</f>
        <v>271437</v>
      </c>
    </row>
    <row r="8" spans="4:21" s="108" customFormat="1" ht="22.15" customHeight="1">
      <c r="D8" s="193" t="s">
        <v>124</v>
      </c>
      <c r="E8" s="194"/>
      <c r="F8" s="239">
        <f>SUMIFS('Actual - 2026'!$W$5:$W$56,'Actual - 2026'!$A$5:$A$56,'MILA 2F - Overview'!D8)</f>
        <v>562432.9</v>
      </c>
      <c r="G8" s="233">
        <f>SUMIFS('Budget - 2026'!$AP$5:$AP$56,'Budget - 2026'!$B$5:$B$56,'MILA 2F - Overview'!D8)</f>
        <v>361732.85</v>
      </c>
      <c r="H8" s="247">
        <f t="shared" si="0"/>
        <v>0.55482948258638953</v>
      </c>
      <c r="I8" s="194"/>
      <c r="J8" s="239">
        <f>SUMIFS('Budget - 2026'!$AS$5:$AS$56,'Budget - 2026'!$B$5:$B$56,'MILA 2F - Overview'!D8)</f>
        <v>448729</v>
      </c>
      <c r="K8" s="251">
        <f t="shared" si="1"/>
        <v>0.25339102219825332</v>
      </c>
      <c r="L8" s="194"/>
      <c r="M8" s="239">
        <f>SUMIFS('Actual - 2026'!$N$5:$N$56,'Actual - 2026'!$A$5:$A$56,'MILA 2F - Overview'!D8)</f>
        <v>19544.75</v>
      </c>
      <c r="N8" s="233">
        <f>SUMIFS('Budget - 2026'!$X$5:$X$56,'Budget - 2026'!$B$5:$B$56,'MILA 2F - Overview'!D8)</f>
        <v>26351</v>
      </c>
      <c r="O8" s="240">
        <f>SUMIFS('Budget - 2026'!$AA$5:$AA$56,'Budget - 2026'!$B$5:$B$56,'MILA 2F - Overview'!D8)</f>
        <v>26351</v>
      </c>
      <c r="P8" s="239">
        <f>SUMIFS('Actual - 2026'!$Q$5:$Q$56,'Actual - 2026'!$A$5:$A$56,'MILA 2F - Overview'!D8)</f>
        <v>106659.9</v>
      </c>
      <c r="Q8" s="233">
        <f>SUMIFS('Budget - 2026'!$AD$5:$AD$56,'Budget - 2026'!$B$5:$B$56,'MILA 2F - Overview'!D8)</f>
        <v>93205</v>
      </c>
      <c r="R8" s="240">
        <f>SUMIFS('Budget - 2026'!$AG$5:$AG$56,'Budget - 2026'!$B$5:$B$56,'MILA 2F - Overview'!D8)</f>
        <v>93205</v>
      </c>
      <c r="S8" s="239">
        <f>SUMIFS('Actual - 2026'!$T$5:$T$56,'Actual - 2026'!$A$5:$A$56,'MILA 2F - Overview'!D8)</f>
        <v>436228.25</v>
      </c>
      <c r="T8" s="233">
        <f>SUMIFS('Budget - 2026'!$AJ$5:$AJ$56,'Budget - 2026'!$B$5:$B$56,'MILA 2F - Overview'!D8)</f>
        <v>242176.85</v>
      </c>
      <c r="U8" s="240">
        <f>SUMIFS('Budget - 2026'!$AM$5:$AM$56,'Budget - 2026'!$B$5:$B$56,'MILA 2F - Overview'!D8)</f>
        <v>329173</v>
      </c>
    </row>
    <row r="9" spans="4:21" s="108" customFormat="1" ht="22.15" customHeight="1">
      <c r="D9" s="193" t="s">
        <v>125</v>
      </c>
      <c r="E9" s="194"/>
      <c r="F9" s="239">
        <f>SUMIFS('Actual - 2026'!$W$5:$W$56,'Actual - 2026'!$A$5:$A$56,'MILA 2F - Overview'!D9)</f>
        <v>384317</v>
      </c>
      <c r="G9" s="233">
        <f>SUMIFS('Budget - 2026'!$AP$5:$AP$56,'Budget - 2026'!$B$5:$B$56,'MILA 2F - Overview'!D9)</f>
        <v>357696.14999999997</v>
      </c>
      <c r="H9" s="247">
        <f t="shared" si="0"/>
        <v>7.4423082272481927E-2</v>
      </c>
      <c r="I9" s="194"/>
      <c r="J9" s="239">
        <f>SUMIFS('Budget - 2026'!$AS$5:$AS$56,'Budget - 2026'!$B$5:$B$56,'MILA 2F - Overview'!D9)</f>
        <v>367812</v>
      </c>
      <c r="K9" s="251">
        <f t="shared" si="1"/>
        <v>4.4873467967331139E-2</v>
      </c>
      <c r="L9" s="194"/>
      <c r="M9" s="239">
        <f>SUMIFS('Actual - 2026'!$N$5:$N$56,'Actual - 2026'!$A$5:$A$56,'MILA 2F - Overview'!D9)</f>
        <v>19994</v>
      </c>
      <c r="N9" s="233">
        <f>SUMIFS('Budget - 2026'!$X$5:$X$56,'Budget - 2026'!$B$5:$B$56,'MILA 2F - Overview'!D9)</f>
        <v>23905</v>
      </c>
      <c r="O9" s="240">
        <f>SUMIFS('Budget - 2026'!$AA$5:$AA$56,'Budget - 2026'!$B$5:$B$56,'MILA 2F - Overview'!D9)</f>
        <v>23905</v>
      </c>
      <c r="P9" s="239">
        <f>SUMIFS('Actual - 2026'!$Q$5:$Q$56,'Actual - 2026'!$A$5:$A$56,'MILA 2F - Overview'!D9)</f>
        <v>99485.57</v>
      </c>
      <c r="Q9" s="233">
        <f>SUMIFS('Budget - 2026'!$AD$5:$AD$56,'Budget - 2026'!$B$5:$B$56,'MILA 2F - Overview'!D9)</f>
        <v>83792</v>
      </c>
      <c r="R9" s="240">
        <f>SUMIFS('Budget - 2026'!$AG$5:$AG$56,'Budget - 2026'!$B$5:$B$56,'MILA 2F - Overview'!D9)</f>
        <v>83792</v>
      </c>
      <c r="S9" s="239">
        <f>SUMIFS('Actual - 2026'!$T$5:$T$56,'Actual - 2026'!$A$5:$A$56,'MILA 2F - Overview'!D9)</f>
        <v>264837.43</v>
      </c>
      <c r="T9" s="233">
        <f>SUMIFS('Budget - 2026'!$AJ$5:$AJ$56,'Budget - 2026'!$B$5:$B$56,'MILA 2F - Overview'!D9)</f>
        <v>249999.14999999997</v>
      </c>
      <c r="U9" s="240">
        <f>SUMIFS('Budget - 2026'!$AM$5:$AM$56,'Budget - 2026'!$B$5:$B$56,'MILA 2F - Overview'!D9)</f>
        <v>260115</v>
      </c>
    </row>
    <row r="10" spans="4:21" s="108" customFormat="1" ht="22.15" customHeight="1">
      <c r="D10" s="227" t="s">
        <v>252</v>
      </c>
      <c r="E10" s="194"/>
      <c r="F10" s="241">
        <f>SUM(F6:F9)</f>
        <v>2195641.6300000004</v>
      </c>
      <c r="G10" s="228">
        <f>SUM(G6:G9)</f>
        <v>1694178.5999999999</v>
      </c>
      <c r="H10" s="248">
        <f>IFERROR((F10-G10)/G10,0)</f>
        <v>0.2959918334466039</v>
      </c>
      <c r="I10" s="194"/>
      <c r="J10" s="241">
        <f>SUM(J6:J9)</f>
        <v>1808242</v>
      </c>
      <c r="K10" s="248">
        <f>IFERROR((F10-J10)/J10,0)</f>
        <v>0.21424103079123277</v>
      </c>
      <c r="L10" s="194"/>
      <c r="M10" s="241">
        <f t="shared" ref="M10:U10" si="2">SUM(M6:M9)</f>
        <v>95605.75</v>
      </c>
      <c r="N10" s="228">
        <f t="shared" si="2"/>
        <v>111788</v>
      </c>
      <c r="O10" s="242">
        <f t="shared" si="2"/>
        <v>111788</v>
      </c>
      <c r="P10" s="241">
        <f t="shared" si="2"/>
        <v>489636.56</v>
      </c>
      <c r="Q10" s="228">
        <f t="shared" si="2"/>
        <v>348542</v>
      </c>
      <c r="R10" s="242">
        <f t="shared" si="2"/>
        <v>346913</v>
      </c>
      <c r="S10" s="241">
        <f t="shared" si="2"/>
        <v>1610399.32</v>
      </c>
      <c r="T10" s="228">
        <f t="shared" si="2"/>
        <v>1233848.5999999999</v>
      </c>
      <c r="U10" s="242">
        <f t="shared" si="2"/>
        <v>1349541</v>
      </c>
    </row>
    <row r="11" spans="4:21" s="108" customFormat="1" ht="22.15" customHeight="1">
      <c r="D11" s="193" t="s">
        <v>128</v>
      </c>
      <c r="E11" s="194"/>
      <c r="F11" s="239">
        <f>SUMIFS('Actual - 2026'!$W$5:$W$56,'Actual - 2026'!$A$5:$A$56,'MILA 2F - Overview'!D11)</f>
        <v>433941.5</v>
      </c>
      <c r="G11" s="233">
        <f>SUMIFS('Budget - 2026'!$AP$5:$AP$56,'Budget - 2026'!$B$5:$B$56,'MILA 2F - Overview'!D11)</f>
        <v>424460.80462502717</v>
      </c>
      <c r="H11" s="247">
        <f>IFERROR((F11-G11)/G11,0)</f>
        <v>2.2335855918070378E-2</v>
      </c>
      <c r="I11" s="194"/>
      <c r="J11" s="239">
        <f>SUMIFS('Budget - 2026'!$AS$5:$AS$56,'Budget - 2026'!$B$5:$B$56,'MILA 2F - Overview'!D11)</f>
        <v>512953</v>
      </c>
      <c r="K11" s="251">
        <f t="shared" si="1"/>
        <v>-0.15403263066986644</v>
      </c>
      <c r="L11" s="194"/>
      <c r="M11" s="239">
        <f>SUMIFS('Actual - 2026'!$N$5:$N$56,'Actual - 2026'!$A$5:$A$56,'MILA 2F - Overview'!D11)</f>
        <v>28623</v>
      </c>
      <c r="N11" s="233">
        <f>SUMIFS('Budget - 2026'!$X$5:$X$56,'Budget - 2026'!$B$5:$B$56,'MILA 2F - Overview'!D11)</f>
        <v>22746.345894093858</v>
      </c>
      <c r="O11" s="240">
        <f>SUMIFS('Budget - 2026'!$AA$5:$AA$56,'Budget - 2026'!$B$5:$B$56,'MILA 2F - Overview'!D11)</f>
        <v>21401</v>
      </c>
      <c r="P11" s="239">
        <f>SUMIFS('Actual - 2026'!$Q$5:$Q$56,'Actual - 2026'!$A$5:$A$56,'MILA 2F - Overview'!D11)</f>
        <v>93498.3</v>
      </c>
      <c r="Q11" s="233">
        <f>SUMIFS('Budget - 2026'!$AD$5:$AD$56,'Budget - 2026'!$B$5:$B$56,'MILA 2F - Overview'!D11)</f>
        <v>119208.53328501154</v>
      </c>
      <c r="R11" s="240">
        <f>SUMIFS('Budget - 2026'!$AG$5:$AG$56,'Budget - 2026'!$B$5:$B$56,'MILA 2F - Overview'!D11)</f>
        <v>133823</v>
      </c>
      <c r="S11" s="239">
        <f>SUMIFS('Actual - 2026'!$T$5:$T$56,'Actual - 2026'!$A$5:$A$56,'MILA 2F - Overview'!D11)</f>
        <v>311820.2</v>
      </c>
      <c r="T11" s="233">
        <f>SUMIFS('Budget - 2026'!$AJ$5:$AJ$56,'Budget - 2026'!$B$5:$B$56,'MILA 2F - Overview'!D11)</f>
        <v>282505.92544592178</v>
      </c>
      <c r="U11" s="240">
        <f>SUMIFS('Budget - 2026'!$AM$5:$AM$56,'Budget - 2026'!$B$5:$B$56,'MILA 2F - Overview'!D11)</f>
        <v>357729</v>
      </c>
    </row>
    <row r="12" spans="4:21" s="108" customFormat="1" ht="22.15" customHeight="1">
      <c r="D12" s="193" t="s">
        <v>129</v>
      </c>
      <c r="E12" s="194"/>
      <c r="F12" s="239">
        <f>SUMIFS('Actual - 2026'!$W$5:$W$56,'Actual - 2026'!$A$5:$A$56,'MILA 2F - Overview'!D12)</f>
        <v>415714</v>
      </c>
      <c r="G12" s="233">
        <f>SUMIFS('Budget - 2026'!$AP$5:$AP$56,'Budget - 2026'!$B$5:$B$56,'MILA 2F - Overview'!D12)</f>
        <v>373768.4158060035</v>
      </c>
      <c r="H12" s="247">
        <f t="shared" ref="H12:H69" si="3">(F12-G12)/G12</f>
        <v>0.11222345821688545</v>
      </c>
      <c r="I12" s="194"/>
      <c r="J12" s="239">
        <f>SUMIFS('Budget - 2026'!$AS$5:$AS$56,'Budget - 2026'!$B$5:$B$56,'MILA 2F - Overview'!D12)</f>
        <v>397052</v>
      </c>
      <c r="K12" s="251">
        <f t="shared" si="1"/>
        <v>4.7001400320361063E-2</v>
      </c>
      <c r="L12" s="194"/>
      <c r="M12" s="239">
        <f>SUMIFS('Actual - 2026'!$N$5:$N$56,'Actual - 2026'!$A$5:$A$56,'MILA 2F - Overview'!D12)</f>
        <v>21827</v>
      </c>
      <c r="N12" s="233">
        <f>SUMIFS('Budget - 2026'!$X$5:$X$56,'Budget - 2026'!$B$5:$B$56,'MILA 2F - Overview'!D12)</f>
        <v>22724.164958919431</v>
      </c>
      <c r="O12" s="240">
        <f>SUMIFS('Budget - 2026'!$AA$5:$AA$56,'Budget - 2026'!$B$5:$B$56,'MILA 2F - Overview'!D12)</f>
        <v>22329</v>
      </c>
      <c r="P12" s="239">
        <f>SUMIFS('Actual - 2026'!$Q$5:$Q$56,'Actual - 2026'!$A$5:$A$56,'MILA 2F - Overview'!D12)</f>
        <v>72956</v>
      </c>
      <c r="Q12" s="233">
        <f>SUMIFS('Budget - 2026'!$AD$5:$AD$56,'Budget - 2026'!$B$5:$B$56,'MILA 2F - Overview'!D12)</f>
        <v>110587.16649859653</v>
      </c>
      <c r="R12" s="240">
        <f>SUMIFS('Budget - 2026'!$AG$5:$AG$56,'Budget - 2026'!$B$5:$B$56,'MILA 2F - Overview'!D12)</f>
        <v>118085</v>
      </c>
      <c r="S12" s="239">
        <f>SUMIFS('Actual - 2026'!$T$5:$T$56,'Actual - 2026'!$A$5:$A$56,'MILA 2F - Overview'!D12)</f>
        <v>320931</v>
      </c>
      <c r="T12" s="233">
        <f>SUMIFS('Budget - 2026'!$AJ$5:$AJ$56,'Budget - 2026'!$B$5:$B$56,'MILA 2F - Overview'!D12)</f>
        <v>240457.08434848755</v>
      </c>
      <c r="U12" s="240">
        <f>SUMIFS('Budget - 2026'!$AM$5:$AM$56,'Budget - 2026'!$B$5:$B$56,'MILA 2F - Overview'!D12)</f>
        <v>256638</v>
      </c>
    </row>
    <row r="13" spans="4:21" s="108" customFormat="1" ht="22.15" customHeight="1">
      <c r="D13" s="193" t="s">
        <v>130</v>
      </c>
      <c r="E13" s="194"/>
      <c r="F13" s="239">
        <f>SUMIFS('Actual - 2026'!$W$5:$W$56,'Actual - 2026'!$A$5:$A$56,'MILA 2F - Overview'!D13)</f>
        <v>421621.1</v>
      </c>
      <c r="G13" s="233">
        <f>SUMIFS('Budget - 2026'!$AP$5:$AP$56,'Budget - 2026'!$B$5:$B$56,'MILA 2F - Overview'!D13)</f>
        <v>356654.52938276209</v>
      </c>
      <c r="H13" s="247">
        <f t="shared" si="3"/>
        <v>0.18215546212092454</v>
      </c>
      <c r="I13" s="194"/>
      <c r="J13" s="239">
        <f>SUMIFS('Budget - 2026'!$AS$5:$AS$56,'Budget - 2026'!$B$5:$B$56,'MILA 2F - Overview'!D13)</f>
        <v>383459.23</v>
      </c>
      <c r="K13" s="251">
        <f t="shared" si="1"/>
        <v>9.952001937728816E-2</v>
      </c>
      <c r="L13" s="194"/>
      <c r="M13" s="239">
        <f>SUMIFS('Actual - 2026'!$N$5:$N$56,'Actual - 2026'!$A$5:$A$56,'MILA 2F - Overview'!D13)</f>
        <v>20641</v>
      </c>
      <c r="N13" s="233">
        <f>SUMIFS('Budget - 2026'!$X$5:$X$56,'Budget - 2026'!$B$5:$B$56,'MILA 2F - Overview'!D13)</f>
        <v>32795.770684389383</v>
      </c>
      <c r="O13" s="240">
        <f>SUMIFS('Budget - 2026'!$AA$5:$AA$56,'Budget - 2026'!$B$5:$B$56,'MILA 2F - Overview'!D13)</f>
        <v>35047</v>
      </c>
      <c r="P13" s="239">
        <f>SUMIFS('Actual - 2026'!$Q$5:$Q$56,'Actual - 2026'!$A$5:$A$56,'MILA 2F - Overview'!D13)</f>
        <v>127666.02</v>
      </c>
      <c r="Q13" s="233">
        <f>SUMIFS('Budget - 2026'!$AD$5:$AD$56,'Budget - 2026'!$B$5:$B$56,'MILA 2F - Overview'!D13)</f>
        <v>83640.716798564652</v>
      </c>
      <c r="R13" s="240">
        <f>SUMIFS('Budget - 2026'!$AG$5:$AG$56,'Budget - 2026'!$B$5:$B$56,'MILA 2F - Overview'!D13)</f>
        <v>68556</v>
      </c>
      <c r="S13" s="239">
        <f>SUMIFS('Actual - 2026'!$T$5:$T$56,'Actual - 2026'!$A$5:$A$56,'MILA 2F - Overview'!D13)</f>
        <v>273314.07999999996</v>
      </c>
      <c r="T13" s="233">
        <f>SUMIFS('Budget - 2026'!$AJ$5:$AJ$56,'Budget - 2026'!$B$5:$B$56,'MILA 2F - Overview'!D13)</f>
        <v>240218.04189980804</v>
      </c>
      <c r="U13" s="240">
        <f>SUMIFS('Budget - 2026'!$AM$5:$AM$56,'Budget - 2026'!$B$5:$B$56,'MILA 2F - Overview'!D13)</f>
        <v>279856.23</v>
      </c>
    </row>
    <row r="14" spans="4:21" s="108" customFormat="1" ht="22.15" customHeight="1">
      <c r="D14" s="193" t="s">
        <v>131</v>
      </c>
      <c r="E14" s="194"/>
      <c r="F14" s="239">
        <f>SUMIFS('Actual - 2026'!$W$5:$W$56,'Actual - 2026'!$A$5:$A$56,'MILA 2F - Overview'!D14)</f>
        <v>385663.06</v>
      </c>
      <c r="G14" s="233">
        <f>SUMIFS('Budget - 2026'!$AP$5:$AP$56,'Budget - 2026'!$B$5:$B$56,'MILA 2F - Overview'!D14)</f>
        <v>402124.78219293372</v>
      </c>
      <c r="H14" s="247">
        <f t="shared" si="3"/>
        <v>-4.0936850753544522E-2</v>
      </c>
      <c r="I14" s="194"/>
      <c r="J14" s="239">
        <f>SUMIFS('Budget - 2026'!$AS$5:$AS$56,'Budget - 2026'!$B$5:$B$56,'MILA 2F - Overview'!D14)</f>
        <v>414775</v>
      </c>
      <c r="K14" s="251">
        <f t="shared" si="1"/>
        <v>-7.0187306370924005E-2</v>
      </c>
      <c r="L14" s="194"/>
      <c r="M14" s="239">
        <f>SUMIFS('Actual - 2026'!$N$5:$N$56,'Actual - 2026'!$A$5:$A$56,'MILA 2F - Overview'!D14)</f>
        <v>40327</v>
      </c>
      <c r="N14" s="233">
        <f>SUMIFS('Budget - 2026'!$X$5:$X$56,'Budget - 2026'!$B$5:$B$56,'MILA 2F - Overview'!D14)</f>
        <v>27267.718462597324</v>
      </c>
      <c r="O14" s="240">
        <f>SUMIFS('Budget - 2026'!$AA$5:$AA$56,'Budget - 2026'!$B$5:$B$56,'MILA 2F - Overview'!D14)</f>
        <v>26757</v>
      </c>
      <c r="P14" s="239">
        <f>SUMIFS('Actual - 2026'!$Q$5:$Q$56,'Actual - 2026'!$A$5:$A$56,'MILA 2F - Overview'!D14)</f>
        <v>85683.36</v>
      </c>
      <c r="Q14" s="233">
        <f>SUMIFS('Budget - 2026'!$AD$5:$AD$56,'Budget - 2026'!$B$5:$B$56,'MILA 2F - Overview'!D14)</f>
        <v>101805.58341782729</v>
      </c>
      <c r="R14" s="240">
        <f>SUMIFS('Budget - 2026'!$AG$5:$AG$56,'Budget - 2026'!$B$5:$B$56,'MILA 2F - Overview'!D14)</f>
        <v>94778</v>
      </c>
      <c r="S14" s="239">
        <f>SUMIFS('Actual - 2026'!$T$5:$T$56,'Actual - 2026'!$A$5:$A$56,'MILA 2F - Overview'!D14)</f>
        <v>259652.7</v>
      </c>
      <c r="T14" s="233">
        <f>SUMIFS('Budget - 2026'!$AJ$5:$AJ$56,'Budget - 2026'!$B$5:$B$56,'MILA 2F - Overview'!D14)</f>
        <v>273051.48031250911</v>
      </c>
      <c r="U14" s="240">
        <f>SUMIFS('Budget - 2026'!$AM$5:$AM$56,'Budget - 2026'!$B$5:$B$56,'MILA 2F - Overview'!D14)</f>
        <v>293240</v>
      </c>
    </row>
    <row r="15" spans="4:21" s="108" customFormat="1" ht="22.15" customHeight="1">
      <c r="D15" s="227" t="s">
        <v>253</v>
      </c>
      <c r="E15" s="194"/>
      <c r="F15" s="241">
        <f>SUM(F11:F14)</f>
        <v>1656939.6600000001</v>
      </c>
      <c r="G15" s="228">
        <f>SUM(G11:G14)</f>
        <v>1557008.5320067266</v>
      </c>
      <c r="H15" s="248">
        <f t="shared" si="3"/>
        <v>6.4181490299528965E-2</v>
      </c>
      <c r="I15" s="194"/>
      <c r="J15" s="241">
        <f>SUM(J11:J14)</f>
        <v>1708239.23</v>
      </c>
      <c r="K15" s="248">
        <f>IFERROR((F15-J15)/J15,0)</f>
        <v>-3.0030670821205665E-2</v>
      </c>
      <c r="L15" s="194"/>
      <c r="M15" s="241">
        <f t="shared" ref="M15:U15" si="4">SUM(M11:M14)</f>
        <v>111418</v>
      </c>
      <c r="N15" s="228">
        <f t="shared" si="4"/>
        <v>105534</v>
      </c>
      <c r="O15" s="242">
        <f t="shared" si="4"/>
        <v>105534</v>
      </c>
      <c r="P15" s="241">
        <f t="shared" si="4"/>
        <v>379803.68</v>
      </c>
      <c r="Q15" s="228">
        <f t="shared" si="4"/>
        <v>415242</v>
      </c>
      <c r="R15" s="242">
        <f t="shared" si="4"/>
        <v>415242</v>
      </c>
      <c r="S15" s="241">
        <f t="shared" si="4"/>
        <v>1165717.98</v>
      </c>
      <c r="T15" s="228">
        <f t="shared" si="4"/>
        <v>1036232.5320067265</v>
      </c>
      <c r="U15" s="242">
        <f t="shared" si="4"/>
        <v>1187463.23</v>
      </c>
    </row>
    <row r="16" spans="4:21" s="108" customFormat="1" ht="22.15" customHeight="1">
      <c r="D16" s="193" t="s">
        <v>134</v>
      </c>
      <c r="E16" s="194"/>
      <c r="F16" s="239">
        <f>SUMIFS('Actual - 2026'!$W$5:$W$56,'Actual - 2026'!$A$5:$A$56,'MILA 2F - Overview'!D16)</f>
        <v>561097.32999999996</v>
      </c>
      <c r="G16" s="233">
        <f>SUMIFS('Budget - 2026'!$AP$5:$AP$56,'Budget - 2026'!$B$5:$B$56,'MILA 2F - Overview'!D16)</f>
        <v>432854.83122630219</v>
      </c>
      <c r="H16" s="247">
        <f t="shared" si="3"/>
        <v>0.29627138135522135</v>
      </c>
      <c r="I16" s="194"/>
      <c r="J16" s="239">
        <f>SUMIFS('Budget - 2026'!$AS$5:$AS$56,'Budget - 2026'!$B$5:$B$56,'MILA 2F - Overview'!D16)</f>
        <v>466080</v>
      </c>
      <c r="K16" s="251">
        <f t="shared" si="1"/>
        <v>0.20386485152763464</v>
      </c>
      <c r="L16" s="194"/>
      <c r="M16" s="239">
        <f>SUMIFS('Actual - 2026'!$N$5:$N$56,'Actual - 2026'!$A$5:$A$56,'MILA 2F - Overview'!D16)</f>
        <v>21300.01</v>
      </c>
      <c r="N16" s="233">
        <f>SUMIFS('Budget - 2026'!$X$5:$X$56,'Budget - 2026'!$B$5:$B$56,'MILA 2F - Overview'!D16)</f>
        <v>33406.320160043302</v>
      </c>
      <c r="O16" s="240">
        <f>SUMIFS('Budget - 2026'!$AA$5:$AA$56,'Budget - 2026'!$B$5:$B$56,'MILA 2F - Overview'!D16)</f>
        <v>30189</v>
      </c>
      <c r="P16" s="239">
        <f>SUMIFS('Actual - 2026'!$Q$5:$Q$56,'Actual - 2026'!$A$5:$A$56,'MILA 2F - Overview'!D16)</f>
        <v>152697.51999999999</v>
      </c>
      <c r="Q16" s="233">
        <f>SUMIFS('Budget - 2026'!$AD$5:$AD$56,'Budget - 2026'!$B$5:$B$56,'MILA 2F - Overview'!D16)</f>
        <v>99433.918719741268</v>
      </c>
      <c r="R16" s="240">
        <f>SUMIFS('Budget - 2026'!$AG$5:$AG$56,'Budget - 2026'!$B$5:$B$56,'MILA 2F - Overview'!D16)</f>
        <v>92857</v>
      </c>
      <c r="S16" s="239">
        <f>SUMIFS('Actual - 2026'!$T$5:$T$56,'Actual - 2026'!$A$5:$A$56,'MILA 2F - Overview'!D16)</f>
        <v>387099.8</v>
      </c>
      <c r="T16" s="233">
        <f>SUMIFS('Budget - 2026'!$AJ$5:$AJ$56,'Budget - 2026'!$B$5:$B$56,'MILA 2F - Overview'!D16)</f>
        <v>300014.59234651766</v>
      </c>
      <c r="U16" s="240">
        <f>SUMIFS('Budget - 2026'!$AM$5:$AM$56,'Budget - 2026'!$B$5:$B$56,'MILA 2F - Overview'!D16)</f>
        <v>343034</v>
      </c>
    </row>
    <row r="17" spans="2:21" s="108" customFormat="1" ht="22.15" customHeight="1">
      <c r="D17" s="193" t="s">
        <v>135</v>
      </c>
      <c r="E17" s="194"/>
      <c r="F17" s="239">
        <f>SUMIFS('Actual - 2026'!$W$5:$W$56,'Actual - 2026'!$A$5:$A$56,'MILA 2F - Overview'!D17)</f>
        <v>424026.64999999997</v>
      </c>
      <c r="G17" s="233">
        <f>SUMIFS('Budget - 2026'!$AP$5:$AP$56,'Budget - 2026'!$B$5:$B$56,'MILA 2F - Overview'!D17)</f>
        <v>385692.99183816323</v>
      </c>
      <c r="H17" s="247">
        <f t="shared" si="3"/>
        <v>9.9389045103317655E-2</v>
      </c>
      <c r="I17" s="194"/>
      <c r="J17" s="239">
        <f>SUMIFS('Budget - 2026'!$AS$5:$AS$56,'Budget - 2026'!$B$5:$B$56,'MILA 2F - Overview'!D17)</f>
        <v>394963</v>
      </c>
      <c r="K17" s="251">
        <f t="shared" si="1"/>
        <v>7.358575360223607E-2</v>
      </c>
      <c r="L17" s="194"/>
      <c r="M17" s="239">
        <f>SUMIFS('Actual - 2026'!$N$5:$N$56,'Actual - 2026'!$A$5:$A$56,'MILA 2F - Overview'!D17)</f>
        <v>22609</v>
      </c>
      <c r="N17" s="233">
        <f>SUMIFS('Budget - 2026'!$X$5:$X$56,'Budget - 2026'!$B$5:$B$56,'MILA 2F - Overview'!D17)</f>
        <v>34100.173955179656</v>
      </c>
      <c r="O17" s="240">
        <f>SUMIFS('Budget - 2026'!$AA$5:$AA$56,'Budget - 2026'!$B$5:$B$56,'MILA 2F - Overview'!D17)</f>
        <v>26559</v>
      </c>
      <c r="P17" s="239">
        <f>SUMIFS('Actual - 2026'!$Q$5:$Q$56,'Actual - 2026'!$A$5:$A$56,'MILA 2F - Overview'!D17)</f>
        <v>116492.3</v>
      </c>
      <c r="Q17" s="233">
        <f>SUMIFS('Budget - 2026'!$AD$5:$AD$56,'Budget - 2026'!$B$5:$B$56,'MILA 2F - Overview'!D17)</f>
        <v>58494.647130404177</v>
      </c>
      <c r="R17" s="240">
        <f>SUMIFS('Budget - 2026'!$AG$5:$AG$56,'Budget - 2026'!$B$5:$B$56,'MILA 2F - Overview'!D17)</f>
        <v>58218</v>
      </c>
      <c r="S17" s="239">
        <f>SUMIFS('Actual - 2026'!$T$5:$T$56,'Actual - 2026'!$A$5:$A$56,'MILA 2F - Overview'!D17)</f>
        <v>284925.34999999998</v>
      </c>
      <c r="T17" s="233">
        <f>SUMIFS('Budget - 2026'!$AJ$5:$AJ$56,'Budget - 2026'!$B$5:$B$56,'MILA 2F - Overview'!D17)</f>
        <v>293098.1707525794</v>
      </c>
      <c r="U17" s="240">
        <f>SUMIFS('Budget - 2026'!$AM$5:$AM$56,'Budget - 2026'!$B$5:$B$56,'MILA 2F - Overview'!D17)</f>
        <v>310186</v>
      </c>
    </row>
    <row r="18" spans="2:21" s="108" customFormat="1" ht="22.15" customHeight="1">
      <c r="D18" s="193" t="s">
        <v>136</v>
      </c>
      <c r="E18" s="194"/>
      <c r="F18" s="239">
        <f>SUMIFS('Actual - 2026'!$W$5:$W$56,'Actual - 2026'!$A$5:$A$56,'MILA 2F - Overview'!D18)</f>
        <v>308241.51</v>
      </c>
      <c r="G18" s="233">
        <f>SUMIFS('Budget - 2026'!$AP$5:$AP$56,'Budget - 2026'!$B$5:$B$56,'MILA 2F - Overview'!D18)</f>
        <v>355256.92501698015</v>
      </c>
      <c r="H18" s="247">
        <f t="shared" si="3"/>
        <v>-0.13234200857515432</v>
      </c>
      <c r="I18" s="194"/>
      <c r="J18" s="239">
        <f>SUMIFS('Budget - 2026'!$AS$5:$AS$56,'Budget - 2026'!$B$5:$B$56,'MILA 2F - Overview'!D18)</f>
        <v>371098</v>
      </c>
      <c r="K18" s="251">
        <f t="shared" si="1"/>
        <v>-0.16937975952443826</v>
      </c>
      <c r="L18" s="194"/>
      <c r="M18" s="239">
        <f>SUMIFS('Actual - 2026'!$N$5:$N$56,'Actual - 2026'!$A$5:$A$56,'MILA 2F - Overview'!D18)</f>
        <v>24784.01</v>
      </c>
      <c r="N18" s="233">
        <f>SUMIFS('Budget - 2026'!$X$5:$X$56,'Budget - 2026'!$B$5:$B$56,'MILA 2F - Overview'!D18)</f>
        <v>32895.7720763631</v>
      </c>
      <c r="O18" s="240">
        <f>SUMIFS('Budget - 2026'!$AA$5:$AA$56,'Budget - 2026'!$B$5:$B$56,'MILA 2F - Overview'!D18)</f>
        <v>57480</v>
      </c>
      <c r="P18" s="239">
        <f>SUMIFS('Actual - 2026'!$Q$5:$Q$56,'Actual - 2026'!$A$5:$A$56,'MILA 2F - Overview'!D18)</f>
        <v>84931.199999999997</v>
      </c>
      <c r="Q18" s="233">
        <f>SUMIFS('Budget - 2026'!$AD$5:$AD$56,'Budget - 2026'!$B$5:$B$56,'MILA 2F - Overview'!D18)</f>
        <v>56523.307529303915</v>
      </c>
      <c r="R18" s="240">
        <f>SUMIFS('Budget - 2026'!$AG$5:$AG$56,'Budget - 2026'!$B$5:$B$56,'MILA 2F - Overview'!D18)</f>
        <v>53897</v>
      </c>
      <c r="S18" s="239">
        <f>SUMIFS('Actual - 2026'!$T$5:$T$56,'Actual - 2026'!$A$5:$A$56,'MILA 2F - Overview'!D18)</f>
        <v>198526.3</v>
      </c>
      <c r="T18" s="233">
        <f>SUMIFS('Budget - 2026'!$AJ$5:$AJ$56,'Budget - 2026'!$B$5:$B$56,'MILA 2F - Overview'!D18)</f>
        <v>265837.84541131312</v>
      </c>
      <c r="U18" s="240">
        <f>SUMIFS('Budget - 2026'!$AM$5:$AM$56,'Budget - 2026'!$B$5:$B$56,'MILA 2F - Overview'!D18)</f>
        <v>259721</v>
      </c>
    </row>
    <row r="19" spans="2:21" s="108" customFormat="1" ht="22.15" customHeight="1">
      <c r="D19" s="193" t="s">
        <v>137</v>
      </c>
      <c r="E19" s="194"/>
      <c r="F19" s="239">
        <f>SUMIFS('Actual - 2026'!$W$5:$W$56,'Actual - 2026'!$A$5:$A$56,'MILA 2F - Overview'!D19)</f>
        <v>468719.48</v>
      </c>
      <c r="G19" s="233">
        <f>SUMIFS('Budget - 2026'!$AP$5:$AP$56,'Budget - 2026'!$B$5:$B$56,'MILA 2F - Overview'!D19)</f>
        <v>412839.00461966055</v>
      </c>
      <c r="H19" s="247">
        <f t="shared" si="3"/>
        <v>0.13535657909024579</v>
      </c>
      <c r="I19" s="194"/>
      <c r="J19" s="239">
        <f>SUMIFS('Budget - 2026'!$AS$5:$AS$56,'Budget - 2026'!$B$5:$B$56,'MILA 2F - Overview'!D19)</f>
        <v>409038</v>
      </c>
      <c r="K19" s="251">
        <f t="shared" si="1"/>
        <v>0.14590693285220441</v>
      </c>
      <c r="L19" s="194"/>
      <c r="M19" s="239">
        <f>SUMIFS('Actual - 2026'!$N$5:$N$56,'Actual - 2026'!$A$5:$A$56,'MILA 2F - Overview'!D19)</f>
        <v>22133.43</v>
      </c>
      <c r="N19" s="233">
        <f>SUMIFS('Budget - 2026'!$X$5:$X$56,'Budget - 2026'!$B$5:$B$56,'MILA 2F - Overview'!D19)</f>
        <v>31617.771510366776</v>
      </c>
      <c r="O19" s="240">
        <f>SUMIFS('Budget - 2026'!$AA$5:$AA$56,'Budget - 2026'!$B$5:$B$56,'MILA 2F - Overview'!D19)</f>
        <v>23100</v>
      </c>
      <c r="P19" s="239">
        <f>SUMIFS('Actual - 2026'!$Q$5:$Q$56,'Actual - 2026'!$A$5:$A$56,'MILA 2F - Overview'!D19)</f>
        <v>124093.5</v>
      </c>
      <c r="Q19" s="233">
        <f>SUMIFS('Budget - 2026'!$AD$5:$AD$56,'Budget - 2026'!$B$5:$B$56,'MILA 2F - Overview'!D19)</f>
        <v>61967.200528151618</v>
      </c>
      <c r="R19" s="240">
        <f>SUMIFS('Budget - 2026'!$AG$5:$AG$56,'Budget - 2026'!$B$5:$B$56,'MILA 2F - Overview'!D19)</f>
        <v>66434</v>
      </c>
      <c r="S19" s="239">
        <f>SUMIFS('Actual - 2026'!$T$5:$T$56,'Actual - 2026'!$A$5:$A$56,'MILA 2F - Overview'!D19)</f>
        <v>322492.55</v>
      </c>
      <c r="T19" s="233">
        <f>SUMIFS('Budget - 2026'!$AJ$5:$AJ$56,'Budget - 2026'!$B$5:$B$56,'MILA 2F - Overview'!D19)</f>
        <v>319254.03258114215</v>
      </c>
      <c r="U19" s="240">
        <f>SUMIFS('Budget - 2026'!$AM$5:$AM$56,'Budget - 2026'!$B$5:$B$56,'MILA 2F - Overview'!D19)</f>
        <v>319504</v>
      </c>
    </row>
    <row r="20" spans="2:21" s="108" customFormat="1" ht="22.15" customHeight="1">
      <c r="D20" s="193" t="s">
        <v>138</v>
      </c>
      <c r="E20" s="194"/>
      <c r="F20" s="239">
        <f>SUMIFS('Actual - 2026'!$W$5:$W$56,'Actual - 2026'!$A$5:$A$56,'MILA 2F - Overview'!D20)</f>
        <v>586626.36</v>
      </c>
      <c r="G20" s="233">
        <f>SUMIFS('Budget - 2026'!$AP$5:$AP$56,'Budget - 2026'!$B$5:$B$56,'MILA 2F - Overview'!D20)</f>
        <v>382485.89729889389</v>
      </c>
      <c r="H20" s="247">
        <f t="shared" si="3"/>
        <v>0.5337202342432521</v>
      </c>
      <c r="I20" s="194"/>
      <c r="J20" s="239">
        <f>SUMIFS('Budget - 2026'!$AS$5:$AS$56,'Budget - 2026'!$B$5:$B$56,'MILA 2F - Overview'!D20)</f>
        <v>468152</v>
      </c>
      <c r="K20" s="251">
        <f t="shared" si="1"/>
        <v>0.25306814880637057</v>
      </c>
      <c r="L20" s="194"/>
      <c r="M20" s="239">
        <f>SUMIFS('Actual - 2026'!$N$5:$N$56,'Actual - 2026'!$A$5:$A$56,'MILA 2F - Overview'!D20)</f>
        <v>27346.6</v>
      </c>
      <c r="N20" s="233">
        <f>SUMIFS('Budget - 2026'!$X$5:$X$56,'Budget - 2026'!$B$5:$B$56,'MILA 2F - Overview'!D20)</f>
        <v>37953.962298047154</v>
      </c>
      <c r="O20" s="240">
        <f>SUMIFS('Budget - 2026'!$AA$5:$AA$56,'Budget - 2026'!$B$5:$B$56,'MILA 2F - Overview'!D20)</f>
        <v>36241</v>
      </c>
      <c r="P20" s="239">
        <f>SUMIFS('Actual - 2026'!$Q$5:$Q$56,'Actual - 2026'!$A$5:$A$56,'MILA 2F - Overview'!D20)</f>
        <v>83137.399999999994</v>
      </c>
      <c r="Q20" s="233">
        <f>SUMIFS('Budget - 2026'!$AD$5:$AD$56,'Budget - 2026'!$B$5:$B$56,'MILA 2F - Overview'!D20)</f>
        <v>60147.926092399008</v>
      </c>
      <c r="R20" s="240">
        <f>SUMIFS('Budget - 2026'!$AG$5:$AG$56,'Budget - 2026'!$B$5:$B$56,'MILA 2F - Overview'!D20)</f>
        <v>65161</v>
      </c>
      <c r="S20" s="239">
        <f>SUMIFS('Actual - 2026'!$T$5:$T$56,'Actual - 2026'!$A$5:$A$56,'MILA 2F - Overview'!D20)</f>
        <v>476142.36</v>
      </c>
      <c r="T20" s="233">
        <f>SUMIFS('Budget - 2026'!$AJ$5:$AJ$56,'Budget - 2026'!$B$5:$B$56,'MILA 2F - Overview'!D20)</f>
        <v>284384.00890844769</v>
      </c>
      <c r="U20" s="240">
        <f>SUMIFS('Budget - 2026'!$AM$5:$AM$56,'Budget - 2026'!$B$5:$B$56,'MILA 2F - Overview'!D20)</f>
        <v>366750</v>
      </c>
    </row>
    <row r="21" spans="2:21" s="108" customFormat="1" ht="22.15" customHeight="1">
      <c r="D21" s="227" t="s">
        <v>254</v>
      </c>
      <c r="E21" s="194"/>
      <c r="F21" s="241">
        <f>SUM(F16:F20)</f>
        <v>2348711.33</v>
      </c>
      <c r="G21" s="228">
        <f>SUM(G16:G20)</f>
        <v>1969129.6500000001</v>
      </c>
      <c r="H21" s="248">
        <f t="shared" si="3"/>
        <v>0.19276622034511537</v>
      </c>
      <c r="I21" s="194"/>
      <c r="J21" s="241">
        <f>SUM(J16:J20)</f>
        <v>2109331</v>
      </c>
      <c r="K21" s="248">
        <f>IFERROR((F21-J21)/J21,0)</f>
        <v>0.11348637553802607</v>
      </c>
      <c r="L21" s="194"/>
      <c r="M21" s="241">
        <f t="shared" ref="M21:U21" si="5">SUM(M16:M20)</f>
        <v>118173.04999999999</v>
      </c>
      <c r="N21" s="228">
        <f t="shared" si="5"/>
        <v>169974</v>
      </c>
      <c r="O21" s="242">
        <f t="shared" si="5"/>
        <v>173569</v>
      </c>
      <c r="P21" s="241">
        <f t="shared" si="5"/>
        <v>561351.92000000004</v>
      </c>
      <c r="Q21" s="228">
        <f t="shared" si="5"/>
        <v>336566.99999999994</v>
      </c>
      <c r="R21" s="242">
        <f t="shared" si="5"/>
        <v>336567</v>
      </c>
      <c r="S21" s="318">
        <v>768000</v>
      </c>
      <c r="T21" s="228">
        <f t="shared" si="5"/>
        <v>1462588.65</v>
      </c>
      <c r="U21" s="242">
        <f t="shared" si="5"/>
        <v>1599195</v>
      </c>
    </row>
    <row r="22" spans="2:21" s="108" customFormat="1" ht="22.15" customHeight="1">
      <c r="D22" s="193" t="s">
        <v>141</v>
      </c>
      <c r="E22" s="194"/>
      <c r="F22" s="239">
        <f>SUMIFS('Actual - 2026'!$W$5:$W$56,'Actual - 2026'!$A$5:$A$56,'MILA 2F - Overview'!D22)</f>
        <v>298180.46999999997</v>
      </c>
      <c r="G22" s="233">
        <f>SUMIFS('Budget - 2026'!$AP$5:$AP$56,'Budget - 2026'!$B$5:$B$56,'MILA 2F - Overview'!D22)</f>
        <v>348373.48588359461</v>
      </c>
      <c r="H22" s="247">
        <f t="shared" si="3"/>
        <v>-0.14407817448072416</v>
      </c>
      <c r="I22" s="194"/>
      <c r="J22" s="239">
        <f>SUMIFS('Budget - 2026'!$AS$5:$AS$56,'Budget - 2026'!$B$5:$B$56,'MILA 2F - Overview'!D22)</f>
        <v>360068</v>
      </c>
      <c r="K22" s="251">
        <f t="shared" si="1"/>
        <v>-0.17187733983580886</v>
      </c>
      <c r="L22" s="194"/>
      <c r="M22" s="239">
        <f>SUMIFS('Actual - 2026'!$N$5:$N$56,'Actual - 2026'!$A$5:$A$56,'MILA 2F - Overview'!D22)</f>
        <v>27402.85</v>
      </c>
      <c r="N22" s="233">
        <f>SUMIFS('Budget - 2026'!$X$5:$X$56,'Budget - 2026'!$B$5:$B$56,'MILA 2F - Overview'!D22)</f>
        <v>17587.713177551723</v>
      </c>
      <c r="O22" s="240">
        <f>SUMIFS('Budget - 2026'!$AA$5:$AA$56,'Budget - 2026'!$B$5:$B$56,'MILA 2F - Overview'!D22)</f>
        <v>24579</v>
      </c>
      <c r="P22" s="239">
        <f>SUMIFS('Actual - 2026'!$Q$5:$Q$56,'Actual - 2026'!$A$5:$A$56,'MILA 2F - Overview'!D22)</f>
        <v>41137</v>
      </c>
      <c r="Q22" s="233">
        <f>SUMIFS('Budget - 2026'!$AD$5:$AD$56,'Budget - 2026'!$B$5:$B$56,'MILA 2F - Overview'!D22)</f>
        <v>72257.389002322321</v>
      </c>
      <c r="R22" s="240">
        <f>SUMIFS('Budget - 2026'!$AG$5:$AG$56,'Budget - 2026'!$B$5:$B$56,'MILA 2F - Overview'!D22)</f>
        <v>56842</v>
      </c>
      <c r="S22" s="319">
        <f>F19</f>
        <v>468719.48</v>
      </c>
      <c r="T22" s="233">
        <f>SUMIFS('Budget - 2026'!$AJ$5:$AJ$56,'Budget - 2026'!$B$5:$B$56,'MILA 2F - Overview'!D22)</f>
        <v>258528.38370372058</v>
      </c>
      <c r="U22" s="240">
        <f>SUMIFS('Budget - 2026'!$AM$5:$AM$56,'Budget - 2026'!$B$5:$B$56,'MILA 2F - Overview'!D22)</f>
        <v>278647</v>
      </c>
    </row>
    <row r="23" spans="2:21" s="108" customFormat="1" ht="22.15" customHeight="1">
      <c r="D23" s="193" t="s">
        <v>142</v>
      </c>
      <c r="E23" s="194"/>
      <c r="F23" s="239">
        <f>SUMIFS('Actual - 2026'!$W$5:$W$56,'Actual - 2026'!$A$5:$A$56,'MILA 2F - Overview'!D23)</f>
        <v>366161.01</v>
      </c>
      <c r="G23" s="233">
        <f>SUMIFS('Budget - 2026'!$AP$5:$AP$56,'Budget - 2026'!$B$5:$B$56,'MILA 2F - Overview'!D23)</f>
        <v>340462.25393145136</v>
      </c>
      <c r="H23" s="247">
        <f t="shared" si="3"/>
        <v>7.5481953643304137E-2</v>
      </c>
      <c r="I23" s="194"/>
      <c r="J23" s="239">
        <f>SUMIFS('Budget - 2026'!$AS$5:$AS$56,'Budget - 2026'!$B$5:$B$56,'MILA 2F - Overview'!D23)</f>
        <v>358719</v>
      </c>
      <c r="K23" s="251">
        <f t="shared" si="1"/>
        <v>2.0746071437531911E-2</v>
      </c>
      <c r="L23" s="194"/>
      <c r="M23" s="239">
        <f>SUMIFS('Actual - 2026'!$N$5:$N$56,'Actual - 2026'!$A$5:$A$56,'MILA 2F - Overview'!D23)</f>
        <v>28948.01</v>
      </c>
      <c r="N23" s="233">
        <f>SUMIFS('Budget - 2026'!$X$5:$X$56,'Budget - 2026'!$B$5:$B$56,'MILA 2F - Overview'!D23)</f>
        <v>21940.619391616296</v>
      </c>
      <c r="O23" s="240">
        <f>SUMIFS('Budget - 2026'!$AA$5:$AA$56,'Budget - 2026'!$B$5:$B$56,'MILA 2F - Overview'!D23)</f>
        <v>22717</v>
      </c>
      <c r="P23" s="239">
        <f>SUMIFS('Actual - 2026'!$Q$5:$Q$56,'Actual - 2026'!$A$5:$A$56,'MILA 2F - Overview'!D23)</f>
        <v>80389.75</v>
      </c>
      <c r="Q23" s="233">
        <f>SUMIFS('Budget - 2026'!$AD$5:$AD$56,'Budget - 2026'!$B$5:$B$56,'MILA 2F - Overview'!D23)</f>
        <v>57044.943865153975</v>
      </c>
      <c r="R23" s="240">
        <f>SUMIFS('Budget - 2026'!$AG$5:$AG$56,'Budget - 2026'!$B$5:$B$56,'MILA 2F - Overview'!D23)</f>
        <v>84758</v>
      </c>
      <c r="S23" s="322">
        <f>SUM(S21:S22)</f>
        <v>1236719.48</v>
      </c>
      <c r="T23" s="233">
        <f>SUMIFS('Budget - 2026'!$AJ$5:$AJ$56,'Budget - 2026'!$B$5:$B$56,'MILA 2F - Overview'!D23)</f>
        <v>261476.6906746811</v>
      </c>
      <c r="U23" s="240">
        <f>SUMIFS('Budget - 2026'!$AM$5:$AM$56,'Budget - 2026'!$B$5:$B$56,'MILA 2F - Overview'!D23)</f>
        <v>251244</v>
      </c>
    </row>
    <row r="24" spans="2:21" s="108" customFormat="1" ht="22.15" customHeight="1">
      <c r="D24" s="193" t="s">
        <v>143</v>
      </c>
      <c r="E24" s="194"/>
      <c r="F24" s="239">
        <f>SUMIFS('Actual - 2026'!$W$5:$W$56,'Actual - 2026'!$A$5:$A$56,'MILA 2F - Overview'!D24)</f>
        <v>399826.5</v>
      </c>
      <c r="G24" s="233">
        <f>SUMIFS('Budget - 2026'!$AP$5:$AP$56,'Budget - 2026'!$B$5:$B$56,'MILA 2F - Overview'!D24)</f>
        <v>329389.76289753686</v>
      </c>
      <c r="H24" s="247">
        <f t="shared" si="3"/>
        <v>0.21384009169821672</v>
      </c>
      <c r="I24" s="194"/>
      <c r="J24" s="239">
        <f>SUMIFS('Budget - 2026'!$AS$5:$AS$56,'Budget - 2026'!$B$5:$B$56,'MILA 2F - Overview'!D24)</f>
        <v>344809.75</v>
      </c>
      <c r="K24" s="251">
        <f t="shared" si="1"/>
        <v>0.15955682807693228</v>
      </c>
      <c r="L24" s="194"/>
      <c r="M24" s="239">
        <f>SUMIFS('Actual - 2026'!$N$5:$N$56,'Actual - 2026'!$A$5:$A$56,'MILA 2F - Overview'!D24)</f>
        <v>23710</v>
      </c>
      <c r="N24" s="233">
        <f>SUMIFS('Budget - 2026'!$X$5:$X$56,'Budget - 2026'!$B$5:$B$56,'MILA 2F - Overview'!D24)</f>
        <v>22211.964629711536</v>
      </c>
      <c r="O24" s="240">
        <f>SUMIFS('Budget - 2026'!$AA$5:$AA$56,'Budget - 2026'!$B$5:$B$56,'MILA 2F - Overview'!D24)</f>
        <v>27370.75</v>
      </c>
      <c r="P24" s="239">
        <f>SUMIFS('Actual - 2026'!$Q$5:$Q$56,'Actual - 2026'!$A$5:$A$56,'MILA 2F - Overview'!D24)</f>
        <v>80596.399999999994</v>
      </c>
      <c r="Q24" s="233">
        <f>SUMIFS('Budget - 2026'!$AD$5:$AD$56,'Budget - 2026'!$B$5:$B$56,'MILA 2F - Overview'!D24)</f>
        <v>66370.166476747196</v>
      </c>
      <c r="R24" s="240">
        <f>SUMIFS('Budget - 2026'!$AG$5:$AG$56,'Budget - 2026'!$B$5:$B$56,'MILA 2F - Overview'!D24)</f>
        <v>61023</v>
      </c>
      <c r="S24" s="319">
        <v>1028594</v>
      </c>
      <c r="T24" s="233">
        <f>SUMIFS('Budget - 2026'!$AJ$5:$AJ$56,'Budget - 2026'!$B$5:$B$56,'MILA 2F - Overview'!D24)</f>
        <v>240807.63179107811</v>
      </c>
      <c r="U24" s="240">
        <f>SUMIFS('Budget - 2026'!$AM$5:$AM$56,'Budget - 2026'!$B$5:$B$56,'MILA 2F - Overview'!D24)</f>
        <v>256416</v>
      </c>
    </row>
    <row r="25" spans="2:21" s="108" customFormat="1" ht="22.15" customHeight="1">
      <c r="D25" s="193" t="s">
        <v>144</v>
      </c>
      <c r="E25" s="194"/>
      <c r="F25" s="239">
        <f>SUMIFS('Actual - 2026'!$W$5:$W$56,'Actual - 2026'!$A$5:$A$56,'MILA 2F - Overview'!D25)</f>
        <v>346562</v>
      </c>
      <c r="G25" s="233">
        <f>SUMIFS('Budget - 2026'!$AP$5:$AP$56,'Budget - 2026'!$B$5:$B$56,'MILA 2F - Overview'!D25)</f>
        <v>291069.79728741711</v>
      </c>
      <c r="H25" s="247">
        <f t="shared" si="3"/>
        <v>0.19064912687518407</v>
      </c>
      <c r="I25" s="194"/>
      <c r="J25" s="239">
        <f>SUMIFS('Budget - 2026'!$AS$5:$AS$56,'Budget - 2026'!$B$5:$B$56,'MILA 2F - Overview'!D25)</f>
        <v>334345</v>
      </c>
      <c r="K25" s="251">
        <f t="shared" si="1"/>
        <v>3.6540100794089939E-2</v>
      </c>
      <c r="L25" s="194"/>
      <c r="M25" s="239">
        <f>SUMIFS('Actual - 2026'!$N$5:$N$56,'Actual - 2026'!$A$5:$A$56,'MILA 2F - Overview'!D25)</f>
        <v>30204</v>
      </c>
      <c r="N25" s="233">
        <f>SUMIFS('Budget - 2026'!$X$5:$X$56,'Budget - 2026'!$B$5:$B$56,'MILA 2F - Overview'!D25)</f>
        <v>23196.702801120446</v>
      </c>
      <c r="O25" s="240">
        <f>SUMIFS('Budget - 2026'!$AA$5:$AA$56,'Budget - 2026'!$B$5:$B$56,'MILA 2F - Overview'!D25)</f>
        <v>31905</v>
      </c>
      <c r="P25" s="239">
        <f>SUMIFS('Actual - 2026'!$Q$5:$Q$56,'Actual - 2026'!$A$5:$A$56,'MILA 2F - Overview'!D25)</f>
        <v>79945.100000000006</v>
      </c>
      <c r="Q25" s="233">
        <f>SUMIFS('Budget - 2026'!$AD$5:$AD$56,'Budget - 2026'!$B$5:$B$56,'MILA 2F - Overview'!D25)</f>
        <v>59178.500655776486</v>
      </c>
      <c r="R25" s="240">
        <f>SUMIFS('Budget - 2026'!$AG$5:$AG$56,'Budget - 2026'!$B$5:$B$56,'MILA 2F - Overview'!D25)</f>
        <v>52226</v>
      </c>
      <c r="S25" s="322">
        <f>S23-S24</f>
        <v>208125.47999999998</v>
      </c>
      <c r="T25" s="233">
        <f>SUMIFS('Budget - 2026'!$AJ$5:$AJ$56,'Budget - 2026'!$B$5:$B$56,'MILA 2F - Overview'!D25)</f>
        <v>208694.5938305202</v>
      </c>
      <c r="U25" s="240">
        <f>SUMIFS('Budget - 2026'!$AM$5:$AM$56,'Budget - 2026'!$B$5:$B$56,'MILA 2F - Overview'!D25)</f>
        <v>250214</v>
      </c>
    </row>
    <row r="26" spans="2:21" s="108" customFormat="1" ht="22.15" customHeight="1">
      <c r="D26" s="227" t="s">
        <v>255</v>
      </c>
      <c r="E26" s="194"/>
      <c r="F26" s="241">
        <f>SUM(F22:F25)</f>
        <v>1410729.98</v>
      </c>
      <c r="G26" s="228"/>
      <c r="H26" s="248" t="e">
        <f t="shared" si="3"/>
        <v>#DIV/0!</v>
      </c>
      <c r="I26" s="194"/>
      <c r="J26" s="241">
        <f>SUM(J22:J25)</f>
        <v>1397941.75</v>
      </c>
      <c r="K26" s="248">
        <f>IFERROR((F26-J26)/J26,0)</f>
        <v>9.1478990451497582E-3</v>
      </c>
      <c r="L26" s="194"/>
      <c r="M26" s="241">
        <f t="shared" ref="M26:U26" si="6">SUM(M22:M25)</f>
        <v>110264.86</v>
      </c>
      <c r="N26" s="228">
        <f t="shared" si="6"/>
        <v>84937</v>
      </c>
      <c r="O26" s="242">
        <f t="shared" si="6"/>
        <v>106571.75</v>
      </c>
      <c r="P26" s="241">
        <f t="shared" si="6"/>
        <v>282068.25</v>
      </c>
      <c r="Q26" s="228">
        <f t="shared" si="6"/>
        <v>254851</v>
      </c>
      <c r="R26" s="242">
        <f t="shared" si="6"/>
        <v>254849</v>
      </c>
      <c r="S26" s="241">
        <f t="shared" si="6"/>
        <v>2942158.44</v>
      </c>
      <c r="T26" s="228">
        <f t="shared" si="6"/>
        <v>969507.29999999993</v>
      </c>
      <c r="U26" s="242">
        <f t="shared" si="6"/>
        <v>1036521</v>
      </c>
    </row>
    <row r="27" spans="2:21" s="108" customFormat="1" ht="22.15" customHeight="1">
      <c r="D27" s="193" t="s">
        <v>147</v>
      </c>
      <c r="E27" s="194"/>
      <c r="F27" s="239">
        <f>SUMIFS('Actual - 2026'!$W$5:$W$56,'Actual - 2026'!$A$5:$A$56,'MILA 2F - Overview'!D27)</f>
        <v>790836.8</v>
      </c>
      <c r="G27" s="233">
        <f>SUMIFS('Budget - 2026'!$AP$5:$AP$56,'Budget - 2026'!$B$5:$B$56,'MILA 2F - Overview'!D27)</f>
        <v>770209.93090346723</v>
      </c>
      <c r="H27" s="247">
        <f t="shared" si="3"/>
        <v>2.6780840221492862E-2</v>
      </c>
      <c r="I27" s="194"/>
      <c r="J27" s="239">
        <f>SUMIFS('Budget - 2026'!$AS$5:$AS$56,'Budget - 2026'!$B$5:$B$56,'MILA 2F - Overview'!D27)</f>
        <v>791264</v>
      </c>
      <c r="K27" s="251">
        <f t="shared" si="1"/>
        <v>-5.3989566061384497E-4</v>
      </c>
      <c r="L27" s="194"/>
      <c r="M27" s="239">
        <f>SUMIFS('Actual - 2026'!$N$5:$N$56,'Actual - 2026'!$A$5:$A$56,'MILA 2F - Overview'!D27)</f>
        <v>46857.8</v>
      </c>
      <c r="N27" s="233">
        <f>SUMIFS('Budget - 2026'!$X$5:$X$56,'Budget - 2026'!$B$5:$B$56,'MILA 2F - Overview'!D27)</f>
        <v>48581</v>
      </c>
      <c r="O27" s="240">
        <f>SUMIFS('Budget - 2026'!$AA$5:$AA$56,'Budget - 2026'!$B$5:$B$56,'MILA 2F - Overview'!D27)</f>
        <v>33097</v>
      </c>
      <c r="P27" s="239">
        <f>SUMIFS('Actual - 2026'!$Q$5:$Q$56,'Actual - 2026'!$A$5:$A$56,'MILA 2F - Overview'!D27)</f>
        <v>218267</v>
      </c>
      <c r="Q27" s="233">
        <f>SUMIFS('Budget - 2026'!$AD$5:$AD$56,'Budget - 2026'!$B$5:$B$56,'MILA 2F - Overview'!D27)</f>
        <v>175467.10659154059</v>
      </c>
      <c r="R27" s="240">
        <f>SUMIFS('Budget - 2026'!$AG$5:$AG$56,'Budget - 2026'!$B$5:$B$56,'MILA 2F - Overview'!D27)</f>
        <v>130881</v>
      </c>
      <c r="S27" s="239">
        <f>SUMIFS('Actual - 2026'!$T$5:$T$56,'Actual - 2026'!$A$5:$A$56,'MILA 2F - Overview'!D27)</f>
        <v>525712</v>
      </c>
      <c r="T27" s="233">
        <f>SUMIFS('Budget - 2026'!$AJ$5:$AJ$56,'Budget - 2026'!$B$5:$B$56,'MILA 2F - Overview'!D27)</f>
        <v>546161.82431192661</v>
      </c>
      <c r="U27" s="240">
        <f>SUMIFS('Budget - 2026'!$AM$5:$AM$56,'Budget - 2026'!$B$5:$B$56,'MILA 2F - Overview'!D27)</f>
        <v>627286</v>
      </c>
    </row>
    <row r="28" spans="2:21" s="108" customFormat="1" ht="22.15" customHeight="1">
      <c r="B28" s="108" t="s">
        <v>99</v>
      </c>
      <c r="D28" s="193" t="s">
        <v>148</v>
      </c>
      <c r="E28" s="194"/>
      <c r="F28" s="239">
        <f>SUMIFS('Actual - 2026'!$W$5:$W$56,'Actual - 2026'!$A$5:$A$56,'MILA 2F - Overview'!D28)</f>
        <v>498882.51</v>
      </c>
      <c r="G28" s="233">
        <f>SUMIFS('Budget - 2026'!$AP$5:$AP$56,'Budget - 2026'!$B$5:$B$56,'MILA 2F - Overview'!D28)</f>
        <v>287729.30184556823</v>
      </c>
      <c r="H28" s="247">
        <f t="shared" si="3"/>
        <v>0.73386063497892606</v>
      </c>
      <c r="I28" s="194"/>
      <c r="J28" s="239">
        <f>SUMIFS('Budget - 2026'!$AS$5:$AS$56,'Budget - 2026'!$B$5:$B$56,'MILA 2F - Overview'!D28)</f>
        <v>253483</v>
      </c>
      <c r="K28" s="251">
        <f t="shared" si="1"/>
        <v>0.9681103269252771</v>
      </c>
      <c r="L28" s="194"/>
      <c r="M28" s="239">
        <f>SUMIFS('Actual - 2026'!$N$5:$N$56,'Actual - 2026'!$A$5:$A$56,'MILA 2F - Overview'!D28)</f>
        <v>24121.7</v>
      </c>
      <c r="N28" s="233">
        <f>SUMIFS('Budget - 2026'!$X$5:$X$56,'Budget - 2026'!$B$5:$B$56,'MILA 2F - Overview'!D28)</f>
        <v>27577.224089635853</v>
      </c>
      <c r="O28" s="240">
        <f>SUMIFS('Budget - 2026'!$AA$5:$AA$56,'Budget - 2026'!$B$5:$B$56,'MILA 2F - Overview'!D28)</f>
        <v>21155</v>
      </c>
      <c r="P28" s="239">
        <f>SUMIFS('Actual - 2026'!$Q$5:$Q$56,'Actual - 2026'!$A$5:$A$56,'MILA 2F - Overview'!D28)</f>
        <v>130963.2</v>
      </c>
      <c r="Q28" s="233">
        <f>SUMIFS('Budget - 2026'!$AD$5:$AD$56,'Budget - 2026'!$B$5:$B$56,'MILA 2F - Overview'!D28)</f>
        <v>52506.381524776574</v>
      </c>
      <c r="R28" s="240">
        <f>SUMIFS('Budget - 2026'!$AG$5:$AG$56,'Budget - 2026'!$B$5:$B$56,'MILA 2F - Overview'!D28)</f>
        <v>36461</v>
      </c>
      <c r="S28" s="239">
        <f>SUMIFS('Actual - 2026'!$T$5:$T$56,'Actual - 2026'!$A$5:$A$56,'MILA 2F - Overview'!D28)</f>
        <v>343797.61</v>
      </c>
      <c r="T28" s="233">
        <f>SUMIFS('Budget - 2026'!$AJ$5:$AJ$56,'Budget - 2026'!$B$5:$B$56,'MILA 2F - Overview'!D28)</f>
        <v>207645.69623115577</v>
      </c>
      <c r="U28" s="240">
        <f>SUMIFS('Budget - 2026'!$AM$5:$AM$56,'Budget - 2026'!$B$5:$B$56,'MILA 2F - Overview'!D28)</f>
        <v>195867</v>
      </c>
    </row>
    <row r="29" spans="2:21" s="108" customFormat="1" ht="22.15" customHeight="1">
      <c r="D29" s="193" t="s">
        <v>149</v>
      </c>
      <c r="E29" s="194"/>
      <c r="F29" s="239">
        <f>SUMIFS('Actual - 2026'!$W$5:$W$56,'Actual - 2026'!$A$5:$A$56,'MILA 2F - Overview'!D29)</f>
        <v>332827.59000000003</v>
      </c>
      <c r="G29" s="233">
        <f>SUMIFS('Budget - 2026'!$AP$5:$AP$56,'Budget - 2026'!$B$5:$B$56,'MILA 2F - Overview'!D29)</f>
        <v>338522.29061999987</v>
      </c>
      <c r="H29" s="247">
        <f t="shared" si="3"/>
        <v>-1.6822232324997157E-2</v>
      </c>
      <c r="I29" s="194"/>
      <c r="J29" s="239">
        <f>SUMIFS('Budget - 2026'!$AS$5:$AS$56,'Budget - 2026'!$B$5:$B$56,'MILA 2F - Overview'!D29)</f>
        <v>373790</v>
      </c>
      <c r="K29" s="251">
        <f t="shared" si="1"/>
        <v>-0.10958669306294971</v>
      </c>
      <c r="L29" s="194"/>
      <c r="M29" s="239">
        <f>SUMIFS('Actual - 2026'!$N$5:$N$56,'Actual - 2026'!$A$5:$A$56,'MILA 2F - Overview'!D29)</f>
        <v>22218</v>
      </c>
      <c r="N29" s="233">
        <f>SUMIFS('Budget - 2026'!$X$5:$X$56,'Budget - 2026'!$B$5:$B$56,'MILA 2F - Overview'!D29)</f>
        <v>21694.900280112044</v>
      </c>
      <c r="O29" s="240">
        <f>SUMIFS('Budget - 2026'!$AA$5:$AA$56,'Budget - 2026'!$B$5:$B$56,'MILA 2F - Overview'!D29)</f>
        <v>17561</v>
      </c>
      <c r="P29" s="239">
        <f>SUMIFS('Actual - 2026'!$Q$5:$Q$56,'Actual - 2026'!$A$5:$A$56,'MILA 2F - Overview'!D29)</f>
        <v>105560.35</v>
      </c>
      <c r="Q29" s="233">
        <f>SUMIFS('Budget - 2026'!$AD$5:$AD$56,'Budget - 2026'!$B$5:$B$56,'MILA 2F - Overview'!D29)</f>
        <v>59799.343896560065</v>
      </c>
      <c r="R29" s="240">
        <f>SUMIFS('Budget - 2026'!$AG$5:$AG$56,'Budget - 2026'!$B$5:$B$56,'MILA 2F - Overview'!D29)</f>
        <v>62700</v>
      </c>
      <c r="S29" s="239">
        <f>SUMIFS('Actual - 2026'!$T$5:$T$56,'Actual - 2026'!$A$5:$A$56,'MILA 2F - Overview'!D29)</f>
        <v>205049.24000000002</v>
      </c>
      <c r="T29" s="233">
        <f>SUMIFS('Budget - 2026'!$AJ$5:$AJ$56,'Budget - 2026'!$B$5:$B$56,'MILA 2F - Overview'!D29)</f>
        <v>257028.04644332774</v>
      </c>
      <c r="U29" s="240">
        <f>SUMIFS('Budget - 2026'!$AM$5:$AM$56,'Budget - 2026'!$B$5:$B$56,'MILA 2F - Overview'!D29)</f>
        <v>293529</v>
      </c>
    </row>
    <row r="30" spans="2:21" s="108" customFormat="1" ht="22.15" customHeight="1">
      <c r="D30" s="193" t="s">
        <v>150</v>
      </c>
      <c r="E30" s="194"/>
      <c r="F30" s="239">
        <f>SUMIFS('Actual - 2026'!$W$5:$W$56,'Actual - 2026'!$A$5:$A$56,'MILA 2F - Overview'!D30)</f>
        <v>367646.01999999996</v>
      </c>
      <c r="G30" s="233">
        <f>SUMIFS('Budget - 2026'!$AP$5:$AP$56,'Budget - 2026'!$B$5:$B$56,'MILA 2F - Overview'!D30)</f>
        <v>325581.19469977432</v>
      </c>
      <c r="H30" s="247">
        <f t="shared" si="3"/>
        <v>0.12919918590204374</v>
      </c>
      <c r="I30" s="194"/>
      <c r="J30" s="239">
        <f>SUMIFS('Budget - 2026'!$AS$5:$AS$56,'Budget - 2026'!$B$5:$B$56,'MILA 2F - Overview'!D30)</f>
        <v>336621</v>
      </c>
      <c r="K30" s="251">
        <f t="shared" si="1"/>
        <v>9.2166026480819563E-2</v>
      </c>
      <c r="L30" s="194"/>
      <c r="M30" s="239">
        <f>SUMIFS('Actual - 2026'!$N$5:$N$56,'Actual - 2026'!$A$5:$A$56,'MILA 2F - Overview'!D30)</f>
        <v>20618</v>
      </c>
      <c r="N30" s="233">
        <f>SUMIFS('Budget - 2026'!$X$5:$X$56,'Budget - 2026'!$B$5:$B$56,'MILA 2F - Overview'!D30)</f>
        <v>25034.76862745098</v>
      </c>
      <c r="O30" s="240">
        <f>SUMIFS('Budget - 2026'!$AA$5:$AA$56,'Budget - 2026'!$B$5:$B$56,'MILA 2F - Overview'!D30)</f>
        <v>21363</v>
      </c>
      <c r="P30" s="239">
        <f>SUMIFS('Actual - 2026'!$Q$5:$Q$56,'Actual - 2026'!$A$5:$A$56,'MILA 2F - Overview'!D30)</f>
        <v>77585.61</v>
      </c>
      <c r="Q30" s="233">
        <f>SUMIFS('Budget - 2026'!$AD$5:$AD$56,'Budget - 2026'!$B$5:$B$56,'MILA 2F - Overview'!D30)</f>
        <v>61108.453886393683</v>
      </c>
      <c r="R30" s="240">
        <f>SUMIFS('Budget - 2026'!$AG$5:$AG$56,'Budget - 2026'!$B$5:$B$56,'MILA 2F - Overview'!D30)</f>
        <v>67751</v>
      </c>
      <c r="S30" s="239">
        <f>SUMIFS('Actual - 2026'!$T$5:$T$56,'Actual - 2026'!$A$5:$A$56,'MILA 2F - Overview'!D30)</f>
        <v>269442.40999999997</v>
      </c>
      <c r="T30" s="233">
        <f>SUMIFS('Budget - 2026'!$AJ$5:$AJ$56,'Budget - 2026'!$B$5:$B$56,'MILA 2F - Overview'!D30)</f>
        <v>239437.97218592966</v>
      </c>
      <c r="U30" s="240">
        <f>SUMIFS('Budget - 2026'!$AM$5:$AM$56,'Budget - 2026'!$B$5:$B$56,'MILA 2F - Overview'!D30)</f>
        <v>247507</v>
      </c>
    </row>
    <row r="31" spans="2:21" s="108" customFormat="1" ht="22.15" customHeight="1">
      <c r="D31" s="227" t="s">
        <v>256</v>
      </c>
      <c r="E31" s="194"/>
      <c r="F31" s="241">
        <f>SUM(F27:F30)</f>
        <v>1990192.9200000002</v>
      </c>
      <c r="G31" s="228">
        <f>SUM(G27:G30)</f>
        <v>1722042.7180688097</v>
      </c>
      <c r="H31" s="248">
        <f t="shared" si="3"/>
        <v>0.15571634728777711</v>
      </c>
      <c r="I31" s="194"/>
      <c r="J31" s="241">
        <f>SUM(J27:J30)</f>
        <v>1755158</v>
      </c>
      <c r="K31" s="248">
        <f>IFERROR((F31-J31)/J31,0)</f>
        <v>0.13391097553610568</v>
      </c>
      <c r="L31" s="194"/>
      <c r="M31" s="241">
        <f t="shared" ref="M31:U31" si="7">SUM(M27:M30)</f>
        <v>113815.5</v>
      </c>
      <c r="N31" s="228">
        <f t="shared" si="7"/>
        <v>122887.89299719888</v>
      </c>
      <c r="O31" s="242">
        <f t="shared" si="7"/>
        <v>93176</v>
      </c>
      <c r="P31" s="241">
        <f t="shared" si="7"/>
        <v>532376.16</v>
      </c>
      <c r="Q31" s="228">
        <f t="shared" si="7"/>
        <v>348881.28589927091</v>
      </c>
      <c r="R31" s="242">
        <f t="shared" si="7"/>
        <v>297793</v>
      </c>
      <c r="S31" s="241">
        <f t="shared" si="7"/>
        <v>1344001.26</v>
      </c>
      <c r="T31" s="228">
        <f t="shared" si="7"/>
        <v>1250273.5391723397</v>
      </c>
      <c r="U31" s="242">
        <f t="shared" si="7"/>
        <v>1364189</v>
      </c>
    </row>
    <row r="32" spans="2:21" s="108" customFormat="1" ht="22.15" customHeight="1">
      <c r="D32" s="193" t="s">
        <v>153</v>
      </c>
      <c r="E32" s="194"/>
      <c r="F32" s="239">
        <f>SUMIFS('Actual - 2026'!$W$5:$W$56,'Actual - 2026'!$A$5:$A$56,'MILA 2F - Overview'!D32)</f>
        <v>370944</v>
      </c>
      <c r="G32" s="233">
        <f>SUMIFS('Budget - 2026'!$AP$5:$AP$56,'Budget - 2026'!$B$5:$B$56,'MILA 2F - Overview'!D32)</f>
        <v>295124.35093272279</v>
      </c>
      <c r="H32" s="247">
        <f t="shared" si="3"/>
        <v>0.25690746570946704</v>
      </c>
      <c r="I32" s="194"/>
      <c r="J32" s="239">
        <f>SUMIFS('Budget - 2026'!$AS$5:$AS$56,'Budget - 2026'!$B$5:$B$56,'MILA 2F - Overview'!D32)</f>
        <v>325818</v>
      </c>
      <c r="K32" s="251">
        <f t="shared" si="1"/>
        <v>0.13850063532401524</v>
      </c>
      <c r="L32" s="194"/>
      <c r="M32" s="239">
        <f>SUMIFS('Actual - 2026'!$N$5:$N$56,'Actual - 2026'!$A$5:$A$56,'MILA 2F - Overview'!D32)</f>
        <v>17271</v>
      </c>
      <c r="N32" s="233">
        <f>SUMIFS('Budget - 2026'!$X$5:$X$56,'Budget - 2026'!$B$5:$B$56,'MILA 2F - Overview'!D32)</f>
        <v>22981.991973304474</v>
      </c>
      <c r="O32" s="240">
        <f>SUMIFS('Budget - 2026'!$AA$5:$AA$56,'Budget - 2026'!$B$5:$B$56,'MILA 2F - Overview'!D32)</f>
        <v>20198</v>
      </c>
      <c r="P32" s="239">
        <f>SUMIFS('Actual - 2026'!$Q$5:$Q$56,'Actual - 2026'!$A$5:$A$56,'MILA 2F - Overview'!D32)</f>
        <v>49181</v>
      </c>
      <c r="Q32" s="233">
        <f>SUMIFS('Budget - 2026'!$AD$5:$AD$56,'Budget - 2026'!$B$5:$B$56,'MILA 2F - Overview'!D32)</f>
        <v>49246.323797173514</v>
      </c>
      <c r="R32" s="240">
        <f>SUMIFS('Budget - 2026'!$AG$5:$AG$56,'Budget - 2026'!$B$5:$B$56,'MILA 2F - Overview'!D32)</f>
        <v>55219</v>
      </c>
      <c r="S32" s="239">
        <f>SUMIFS('Actual - 2026'!$T$5:$T$56,'Actual - 2026'!$A$5:$A$56,'MILA 2F - Overview'!D32)</f>
        <v>304492</v>
      </c>
      <c r="T32" s="233">
        <f>SUMIFS('Budget - 2026'!$AJ$5:$AJ$56,'Budget - 2026'!$B$5:$B$56,'MILA 2F - Overview'!D32)</f>
        <v>222896.03516224481</v>
      </c>
      <c r="U32" s="240">
        <f>SUMIFS('Budget - 2026'!$AM$5:$AM$56,'Budget - 2026'!$B$5:$B$56,'MILA 2F - Overview'!D32)</f>
        <v>250401</v>
      </c>
    </row>
    <row r="33" spans="4:21" s="108" customFormat="1" ht="22.15" customHeight="1">
      <c r="D33" s="193" t="s">
        <v>154</v>
      </c>
      <c r="E33" s="194"/>
      <c r="F33" s="239">
        <f>SUMIFS('Actual - 2026'!$W$5:$W$56,'Actual - 2026'!$A$5:$A$56,'MILA 2F - Overview'!D33)</f>
        <v>211449</v>
      </c>
      <c r="G33" s="233">
        <f>SUMIFS('Budget - 2026'!$AP$5:$AP$56,'Budget - 2026'!$B$5:$B$56,'MILA 2F - Overview'!D33)</f>
        <v>227802.41734741523</v>
      </c>
      <c r="H33" s="247">
        <f t="shared" si="3"/>
        <v>-7.1787725248214043E-2</v>
      </c>
      <c r="I33" s="194"/>
      <c r="J33" s="239">
        <f>SUMIFS('Budget - 2026'!$AS$5:$AS$56,'Budget - 2026'!$B$5:$B$56,'MILA 2F - Overview'!D33)</f>
        <v>227061</v>
      </c>
      <c r="K33" s="251">
        <f t="shared" si="1"/>
        <v>-6.8756853885079336E-2</v>
      </c>
      <c r="L33" s="194"/>
      <c r="M33" s="239">
        <f>SUMIFS('Actual - 2026'!$N$5:$N$56,'Actual - 2026'!$A$5:$A$56,'MILA 2F - Overview'!D33)</f>
        <v>18291</v>
      </c>
      <c r="N33" s="233">
        <f>SUMIFS('Budget - 2026'!$X$5:$X$56,'Budget - 2026'!$B$5:$B$56,'MILA 2F - Overview'!D33)</f>
        <v>20915.051106933999</v>
      </c>
      <c r="O33" s="240">
        <f>SUMIFS('Budget - 2026'!$AA$5:$AA$56,'Budget - 2026'!$B$5:$B$56,'MILA 2F - Overview'!D33)</f>
        <v>20874</v>
      </c>
      <c r="P33" s="239">
        <f>SUMIFS('Actual - 2026'!$Q$5:$Q$56,'Actual - 2026'!$A$5:$A$56,'MILA 2F - Overview'!D33)</f>
        <v>54002</v>
      </c>
      <c r="Q33" s="233">
        <f>SUMIFS('Budget - 2026'!$AD$5:$AD$56,'Budget - 2026'!$B$5:$B$56,'MILA 2F - Overview'!D33)</f>
        <v>35805.003301019933</v>
      </c>
      <c r="R33" s="240">
        <f>SUMIFS('Budget - 2026'!$AG$5:$AG$56,'Budget - 2026'!$B$5:$B$56,'MILA 2F - Overview'!D33)</f>
        <v>36646</v>
      </c>
      <c r="S33" s="239">
        <f>SUMIFS('Actual - 2026'!$T$5:$T$56,'Actual - 2026'!$A$5:$A$56,'MILA 2F - Overview'!D33)</f>
        <v>139156</v>
      </c>
      <c r="T33" s="233">
        <f>SUMIFS('Budget - 2026'!$AJ$5:$AJ$56,'Budget - 2026'!$B$5:$B$56,'MILA 2F - Overview'!D33)</f>
        <v>171082.36293946131</v>
      </c>
      <c r="U33" s="240">
        <f>SUMIFS('Budget - 2026'!$AM$5:$AM$56,'Budget - 2026'!$B$5:$B$56,'MILA 2F - Overview'!D33)</f>
        <v>169541</v>
      </c>
    </row>
    <row r="34" spans="4:21" s="108" customFormat="1" ht="22.15" customHeight="1">
      <c r="D34" s="193" t="s">
        <v>155</v>
      </c>
      <c r="E34" s="194"/>
      <c r="F34" s="239">
        <f>SUMIFS('Actual - 2026'!$W$5:$W$56,'Actual - 2026'!$A$5:$A$56,'MILA 2F - Overview'!D34)</f>
        <v>186500</v>
      </c>
      <c r="G34" s="233">
        <f>SUMIFS('Budget - 2026'!$AP$5:$AP$56,'Budget - 2026'!$B$5:$B$56,'MILA 2F - Overview'!D34)</f>
        <v>211042.11141881463</v>
      </c>
      <c r="H34" s="247">
        <f t="shared" si="3"/>
        <v>-0.11629011505722964</v>
      </c>
      <c r="I34" s="194"/>
      <c r="J34" s="239">
        <f>SUMIFS('Budget - 2026'!$AS$5:$AS$56,'Budget - 2026'!$B$5:$B$56,'MILA 2F - Overview'!D34)</f>
        <v>225072</v>
      </c>
      <c r="K34" s="251">
        <f t="shared" si="1"/>
        <v>-0.17137627070448569</v>
      </c>
      <c r="L34" s="194"/>
      <c r="M34" s="239">
        <f>SUMIFS('Actual - 2026'!$N$5:$N$56,'Actual - 2026'!$A$5:$A$56,'MILA 2F - Overview'!D34)</f>
        <v>17273</v>
      </c>
      <c r="N34" s="233">
        <f>SUMIFS('Budget - 2026'!$X$5:$X$56,'Budget - 2026'!$B$5:$B$56,'MILA 2F - Overview'!D34)</f>
        <v>17361.658022898155</v>
      </c>
      <c r="O34" s="240">
        <f>SUMIFS('Budget - 2026'!$AA$5:$AA$56,'Budget - 2026'!$B$5:$B$56,'MILA 2F - Overview'!D34)</f>
        <v>16628</v>
      </c>
      <c r="P34" s="239">
        <f>SUMIFS('Actual - 2026'!$Q$5:$Q$56,'Actual - 2026'!$A$5:$A$56,'MILA 2F - Overview'!D34)</f>
        <v>30903</v>
      </c>
      <c r="Q34" s="233">
        <f>SUMIFS('Budget - 2026'!$AD$5:$AD$56,'Budget - 2026'!$B$5:$B$56,'MILA 2F - Overview'!D34)</f>
        <v>30385.545849720751</v>
      </c>
      <c r="R34" s="240">
        <f>SUMIFS('Budget - 2026'!$AG$5:$AG$56,'Budget - 2026'!$B$5:$B$56,'MILA 2F - Overview'!D34)</f>
        <v>29488</v>
      </c>
      <c r="S34" s="239">
        <f>SUMIFS('Actual - 2026'!$T$5:$T$56,'Actual - 2026'!$A$5:$A$56,'MILA 2F - Overview'!D34)</f>
        <v>138324</v>
      </c>
      <c r="T34" s="233">
        <f>SUMIFS('Budget - 2026'!$AJ$5:$AJ$56,'Budget - 2026'!$B$5:$B$56,'MILA 2F - Overview'!D34)</f>
        <v>163294.90754619573</v>
      </c>
      <c r="U34" s="240">
        <f>SUMIFS('Budget - 2026'!$AM$5:$AM$56,'Budget - 2026'!$B$5:$B$56,'MILA 2F - Overview'!D34)</f>
        <v>178956</v>
      </c>
    </row>
    <row r="35" spans="4:21" s="108" customFormat="1" ht="22.15" customHeight="1">
      <c r="D35" s="193" t="s">
        <v>156</v>
      </c>
      <c r="E35" s="194"/>
      <c r="F35" s="239">
        <f>SUMIFS('Actual - 2026'!$W$5:$W$56,'Actual - 2026'!$A$5:$A$56,'MILA 2F - Overview'!D35)</f>
        <v>219792.4</v>
      </c>
      <c r="G35" s="233">
        <f>SUMIFS('Budget - 2026'!$AP$5:$AP$56,'Budget - 2026'!$B$5:$B$56,'MILA 2F - Overview'!D35)</f>
        <v>389659.25329431897</v>
      </c>
      <c r="H35" s="247">
        <f t="shared" si="3"/>
        <v>-0.43593691631394282</v>
      </c>
      <c r="I35" s="194"/>
      <c r="J35" s="239">
        <f>SUMIFS('Budget - 2026'!$AS$5:$AS$56,'Budget - 2026'!$B$5:$B$56,'MILA 2F - Overview'!D35)</f>
        <v>275660</v>
      </c>
      <c r="K35" s="251">
        <f t="shared" si="1"/>
        <v>-0.2026685046796779</v>
      </c>
      <c r="L35" s="194"/>
      <c r="M35" s="239">
        <f>SUMIFS('Actual - 2026'!$N$5:$N$56,'Actual - 2026'!$A$5:$A$56,'MILA 2F - Overview'!D35)</f>
        <v>15028.4</v>
      </c>
      <c r="N35" s="233">
        <f>SUMIFS('Budget - 2026'!$X$5:$X$56,'Budget - 2026'!$B$5:$B$56,'MILA 2F - Overview'!D35)</f>
        <v>19524.6195669097</v>
      </c>
      <c r="O35" s="240">
        <f>SUMIFS('Budget - 2026'!$AA$5:$AA$56,'Budget - 2026'!$B$5:$B$56,'MILA 2F - Overview'!D35)</f>
        <v>21082</v>
      </c>
      <c r="P35" s="239">
        <f>SUMIFS('Actual - 2026'!$Q$5:$Q$56,'Actual - 2026'!$A$5:$A$56,'MILA 2F - Overview'!D35)</f>
        <v>44373.45</v>
      </c>
      <c r="Q35" s="233">
        <f>SUMIFS('Budget - 2026'!$AD$5:$AD$56,'Budget - 2026'!$B$5:$B$56,'MILA 2F - Overview'!D35)</f>
        <v>59624.699747851162</v>
      </c>
      <c r="R35" s="240">
        <f>SUMIFS('Budget - 2026'!$AG$5:$AG$56,'Budget - 2026'!$B$5:$B$56,'MILA 2F - Overview'!D35)</f>
        <v>43247</v>
      </c>
      <c r="S35" s="239">
        <f>SUMIFS('Actual - 2026'!$T$5:$T$56,'Actual - 2026'!$A$5:$A$56,'MILA 2F - Overview'!D35)</f>
        <v>160390.54999999999</v>
      </c>
      <c r="T35" s="233">
        <f>SUMIFS('Budget - 2026'!$AJ$5:$AJ$56,'Budget - 2026'!$B$5:$B$56,'MILA 2F - Overview'!D35)</f>
        <v>310509.93397955812</v>
      </c>
      <c r="U35" s="240">
        <f>SUMIFS('Budget - 2026'!$AM$5:$AM$56,'Budget - 2026'!$B$5:$B$56,'MILA 2F - Overview'!D35)</f>
        <v>211331</v>
      </c>
    </row>
    <row r="36" spans="4:21" s="108" customFormat="1" ht="22.15" customHeight="1">
      <c r="D36" s="193" t="s">
        <v>157</v>
      </c>
      <c r="E36" s="194"/>
      <c r="F36" s="239">
        <f>SUMIFS('Actual - 2026'!$W$5:$W$56,'Actual - 2026'!$A$5:$A$56,'MILA 2F - Overview'!D36)</f>
        <v>323459.28000000003</v>
      </c>
      <c r="G36" s="233">
        <f>SUMIFS('Budget - 2026'!$AP$5:$AP$56,'Budget - 2026'!$B$5:$B$56,'MILA 2F - Overview'!D36)</f>
        <v>372066.41239795461</v>
      </c>
      <c r="H36" s="247">
        <f t="shared" si="3"/>
        <v>-0.13064101133097011</v>
      </c>
      <c r="I36" s="194"/>
      <c r="J36" s="239">
        <f>SUMIFS('Budget - 2026'!$AS$5:$AS$56,'Budget - 2026'!$B$5:$B$56,'MILA 2F - Overview'!D36)</f>
        <v>209711</v>
      </c>
      <c r="K36" s="251">
        <f t="shared" si="1"/>
        <v>0.54240492868757495</v>
      </c>
      <c r="L36" s="194"/>
      <c r="M36" s="239">
        <f>SUMIFS('Actual - 2026'!$N$5:$N$56,'Actual - 2026'!$A$5:$A$56,'MILA 2F - Overview'!D36)</f>
        <v>19472.099999999999</v>
      </c>
      <c r="N36" s="233">
        <f>SUMIFS('Budget - 2026'!$X$5:$X$56,'Budget - 2026'!$B$5:$B$56,'MILA 2F - Overview'!D36)</f>
        <v>16016.679329953671</v>
      </c>
      <c r="O36" s="240">
        <f>SUMIFS('Budget - 2026'!$AA$5:$AA$56,'Budget - 2026'!$B$5:$B$56,'MILA 2F - Overview'!D36)</f>
        <v>18017.25</v>
      </c>
      <c r="P36" s="239">
        <f>SUMIFS('Actual - 2026'!$Q$5:$Q$56,'Actual - 2026'!$A$5:$A$56,'MILA 2F - Overview'!D36)</f>
        <v>57073.9</v>
      </c>
      <c r="Q36" s="233">
        <f>SUMIFS('Budget - 2026'!$AD$5:$AD$56,'Budget - 2026'!$B$5:$B$56,'MILA 2F - Overview'!D36)</f>
        <v>57733.424820912871</v>
      </c>
      <c r="R36" s="240">
        <f>SUMIFS('Budget - 2026'!$AG$5:$AG$56,'Budget - 2026'!$B$5:$B$56,'MILA 2F - Overview'!D36)</f>
        <v>29555</v>
      </c>
      <c r="S36" s="239">
        <f>SUMIFS('Actual - 2026'!$T$5:$T$56,'Actual - 2026'!$A$5:$A$56,'MILA 2F - Overview'!D36)</f>
        <v>246913.28</v>
      </c>
      <c r="T36" s="233">
        <f>SUMIFS('Budget - 2026'!$AJ$5:$AJ$56,'Budget - 2026'!$B$5:$B$56,'MILA 2F - Overview'!D36)</f>
        <v>298316.30824708805</v>
      </c>
      <c r="U36" s="240">
        <f>SUMIFS('Budget - 2026'!$AM$5:$AM$56,'Budget - 2026'!$B$5:$B$56,'MILA 2F - Overview'!D36)</f>
        <v>162138.75</v>
      </c>
    </row>
    <row r="37" spans="4:21" s="108" customFormat="1" ht="22.15" customHeight="1">
      <c r="D37" s="227" t="s">
        <v>257</v>
      </c>
      <c r="E37" s="194"/>
      <c r="F37" s="241">
        <f>SUM(F32:F36)</f>
        <v>1312144.6800000002</v>
      </c>
      <c r="G37" s="228">
        <f>SUM(G32:G36)</f>
        <v>1495694.5453912262</v>
      </c>
      <c r="H37" s="248">
        <f t="shared" si="3"/>
        <v>-0.12271881712533438</v>
      </c>
      <c r="I37" s="194"/>
      <c r="J37" s="241">
        <f>SUM(J32:J36)</f>
        <v>1263322</v>
      </c>
      <c r="K37" s="248">
        <f>IFERROR((F37-J37)/J37,0)</f>
        <v>3.8646267539075678E-2</v>
      </c>
      <c r="L37" s="194"/>
      <c r="M37" s="241">
        <f t="shared" ref="M37:U37" si="8">SUM(M32:M36)</f>
        <v>87335.5</v>
      </c>
      <c r="N37" s="228">
        <f t="shared" si="8"/>
        <v>96799.999999999985</v>
      </c>
      <c r="O37" s="242">
        <f t="shared" si="8"/>
        <v>96799.25</v>
      </c>
      <c r="P37" s="241">
        <f t="shared" si="8"/>
        <v>235533.35</v>
      </c>
      <c r="Q37" s="228">
        <f t="shared" si="8"/>
        <v>232794.99751667824</v>
      </c>
      <c r="R37" s="242">
        <f t="shared" si="8"/>
        <v>194155</v>
      </c>
      <c r="S37" s="241">
        <f t="shared" si="8"/>
        <v>989275.83000000007</v>
      </c>
      <c r="T37" s="228">
        <f t="shared" si="8"/>
        <v>1166099.547874548</v>
      </c>
      <c r="U37" s="242">
        <f t="shared" si="8"/>
        <v>972367.75</v>
      </c>
    </row>
    <row r="38" spans="4:21" s="108" customFormat="1" ht="22.15" customHeight="1">
      <c r="D38" s="193" t="s">
        <v>160</v>
      </c>
      <c r="E38" s="194"/>
      <c r="F38" s="239">
        <f>SUMIFS('Actual - 2026'!$W$5:$W$56,'Actual - 2026'!$A$5:$A$56,'MILA 2F - Overview'!D38)</f>
        <v>205993.04</v>
      </c>
      <c r="G38" s="233">
        <f>SUMIFS('Budget - 2026'!$AP$5:$AP$56,'Budget - 2026'!$B$5:$B$56,'MILA 2F - Overview'!D38)</f>
        <v>302697.11629919615</v>
      </c>
      <c r="H38" s="247">
        <f t="shared" si="3"/>
        <v>-0.31947471942088318</v>
      </c>
      <c r="I38" s="194"/>
      <c r="J38" s="239">
        <f>SUMIFS('Budget - 2026'!$AS$5:$AS$56,'Budget - 2026'!$B$5:$B$56,'MILA 2F - Overview'!D38)</f>
        <v>184809.87</v>
      </c>
      <c r="K38" s="251">
        <f t="shared" si="1"/>
        <v>0.11462142146412425</v>
      </c>
      <c r="L38" s="194"/>
      <c r="M38" s="239">
        <f>SUMIFS('Actual - 2026'!$N$5:$N$56,'Actual - 2026'!$A$5:$A$56,'MILA 2F - Overview'!D38)</f>
        <v>20681.25</v>
      </c>
      <c r="N38" s="233">
        <f>SUMIFS('Budget - 2026'!$X$5:$X$56,'Budget - 2026'!$B$5:$B$56,'MILA 2F - Overview'!D38)</f>
        <v>17346.913199426112</v>
      </c>
      <c r="O38" s="240">
        <f>SUMIFS('Budget - 2026'!$AA$5:$AA$56,'Budget - 2026'!$B$5:$B$56,'MILA 2F - Overview'!D38)</f>
        <v>17675.75</v>
      </c>
      <c r="P38" s="239">
        <f>SUMIFS('Actual - 2026'!$Q$5:$Q$56,'Actual - 2026'!$A$5:$A$56,'MILA 2F - Overview'!D38)</f>
        <v>22951</v>
      </c>
      <c r="Q38" s="233">
        <f>SUMIFS('Budget - 2026'!$AD$5:$AD$56,'Budget - 2026'!$B$5:$B$56,'MILA 2F - Overview'!D38)</f>
        <v>48441.863102200601</v>
      </c>
      <c r="R38" s="240">
        <f>SUMIFS('Budget - 2026'!$AG$5:$AG$56,'Budget - 2026'!$B$5:$B$56,'MILA 2F - Overview'!D38)</f>
        <v>27980</v>
      </c>
      <c r="S38" s="239">
        <f>SUMIFS('Actual - 2026'!$T$5:$T$56,'Actual - 2026'!$A$5:$A$56,'MILA 2F - Overview'!D38)</f>
        <v>162360.79</v>
      </c>
      <c r="T38" s="233">
        <f>SUMIFS('Budget - 2026'!$AJ$5:$AJ$56,'Budget - 2026'!$B$5:$B$56,'MILA 2F - Overview'!D38)</f>
        <v>236908.33999756942</v>
      </c>
      <c r="U38" s="240">
        <f>SUMIFS('Budget - 2026'!$AM$5:$AM$56,'Budget - 2026'!$B$5:$B$56,'MILA 2F - Overview'!D38)</f>
        <v>139154.12</v>
      </c>
    </row>
    <row r="39" spans="4:21" s="108" customFormat="1" ht="22.15" customHeight="1">
      <c r="D39" s="193" t="s">
        <v>161</v>
      </c>
      <c r="E39" s="194"/>
      <c r="F39" s="239">
        <f>SUMIFS('Actual - 2026'!$W$5:$W$56,'Actual - 2026'!$A$5:$A$56,'MILA 2F - Overview'!D39)</f>
        <v>338281.25</v>
      </c>
      <c r="G39" s="233">
        <f>SUMIFS('Budget - 2026'!$AP$5:$AP$56,'Budget - 2026'!$B$5:$B$56,'MILA 2F - Overview'!D39)</f>
        <v>458524.16427834844</v>
      </c>
      <c r="H39" s="247">
        <f t="shared" si="3"/>
        <v>-0.26223899119383082</v>
      </c>
      <c r="I39" s="194"/>
      <c r="J39" s="239">
        <f>SUMIFS('Budget - 2026'!$AS$5:$AS$56,'Budget - 2026'!$B$5:$B$56,'MILA 2F - Overview'!D39)</f>
        <v>201178.43999999997</v>
      </c>
      <c r="K39" s="251">
        <f t="shared" si="1"/>
        <v>0.6814985243945626</v>
      </c>
      <c r="L39" s="194"/>
      <c r="M39" s="239">
        <f>SUMIFS('Actual - 2026'!$N$5:$N$56,'Actual - 2026'!$A$5:$A$56,'MILA 2F - Overview'!D39)</f>
        <v>24859.5</v>
      </c>
      <c r="N39" s="233">
        <f>SUMIFS('Budget - 2026'!$X$5:$X$56,'Budget - 2026'!$B$5:$B$56,'MILA 2F - Overview'!D39)</f>
        <v>21668.217723708258</v>
      </c>
      <c r="O39" s="240">
        <f>SUMIFS('Budget - 2026'!$AA$5:$AA$56,'Budget - 2026'!$B$5:$B$56,'MILA 2F - Overview'!D39)</f>
        <v>22865.21</v>
      </c>
      <c r="P39" s="239">
        <f>SUMIFS('Actual - 2026'!$Q$5:$Q$56,'Actual - 2026'!$A$5:$A$56,'MILA 2F - Overview'!D39)</f>
        <v>59389.56</v>
      </c>
      <c r="Q39" s="233">
        <f>SUMIFS('Budget - 2026'!$AD$5:$AD$56,'Budget - 2026'!$B$5:$B$56,'MILA 2F - Overview'!D39)</f>
        <v>43508.784575554826</v>
      </c>
      <c r="R39" s="240">
        <f>SUMIFS('Budget - 2026'!$AG$5:$AG$56,'Budget - 2026'!$B$5:$B$56,'MILA 2F - Overview'!D39)</f>
        <v>28264.25</v>
      </c>
      <c r="S39" s="239">
        <f>SUMIFS('Actual - 2026'!$T$5:$T$56,'Actual - 2026'!$A$5:$A$56,'MILA 2F - Overview'!D39)</f>
        <v>254032.19</v>
      </c>
      <c r="T39" s="233">
        <f>SUMIFS('Budget - 2026'!$AJ$5:$AJ$56,'Budget - 2026'!$B$5:$B$56,'MILA 2F - Overview'!D39)</f>
        <v>393347.16197908536</v>
      </c>
      <c r="U39" s="240">
        <f>SUMIFS('Budget - 2026'!$AM$5:$AM$56,'Budget - 2026'!$B$5:$B$56,'MILA 2F - Overview'!D39)</f>
        <v>150048.97999999998</v>
      </c>
    </row>
    <row r="40" spans="4:21" s="108" customFormat="1" ht="22.15" customHeight="1">
      <c r="D40" s="193" t="s">
        <v>162</v>
      </c>
      <c r="E40" s="194"/>
      <c r="F40" s="239">
        <f>SUMIFS('Actual - 2026'!$W$5:$W$56,'Actual - 2026'!$A$5:$A$56,'MILA 2F - Overview'!D40)</f>
        <v>233056.01</v>
      </c>
      <c r="G40" s="233">
        <f>SUMIFS('Budget - 2026'!$AP$5:$AP$56,'Budget - 2026'!$B$5:$B$56,'MILA 2F - Overview'!D40)</f>
        <v>377643.98570904613</v>
      </c>
      <c r="H40" s="247">
        <f t="shared" si="3"/>
        <v>-0.38286847184279849</v>
      </c>
      <c r="I40" s="194"/>
      <c r="J40" s="239">
        <f>SUMIFS('Budget - 2026'!$AS$5:$AS$56,'Budget - 2026'!$B$5:$B$56,'MILA 2F - Overview'!D40)</f>
        <v>192750.13</v>
      </c>
      <c r="K40" s="251">
        <f t="shared" si="1"/>
        <v>0.20910948283147723</v>
      </c>
      <c r="L40" s="194"/>
      <c r="M40" s="239">
        <f>SUMIFS('Actual - 2026'!$N$5:$N$56,'Actual - 2026'!$A$5:$A$56,'MILA 2F - Overview'!D40)</f>
        <v>23612</v>
      </c>
      <c r="N40" s="233">
        <f>SUMIFS('Budget - 2026'!$X$5:$X$56,'Budget - 2026'!$B$5:$B$56,'MILA 2F - Overview'!D40)</f>
        <v>16403.606825239283</v>
      </c>
      <c r="O40" s="240">
        <f>SUMIFS('Budget - 2026'!$AA$5:$AA$56,'Budget - 2026'!$B$5:$B$56,'MILA 2F - Overview'!D40)</f>
        <v>16035.5</v>
      </c>
      <c r="P40" s="239">
        <f>SUMIFS('Actual - 2026'!$Q$5:$Q$56,'Actual - 2026'!$A$5:$A$56,'MILA 2F - Overview'!D40)</f>
        <v>42271</v>
      </c>
      <c r="Q40" s="233">
        <f>SUMIFS('Budget - 2026'!$AD$5:$AD$56,'Budget - 2026'!$B$5:$B$56,'MILA 2F - Overview'!D40)</f>
        <v>44100.603357039254</v>
      </c>
      <c r="R40" s="240">
        <f>SUMIFS('Budget - 2026'!$AG$5:$AG$56,'Budget - 2026'!$B$5:$B$56,'MILA 2F - Overview'!D40)</f>
        <v>31772.5</v>
      </c>
      <c r="S40" s="239">
        <f>SUMIFS('Actual - 2026'!$T$5:$T$56,'Actual - 2026'!$A$5:$A$56,'MILA 2F - Overview'!D40)</f>
        <v>167173.01</v>
      </c>
      <c r="T40" s="233">
        <f>SUMIFS('Budget - 2026'!$AJ$5:$AJ$56,'Budget - 2026'!$B$5:$B$56,'MILA 2F - Overview'!D40)</f>
        <v>317139.7755267676</v>
      </c>
      <c r="U40" s="240">
        <f>SUMIFS('Budget - 2026'!$AM$5:$AM$56,'Budget - 2026'!$B$5:$B$56,'MILA 2F - Overview'!D40)</f>
        <v>144942.13</v>
      </c>
    </row>
    <row r="41" spans="4:21" s="108" customFormat="1" ht="22.15" customHeight="1">
      <c r="D41" s="193" t="s">
        <v>163</v>
      </c>
      <c r="E41" s="194"/>
      <c r="F41" s="239">
        <f>SUMIFS('Actual - 2026'!$W$5:$W$56,'Actual - 2026'!$A$5:$A$56,'MILA 2F - Overview'!D41)</f>
        <v>243731.4</v>
      </c>
      <c r="G41" s="233">
        <f>SUMIFS('Budget - 2026'!$AP$5:$AP$56,'Budget - 2026'!$B$5:$B$56,'MILA 2F - Overview'!D41)</f>
        <v>317546.95373148145</v>
      </c>
      <c r="H41" s="247">
        <f t="shared" si="3"/>
        <v>-0.23245555614399024</v>
      </c>
      <c r="I41" s="194"/>
      <c r="J41" s="239">
        <f>SUMIFS('Budget - 2026'!$AS$5:$AS$56,'Budget - 2026'!$B$5:$B$56,'MILA 2F - Overview'!D41)</f>
        <v>234800.15</v>
      </c>
      <c r="K41" s="251">
        <f t="shared" si="1"/>
        <v>3.8037667352427161E-2</v>
      </c>
      <c r="L41" s="194"/>
      <c r="M41" s="239">
        <f>SUMIFS('Actual - 2026'!$N$5:$N$56,'Actual - 2026'!$A$5:$A$56,'MILA 2F - Overview'!D41)</f>
        <v>24325.4</v>
      </c>
      <c r="N41" s="233">
        <f>SUMIFS('Budget - 2026'!$X$5:$X$56,'Budget - 2026'!$B$5:$B$56,'MILA 2F - Overview'!D41)</f>
        <v>26145.262251626344</v>
      </c>
      <c r="O41" s="240">
        <f>SUMIFS('Budget - 2026'!$AA$5:$AA$56,'Budget - 2026'!$B$5:$B$56,'MILA 2F - Overview'!D41)</f>
        <v>26346.2</v>
      </c>
      <c r="P41" s="239">
        <f>SUMIFS('Actual - 2026'!$Q$5:$Q$56,'Actual - 2026'!$A$5:$A$56,'MILA 2F - Overview'!D41)</f>
        <v>51957</v>
      </c>
      <c r="Q41" s="233">
        <f>SUMIFS('Budget - 2026'!$AD$5:$AD$56,'Budget - 2026'!$B$5:$B$56,'MILA 2F - Overview'!D41)</f>
        <v>41552.334401659413</v>
      </c>
      <c r="R41" s="240">
        <f>SUMIFS('Budget - 2026'!$AG$5:$AG$56,'Budget - 2026'!$B$5:$B$56,'MILA 2F - Overview'!D41)</f>
        <v>56676.65</v>
      </c>
      <c r="S41" s="239">
        <f>SUMIFS('Actual - 2026'!$T$5:$T$56,'Actual - 2026'!$A$5:$A$56,'MILA 2F - Overview'!D41)</f>
        <v>167449</v>
      </c>
      <c r="T41" s="233">
        <f>SUMIFS('Budget - 2026'!$AJ$5:$AJ$56,'Budget - 2026'!$B$5:$B$56,'MILA 2F - Overview'!D41)</f>
        <v>249849.35707819572</v>
      </c>
      <c r="U41" s="240">
        <f>SUMIFS('Budget - 2026'!$AM$5:$AM$56,'Budget - 2026'!$B$5:$B$56,'MILA 2F - Overview'!D41)</f>
        <v>151777.29999999999</v>
      </c>
    </row>
    <row r="42" spans="4:21" s="108" customFormat="1" ht="22.15" customHeight="1">
      <c r="D42" s="227" t="s">
        <v>258</v>
      </c>
      <c r="E42" s="194"/>
      <c r="F42" s="241">
        <f>SUM(F38:F41)</f>
        <v>1021061.7000000001</v>
      </c>
      <c r="G42" s="228">
        <f>SUM(G38:G41)</f>
        <v>1456412.2200180721</v>
      </c>
      <c r="H42" s="248">
        <f t="shared" si="3"/>
        <v>-0.29891984840162211</v>
      </c>
      <c r="I42" s="194"/>
      <c r="J42" s="241">
        <f>SUM(J38:J41)</f>
        <v>813538.59</v>
      </c>
      <c r="K42" s="248">
        <f>IFERROR((F42-J42)/J42,0)</f>
        <v>0.2550869897886468</v>
      </c>
      <c r="L42" s="194"/>
      <c r="M42" s="241">
        <f t="shared" ref="M42:U42" si="9">SUM(M38:M41)</f>
        <v>93478.15</v>
      </c>
      <c r="N42" s="228">
        <f t="shared" si="9"/>
        <v>81564</v>
      </c>
      <c r="O42" s="242">
        <f t="shared" si="9"/>
        <v>82922.66</v>
      </c>
      <c r="P42" s="241">
        <f t="shared" si="9"/>
        <v>176568.56</v>
      </c>
      <c r="Q42" s="228">
        <f t="shared" si="9"/>
        <v>177603.58543645407</v>
      </c>
      <c r="R42" s="242">
        <f t="shared" si="9"/>
        <v>144693.4</v>
      </c>
      <c r="S42" s="241">
        <f t="shared" si="9"/>
        <v>751014.99</v>
      </c>
      <c r="T42" s="228">
        <f t="shared" si="9"/>
        <v>1197244.634581618</v>
      </c>
      <c r="U42" s="242">
        <f t="shared" si="9"/>
        <v>585922.53</v>
      </c>
    </row>
    <row r="43" spans="4:21" s="108" customFormat="1" ht="22.15" customHeight="1">
      <c r="D43" s="193" t="s">
        <v>166</v>
      </c>
      <c r="E43" s="194"/>
      <c r="F43" s="239">
        <f>SUMIFS('Actual - 2026'!$W$5:$W$56,'Actual - 2026'!$A$5:$A$56,'MILA 2F - Overview'!D43)</f>
        <v>174126</v>
      </c>
      <c r="G43" s="205">
        <f>SUMIFS('Budget - 2026'!$AP$5:$AP$56,'Budget - 2026'!$B$5:$B$56,'MILA 2F - Overview'!D43)</f>
        <v>298939.95305985515</v>
      </c>
      <c r="H43" s="247">
        <f t="shared" si="3"/>
        <v>-0.41752181928945548</v>
      </c>
      <c r="I43" s="194"/>
      <c r="J43" s="239">
        <f>SUMIFS('Budget - 2026'!$AS$5:$AS$56,'Budget - 2026'!$B$5:$B$56,'MILA 2F - Overview'!D43)</f>
        <v>241708.19</v>
      </c>
      <c r="K43" s="305">
        <f t="shared" si="1"/>
        <v>-0.27960239990212993</v>
      </c>
      <c r="L43" s="194"/>
      <c r="M43" s="239">
        <f>SUMIFS('Actual - 2026'!$N$5:$N$56,'Actual - 2026'!$A$5:$A$56,'MILA 2F - Overview'!D43)</f>
        <v>20987</v>
      </c>
      <c r="N43" s="233">
        <f>SUMIFS('Budget - 2026'!$X$5:$X$56,'Budget - 2026'!$B$5:$B$56,'MILA 2F - Overview'!D43)</f>
        <v>11421.97215784432</v>
      </c>
      <c r="O43" s="306">
        <f>SUMIFS('Budget - 2026'!$AA$5:$AA$56,'Budget - 2026'!$B$5:$B$56,'MILA 2F - Overview'!D43)</f>
        <v>13055</v>
      </c>
      <c r="P43" s="239">
        <f>SUMIFS('Actual - 2026'!$Q$5:$Q$56,'Actual - 2026'!$A$5:$A$56,'MILA 2F - Overview'!D43)</f>
        <v>33608.85</v>
      </c>
      <c r="Q43" s="233">
        <f>SUMIFS('Budget - 2026'!$AD$5:$AD$56,'Budget - 2026'!$B$5:$B$56,'MILA 2F - Overview'!D43)</f>
        <v>45045.710186513104</v>
      </c>
      <c r="R43" s="240">
        <f>SUMIFS('Budget - 2026'!$AG$5:$AG$56,'Budget - 2026'!$B$5:$B$56,'MILA 2F - Overview'!D43)</f>
        <v>48264</v>
      </c>
      <c r="S43" s="239">
        <f>SUMIFS('Actual - 2026'!$T$5:$T$56,'Actual - 2026'!$A$5:$A$56,'MILA 2F - Overview'!D43)</f>
        <v>119530.15000000001</v>
      </c>
      <c r="T43" s="233">
        <f>SUMIFS('Budget - 2026'!$AJ$5:$AJ$56,'Budget - 2026'!$B$5:$B$56,'MILA 2F - Overview'!D43)</f>
        <v>242472.27071549773</v>
      </c>
      <c r="U43" s="240">
        <f>SUMIFS('Budget - 2026'!$AM$5:$AM$56,'Budget - 2026'!$B$5:$B$56,'MILA 2F - Overview'!D43)</f>
        <v>180389.19</v>
      </c>
    </row>
    <row r="44" spans="4:21" s="108" customFormat="1" ht="22.15" customHeight="1">
      <c r="D44" s="193" t="s">
        <v>167</v>
      </c>
      <c r="E44" s="194"/>
      <c r="F44" s="239">
        <f>SUMIFS('Actual - 2026'!$W$5:$W$56,'Actual - 2026'!$A$5:$A$56,'MILA 2F - Overview'!D44)</f>
        <v>176817.5</v>
      </c>
      <c r="G44" s="205">
        <f>SUMIFS('Budget - 2026'!$AP$5:$AP$56,'Budget - 2026'!$B$5:$B$56,'MILA 2F - Overview'!D44)</f>
        <v>283912.127061343</v>
      </c>
      <c r="H44" s="247">
        <f t="shared" si="3"/>
        <v>-0.3772104706122813</v>
      </c>
      <c r="I44" s="194"/>
      <c r="J44" s="239">
        <f>SUMIFS('Budget - 2026'!$AS$5:$AS$56,'Budget - 2026'!$B$5:$B$56,'MILA 2F - Overview'!D44)</f>
        <v>224181.06</v>
      </c>
      <c r="K44" s="305">
        <f t="shared" si="1"/>
        <v>-0.21127369100672463</v>
      </c>
      <c r="L44" s="194"/>
      <c r="M44" s="239">
        <f>SUMIFS('Actual - 2026'!$N$5:$N$56,'Actual - 2026'!$A$5:$A$56,'MILA 2F - Overview'!D44)</f>
        <v>23072</v>
      </c>
      <c r="N44" s="233">
        <f>SUMIFS('Budget - 2026'!$X$5:$X$56,'Budget - 2026'!$B$5:$B$56,'MILA 2F - Overview'!D44)</f>
        <v>15309.314267173451</v>
      </c>
      <c r="O44" s="306">
        <f>SUMIFS('Budget - 2026'!$AA$5:$AA$56,'Budget - 2026'!$B$5:$B$56,'MILA 2F - Overview'!D44)</f>
        <v>14986</v>
      </c>
      <c r="P44" s="239">
        <f>SUMIFS('Actual - 2026'!$Q$5:$Q$56,'Actual - 2026'!$A$5:$A$56,'MILA 2F - Overview'!D44)</f>
        <v>32919</v>
      </c>
      <c r="Q44" s="233">
        <f>SUMIFS('Budget - 2026'!$AD$5:$AD$56,'Budget - 2026'!$B$5:$B$56,'MILA 2F - Overview'!D44)</f>
        <v>31619.641004011166</v>
      </c>
      <c r="R44" s="240">
        <f>SUMIFS('Budget - 2026'!$AG$5:$AG$56,'Budget - 2026'!$B$5:$B$56,'MILA 2F - Overview'!D44)</f>
        <v>34144.159999999996</v>
      </c>
      <c r="S44" s="239">
        <f>SUMIFS('Actual - 2026'!$T$5:$T$56,'Actual - 2026'!$A$5:$A$56,'MILA 2F - Overview'!D44)</f>
        <v>120826.5</v>
      </c>
      <c r="T44" s="233">
        <f>SUMIFS('Budget - 2026'!$AJ$5:$AJ$56,'Budget - 2026'!$B$5:$B$56,'MILA 2F - Overview'!D44)</f>
        <v>236983.17179015838</v>
      </c>
      <c r="U44" s="240">
        <f>SUMIFS('Budget - 2026'!$AM$5:$AM$56,'Budget - 2026'!$B$5:$B$56,'MILA 2F - Overview'!D44)</f>
        <v>175050.9</v>
      </c>
    </row>
    <row r="45" spans="4:21" s="108" customFormat="1" ht="22.15" customHeight="1">
      <c r="D45" s="193" t="s">
        <v>168</v>
      </c>
      <c r="E45" s="194"/>
      <c r="F45" s="239">
        <f>SUMIFS('Actual - 2026'!$W$5:$W$56,'Actual - 2026'!$A$5:$A$56,'MILA 2F - Overview'!D45)</f>
        <v>133033</v>
      </c>
      <c r="G45" s="233">
        <f>SUMIFS('Budget - 2026'!$AP$5:$AP$56,'Budget - 2026'!$B$5:$B$56,'MILA 2F - Overview'!D45)</f>
        <v>259520.4868459733</v>
      </c>
      <c r="H45" s="247">
        <f t="shared" si="3"/>
        <v>-0.48738921687151526</v>
      </c>
      <c r="I45" s="194"/>
      <c r="J45" s="239">
        <f>SUMIFS('Budget - 2026'!$AS$5:$AS$56,'Budget - 2026'!$B$5:$B$56,'MILA 2F - Overview'!D45)</f>
        <v>287119.06</v>
      </c>
      <c r="K45" s="251">
        <f t="shared" si="1"/>
        <v>-0.53666259564934493</v>
      </c>
      <c r="L45" s="194"/>
      <c r="M45" s="239">
        <f>SUMIFS('Actual - 2026'!$N$5:$N$56,'Actual - 2026'!$A$5:$A$56,'MILA 2F - Overview'!D45)</f>
        <v>15259</v>
      </c>
      <c r="N45" s="233">
        <f>SUMIFS('Budget - 2026'!$X$5:$X$56,'Budget - 2026'!$B$5:$B$56,'MILA 2F - Overview'!D45)</f>
        <v>19721.11300639659</v>
      </c>
      <c r="O45" s="240">
        <f>SUMIFS('Budget - 2026'!$AA$5:$AA$56,'Budget - 2026'!$B$5:$B$56,'MILA 2F - Overview'!D45)</f>
        <v>19808.05</v>
      </c>
      <c r="P45" s="239">
        <f>SUMIFS('Actual - 2026'!$Q$5:$Q$56,'Actual - 2026'!$A$5:$A$56,'MILA 2F - Overview'!D45)</f>
        <v>52841.3</v>
      </c>
      <c r="Q45" s="233">
        <f>SUMIFS('Budget - 2026'!$AD$5:$AD$56,'Budget - 2026'!$B$5:$B$56,'MILA 2F - Overview'!D45)</f>
        <v>54284.714757617527</v>
      </c>
      <c r="R45" s="240">
        <f>SUMIFS('Budget - 2026'!$AG$5:$AG$56,'Budget - 2026'!$B$5:$B$56,'MILA 2F - Overview'!D45)</f>
        <v>48089.06</v>
      </c>
      <c r="S45" s="239">
        <f>SUMIFS('Actual - 2026'!$T$5:$T$56,'Actual - 2026'!$A$5:$A$56,'MILA 2F - Overview'!D45)</f>
        <v>64932.7</v>
      </c>
      <c r="T45" s="233">
        <f>SUMIFS('Budget - 2026'!$AJ$5:$AJ$56,'Budget - 2026'!$B$5:$B$56,'MILA 2F - Overview'!D45)</f>
        <v>185514.65908195917</v>
      </c>
      <c r="U45" s="240">
        <f>SUMIFS('Budget - 2026'!$AM$5:$AM$56,'Budget - 2026'!$B$5:$B$56,'MILA 2F - Overview'!D45)</f>
        <v>219221.95</v>
      </c>
    </row>
    <row r="46" spans="4:21" s="108" customFormat="1" ht="22.15" customHeight="1">
      <c r="D46" s="193" t="s">
        <v>101</v>
      </c>
      <c r="E46" s="194"/>
      <c r="F46" s="239">
        <f>SUMIFS('Actual - 2026'!$W$5:$W$56,'Actual - 2026'!$A$5:$A$56,'MILA 2F - Overview'!D46)</f>
        <v>191603</v>
      </c>
      <c r="G46" s="233">
        <f>SUMIFS('Budget - 2026'!$AP$5:$AP$56,'Budget - 2026'!$B$5:$B$56,'MILA 2F - Overview'!D46)</f>
        <v>226577.17340646678</v>
      </c>
      <c r="H46" s="247">
        <f t="shared" si="3"/>
        <v>-0.15435876827594222</v>
      </c>
      <c r="I46" s="194"/>
      <c r="J46" s="239">
        <f>SUMIFS('Budget - 2026'!$AS$5:$AS$56,'Budget - 2026'!$B$5:$B$56,'MILA 2F - Overview'!D46)</f>
        <v>225616.5</v>
      </c>
      <c r="K46" s="251">
        <f t="shared" si="1"/>
        <v>-0.15075803409768346</v>
      </c>
      <c r="L46" s="194"/>
      <c r="M46" s="239">
        <f>SUMIFS('Actual - 2026'!$N$5:$N$56,'Actual - 2026'!$A$5:$A$56,'MILA 2F - Overview'!D46)</f>
        <v>17523</v>
      </c>
      <c r="N46" s="233">
        <f>SUMIFS('Budget - 2026'!$X$5:$X$56,'Budget - 2026'!$B$5:$B$56,'MILA 2F - Overview'!D46)</f>
        <v>23919.600568585643</v>
      </c>
      <c r="O46" s="240">
        <f>SUMIFS('Budget - 2026'!$AA$5:$AA$56,'Budget - 2026'!$B$5:$B$56,'MILA 2F - Overview'!D46)</f>
        <v>22674</v>
      </c>
      <c r="P46" s="239">
        <f>SUMIFS('Actual - 2026'!$Q$5:$Q$56,'Actual - 2026'!$A$5:$A$56,'MILA 2F - Overview'!D46)</f>
        <v>43187</v>
      </c>
      <c r="Q46" s="233">
        <f>SUMIFS('Budget - 2026'!$AD$5:$AD$56,'Budget - 2026'!$B$5:$B$56,'MILA 2F - Overview'!D46)</f>
        <v>38287.934051858196</v>
      </c>
      <c r="R46" s="240">
        <f>SUMIFS('Budget - 2026'!$AG$5:$AG$56,'Budget - 2026'!$B$5:$B$56,'MILA 2F - Overview'!D46)</f>
        <v>38901.75</v>
      </c>
      <c r="S46" s="239">
        <f>SUMIFS('Actual - 2026'!$T$5:$T$56,'Actual - 2026'!$A$5:$A$56,'MILA 2F - Overview'!D46)</f>
        <v>130893</v>
      </c>
      <c r="T46" s="233">
        <f>SUMIFS('Budget - 2026'!$AJ$5:$AJ$56,'Budget - 2026'!$B$5:$B$56,'MILA 2F - Overview'!D46)</f>
        <v>164369.63878602296</v>
      </c>
      <c r="U46" s="240">
        <f>SUMIFS('Budget - 2026'!$AM$5:$AM$56,'Budget - 2026'!$B$5:$B$56,'MILA 2F - Overview'!D46)</f>
        <v>164040.75</v>
      </c>
    </row>
    <row r="47" spans="4:21" s="108" customFormat="1" ht="22.15" customHeight="1">
      <c r="D47" s="227" t="s">
        <v>259</v>
      </c>
      <c r="E47" s="194"/>
      <c r="F47" s="241">
        <f>SUM(F43:F46)</f>
        <v>675579.5</v>
      </c>
      <c r="G47" s="228">
        <f>SUM(G43:G46)</f>
        <v>1068949.7403736382</v>
      </c>
      <c r="H47" s="248">
        <f t="shared" si="3"/>
        <v>-0.3679969464571276</v>
      </c>
      <c r="I47" s="194"/>
      <c r="J47" s="241">
        <f>SUM(J43:J46)</f>
        <v>978624.81</v>
      </c>
      <c r="K47" s="248">
        <f>IFERROR((F47-J47)/J47,0)</f>
        <v>-0.30966444637756529</v>
      </c>
      <c r="L47" s="194"/>
      <c r="M47" s="241">
        <f t="shared" ref="M47:U47" si="10">SUM(M43:M46)</f>
        <v>76841</v>
      </c>
      <c r="N47" s="228">
        <f t="shared" si="10"/>
        <v>70372</v>
      </c>
      <c r="O47" s="242">
        <f t="shared" si="10"/>
        <v>70523.05</v>
      </c>
      <c r="P47" s="241">
        <f t="shared" si="10"/>
        <v>162556.15000000002</v>
      </c>
      <c r="Q47" s="228">
        <f t="shared" si="10"/>
        <v>169238</v>
      </c>
      <c r="R47" s="242">
        <f t="shared" si="10"/>
        <v>169398.97</v>
      </c>
      <c r="S47" s="241">
        <f t="shared" si="10"/>
        <v>436182.35000000003</v>
      </c>
      <c r="T47" s="228">
        <f t="shared" si="10"/>
        <v>829339.74037363823</v>
      </c>
      <c r="U47" s="242">
        <f t="shared" si="10"/>
        <v>738702.79</v>
      </c>
    </row>
    <row r="48" spans="4:21" s="108" customFormat="1" ht="22.15" customHeight="1">
      <c r="D48" s="193" t="s">
        <v>171</v>
      </c>
      <c r="E48" s="194"/>
      <c r="F48" s="239">
        <f>SUMIFS('Actual - 2026'!$W$5:$W$56,'Actual - 2026'!$A$5:$A$56,'MILA 2F - Overview'!D48)</f>
        <v>0</v>
      </c>
      <c r="G48" s="233">
        <f>SUMIFS('Budget - 2026'!$AP$5:$AP$56,'Budget - 2026'!$B$5:$B$56,'MILA 2F - Overview'!D48)</f>
        <v>265323.01306649041</v>
      </c>
      <c r="H48" s="247">
        <f t="shared" si="3"/>
        <v>-1</v>
      </c>
      <c r="I48" s="194"/>
      <c r="J48" s="239">
        <f>SUMIFS('Budget - 2026'!$AS$5:$AS$56,'Budget - 2026'!$B$5:$B$56,'MILA 2F - Overview'!D48)</f>
        <v>271633.64</v>
      </c>
      <c r="K48" s="251">
        <f t="shared" si="1"/>
        <v>-1</v>
      </c>
      <c r="L48" s="194"/>
      <c r="M48" s="239">
        <f>SUMIFS('Actual - 2026'!$N$5:$N$56,'Actual - 2026'!$A$5:$A$56,'MILA 2F - Overview'!D48)</f>
        <v>0</v>
      </c>
      <c r="N48" s="233">
        <f>SUMIFS('Budget - 2026'!$X$5:$X$56,'Budget - 2026'!$B$5:$B$56,'MILA 2F - Overview'!D48)</f>
        <v>21682.99428084906</v>
      </c>
      <c r="O48" s="240">
        <f>SUMIFS('Budget - 2026'!$AA$5:$AA$56,'Budget - 2026'!$B$5:$B$56,'MILA 2F - Overview'!D48)</f>
        <v>21967.01</v>
      </c>
      <c r="P48" s="239">
        <f>SUMIFS('Actual - 2026'!$Q$5:$Q$56,'Actual - 2026'!$A$5:$A$56,'MILA 2F - Overview'!D48)</f>
        <v>0</v>
      </c>
      <c r="Q48" s="233">
        <f>SUMIFS('Budget - 2026'!$AD$5:$AD$56,'Budget - 2026'!$B$5:$B$56,'MILA 2F - Overview'!D48)</f>
        <v>57971.48736131737</v>
      </c>
      <c r="R48" s="240">
        <f>SUMIFS('Budget - 2026'!$AG$5:$AG$56,'Budget - 2026'!$B$5:$B$56,'MILA 2F - Overview'!D48)</f>
        <v>59367.93</v>
      </c>
      <c r="S48" s="239">
        <f>SUMIFS('Actual - 2026'!$T$5:$T$56,'Actual - 2026'!$A$5:$A$56,'MILA 2F - Overview'!D48)</f>
        <v>0</v>
      </c>
      <c r="T48" s="233">
        <f>SUMIFS('Budget - 2026'!$AJ$5:$AJ$56,'Budget - 2026'!$B$5:$B$56,'MILA 2F - Overview'!D48)</f>
        <v>185668.531424324</v>
      </c>
      <c r="U48" s="240">
        <f>SUMIFS('Budget - 2026'!$AM$5:$AM$56,'Budget - 2026'!$B$5:$B$56,'MILA 2F - Overview'!D48)</f>
        <v>190298.7</v>
      </c>
    </row>
    <row r="49" spans="4:21" s="108" customFormat="1" ht="22.15" customHeight="1">
      <c r="D49" s="193" t="s">
        <v>172</v>
      </c>
      <c r="E49" s="194"/>
      <c r="F49" s="239">
        <f>SUMIFS('Actual - 2026'!$W$5:$W$56,'Actual - 2026'!$A$5:$A$56,'MILA 2F - Overview'!D49)</f>
        <v>0</v>
      </c>
      <c r="G49" s="233">
        <f>SUMIFS('Budget - 2026'!$AP$5:$AP$56,'Budget - 2026'!$B$5:$B$56,'MILA 2F - Overview'!D49)</f>
        <v>196240.61006845554</v>
      </c>
      <c r="H49" s="247">
        <f t="shared" si="3"/>
        <v>-1</v>
      </c>
      <c r="I49" s="194"/>
      <c r="J49" s="239">
        <f>SUMIFS('Budget - 2026'!$AS$5:$AS$56,'Budget - 2026'!$B$5:$B$56,'MILA 2F - Overview'!D49)</f>
        <v>193364.36</v>
      </c>
      <c r="K49" s="251">
        <f t="shared" si="1"/>
        <v>-1</v>
      </c>
      <c r="L49" s="194"/>
      <c r="M49" s="239">
        <f>SUMIFS('Actual - 2026'!$N$5:$N$56,'Actual - 2026'!$A$5:$A$56,'MILA 2F - Overview'!D49)</f>
        <v>0</v>
      </c>
      <c r="N49" s="233">
        <f>SUMIFS('Budget - 2026'!$X$5:$X$56,'Budget - 2026'!$B$5:$B$56,'MILA 2F - Overview'!D49)</f>
        <v>20647.320978725911</v>
      </c>
      <c r="O49" s="240">
        <f>SUMIFS('Budget - 2026'!$AA$5:$AA$56,'Budget - 2026'!$B$5:$B$56,'MILA 2F - Overview'!D49)</f>
        <v>20494.75</v>
      </c>
      <c r="P49" s="239">
        <f>SUMIFS('Actual - 2026'!$Q$5:$Q$56,'Actual - 2026'!$A$5:$A$56,'MILA 2F - Overview'!D49)</f>
        <v>0</v>
      </c>
      <c r="Q49" s="233">
        <f>SUMIFS('Budget - 2026'!$AD$5:$AD$56,'Budget - 2026'!$B$5:$B$56,'MILA 2F - Overview'!D49)</f>
        <v>34563.207543668912</v>
      </c>
      <c r="R49" s="240">
        <f>SUMIFS('Budget - 2026'!$AG$5:$AG$56,'Budget - 2026'!$B$5:$B$56,'MILA 2F - Overview'!D49)</f>
        <v>36996.86</v>
      </c>
      <c r="S49" s="239">
        <f>SUMIFS('Actual - 2026'!$T$5:$T$56,'Actual - 2026'!$A$5:$A$56,'MILA 2F - Overview'!D49)</f>
        <v>0</v>
      </c>
      <c r="T49" s="233">
        <f>SUMIFS('Budget - 2026'!$AJ$5:$AJ$56,'Budget - 2026'!$B$5:$B$56,'MILA 2F - Overview'!D49)</f>
        <v>141030.08154606071</v>
      </c>
      <c r="U49" s="240">
        <f>SUMIFS('Budget - 2026'!$AM$5:$AM$56,'Budget - 2026'!$B$5:$B$56,'MILA 2F - Overview'!D49)</f>
        <v>135872.75</v>
      </c>
    </row>
    <row r="50" spans="4:21" s="108" customFormat="1" ht="22.15" customHeight="1">
      <c r="D50" s="193" t="s">
        <v>173</v>
      </c>
      <c r="E50" s="194"/>
      <c r="F50" s="239">
        <f>SUMIFS('Actual - 2026'!$W$5:$W$56,'Actual - 2026'!$A$5:$A$56,'MILA 2F - Overview'!D50)</f>
        <v>0</v>
      </c>
      <c r="G50" s="233">
        <f>SUMIFS('Budget - 2026'!$AP$5:$AP$56,'Budget - 2026'!$B$5:$B$56,'MILA 2F - Overview'!D50)</f>
        <v>262152.36600204615</v>
      </c>
      <c r="H50" s="247">
        <f t="shared" si="3"/>
        <v>-1</v>
      </c>
      <c r="I50" s="194"/>
      <c r="J50" s="239">
        <f>SUMIFS('Budget - 2026'!$AS$5:$AS$56,'Budget - 2026'!$B$5:$B$56,'MILA 2F - Overview'!D50)</f>
        <v>272955.15000000002</v>
      </c>
      <c r="K50" s="251">
        <f t="shared" si="1"/>
        <v>-1</v>
      </c>
      <c r="L50" s="194"/>
      <c r="M50" s="239">
        <f>SUMIFS('Actual - 2026'!$N$5:$N$56,'Actual - 2026'!$A$5:$A$56,'MILA 2F - Overview'!D50)</f>
        <v>0</v>
      </c>
      <c r="N50" s="233">
        <f>SUMIFS('Budget - 2026'!$X$5:$X$56,'Budget - 2026'!$B$5:$B$56,'MILA 2F - Overview'!D50)</f>
        <v>21884.816849238116</v>
      </c>
      <c r="O50" s="240">
        <f>SUMIFS('Budget - 2026'!$AA$5:$AA$56,'Budget - 2026'!$B$5:$B$56,'MILA 2F - Overview'!D50)</f>
        <v>21473.4</v>
      </c>
      <c r="P50" s="239">
        <f>SUMIFS('Actual - 2026'!$Q$5:$Q$56,'Actual - 2026'!$A$5:$A$56,'MILA 2F - Overview'!D50)</f>
        <v>0</v>
      </c>
      <c r="Q50" s="233">
        <f>SUMIFS('Budget - 2026'!$AD$5:$AD$56,'Budget - 2026'!$B$5:$B$56,'MILA 2F - Overview'!D50)</f>
        <v>65886.010771904024</v>
      </c>
      <c r="R50" s="240">
        <f>SUMIFS('Budget - 2026'!$AG$5:$AG$56,'Budget - 2026'!$B$5:$B$56,'MILA 2F - Overview'!D50)</f>
        <v>61340</v>
      </c>
      <c r="S50" s="239">
        <f>SUMIFS('Actual - 2026'!$T$5:$T$56,'Actual - 2026'!$A$5:$A$56,'MILA 2F - Overview'!D50)</f>
        <v>0</v>
      </c>
      <c r="T50" s="233">
        <f>SUMIFS('Budget - 2026'!$AJ$5:$AJ$56,'Budget - 2026'!$B$5:$B$56,'MILA 2F - Overview'!D50)</f>
        <v>174381.53838090401</v>
      </c>
      <c r="U50" s="240">
        <f>SUMIFS('Budget - 2026'!$AM$5:$AM$56,'Budget - 2026'!$B$5:$B$56,'MILA 2F - Overview'!D50)</f>
        <v>190141.75</v>
      </c>
    </row>
    <row r="51" spans="4:21" s="108" customFormat="1" ht="22.15" customHeight="1">
      <c r="D51" s="193" t="s">
        <v>174</v>
      </c>
      <c r="E51" s="194"/>
      <c r="F51" s="239">
        <f>SUMIFS('Actual - 2026'!$W$5:$W$56,'Actual - 2026'!$A$5:$A$56,'MILA 2F - Overview'!D51)</f>
        <v>0</v>
      </c>
      <c r="G51" s="233">
        <f>SUMIFS('Budget - 2026'!$AP$5:$AP$56,'Budget - 2026'!$B$5:$B$56,'MILA 2F - Overview'!D51)</f>
        <v>232982.00763429431</v>
      </c>
      <c r="H51" s="247">
        <f t="shared" si="3"/>
        <v>-1</v>
      </c>
      <c r="I51" s="194"/>
      <c r="J51" s="239">
        <f>SUMIFS('Budget - 2026'!$AS$5:$AS$56,'Budget - 2026'!$B$5:$B$56,'MILA 2F - Overview'!D51)</f>
        <v>243839.53999999995</v>
      </c>
      <c r="K51" s="251">
        <f t="shared" si="1"/>
        <v>-1</v>
      </c>
      <c r="L51" s="194"/>
      <c r="M51" s="239">
        <f>SUMIFS('Actual - 2026'!$N$5:$N$56,'Actual - 2026'!$A$5:$A$56,'MILA 2F - Overview'!D51)</f>
        <v>0</v>
      </c>
      <c r="N51" s="233">
        <f>SUMIFS('Budget - 2026'!$X$5:$X$56,'Budget - 2026'!$B$5:$B$56,'MILA 2F - Overview'!D51)</f>
        <v>20601.779809867388</v>
      </c>
      <c r="O51" s="240">
        <f>SUMIFS('Budget - 2026'!$AA$5:$AA$56,'Budget - 2026'!$B$5:$B$56,'MILA 2F - Overview'!D51)</f>
        <v>17519.599999999999</v>
      </c>
      <c r="P51" s="239">
        <f>SUMIFS('Actual - 2026'!$Z$5:$Z$56,'Actual - 2026'!$A$5:$A$56,'MILA 2F - Overview'!D51)</f>
        <v>0</v>
      </c>
      <c r="Q51" s="233">
        <f>SUMIFS('Budget - 2026'!$AD$5:$AD$56,'Budget - 2026'!$B$5:$B$56,'MILA 2F - Overview'!D51)</f>
        <v>51707.976562388547</v>
      </c>
      <c r="R51" s="240">
        <f>SUMIFS('Budget - 2026'!$AG$5:$AG$56,'Budget - 2026'!$B$5:$B$56,'MILA 2F - Overview'!D51)</f>
        <v>53872.2</v>
      </c>
      <c r="S51" s="239">
        <f>SUMIFS('Actual - 2026'!$T$5:$T$56,'Actual - 2026'!$A$5:$A$56,'MILA 2F - Overview'!D51)</f>
        <v>0</v>
      </c>
      <c r="T51" s="233">
        <f>SUMIFS('Budget - 2026'!$AJ$5:$AJ$56,'Budget - 2026'!$B$5:$B$56,'MILA 2F - Overview'!D51)</f>
        <v>160672.25126203836</v>
      </c>
      <c r="U51" s="240">
        <f>SUMIFS('Budget - 2026'!$AM$5:$AM$56,'Budget - 2026'!$B$5:$B$56,'MILA 2F - Overview'!D51)</f>
        <v>172447.73999999996</v>
      </c>
    </row>
    <row r="52" spans="4:21" s="108" customFormat="1" ht="22.15" customHeight="1">
      <c r="D52" s="193" t="s">
        <v>175</v>
      </c>
      <c r="E52" s="194"/>
      <c r="F52" s="239">
        <f>SUMIFS('Actual - 2026'!$W$5:$W$56,'Actual - 2026'!$A$5:$A$56,'MILA 2F - Overview'!D52)</f>
        <v>0</v>
      </c>
      <c r="G52" s="233">
        <f>SUMIFS('Budget - 2026'!$AP$5:$AP$56,'Budget - 2026'!$B$5:$B$56,'MILA 2F - Overview'!D52)</f>
        <v>258042.10322871362</v>
      </c>
      <c r="H52" s="247">
        <f t="shared" si="3"/>
        <v>-1</v>
      </c>
      <c r="I52" s="194"/>
      <c r="J52" s="239">
        <f>SUMIFS('Budget - 2026'!$AS$5:$AS$56,'Budget - 2026'!$B$5:$B$56,'MILA 2F - Overview'!D52)</f>
        <v>283447.82999999996</v>
      </c>
      <c r="K52" s="251">
        <f t="shared" si="1"/>
        <v>-1</v>
      </c>
      <c r="L52" s="194"/>
      <c r="M52" s="239">
        <f>SUMIFS('Actual - 2026'!$N$5:$N$56,'Actual - 2026'!$A$5:$A$56,'MILA 2F - Overview'!D52)</f>
        <v>0</v>
      </c>
      <c r="N52" s="233">
        <f>SUMIFS('Budget - 2026'!$X$5:$X$56,'Budget - 2026'!$B$5:$B$56,'MILA 2F - Overview'!D52)</f>
        <v>21706.088081319529</v>
      </c>
      <c r="O52" s="240">
        <f>SUMIFS('Budget - 2026'!$AA$5:$AA$56,'Budget - 2026'!$B$5:$B$56,'MILA 2F - Overview'!D52)</f>
        <v>24623.85</v>
      </c>
      <c r="P52" s="239">
        <f>SUMIFS('Actual - 2026'!$Z$5:$Z$56,'Actual - 2026'!$A$5:$A$56,'MILA 2F - Overview'!D52)</f>
        <v>0</v>
      </c>
      <c r="Q52" s="233">
        <f>SUMIFS('Budget - 2026'!$AD$5:$AD$56,'Budget - 2026'!$B$5:$B$56,'MILA 2F - Overview'!D52)</f>
        <v>52818.317760721155</v>
      </c>
      <c r="R52" s="240">
        <f>SUMIFS('Budget - 2026'!$AG$5:$AG$56,'Budget - 2026'!$B$5:$B$56,'MILA 2F - Overview'!D52)</f>
        <v>58137.58</v>
      </c>
      <c r="S52" s="239">
        <f>SUMIFS('Actual - 2026'!$T$5:$T$56,'Actual - 2026'!$A$5:$A$56,'MILA 2F - Overview'!D52)</f>
        <v>0</v>
      </c>
      <c r="T52" s="233">
        <f>SUMIFS('Budget - 2026'!$AJ$5:$AJ$56,'Budget - 2026'!$B$5:$B$56,'MILA 2F - Overview'!D52)</f>
        <v>183517.69738667295</v>
      </c>
      <c r="U52" s="240">
        <f>SUMIFS('Budget - 2026'!$AM$5:$AM$56,'Budget - 2026'!$B$5:$B$56,'MILA 2F - Overview'!D52)</f>
        <v>200686.4</v>
      </c>
    </row>
    <row r="53" spans="4:21" s="108" customFormat="1" ht="22.15" customHeight="1">
      <c r="D53" s="227" t="s">
        <v>260</v>
      </c>
      <c r="E53" s="194"/>
      <c r="F53" s="241">
        <f>SUM(F48:F52)</f>
        <v>0</v>
      </c>
      <c r="G53" s="228">
        <f>SUM(G48:G52)</f>
        <v>1214740.1000000001</v>
      </c>
      <c r="H53" s="248">
        <f t="shared" si="3"/>
        <v>-1</v>
      </c>
      <c r="I53" s="194"/>
      <c r="J53" s="241">
        <f>SUM(J48:J52)</f>
        <v>1265240.52</v>
      </c>
      <c r="K53" s="248">
        <f>IFERROR((F53-J53)/J53,0)</f>
        <v>-1</v>
      </c>
      <c r="L53" s="194"/>
      <c r="M53" s="241">
        <f t="shared" ref="M53:U53" si="11">SUM(M48:M52)</f>
        <v>0</v>
      </c>
      <c r="N53" s="228">
        <f t="shared" si="11"/>
        <v>106523</v>
      </c>
      <c r="O53" s="242">
        <f t="shared" si="11"/>
        <v>106078.60999999999</v>
      </c>
      <c r="P53" s="241">
        <f t="shared" si="11"/>
        <v>0</v>
      </c>
      <c r="Q53" s="228">
        <f t="shared" si="11"/>
        <v>262947</v>
      </c>
      <c r="R53" s="242">
        <f t="shared" si="11"/>
        <v>269714.57</v>
      </c>
      <c r="S53" s="241">
        <f t="shared" si="11"/>
        <v>0</v>
      </c>
      <c r="T53" s="228">
        <f t="shared" si="11"/>
        <v>845270.10000000009</v>
      </c>
      <c r="U53" s="242">
        <f t="shared" si="11"/>
        <v>889447.34</v>
      </c>
    </row>
    <row r="54" spans="4:21" s="108" customFormat="1" ht="22.15" customHeight="1">
      <c r="D54" s="193" t="s">
        <v>177</v>
      </c>
      <c r="E54" s="194"/>
      <c r="F54" s="239">
        <f>SUMIFS('Actual - 2026'!$W$5:$W$56,'Actual - 2026'!$A$5:$A$56,'MILA 2F - Overview'!D54)</f>
        <v>0</v>
      </c>
      <c r="G54" s="233">
        <f>SUMIFS('Budget - 2026'!$AP$5:$AP$56,'Budget - 2026'!$B$5:$B$56,'MILA 2F - Overview'!D54)</f>
        <v>268247.97058419173</v>
      </c>
      <c r="H54" s="247">
        <f t="shared" si="3"/>
        <v>-1</v>
      </c>
      <c r="I54" s="194"/>
      <c r="J54" s="239">
        <f>SUMIFS('Budget - 2026'!$AS$5:$AS$56,'Budget - 2026'!$B$5:$B$56,'MILA 2F - Overview'!D54)</f>
        <v>269766.25</v>
      </c>
      <c r="K54" s="251">
        <f t="shared" si="1"/>
        <v>-1</v>
      </c>
      <c r="L54" s="194"/>
      <c r="M54" s="239">
        <f>SUMIFS('Actual - 2026'!$N$5:$N$56,'Actual - 2026'!$A$5:$A$56,'MILA 2F - Overview'!D54)</f>
        <v>0</v>
      </c>
      <c r="N54" s="233">
        <f>SUMIFS('Budget - 2026'!$X$5:$X$56,'Budget - 2026'!$B$5:$B$56,'MILA 2F - Overview'!D54)</f>
        <v>14169.624156545209</v>
      </c>
      <c r="O54" s="240">
        <f>SUMIFS('Budget - 2026'!$AA$5:$AA$56,'Budget - 2026'!$B$5:$B$56,'MILA 2F - Overview'!D54)</f>
        <v>12531</v>
      </c>
      <c r="P54" s="239">
        <f>SUMIFS('Actual - 2026'!$Q$5:$Q$56,'Actual - 2026'!$A$5:$A$56,'MILA 2F - Overview'!D54)</f>
        <v>0</v>
      </c>
      <c r="Q54" s="233">
        <f>SUMIFS('Budget - 2026'!$AD$5:$AD$56,'Budget - 2026'!$B$5:$B$56,'MILA 2F - Overview'!D54)</f>
        <v>59773.354309243194</v>
      </c>
      <c r="R54" s="240">
        <f>SUMIFS('Budget - 2026'!$AG$5:$AG$56,'Budget - 2026'!$B$5:$B$56,'MILA 2F - Overview'!D54)</f>
        <v>65645.75</v>
      </c>
      <c r="S54" s="239">
        <f>SUMIFS('Actual - 2026'!$T$5:$T$56,'Actual - 2026'!$A$5:$A$56,'MILA 2F - Overview'!D54)</f>
        <v>0</v>
      </c>
      <c r="T54" s="233">
        <f>SUMIFS('Budget - 2026'!$AJ$5:$AJ$56,'Budget - 2026'!$B$5:$B$56,'MILA 2F - Overview'!D54)</f>
        <v>194304.99211840332</v>
      </c>
      <c r="U54" s="240">
        <f>SUMIFS('Budget - 2026'!$AM$5:$AM$56,'Budget - 2026'!$B$5:$B$56,'MILA 2F - Overview'!D54)</f>
        <v>191589.5</v>
      </c>
    </row>
    <row r="55" spans="4:21" s="108" customFormat="1" ht="22.15" customHeight="1">
      <c r="D55" s="193" t="s">
        <v>178</v>
      </c>
      <c r="E55" s="194"/>
      <c r="F55" s="239">
        <f>SUMIFS('Actual - 2026'!$W$5:$W$56,'Actual - 2026'!$A$5:$A$56,'MILA 2F - Overview'!D55)</f>
        <v>0</v>
      </c>
      <c r="G55" s="233">
        <f>SUMIFS('Budget - 2026'!$AP$5:$AP$56,'Budget - 2026'!$B$5:$B$56,'MILA 2F - Overview'!D55)</f>
        <v>304956.98134043213</v>
      </c>
      <c r="H55" s="247">
        <f t="shared" si="3"/>
        <v>-1</v>
      </c>
      <c r="I55" s="194"/>
      <c r="J55" s="239">
        <f>SUMIFS('Budget - 2026'!$AS$5:$AS$56,'Budget - 2026'!$B$5:$B$56,'MILA 2F - Overview'!D55)</f>
        <v>304498.25</v>
      </c>
      <c r="K55" s="251">
        <f t="shared" si="1"/>
        <v>-1</v>
      </c>
      <c r="L55" s="194"/>
      <c r="M55" s="239">
        <f>SUMIFS('Actual - 2026'!$N$5:$N$56,'Actual - 2026'!$A$5:$A$56,'MILA 2F - Overview'!D55)</f>
        <v>0</v>
      </c>
      <c r="N55" s="233">
        <f>SUMIFS('Budget - 2026'!$X$5:$X$56,'Budget - 2026'!$B$5:$B$56,'MILA 2F - Overview'!D55)</f>
        <v>17326.284458547616</v>
      </c>
      <c r="O55" s="240">
        <f>SUMIFS('Budget - 2026'!$AA$5:$AA$56,'Budget - 2026'!$B$5:$B$56,'MILA 2F - Overview'!D55)</f>
        <v>21486.95</v>
      </c>
      <c r="P55" s="239">
        <f>SUMIFS('Actual - 2026'!$Q$5:$Q$56,'Actual - 2026'!$A$5:$A$56,'MILA 2F - Overview'!D55)</f>
        <v>0</v>
      </c>
      <c r="Q55" s="233">
        <f>SUMIFS('Budget - 2026'!$AD$5:$AD$56,'Budget - 2026'!$B$5:$B$56,'MILA 2F - Overview'!D55)</f>
        <v>67509.073233808536</v>
      </c>
      <c r="R55" s="240">
        <f>SUMIFS('Budget - 2026'!$AG$5:$AG$56,'Budget - 2026'!$B$5:$B$56,'MILA 2F - Overview'!D55)</f>
        <v>64512.2</v>
      </c>
      <c r="S55" s="239">
        <f>SUMIFS('Actual - 2026'!$T$5:$T$56,'Actual - 2026'!$A$5:$A$56,'MILA 2F - Overview'!D55)</f>
        <v>0</v>
      </c>
      <c r="T55" s="233">
        <f>SUMIFS('Budget - 2026'!$AJ$5:$AJ$56,'Budget - 2026'!$B$5:$B$56,'MILA 2F - Overview'!D55)</f>
        <v>220121.62364807597</v>
      </c>
      <c r="U55" s="240">
        <f>SUMIFS('Budget - 2026'!$AM$5:$AM$56,'Budget - 2026'!$B$5:$B$56,'MILA 2F - Overview'!D55)</f>
        <v>218499.09999999998</v>
      </c>
    </row>
    <row r="56" spans="4:21" s="108" customFormat="1" ht="22.15" customHeight="1">
      <c r="D56" s="193" t="s">
        <v>179</v>
      </c>
      <c r="E56" s="194"/>
      <c r="F56" s="239">
        <f>SUMIFS('Actual - 2026'!$W$5:$W$56,'Actual - 2026'!$A$5:$A$56,'MILA 2F - Overview'!D56)</f>
        <v>0</v>
      </c>
      <c r="G56" s="233">
        <f>SUMIFS('Budget - 2026'!$AP$5:$AP$56,'Budget - 2026'!$B$5:$B$56,'MILA 2F - Overview'!D56)</f>
        <v>319323.33782905317</v>
      </c>
      <c r="H56" s="247">
        <f t="shared" si="3"/>
        <v>-1</v>
      </c>
      <c r="I56" s="194"/>
      <c r="J56" s="239">
        <f>SUMIFS('Budget - 2026'!$AS$5:$AS$56,'Budget - 2026'!$B$5:$B$56,'MILA 2F - Overview'!D56)</f>
        <v>323936</v>
      </c>
      <c r="K56" s="251">
        <f t="shared" si="1"/>
        <v>-1</v>
      </c>
      <c r="L56" s="194"/>
      <c r="M56" s="239">
        <f>SUMIFS('Actual - 2026'!$N$5:$N$56,'Actual - 2026'!$A$5:$A$56,'MILA 2F - Overview'!D56)</f>
        <v>0</v>
      </c>
      <c r="N56" s="233">
        <f>SUMIFS('Budget - 2026'!$X$5:$X$56,'Budget - 2026'!$B$5:$B$56,'MILA 2F - Overview'!D56)</f>
        <v>19213.516066673961</v>
      </c>
      <c r="O56" s="240">
        <f>SUMIFS('Budget - 2026'!$AA$5:$AA$56,'Budget - 2026'!$B$5:$B$56,'MILA 2F - Overview'!D56)</f>
        <v>18487</v>
      </c>
      <c r="P56" s="239">
        <f>SUMIFS('Actual - 2026'!$Q$5:$Q$56,'Actual - 2026'!$A$5:$A$56,'MILA 2F - Overview'!D56)</f>
        <v>0</v>
      </c>
      <c r="Q56" s="233">
        <f>SUMIFS('Budget - 2026'!$AD$5:$AD$56,'Budget - 2026'!$B$5:$B$56,'MILA 2F - Overview'!D56)</f>
        <v>64807.283104198301</v>
      </c>
      <c r="R56" s="240">
        <f>SUMIFS('Budget - 2026'!$AG$5:$AG$56,'Budget - 2026'!$B$5:$B$56,'MILA 2F - Overview'!D56)</f>
        <v>60490.5</v>
      </c>
      <c r="S56" s="239">
        <f>SUMIFS('Actual - 2026'!$T$5:$T$56,'Actual - 2026'!$A$5:$A$56,'MILA 2F - Overview'!D56)</f>
        <v>0</v>
      </c>
      <c r="T56" s="233">
        <f>SUMIFS('Budget - 2026'!$AJ$5:$AJ$56,'Budget - 2026'!$B$5:$B$56,'MILA 2F - Overview'!D56)</f>
        <v>235302.53865818089</v>
      </c>
      <c r="U56" s="240">
        <f>SUMIFS('Budget - 2026'!$AM$5:$AM$56,'Budget - 2026'!$B$5:$B$56,'MILA 2F - Overview'!D56)</f>
        <v>244958.5</v>
      </c>
    </row>
    <row r="57" spans="4:21" s="108" customFormat="1" ht="22.15" customHeight="1">
      <c r="D57" s="193" t="s">
        <v>180</v>
      </c>
      <c r="E57" s="194"/>
      <c r="F57" s="239">
        <f>SUMIFS('Actual - 2026'!$W$5:$W$56,'Actual - 2026'!$A$5:$A$56,'MILA 2F - Overview'!D57)</f>
        <v>0</v>
      </c>
      <c r="G57" s="233">
        <f>SUMIFS('Budget - 2026'!$AP$5:$AP$56,'Budget - 2026'!$B$5:$B$56,'MILA 2F - Overview'!D57)</f>
        <v>343825.71024632303</v>
      </c>
      <c r="H57" s="247">
        <f t="shared" si="3"/>
        <v>-1</v>
      </c>
      <c r="I57" s="194"/>
      <c r="J57" s="239">
        <f>SUMIFS('Budget - 2026'!$AS$5:$AS$56,'Budget - 2026'!$B$5:$B$56,'MILA 2F - Overview'!D57)</f>
        <v>411943.28</v>
      </c>
      <c r="K57" s="251">
        <f t="shared" si="1"/>
        <v>-1</v>
      </c>
      <c r="L57" s="194"/>
      <c r="M57" s="239">
        <f>SUMIFS('Actual - 2026'!$N$5:$N$56,'Actual - 2026'!$A$5:$A$56,'MILA 2F - Overview'!D57)</f>
        <v>0</v>
      </c>
      <c r="N57" s="233">
        <f>SUMIFS('Budget - 2026'!$X$5:$X$56,'Budget - 2026'!$B$5:$B$56,'MILA 2F - Overview'!D57)</f>
        <v>22215.575318233212</v>
      </c>
      <c r="O57" s="240">
        <f>SUMIFS('Budget - 2026'!$AA$5:$AA$56,'Budget - 2026'!$B$5:$B$56,'MILA 2F - Overview'!D57)</f>
        <v>19579</v>
      </c>
      <c r="P57" s="239">
        <f>SUMIFS('Actual - 2026'!$Z$5:$Z$56,'Actual - 2026'!$A$5:$A$56,'MILA 2F - Overview'!D57)</f>
        <v>0</v>
      </c>
      <c r="Q57" s="233">
        <f>SUMIFS('Budget - 2026'!$AD$5:$AD$56,'Budget - 2026'!$B$5:$B$56,'MILA 2F - Overview'!D57)</f>
        <v>93140.289352749969</v>
      </c>
      <c r="R57" s="240">
        <f>SUMIFS('Budget - 2026'!$AG$5:$AG$56,'Budget - 2026'!$B$5:$B$56,'MILA 2F - Overview'!D57)</f>
        <v>97092.760000000009</v>
      </c>
      <c r="S57" s="239">
        <f>SUMIFS('Actual - 2026'!$T$5:$T$56,'Actual - 2026'!$A$5:$A$56,'MILA 2F - Overview'!D57)</f>
        <v>0</v>
      </c>
      <c r="T57" s="233">
        <f>SUMIFS('Budget - 2026'!$AJ$5:$AJ$56,'Budget - 2026'!$B$5:$B$56,'MILA 2F - Overview'!D57)</f>
        <v>228469.84557533986</v>
      </c>
      <c r="U57" s="240">
        <f>SUMIFS('Budget - 2026'!$AM$5:$AM$56,'Budget - 2026'!$B$5:$B$56,'MILA 2F - Overview'!D57)</f>
        <v>295271.52</v>
      </c>
    </row>
    <row r="58" spans="4:21" s="108" customFormat="1" ht="22.15" customHeight="1">
      <c r="D58" s="227" t="s">
        <v>261</v>
      </c>
      <c r="E58" s="194"/>
      <c r="F58" s="241">
        <f>SUM(F54:F57)</f>
        <v>0</v>
      </c>
      <c r="G58" s="228">
        <f>SUM(G54:G57)</f>
        <v>1236354</v>
      </c>
      <c r="H58" s="248">
        <f t="shared" si="3"/>
        <v>-1</v>
      </c>
      <c r="I58" s="194"/>
      <c r="J58" s="241">
        <f>SUM(J54:J57)</f>
        <v>1310143.78</v>
      </c>
      <c r="K58" s="248">
        <f>IFERROR((F58-J58)/J58,0)</f>
        <v>-1</v>
      </c>
      <c r="L58" s="194"/>
      <c r="M58" s="241">
        <f t="shared" ref="M58:U58" si="12">SUM(M54:M57)</f>
        <v>0</v>
      </c>
      <c r="N58" s="228">
        <f t="shared" si="12"/>
        <v>72925</v>
      </c>
      <c r="O58" s="242">
        <f t="shared" si="12"/>
        <v>72083.95</v>
      </c>
      <c r="P58" s="241">
        <f t="shared" si="12"/>
        <v>0</v>
      </c>
      <c r="Q58" s="228">
        <f t="shared" si="12"/>
        <v>285230</v>
      </c>
      <c r="R58" s="242">
        <f t="shared" si="12"/>
        <v>287741.21000000002</v>
      </c>
      <c r="S58" s="241">
        <f t="shared" si="12"/>
        <v>0</v>
      </c>
      <c r="T58" s="228">
        <f t="shared" si="12"/>
        <v>878199</v>
      </c>
      <c r="U58" s="242">
        <f t="shared" si="12"/>
        <v>950318.62</v>
      </c>
    </row>
    <row r="59" spans="4:21" s="108" customFormat="1" ht="22.15" customHeight="1">
      <c r="D59" s="193" t="s">
        <v>183</v>
      </c>
      <c r="E59" s="194"/>
      <c r="F59" s="239">
        <f>SUMIFS('Actual - 2026'!$W$5:$W$56,'Actual - 2026'!$A$5:$A$56,'MILA 2F - Overview'!D59)</f>
        <v>0</v>
      </c>
      <c r="G59" s="233">
        <f>SUMIFS('Budget - 2026'!$AP$5:$AP$56,'Budget - 2026'!$B$5:$B$56,'MILA 2F - Overview'!D59)</f>
        <v>343962.33381202194</v>
      </c>
      <c r="H59" s="247">
        <f t="shared" si="3"/>
        <v>-1</v>
      </c>
      <c r="I59" s="194"/>
      <c r="J59" s="239">
        <f>SUMIFS('Budget - 2026'!$AS$5:$AS$56,'Budget - 2026'!$B$5:$B$56,'MILA 2F - Overview'!D59)</f>
        <v>334802.5</v>
      </c>
      <c r="K59" s="251">
        <f t="shared" si="1"/>
        <v>-1</v>
      </c>
      <c r="L59" s="194"/>
      <c r="M59" s="239">
        <f>SUMIFS('Actual - 2026'!$N$5:$N$56,'Actual - 2026'!$A$5:$A$56,'MILA 2F - Overview'!D59)</f>
        <v>0</v>
      </c>
      <c r="N59" s="233">
        <f>SUMIFS('Budget - 2026'!$X$5:$X$56,'Budget - 2026'!$B$5:$B$56,'MILA 2F - Overview'!D59)</f>
        <v>18010.864425401007</v>
      </c>
      <c r="O59" s="240">
        <f>SUMIFS('Budget - 2026'!$AA$5:$AA$56,'Budget - 2026'!$B$5:$B$56,'MILA 2F - Overview'!D59)</f>
        <v>17650</v>
      </c>
      <c r="P59" s="239">
        <f>SUMIFS('Actual - 2026'!$Q$5:$Q$56,'Actual - 2026'!$A$5:$A$56,'MILA 2F - Overview'!D59)</f>
        <v>0</v>
      </c>
      <c r="Q59" s="233">
        <f>SUMIFS('Budget - 2026'!$AD$5:$AD$56,'Budget - 2026'!$B$5:$B$56,'MILA 2F - Overview'!D59)</f>
        <v>77613.75626389918</v>
      </c>
      <c r="R59" s="240">
        <f>SUMIFS('Budget - 2026'!$AG$5:$AG$56,'Budget - 2026'!$B$5:$B$56,'MILA 2F - Overview'!D59)</f>
        <v>71251</v>
      </c>
      <c r="S59" s="239">
        <f>SUMIFS('Actual - 2026'!$T$5:$T$56,'Actual - 2026'!$A$5:$A$56,'MILA 2F - Overview'!D59)</f>
        <v>0</v>
      </c>
      <c r="T59" s="233">
        <f>SUMIFS('Budget - 2026'!$AJ$5:$AJ$56,'Budget - 2026'!$B$5:$B$56,'MILA 2F - Overview'!D59)</f>
        <v>248337.71312272176</v>
      </c>
      <c r="U59" s="240">
        <f>SUMIFS('Budget - 2026'!$AM$5:$AM$56,'Budget - 2026'!$B$5:$B$56,'MILA 2F - Overview'!D59)</f>
        <v>245901.5</v>
      </c>
    </row>
    <row r="60" spans="4:21" s="108" customFormat="1" ht="22.15" customHeight="1">
      <c r="D60" s="193" t="s">
        <v>184</v>
      </c>
      <c r="E60" s="194"/>
      <c r="F60" s="239">
        <f>SUMIFS('Actual - 2026'!$W$5:$W$56,'Actual - 2026'!$A$5:$A$56,'MILA 2F - Overview'!D60)</f>
        <v>0</v>
      </c>
      <c r="G60" s="233">
        <f>SUMIFS('Budget - 2026'!$AP$5:$AP$56,'Budget - 2026'!$B$5:$B$56,'MILA 2F - Overview'!D60)</f>
        <v>347954.29409322108</v>
      </c>
      <c r="H60" s="247">
        <f t="shared" si="3"/>
        <v>-1</v>
      </c>
      <c r="I60" s="194"/>
      <c r="J60" s="239">
        <f>SUMIFS('Budget - 2026'!$AS$5:$AS$56,'Budget - 2026'!$B$5:$B$56,'MILA 2F - Overview'!D60)</f>
        <v>348887.06000000006</v>
      </c>
      <c r="K60" s="251">
        <f t="shared" si="1"/>
        <v>-1</v>
      </c>
      <c r="L60" s="194"/>
      <c r="M60" s="239">
        <f>SUMIFS('Actual - 2026'!$N$5:$N$56,'Actual - 2026'!$A$5:$A$56,'MILA 2F - Overview'!D60)</f>
        <v>0</v>
      </c>
      <c r="N60" s="233">
        <f>SUMIFS('Budget - 2026'!$X$5:$X$56,'Budget - 2026'!$B$5:$B$56,'MILA 2F - Overview'!D60)</f>
        <v>22367.261426060206</v>
      </c>
      <c r="O60" s="240">
        <f>SUMIFS('Budget - 2026'!$AA$5:$AA$56,'Budget - 2026'!$B$5:$B$56,'MILA 2F - Overview'!D60)</f>
        <v>19564.3</v>
      </c>
      <c r="P60" s="239">
        <f>SUMIFS('Actual - 2026'!$Q$5:$Q$56,'Actual - 2026'!$A$5:$A$56,'MILA 2F - Overview'!D60)</f>
        <v>0</v>
      </c>
      <c r="Q60" s="233">
        <f>SUMIFS('Budget - 2026'!$AD$5:$AD$56,'Budget - 2026'!$B$5:$B$56,'MILA 2F - Overview'!D60)</f>
        <v>99434.250667160872</v>
      </c>
      <c r="R60" s="240">
        <f>SUMIFS('Budget - 2026'!$AG$5:$AG$56,'Budget - 2026'!$B$5:$B$56,'MILA 2F - Overview'!D60)</f>
        <v>81169.8</v>
      </c>
      <c r="S60" s="239">
        <f>SUMIFS('Actual - 2026'!$T$5:$T$56,'Actual - 2026'!$A$5:$A$56,'MILA 2F - Overview'!D60)</f>
        <v>0</v>
      </c>
      <c r="T60" s="233">
        <f>SUMIFS('Budget - 2026'!$AJ$5:$AJ$56,'Budget - 2026'!$B$5:$B$56,'MILA 2F - Overview'!D60)</f>
        <v>226152.78200000001</v>
      </c>
      <c r="U60" s="240">
        <f>SUMIFS('Budget - 2026'!$AM$5:$AM$56,'Budget - 2026'!$B$5:$B$56,'MILA 2F - Overview'!D60)</f>
        <v>248152.96000000002</v>
      </c>
    </row>
    <row r="61" spans="4:21" s="108" customFormat="1" ht="22.15" customHeight="1">
      <c r="D61" s="193" t="s">
        <v>185</v>
      </c>
      <c r="E61" s="194"/>
      <c r="F61" s="239">
        <f>SUMIFS('Actual - 2026'!$W$5:$W$56,'Actual - 2026'!$A$5:$A$56,'MILA 2F - Overview'!D61)</f>
        <v>0</v>
      </c>
      <c r="G61" s="233">
        <f>SUMIFS('Budget - 2026'!$AP$5:$AP$56,'Budget - 2026'!$B$5:$B$56,'MILA 2F - Overview'!D61)</f>
        <v>361528.43751515058</v>
      </c>
      <c r="H61" s="247">
        <f t="shared" si="3"/>
        <v>-1</v>
      </c>
      <c r="I61" s="194"/>
      <c r="J61" s="239">
        <f>SUMIFS('Budget - 2026'!$AS$5:$AS$56,'Budget - 2026'!$B$5:$B$56,'MILA 2F - Overview'!D61)</f>
        <v>391676.94</v>
      </c>
      <c r="K61" s="251">
        <f t="shared" si="1"/>
        <v>-1</v>
      </c>
      <c r="L61" s="194"/>
      <c r="M61" s="239">
        <f>SUMIFS('Actual - 2026'!$N$5:$N$56,'Actual - 2026'!$A$5:$A$56,'MILA 2F - Overview'!D61)</f>
        <v>0</v>
      </c>
      <c r="N61" s="233">
        <f>SUMIFS('Budget - 2026'!$X$5:$X$56,'Budget - 2026'!$B$5:$B$56,'MILA 2F - Overview'!D61)</f>
        <v>21055.938255328496</v>
      </c>
      <c r="O61" s="240">
        <f>SUMIFS('Budget - 2026'!$AA$5:$AA$56,'Budget - 2026'!$B$5:$B$56,'MILA 2F - Overview'!D61)</f>
        <v>20730</v>
      </c>
      <c r="P61" s="239">
        <f>SUMIFS('Actual - 2026'!$Q$5:$Q$56,'Actual - 2026'!$A$5:$A$56,'MILA 2F - Overview'!D61)</f>
        <v>0</v>
      </c>
      <c r="Q61" s="233">
        <f>SUMIFS('Budget - 2026'!$AD$5:$AD$56,'Budget - 2026'!$B$5:$B$56,'MILA 2F - Overview'!D61)</f>
        <v>100756.97575982209</v>
      </c>
      <c r="R61" s="240">
        <f>SUMIFS('Budget - 2026'!$AG$5:$AG$56,'Budget - 2026'!$B$5:$B$56,'MILA 2F - Overview'!D61)</f>
        <v>88733.25</v>
      </c>
      <c r="S61" s="239">
        <f>SUMIFS('Actual - 2026'!$T$5:$T$56,'Actual - 2026'!$A$5:$A$56,'MILA 2F - Overview'!D61)</f>
        <v>0</v>
      </c>
      <c r="T61" s="233">
        <f>SUMIFS('Budget - 2026'!$AJ$5:$AJ$56,'Budget - 2026'!$B$5:$B$56,'MILA 2F - Overview'!D61)</f>
        <v>239715.52350000001</v>
      </c>
      <c r="U61" s="240">
        <f>SUMIFS('Budget - 2026'!$AM$5:$AM$56,'Budget - 2026'!$B$5:$B$56,'MILA 2F - Overview'!D61)</f>
        <v>282213.69</v>
      </c>
    </row>
    <row r="62" spans="4:21" s="108" customFormat="1" ht="22.15" customHeight="1">
      <c r="D62" s="193" t="s">
        <v>186</v>
      </c>
      <c r="E62" s="194"/>
      <c r="F62" s="239">
        <f>SUMIFS('Actual - 2026'!$W$5:$W$56,'Actual - 2026'!$A$5:$A$56,'MILA 2F - Overview'!D62)</f>
        <v>0</v>
      </c>
      <c r="G62" s="233">
        <f>SUMIFS('Budget - 2026'!$AP$5:$AP$56,'Budget - 2026'!$B$5:$B$56,'MILA 2F - Overview'!D62)</f>
        <v>305229.31470232818</v>
      </c>
      <c r="H62" s="247">
        <f t="shared" si="3"/>
        <v>-1</v>
      </c>
      <c r="I62" s="194"/>
      <c r="J62" s="239">
        <f>SUMIFS('Budget - 2026'!$AS$5:$AS$56,'Budget - 2026'!$B$5:$B$56,'MILA 2F - Overview'!D62)</f>
        <v>342291.6</v>
      </c>
      <c r="K62" s="251">
        <f t="shared" si="1"/>
        <v>-1</v>
      </c>
      <c r="L62" s="194"/>
      <c r="M62" s="239">
        <f>SUMIFS('Actual - 2026'!$N$5:$N$56,'Actual - 2026'!$A$5:$A$56,'MILA 2F - Overview'!D62)</f>
        <v>0</v>
      </c>
      <c r="N62" s="233">
        <f>SUMIFS('Budget - 2026'!$X$5:$X$56,'Budget - 2026'!$B$5:$B$56,'MILA 2F - Overview'!D62)</f>
        <v>19008.935893210284</v>
      </c>
      <c r="O62" s="240">
        <f>SUMIFS('Budget - 2026'!$AA$5:$AA$56,'Budget - 2026'!$B$5:$B$56,'MILA 2F - Overview'!D62)</f>
        <v>18772</v>
      </c>
      <c r="P62" s="239">
        <f>SUMIFS('Actual - 2026'!$Z$5:$Z$56,'Actual - 2026'!$A$5:$A$56,'MILA 2F - Overview'!D62)</f>
        <v>0</v>
      </c>
      <c r="Q62" s="233">
        <f>SUMIFS('Budget - 2026'!$AD$5:$AD$56,'Budget - 2026'!$B$5:$B$56,'MILA 2F - Overview'!D62)</f>
        <v>81233.017309117859</v>
      </c>
      <c r="R62" s="240">
        <f>SUMIFS('Budget - 2026'!$AG$5:$AG$56,'Budget - 2026'!$B$5:$B$56,'MILA 2F - Overview'!D62)</f>
        <v>91320.35</v>
      </c>
      <c r="S62" s="239">
        <f>SUMIFS('Actual - 2026'!$T$5:$T$56,'Actual - 2026'!$A$5:$A$56,'MILA 2F - Overview'!D62)</f>
        <v>0</v>
      </c>
      <c r="T62" s="233">
        <f>SUMIFS('Budget - 2026'!$AJ$5:$AJ$56,'Budget - 2026'!$B$5:$B$56,'MILA 2F - Overview'!D62)</f>
        <v>204987.3615</v>
      </c>
      <c r="U62" s="240">
        <f>SUMIFS('Budget - 2026'!$AM$5:$AM$56,'Budget - 2026'!$B$5:$B$56,'MILA 2F - Overview'!D62)</f>
        <v>232199.25</v>
      </c>
    </row>
    <row r="63" spans="4:21" s="108" customFormat="1" ht="22.15" customHeight="1">
      <c r="D63" s="227" t="s">
        <v>262</v>
      </c>
      <c r="E63" s="194"/>
      <c r="F63" s="241">
        <f>SUM(F59:F62)</f>
        <v>0</v>
      </c>
      <c r="G63" s="228">
        <f>SUM(G59:G62)</f>
        <v>1358674.3801227217</v>
      </c>
      <c r="H63" s="248">
        <f t="shared" si="3"/>
        <v>-1</v>
      </c>
      <c r="I63" s="194"/>
      <c r="J63" s="241">
        <f>SUM(J59:J62)</f>
        <v>1417658.1</v>
      </c>
      <c r="K63" s="248">
        <f>IFERROR((F63-J63)/J63,0)</f>
        <v>-1</v>
      </c>
      <c r="L63" s="194"/>
      <c r="M63" s="241">
        <f t="shared" ref="M63:U63" si="13">SUM(M59:M62)</f>
        <v>0</v>
      </c>
      <c r="N63" s="228">
        <f t="shared" si="13"/>
        <v>80443</v>
      </c>
      <c r="O63" s="242">
        <f t="shared" si="13"/>
        <v>76716.3</v>
      </c>
      <c r="P63" s="241">
        <f t="shared" si="13"/>
        <v>0</v>
      </c>
      <c r="Q63" s="228">
        <f t="shared" si="13"/>
        <v>359038</v>
      </c>
      <c r="R63" s="242">
        <f t="shared" si="13"/>
        <v>332474.40000000002</v>
      </c>
      <c r="S63" s="241">
        <f t="shared" si="13"/>
        <v>0</v>
      </c>
      <c r="T63" s="228">
        <f t="shared" si="13"/>
        <v>919193.38012272178</v>
      </c>
      <c r="U63" s="242">
        <f t="shared" si="13"/>
        <v>1008467.4</v>
      </c>
    </row>
    <row r="64" spans="4:21" s="108" customFormat="1" ht="22.15" customHeight="1">
      <c r="D64" s="193" t="s">
        <v>189</v>
      </c>
      <c r="E64" s="194"/>
      <c r="F64" s="239">
        <f>SUMIFS('Actual - 2026'!$W$5:$W$56,'Actual - 2026'!$A$5:$A$56,'MILA 2F - Overview'!D64)</f>
        <v>0</v>
      </c>
      <c r="G64" s="233">
        <f>SUMIFS('Budget - 2026'!$AP$5:$AP$56,'Budget - 2026'!$B$5:$B$56,'MILA 2F - Overview'!D64)</f>
        <v>282546</v>
      </c>
      <c r="H64" s="247">
        <f t="shared" si="3"/>
        <v>-1</v>
      </c>
      <c r="I64" s="194"/>
      <c r="J64" s="239">
        <f>SUMIFS('Budget - 2026'!$AS$5:$AS$56,'Budget - 2026'!$B$5:$B$56,'MILA 2F - Overview'!D64)</f>
        <v>271276</v>
      </c>
      <c r="K64" s="251">
        <f t="shared" si="1"/>
        <v>-1</v>
      </c>
      <c r="L64" s="194"/>
      <c r="M64" s="239">
        <f>SUMIFS('Actual - 2026'!$N$5:$N$56,'Actual - 2026'!$A$5:$A$56,'MILA 2F - Overview'!D64)</f>
        <v>0</v>
      </c>
      <c r="N64" s="233">
        <f>SUMIFS('Budget - 2026'!$X$5:$X$56,'Budget - 2026'!$B$5:$B$56,'MILA 2F - Overview'!D64)</f>
        <v>26628</v>
      </c>
      <c r="O64" s="240">
        <f>SUMIFS('Budget - 2026'!$AA$5:$AA$56,'Budget - 2026'!$B$5:$B$56,'MILA 2F - Overview'!D64)</f>
        <v>26051</v>
      </c>
      <c r="P64" s="239">
        <f>SUMIFS('Actual - 2026'!$Q$5:$Q$56,'Actual - 2026'!$A$5:$A$56,'MILA 2F - Overview'!D64)</f>
        <v>0</v>
      </c>
      <c r="Q64" s="233">
        <f>SUMIFS('Budget - 2026'!$AD$5:$AD$56,'Budget - 2026'!$B$5:$B$56,'MILA 2F - Overview'!D64)</f>
        <v>61621</v>
      </c>
      <c r="R64" s="240">
        <f>SUMIFS('Budget - 2026'!$AG$5:$AG$56,'Budget - 2026'!$B$5:$B$56,'MILA 2F - Overview'!D64)</f>
        <v>41151</v>
      </c>
      <c r="S64" s="239">
        <f>SUMIFS('Actual - 2026'!$T$5:$T$56,'Actual - 2026'!$A$5:$A$56,'MILA 2F - Overview'!D64)</f>
        <v>0</v>
      </c>
      <c r="T64" s="233">
        <f>SUMIFS('Budget - 2026'!$AJ$5:$AJ$56,'Budget - 2026'!$B$5:$B$56,'MILA 2F - Overview'!D64)</f>
        <v>194297</v>
      </c>
      <c r="U64" s="240">
        <f>SUMIFS('Budget - 2026'!$AM$5:$AM$56,'Budget - 2026'!$B$5:$B$56,'MILA 2F - Overview'!D64)</f>
        <v>204074</v>
      </c>
    </row>
    <row r="65" spans="4:21" s="108" customFormat="1" ht="22.15" customHeight="1">
      <c r="D65" s="193" t="s">
        <v>190</v>
      </c>
      <c r="E65" s="194"/>
      <c r="F65" s="239">
        <f>SUMIFS('Actual - 2026'!$W$5:$W$56,'Actual - 2026'!$A$5:$A$56,'MILA 2F - Overview'!D65)</f>
        <v>0</v>
      </c>
      <c r="G65" s="233">
        <f>SUMIFS('Budget - 2026'!$AP$5:$AP$56,'Budget - 2026'!$B$5:$B$56,'MILA 2F - Overview'!D65)</f>
        <v>1102998</v>
      </c>
      <c r="H65" s="247">
        <f t="shared" si="3"/>
        <v>-1</v>
      </c>
      <c r="I65" s="194"/>
      <c r="J65" s="239">
        <f>SUMIFS('Budget - 2026'!$AS$5:$AS$56,'Budget - 2026'!$B$5:$B$56,'MILA 2F - Overview'!D65)</f>
        <v>1142490.1800000002</v>
      </c>
      <c r="K65" s="251">
        <f t="shared" si="1"/>
        <v>-1</v>
      </c>
      <c r="L65" s="194"/>
      <c r="M65" s="239">
        <f>SUMIFS('Actual - 2026'!$N$5:$N$56,'Actual - 2026'!$A$5:$A$56,'MILA 2F - Overview'!D65)</f>
        <v>0</v>
      </c>
      <c r="N65" s="233">
        <f>SUMIFS('Budget - 2026'!$X$5:$X$56,'Budget - 2026'!$B$5:$B$56,'MILA 2F - Overview'!D65)</f>
        <v>38358</v>
      </c>
      <c r="O65" s="240">
        <f>SUMIFS('Budget - 2026'!$AA$5:$AA$56,'Budget - 2026'!$B$5:$B$56,'MILA 2F - Overview'!D65)</f>
        <v>37746.160000000003</v>
      </c>
      <c r="P65" s="239">
        <f>SUMIFS('Actual - 2026'!$Q$5:$Q$56,'Actual - 2026'!$A$5:$A$56,'MILA 2F - Overview'!D65)</f>
        <v>0</v>
      </c>
      <c r="Q65" s="233">
        <f>SUMIFS('Budget - 2026'!$AD$5:$AD$56,'Budget - 2026'!$B$5:$B$56,'MILA 2F - Overview'!D65)</f>
        <v>206991</v>
      </c>
      <c r="R65" s="240">
        <f>SUMIFS('Budget - 2026'!$AG$5:$AG$56,'Budget - 2026'!$B$5:$B$56,'MILA 2F - Overview'!D65)</f>
        <v>249450.09</v>
      </c>
      <c r="S65" s="239">
        <f>SUMIFS('Actual - 2026'!$T$5:$T$56,'Actual - 2026'!$A$5:$A$56,'MILA 2F - Overview'!D65)</f>
        <v>0</v>
      </c>
      <c r="T65" s="233">
        <f>SUMIFS('Budget - 2026'!$AJ$5:$AJ$56,'Budget - 2026'!$B$5:$B$56,'MILA 2F - Overview'!D65)</f>
        <v>857649</v>
      </c>
      <c r="U65" s="240">
        <f>SUMIFS('Budget - 2026'!$AM$5:$AM$56,'Budget - 2026'!$B$5:$B$56,'MILA 2F - Overview'!D65)</f>
        <v>855293.93</v>
      </c>
    </row>
    <row r="66" spans="4:21" s="108" customFormat="1" ht="22.15" customHeight="1">
      <c r="D66" s="193" t="s">
        <v>191</v>
      </c>
      <c r="E66" s="194"/>
      <c r="F66" s="239">
        <f>SUMIFS('Actual - 2026'!$W$5:$W$56,'Actual - 2026'!$A$5:$A$56,'MILA 2F - Overview'!D66)</f>
        <v>0</v>
      </c>
      <c r="G66" s="233">
        <f>SUMIFS('Budget - 2026'!$AP$5:$AP$56,'Budget - 2026'!$B$5:$B$56,'MILA 2F - Overview'!D66)</f>
        <v>380556</v>
      </c>
      <c r="H66" s="247">
        <f t="shared" si="3"/>
        <v>-1</v>
      </c>
      <c r="I66" s="194"/>
      <c r="J66" s="239">
        <f>SUMIFS('Budget - 2026'!$AS$5:$AS$56,'Budget - 2026'!$B$5:$B$56,'MILA 2F - Overview'!D66)</f>
        <v>356691.5</v>
      </c>
      <c r="K66" s="251">
        <f t="shared" si="1"/>
        <v>-1</v>
      </c>
      <c r="L66" s="194"/>
      <c r="M66" s="239">
        <f>SUMIFS('Actual - 2026'!$N$5:$N$56,'Actual - 2026'!$A$5:$A$56,'MILA 2F - Overview'!D66)</f>
        <v>0</v>
      </c>
      <c r="N66" s="233">
        <f>SUMIFS('Budget - 2026'!$X$5:$X$56,'Budget - 2026'!$B$5:$B$56,'MILA 2F - Overview'!D66)</f>
        <v>26833</v>
      </c>
      <c r="O66" s="240">
        <f>SUMIFS('Budget - 2026'!$AA$5:$AA$56,'Budget - 2026'!$B$5:$B$56,'MILA 2F - Overview'!D66)</f>
        <v>25754.05</v>
      </c>
      <c r="P66" s="239">
        <f>SUMIFS('Actual - 2026'!$Q$5:$Q$56,'Actual - 2026'!$A$5:$A$56,'MILA 2F - Overview'!D66)</f>
        <v>0</v>
      </c>
      <c r="Q66" s="233">
        <f>SUMIFS('Budget - 2026'!$AD$5:$AD$56,'Budget - 2026'!$B$5:$B$56,'MILA 2F - Overview'!D66)</f>
        <v>111904</v>
      </c>
      <c r="R66" s="240">
        <f>SUMIFS('Budget - 2026'!$AG$5:$AG$56,'Budget - 2026'!$B$5:$B$56,'MILA 2F - Overview'!D66)</f>
        <v>89925.75</v>
      </c>
      <c r="S66" s="239">
        <f>SUMIFS('Actual - 2026'!$T$5:$T$56,'Actual - 2026'!$A$5:$A$56,'MILA 2F - Overview'!D66)</f>
        <v>0</v>
      </c>
      <c r="T66" s="233">
        <f>SUMIFS('Budget - 2026'!$AJ$5:$AJ$56,'Budget - 2026'!$B$5:$B$56,'MILA 2F - Overview'!D66)</f>
        <v>241819</v>
      </c>
      <c r="U66" s="240">
        <f>SUMIFS('Budget - 2026'!$AM$5:$AM$56,'Budget - 2026'!$B$5:$B$56,'MILA 2F - Overview'!D66)</f>
        <v>241011.7</v>
      </c>
    </row>
    <row r="67" spans="4:21" s="108" customFormat="1" ht="22.15" customHeight="1">
      <c r="D67" s="193" t="s">
        <v>192</v>
      </c>
      <c r="E67" s="194"/>
      <c r="F67" s="239">
        <f>SUMIFS('Actual - 2026'!$W$5:$W$56,'Actual - 2026'!$A$5:$A$56,'MILA 2F - Overview'!D67)</f>
        <v>0</v>
      </c>
      <c r="G67" s="233">
        <f>SUMIFS('Budget - 2026'!$AP$5:$AP$56,'Budget - 2026'!$B$5:$B$56,'MILA 2F - Overview'!D67)</f>
        <v>272611</v>
      </c>
      <c r="H67" s="247">
        <f t="shared" si="3"/>
        <v>-1</v>
      </c>
      <c r="I67" s="194"/>
      <c r="J67" s="239">
        <f>SUMIFS('Budget - 2026'!$AS$5:$AS$56,'Budget - 2026'!$B$5:$B$56,'MILA 2F - Overview'!D67)</f>
        <v>260165.61000000002</v>
      </c>
      <c r="K67" s="251">
        <f t="shared" si="1"/>
        <v>-1</v>
      </c>
      <c r="L67" s="194"/>
      <c r="M67" s="239">
        <f>SUMIFS('Actual - 2026'!$N$5:$N$56,'Actual - 2026'!$A$5:$A$56,'MILA 2F - Overview'!D67)</f>
        <v>0</v>
      </c>
      <c r="N67" s="233">
        <f>SUMIFS('Budget - 2026'!$X$5:$X$56,'Budget - 2026'!$B$5:$B$56,'MILA 2F - Overview'!D67)</f>
        <v>26833</v>
      </c>
      <c r="O67" s="240">
        <f>SUMIFS('Budget - 2026'!$AA$5:$AA$56,'Budget - 2026'!$B$5:$B$56,'MILA 2F - Overview'!D67)</f>
        <v>35683.1</v>
      </c>
      <c r="P67" s="239">
        <f>SUMIFS('Actual - 2026'!$Z$5:$Z$56,'Actual - 2026'!$A$5:$A$56,'MILA 2F - Overview'!D67)</f>
        <v>0</v>
      </c>
      <c r="Q67" s="233">
        <f>SUMIFS('Budget - 2026'!$AD$5:$AD$56,'Budget - 2026'!$B$5:$B$56,'MILA 2F - Overview'!D67)</f>
        <v>63231</v>
      </c>
      <c r="R67" s="240">
        <f>SUMIFS('Budget - 2026'!$AG$5:$AG$56,'Budget - 2026'!$B$5:$B$56,'MILA 2F - Overview'!D67)</f>
        <v>54298</v>
      </c>
      <c r="S67" s="239">
        <f>SUMIFS('Actual - 2026'!$T$5:$T$56,'Actual - 2026'!$A$5:$A$56,'MILA 2F - Overview'!D67)</f>
        <v>0</v>
      </c>
      <c r="T67" s="233">
        <f>SUMIFS('Budget - 2026'!$AJ$5:$AJ$56,'Budget - 2026'!$B$5:$B$56,'MILA 2F - Overview'!D67)</f>
        <v>182547</v>
      </c>
      <c r="U67" s="240">
        <f>SUMIFS('Budget - 2026'!$AM$5:$AM$56,'Budget - 2026'!$B$5:$B$56,'MILA 2F - Overview'!D67)</f>
        <v>170184.51</v>
      </c>
    </row>
    <row r="68" spans="4:21" s="108" customFormat="1" ht="22.15" customHeight="1">
      <c r="D68" s="193" t="s">
        <v>193</v>
      </c>
      <c r="E68" s="194"/>
      <c r="F68" s="239">
        <f>SUMIFS('Actual - 2026'!$W$5:$W$56,'Actual - 2026'!$A$5:$A$56,'MILA 2F - Overview'!D68)</f>
        <v>0</v>
      </c>
      <c r="G68" s="233">
        <f>SUMIFS('Budget - 2026'!$AP$5:$AP$56,'Budget - 2026'!$B$5:$B$56,'MILA 2F - Overview'!D68)</f>
        <v>324868</v>
      </c>
      <c r="H68" s="247">
        <f t="shared" si="3"/>
        <v>-1</v>
      </c>
      <c r="I68" s="194"/>
      <c r="J68" s="239">
        <f>SUMIFS('Budget - 2026'!$AS$5:$AS$56,'Budget - 2026'!$B$5:$B$56,'MILA 2F - Overview'!D68)</f>
        <v>312274.17000000004</v>
      </c>
      <c r="K68" s="251">
        <f t="shared" si="1"/>
        <v>-1</v>
      </c>
      <c r="L68" s="194"/>
      <c r="M68" s="239">
        <f>SUMIFS('Actual - 2026'!$N$5:$N$56,'Actual - 2026'!$A$5:$A$56,'MILA 2F - Overview'!D68)</f>
        <v>0</v>
      </c>
      <c r="N68" s="233">
        <f>SUMIFS('Budget - 2026'!$X$5:$X$56,'Budget - 2026'!$B$5:$B$56,'MILA 2F - Overview'!D68)</f>
        <v>26833</v>
      </c>
      <c r="O68" s="240">
        <f>SUMIFS('Budget - 2026'!$AA$5:$AA$56,'Budget - 2026'!$B$5:$B$56,'MILA 2F - Overview'!D68)</f>
        <v>28758</v>
      </c>
      <c r="P68" s="239">
        <f>SUMIFS('Actual - 2026'!$Z$5:$Z$56,'Actual - 2026'!$A$5:$A$56,'MILA 2F - Overview'!D68)</f>
        <v>0</v>
      </c>
      <c r="Q68" s="233">
        <f>SUMIFS('Budget - 2026'!$AD$5:$AD$56,'Budget - 2026'!$B$5:$B$56,'MILA 2F - Overview'!D68)</f>
        <v>94327</v>
      </c>
      <c r="R68" s="240">
        <f>SUMIFS('Budget - 2026'!$AG$5:$AG$56,'Budget - 2026'!$B$5:$B$56,'MILA 2F - Overview'!D68)</f>
        <v>78594</v>
      </c>
      <c r="S68" s="239">
        <f>SUMIFS('Actual - 2026'!$T$5:$T$56,'Actual - 2026'!$A$5:$A$56,'MILA 2F - Overview'!D68)</f>
        <v>0</v>
      </c>
      <c r="T68" s="233">
        <f>SUMIFS('Budget - 2026'!$AJ$5:$AJ$56,'Budget - 2026'!$B$5:$B$56,'MILA 2F - Overview'!D68)</f>
        <v>203708</v>
      </c>
      <c r="U68" s="240">
        <f>SUMIFS('Budget - 2026'!$AM$5:$AM$56,'Budget - 2026'!$B$5:$B$56,'MILA 2F - Overview'!D68)</f>
        <v>204922.17</v>
      </c>
    </row>
    <row r="69" spans="4:21" s="108" customFormat="1" ht="22.15" customHeight="1" thickBot="1">
      <c r="D69" s="227" t="s">
        <v>263</v>
      </c>
      <c r="E69" s="194"/>
      <c r="F69" s="243">
        <f>SUM(F64:F68)</f>
        <v>0</v>
      </c>
      <c r="G69" s="244">
        <f>SUM(G64:G68)</f>
        <v>2363579</v>
      </c>
      <c r="H69" s="249">
        <f t="shared" si="3"/>
        <v>-1</v>
      </c>
      <c r="I69" s="194"/>
      <c r="J69" s="243">
        <f>SUM(J64:J68)</f>
        <v>2342897.4600000004</v>
      </c>
      <c r="K69" s="249">
        <f>IFERROR((F69-J69)/J69,0)</f>
        <v>-1</v>
      </c>
      <c r="L69" s="194"/>
      <c r="M69" s="243">
        <f t="shared" ref="M69:U69" si="14">SUM(M64:M68)</f>
        <v>0</v>
      </c>
      <c r="N69" s="244">
        <f t="shared" si="14"/>
        <v>145485</v>
      </c>
      <c r="O69" s="245">
        <f t="shared" si="14"/>
        <v>153992.31</v>
      </c>
      <c r="P69" s="243">
        <f t="shared" si="14"/>
        <v>0</v>
      </c>
      <c r="Q69" s="244">
        <f t="shared" si="14"/>
        <v>538074</v>
      </c>
      <c r="R69" s="245">
        <f t="shared" si="14"/>
        <v>513418.83999999997</v>
      </c>
      <c r="S69" s="243">
        <f t="shared" si="14"/>
        <v>0</v>
      </c>
      <c r="T69" s="244">
        <f t="shared" si="14"/>
        <v>1680020</v>
      </c>
      <c r="U69" s="245">
        <f t="shared" si="14"/>
        <v>1675486.31</v>
      </c>
    </row>
    <row r="70" spans="4:21" ht="22.15" customHeight="1"/>
  </sheetData>
  <mergeCells count="5">
    <mergeCell ref="D2:U2"/>
    <mergeCell ref="F4:K4"/>
    <mergeCell ref="M4:O4"/>
    <mergeCell ref="P4:R4"/>
    <mergeCell ref="S4:U4"/>
  </mergeCells>
  <conditionalFormatting sqref="H1:H1048576 K1:K1048576">
    <cfRule type="cellIs" dxfId="243" priority="1" operator="lessThan">
      <formula>0.01</formula>
    </cfRule>
  </conditionalFormatting>
  <pageMargins left="0.7" right="0.7" top="0.75" bottom="0.75" header="0.3" footer="0.3"/>
  <pageSetup scale="37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16BA98-C87B-4172-8DAE-01C339F83504}">
          <x14:formula1>
            <xm:f>'Budget - 2026'!$B$5:$B$56</xm:f>
          </x14:formula1>
          <xm:sqref>D1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FC2E-9C54-40C5-B692-3CAECDFD3C19}">
  <sheetPr>
    <tabColor theme="2" tint="-9.9978637043366805E-2"/>
    <pageSetUpPr fitToPage="1"/>
  </sheetPr>
  <dimension ref="B1:U70"/>
  <sheetViews>
    <sheetView workbookViewId="0">
      <selection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/>
    <col min="9" max="9" width="1.5703125" style="5" customWidth="1"/>
    <col min="10" max="11" width="14.5703125" style="5" customWidth="1"/>
    <col min="12" max="12" width="1.5703125" style="5" customWidth="1"/>
    <col min="13" max="21" width="14.7109375" style="5" customWidth="1"/>
    <col min="22" max="16384" width="10.7109375" style="5"/>
  </cols>
  <sheetData>
    <row r="1" spans="4:21" ht="18.75">
      <c r="D1" s="118" t="str">
        <f>'MILA 3F - Overview'!D1</f>
        <v>Week 34</v>
      </c>
      <c r="F1" s="5">
        <f>VLOOKUP(D1,Dates!$B$2:$E$53,4,FALSE)</f>
        <v>34</v>
      </c>
      <c r="G1" s="5" t="b">
        <v>1</v>
      </c>
    </row>
    <row r="2" spans="4:21" ht="28.5">
      <c r="D2" s="399" t="str">
        <f>CONCATENATE("AVA - Winter Park",)</f>
        <v>AVA - Winter Park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</row>
    <row r="3" spans="4:21">
      <c r="T3" s="5">
        <v>0</v>
      </c>
    </row>
    <row r="4" spans="4:21">
      <c r="F4" s="431" t="s">
        <v>249</v>
      </c>
      <c r="G4" s="431"/>
      <c r="H4" s="431"/>
      <c r="I4" s="431"/>
      <c r="J4" s="431"/>
      <c r="K4" s="431"/>
      <c r="M4" s="432" t="s">
        <v>264</v>
      </c>
      <c r="N4" s="433"/>
      <c r="O4" s="433"/>
      <c r="P4" s="432" t="s">
        <v>240</v>
      </c>
      <c r="Q4" s="433"/>
      <c r="R4" s="433"/>
      <c r="S4" s="432" t="s">
        <v>265</v>
      </c>
      <c r="T4" s="433"/>
      <c r="U4" s="433"/>
    </row>
    <row r="5" spans="4:21" ht="27" customHeight="1" thickBot="1">
      <c r="D5" s="229" t="s">
        <v>250</v>
      </c>
      <c r="E5" s="230"/>
      <c r="F5" s="234">
        <v>2026</v>
      </c>
      <c r="G5" s="235" t="s">
        <v>15</v>
      </c>
      <c r="H5" s="234" t="s">
        <v>251</v>
      </c>
      <c r="I5" s="230"/>
      <c r="J5" s="234">
        <v>2025</v>
      </c>
      <c r="K5" s="234" t="s">
        <v>251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  <c r="S5" s="234">
        <v>2026</v>
      </c>
      <c r="T5" s="235" t="s">
        <v>15</v>
      </c>
      <c r="U5" s="234">
        <v>2025</v>
      </c>
    </row>
    <row r="6" spans="4:21" s="108" customFormat="1" ht="22.15" customHeight="1">
      <c r="D6" s="193" t="s">
        <v>122</v>
      </c>
      <c r="E6" s="194"/>
      <c r="F6" s="236">
        <f>SUMIFS('Actual - 2026'!$AI$5:$AI$56,'Actual - 2026'!$A$5:$A$56,'AVA WP - Overview'!D6)</f>
        <v>300536.49999999994</v>
      </c>
      <c r="G6" s="237">
        <f>SUMIFS('Budget - 2026'!$BE$5:$BE$56,'Budget - 2026'!$B$5:$B$56,'AVA WP - Overview'!D6)</f>
        <v>300286.09198498988</v>
      </c>
      <c r="H6" s="246">
        <f t="shared" ref="H6:H9" si="0">IFERROR((F6-G6)/G6,0)</f>
        <v>8.3389814478181177E-4</v>
      </c>
      <c r="I6" s="194"/>
      <c r="J6" s="236">
        <f>SUMIFS('Budget - 2026'!$BQ$5:$BQ$56,'Budget - 2026'!$B$5:$B$56,'AVA WP - Overview'!D6)</f>
        <v>303329</v>
      </c>
      <c r="K6" s="250">
        <f>IFERROR((F6-J6)/J6,0)</f>
        <v>-9.2061754728366176E-3</v>
      </c>
      <c r="L6" s="194"/>
      <c r="M6" s="236">
        <f>SUMIFS('Actual - 2026'!$AC$5:$AC$56,'Actual - 2026'!$A$5:$A$56,'AVA WP - Overview'!D6)</f>
        <v>28028.36</v>
      </c>
      <c r="N6" s="237">
        <f>SUMIFS('Budget - 2026'!$AY$5:$AY$56,'Budget - 2026'!$B$5:$B$56,'AVA WP - Overview'!D6)</f>
        <v>23793.091984989896</v>
      </c>
      <c r="O6" s="238">
        <f>SUMIFS('Budget - 2026'!$BK$5:$BK$56,'Budget - 2026'!$B$5:$B$56,'AVA WP - Overview'!D6)</f>
        <v>26836</v>
      </c>
      <c r="P6" s="236">
        <f>SUMIFS('Actual - 2026'!$Z$5:$Z$56,'Actual - 2026'!$A$5:$A$56,'AVA WP - Overview'!D6)</f>
        <v>228189.61999999997</v>
      </c>
      <c r="Q6" s="237">
        <f>SUMIFS('Budget - 2026'!$AV$5:$AV$56,'Budget - 2026'!$B$5:$B$56,'AVA WP - Overview'!D6)</f>
        <v>230582</v>
      </c>
      <c r="R6" s="238">
        <f>SUMIFS('Budget - 2026'!$BH$5:$BH$56,'Budget - 2026'!$B$5:$B$56,'AVA WP - Overview'!D6)</f>
        <v>230582</v>
      </c>
      <c r="S6" s="236">
        <f>SUMIFS('Actual - 2026'!$AF$5:$AF$56,'Actual - 2026'!$A$5:$A$56,'AVA WP - Overview'!D6)</f>
        <v>44318.520000000004</v>
      </c>
      <c r="T6" s="237">
        <f>SUMIFS('Budget - 2026'!$BB$5:$BB$56,'Budget - 2026'!$B$5:$B$56,'AVA WP - Overview'!D6)</f>
        <v>45911</v>
      </c>
      <c r="U6" s="238">
        <f>SUMIFS('Budget - 2026'!$BN$5:$BN$56,'Budget - 2026'!$B$5:$B$56,'AVA WP - Overview'!D6)</f>
        <v>45911</v>
      </c>
    </row>
    <row r="7" spans="4:21" s="108" customFormat="1" ht="22.15" customHeight="1">
      <c r="D7" s="193" t="s">
        <v>123</v>
      </c>
      <c r="E7" s="194"/>
      <c r="F7" s="239">
        <f>SUMIFS('Actual - 2026'!$AI$5:$AI$56,'Actual - 2026'!$A$5:$A$56,'AVA WP - Overview'!D7)</f>
        <v>217975.58000000002</v>
      </c>
      <c r="G7" s="233">
        <f>SUMIFS('Budget - 2026'!$BE$5:$BE$56,'Budget - 2026'!$B$5:$B$56,'AVA WP - Overview'!D7)</f>
        <v>211760.06020535799</v>
      </c>
      <c r="H7" s="247">
        <f t="shared" si="0"/>
        <v>2.9351709612352842E-2</v>
      </c>
      <c r="I7" s="194"/>
      <c r="J7" s="239">
        <f>SUMIFS('Budget - 2026'!$BQ$5:$BQ$56,'Budget - 2026'!$B$5:$B$56,'AVA WP - Overview'!D7)</f>
        <v>214722</v>
      </c>
      <c r="K7" s="251">
        <f t="shared" ref="K7:K68" si="1">IFERROR((F7-J7)/J7,0)</f>
        <v>1.5152522796918883E-2</v>
      </c>
      <c r="L7" s="194"/>
      <c r="M7" s="239">
        <f>SUMIFS('Actual - 2026'!$AC$5:$AC$56,'Actual - 2026'!$A$5:$A$56,'AVA WP - Overview'!D7)</f>
        <v>25932.799999999999</v>
      </c>
      <c r="N7" s="233">
        <f>SUMIFS('Budget - 2026'!$AY$5:$AY$56,'Budget - 2026'!$B$5:$B$56,'AVA WP - Overview'!D7)</f>
        <v>21940.060205358001</v>
      </c>
      <c r="O7" s="240">
        <f>SUMIFS('Budget - 2026'!$BK$5:$BK$56,'Budget - 2026'!$B$5:$B$56,'AVA WP - Overview'!D7)</f>
        <v>24902</v>
      </c>
      <c r="P7" s="239">
        <f>SUMIFS('Actual - 2026'!$Z$5:$Z$56,'Actual - 2026'!$A$5:$A$56,'AVA WP - Overview'!D7)</f>
        <v>166160.58000000002</v>
      </c>
      <c r="Q7" s="233">
        <f>SUMIFS('Budget - 2026'!$AV$5:$AV$56,'Budget - 2026'!$B$5:$B$56,'AVA WP - Overview'!D7)</f>
        <v>162590</v>
      </c>
      <c r="R7" s="240">
        <f>SUMIFS('Budget - 2026'!$BH$5:$BH$56,'Budget - 2026'!$B$5:$B$56,'AVA WP - Overview'!D7)</f>
        <v>162590</v>
      </c>
      <c r="S7" s="239">
        <f>SUMIFS('Actual - 2026'!$AF$5:$AF$56,'Actual - 2026'!$A$5:$A$56,'AVA WP - Overview'!D7)</f>
        <v>25882.2</v>
      </c>
      <c r="T7" s="233">
        <f>SUMIFS('Budget - 2026'!$BB$5:$BB$56,'Budget - 2026'!$B$5:$B$56,'AVA WP - Overview'!D7)</f>
        <v>27230</v>
      </c>
      <c r="U7" s="240">
        <f>SUMIFS('Budget - 2026'!$BN$5:$BN$56,'Budget - 2026'!$B$5:$B$56,'AVA WP - Overview'!D7)</f>
        <v>27230</v>
      </c>
    </row>
    <row r="8" spans="4:21" s="108" customFormat="1" ht="22.15" customHeight="1">
      <c r="D8" s="193" t="s">
        <v>124</v>
      </c>
      <c r="E8" s="194"/>
      <c r="F8" s="239">
        <f>SUMIFS('Actual - 2026'!$AI$5:$AI$56,'Actual - 2026'!$A$5:$A$56,'AVA WP - Overview'!D8)</f>
        <v>241335.01</v>
      </c>
      <c r="G8" s="233">
        <f>SUMIFS('Budget - 2026'!$BE$5:$BE$56,'Budget - 2026'!$B$5:$B$56,'AVA WP - Overview'!D8)</f>
        <v>256554.23786614617</v>
      </c>
      <c r="H8" s="247">
        <f t="shared" si="0"/>
        <v>-5.9321677913917736E-2</v>
      </c>
      <c r="I8" s="194"/>
      <c r="J8" s="239">
        <f>SUMIFS('Budget - 2026'!$BQ$5:$BQ$56,'Budget - 2026'!$B$5:$B$56,'AVA WP - Overview'!D8)</f>
        <v>272110.69999999995</v>
      </c>
      <c r="K8" s="251">
        <f t="shared" si="1"/>
        <v>-0.11309988912600626</v>
      </c>
      <c r="L8" s="194"/>
      <c r="M8" s="239">
        <f>SUMIFS('Actual - 2026'!$AC$5:$AC$56,'Actual - 2026'!$A$5:$A$56,'AVA WP - Overview'!D8)</f>
        <v>25822.7</v>
      </c>
      <c r="N8" s="233">
        <f>SUMIFS('Budget - 2026'!$AY$5:$AY$56,'Budget - 2026'!$B$5:$B$56,'AVA WP - Overview'!D8)</f>
        <v>19355.23786614617</v>
      </c>
      <c r="O8" s="240">
        <f>SUMIFS('Budget - 2026'!$BK$5:$BK$56,'Budget - 2026'!$B$5:$B$56,'AVA WP - Overview'!D8)</f>
        <v>34920</v>
      </c>
      <c r="P8" s="239">
        <f>SUMIFS('Actual - 2026'!$Z$5:$Z$56,'Actual - 2026'!$A$5:$A$56,'AVA WP - Overview'!D8)</f>
        <v>179877.31</v>
      </c>
      <c r="Q8" s="233">
        <f>SUMIFS('Budget - 2026'!$AV$5:$AV$56,'Budget - 2026'!$B$5:$B$56,'AVA WP - Overview'!D8)</f>
        <v>195866</v>
      </c>
      <c r="R8" s="240">
        <f>SUMIFS('Budget - 2026'!$BH$5:$BH$56,'Budget - 2026'!$B$5:$B$56,'AVA WP - Overview'!D8)</f>
        <v>195857.69999999998</v>
      </c>
      <c r="S8" s="239">
        <f>SUMIFS('Actual - 2026'!$AF$5:$AF$56,'Actual - 2026'!$A$5:$A$56,'AVA WP - Overview'!D8)</f>
        <v>35635</v>
      </c>
      <c r="T8" s="233">
        <f>SUMIFS('Budget - 2026'!$BB$5:$BB$56,'Budget - 2026'!$B$5:$B$56,'AVA WP - Overview'!D8)</f>
        <v>41333</v>
      </c>
      <c r="U8" s="240">
        <f>SUMIFS('Budget - 2026'!$BN$5:$BN$56,'Budget - 2026'!$B$5:$B$56,'AVA WP - Overview'!D8)</f>
        <v>41333</v>
      </c>
    </row>
    <row r="9" spans="4:21" s="108" customFormat="1" ht="22.15" customHeight="1">
      <c r="D9" s="193" t="s">
        <v>125</v>
      </c>
      <c r="E9" s="194"/>
      <c r="F9" s="239">
        <f>SUMIFS('Actual - 2026'!$AI$5:$AI$56,'Actual - 2026'!$A$5:$A$56,'AVA WP - Overview'!D9)</f>
        <v>239917.41000000003</v>
      </c>
      <c r="G9" s="233">
        <f>SUMIFS('Budget - 2026'!$BE$5:$BE$56,'Budget - 2026'!$B$5:$B$56,'AVA WP - Overview'!D9)</f>
        <v>226186.43048205524</v>
      </c>
      <c r="H9" s="247">
        <f t="shared" si="0"/>
        <v>6.0706468945466475E-2</v>
      </c>
      <c r="I9" s="194"/>
      <c r="J9" s="239">
        <f>SUMIFS('Budget - 2026'!$BQ$5:$BQ$56,'Budget - 2026'!$B$5:$B$56,'AVA WP - Overview'!D9)</f>
        <v>234654</v>
      </c>
      <c r="K9" s="251">
        <f t="shared" si="1"/>
        <v>2.2430514715283068E-2</v>
      </c>
      <c r="L9" s="194"/>
      <c r="M9" s="239">
        <f>SUMIFS('Actual - 2026'!$AC$5:$AC$56,'Actual - 2026'!$A$5:$A$56,'AVA WP - Overview'!D9)</f>
        <v>11707.5</v>
      </c>
      <c r="N9" s="233">
        <f>SUMIFS('Budget - 2026'!$AY$5:$AY$56,'Budget - 2026'!$B$5:$B$56,'AVA WP - Overview'!D9)</f>
        <v>24307.430482055228</v>
      </c>
      <c r="O9" s="240">
        <f>SUMIFS('Budget - 2026'!$BK$5:$BK$56,'Budget - 2026'!$B$5:$B$56,'AVA WP - Overview'!D9)</f>
        <v>32775</v>
      </c>
      <c r="P9" s="239">
        <f>SUMIFS('Actual - 2026'!$Z$5:$Z$56,'Actual - 2026'!$A$5:$A$56,'AVA WP - Overview'!D9)</f>
        <v>185496.2</v>
      </c>
      <c r="Q9" s="233">
        <f>SUMIFS('Budget - 2026'!$AV$5:$AV$56,'Budget - 2026'!$B$5:$B$56,'AVA WP - Overview'!D9)</f>
        <v>171925</v>
      </c>
      <c r="R9" s="240">
        <f>SUMIFS('Budget - 2026'!$BH$5:$BH$56,'Budget - 2026'!$B$5:$B$56,'AVA WP - Overview'!D9)</f>
        <v>171925</v>
      </c>
      <c r="S9" s="239">
        <f>SUMIFS('Actual - 2026'!$AF$5:$AF$56,'Actual - 2026'!$A$5:$A$56,'AVA WP - Overview'!D9)</f>
        <v>42713.710000000006</v>
      </c>
      <c r="T9" s="233">
        <f>SUMIFS('Budget - 2026'!$BB$5:$BB$56,'Budget - 2026'!$B$5:$B$56,'AVA WP - Overview'!D9)</f>
        <v>29954</v>
      </c>
      <c r="U9" s="240">
        <f>SUMIFS('Budget - 2026'!$BN$5:$BN$56,'Budget - 2026'!$B$5:$B$56,'AVA WP - Overview'!D9)</f>
        <v>29954</v>
      </c>
    </row>
    <row r="10" spans="4:21" s="108" customFormat="1" ht="22.15" customHeight="1">
      <c r="D10" s="227" t="s">
        <v>252</v>
      </c>
      <c r="E10" s="194"/>
      <c r="F10" s="241">
        <f>SUM(F6:F9)</f>
        <v>999764.5</v>
      </c>
      <c r="G10" s="228">
        <f>SUM(G6:G9)</f>
        <v>994786.82053854922</v>
      </c>
      <c r="H10" s="248">
        <f>IFERROR((F10-G10)/G10,0)</f>
        <v>5.0037649863073257E-3</v>
      </c>
      <c r="I10" s="194"/>
      <c r="J10" s="241">
        <f>SUM(J6:J9)</f>
        <v>1024815.7</v>
      </c>
      <c r="K10" s="248">
        <f>IFERROR((F10-J10)/J10,0)</f>
        <v>-2.444459037854314E-2</v>
      </c>
      <c r="L10" s="194"/>
      <c r="M10" s="241">
        <f t="shared" ref="M10:U10" si="2">SUM(M6:M9)</f>
        <v>91491.36</v>
      </c>
      <c r="N10" s="228">
        <f t="shared" si="2"/>
        <v>89395.820538549306</v>
      </c>
      <c r="O10" s="242">
        <f t="shared" si="2"/>
        <v>119433</v>
      </c>
      <c r="P10" s="241">
        <f t="shared" si="2"/>
        <v>759723.71</v>
      </c>
      <c r="Q10" s="228">
        <f t="shared" si="2"/>
        <v>760963</v>
      </c>
      <c r="R10" s="242">
        <f t="shared" si="2"/>
        <v>760954.7</v>
      </c>
      <c r="S10" s="241">
        <f t="shared" si="2"/>
        <v>148549.43</v>
      </c>
      <c r="T10" s="228">
        <f t="shared" si="2"/>
        <v>144428</v>
      </c>
      <c r="U10" s="242">
        <f t="shared" si="2"/>
        <v>144428</v>
      </c>
    </row>
    <row r="11" spans="4:21" s="108" customFormat="1" ht="22.15" customHeight="1">
      <c r="D11" s="193" t="s">
        <v>128</v>
      </c>
      <c r="E11" s="194"/>
      <c r="F11" s="239">
        <f>SUMIFS('Actual - 2026'!$AI$5:$AI$56,'Actual - 2026'!$A$5:$A$56,'AVA WP - Overview'!D11)</f>
        <v>230944.77</v>
      </c>
      <c r="G11" s="233">
        <f>SUMIFS('Budget - 2026'!$BE$5:$BE$56,'Budget - 2026'!$B$5:$B$56,'AVA WP - Overview'!D11)</f>
        <v>222689.60722884873</v>
      </c>
      <c r="H11" s="247">
        <f>IFERROR((F11-G11)/G11,0)</f>
        <v>3.7070265082769546E-2</v>
      </c>
      <c r="I11" s="194"/>
      <c r="J11" s="239">
        <f>SUMIFS('Budget - 2026'!$BQ$5:$BQ$56,'Budget - 2026'!$B$5:$B$56,'AVA WP - Overview'!D11)</f>
        <v>224542</v>
      </c>
      <c r="K11" s="251">
        <f t="shared" si="1"/>
        <v>2.8514799013102179E-2</v>
      </c>
      <c r="L11" s="194"/>
      <c r="M11" s="239">
        <f>SUMIFS('Actual - 2026'!$AC$5:$AC$56,'Actual - 2026'!$A$5:$A$56,'AVA WP - Overview'!D11)</f>
        <v>21081.84</v>
      </c>
      <c r="N11" s="233">
        <f>SUMIFS('Budget - 2026'!$AY$5:$AY$56,'Budget - 2026'!$B$5:$B$56,'AVA WP - Overview'!D11)</f>
        <v>20549.839340319322</v>
      </c>
      <c r="O11" s="240">
        <f>SUMIFS('Budget - 2026'!$BK$5:$BK$56,'Budget - 2026'!$B$5:$B$56,'AVA WP - Overview'!D11)</f>
        <v>25923</v>
      </c>
      <c r="P11" s="239">
        <f>SUMIFS('Actual - 2026'!$Z$5:$Z$56,'Actual - 2026'!$A$5:$A$56,'AVA WP - Overview'!D11)</f>
        <v>173447.72999999998</v>
      </c>
      <c r="Q11" s="233">
        <f>SUMIFS('Budget - 2026'!$AV$5:$AV$56,'Budget - 2026'!$B$5:$B$56,'AVA WP - Overview'!D11)</f>
        <v>172569.86807220336</v>
      </c>
      <c r="R11" s="240">
        <f>SUMIFS('Budget - 2026'!$BH$5:$BH$56,'Budget - 2026'!$B$5:$B$56,'AVA WP - Overview'!D11)</f>
        <v>168144</v>
      </c>
      <c r="S11" s="239">
        <f>SUMIFS('Actual - 2026'!$AF$5:$AF$56,'Actual - 2026'!$A$5:$A$56,'AVA WP - Overview'!D11)</f>
        <v>36415.199999999997</v>
      </c>
      <c r="T11" s="233">
        <f>SUMIFS('Budget - 2026'!$BB$5:$BB$56,'Budget - 2026'!$B$5:$B$56,'AVA WP - Overview'!D11)</f>
        <v>29569.899816326055</v>
      </c>
      <c r="U11" s="240">
        <f>SUMIFS('Budget - 2026'!$BN$5:$BN$56,'Budget - 2026'!$B$5:$B$56,'AVA WP - Overview'!D11)</f>
        <v>30475</v>
      </c>
    </row>
    <row r="12" spans="4:21" s="108" customFormat="1" ht="22.15" customHeight="1">
      <c r="D12" s="193" t="s">
        <v>129</v>
      </c>
      <c r="E12" s="194"/>
      <c r="F12" s="239">
        <f>SUMIFS('Actual - 2026'!$AI$5:$AI$56,'Actual - 2026'!$A$5:$A$56,'AVA WP - Overview'!D12)</f>
        <v>270486.83</v>
      </c>
      <c r="G12" s="233">
        <f>SUMIFS('Budget - 2026'!$BE$5:$BE$56,'Budget - 2026'!$B$5:$B$56,'AVA WP - Overview'!D12)</f>
        <v>219122.87815931288</v>
      </c>
      <c r="H12" s="247">
        <f t="shared" ref="H12:H69" si="3">(F12-G12)/G12</f>
        <v>0.23440707000636907</v>
      </c>
      <c r="I12" s="194"/>
      <c r="J12" s="239">
        <f>SUMIFS('Budget - 2026'!$BQ$5:$BQ$56,'Budget - 2026'!$B$5:$B$56,'AVA WP - Overview'!D12)</f>
        <v>238746</v>
      </c>
      <c r="K12" s="251">
        <f t="shared" si="1"/>
        <v>0.13294811221968122</v>
      </c>
      <c r="L12" s="194"/>
      <c r="M12" s="239">
        <f>SUMIFS('Actual - 2026'!$AC$5:$AC$56,'Actual - 2026'!$A$5:$A$56,'AVA WP - Overview'!D12)</f>
        <v>27043.25</v>
      </c>
      <c r="N12" s="233">
        <f>SUMIFS('Budget - 2026'!$AY$5:$AY$56,'Budget - 2026'!$B$5:$B$56,'AVA WP - Overview'!D12)</f>
        <v>21093.908843685414</v>
      </c>
      <c r="O12" s="240">
        <f>SUMIFS('Budget - 2026'!$BK$5:$BK$56,'Budget - 2026'!$B$5:$B$56,'AVA WP - Overview'!D12)</f>
        <v>37263</v>
      </c>
      <c r="P12" s="239">
        <f>SUMIFS('Actual - 2026'!$Z$5:$Z$56,'Actual - 2026'!$A$5:$A$56,'AVA WP - Overview'!D12)</f>
        <v>185434.58000000002</v>
      </c>
      <c r="Q12" s="233">
        <f>SUMIFS('Budget - 2026'!$AV$5:$AV$56,'Budget - 2026'!$B$5:$B$56,'AVA WP - Overview'!D12)</f>
        <v>174494.8794928095</v>
      </c>
      <c r="R12" s="240">
        <f>SUMIFS('Budget - 2026'!$BH$5:$BH$56,'Budget - 2026'!$B$5:$B$56,'AVA WP - Overview'!D12)</f>
        <v>169065</v>
      </c>
      <c r="S12" s="239">
        <f>SUMIFS('Actual - 2026'!$AF$5:$AF$56,'Actual - 2026'!$A$5:$A$56,'AVA WP - Overview'!D12)</f>
        <v>58009</v>
      </c>
      <c r="T12" s="233">
        <f>SUMIFS('Budget - 2026'!$BB$5:$BB$56,'Budget - 2026'!$B$5:$B$56,'AVA WP - Overview'!D12)</f>
        <v>23534.089822817979</v>
      </c>
      <c r="U12" s="240">
        <f>SUMIFS('Budget - 2026'!$BN$5:$BN$56,'Budget - 2026'!$B$5:$B$56,'AVA WP - Overview'!D12)</f>
        <v>32418</v>
      </c>
    </row>
    <row r="13" spans="4:21" s="108" customFormat="1" ht="22.15" customHeight="1">
      <c r="D13" s="193" t="s">
        <v>130</v>
      </c>
      <c r="E13" s="194"/>
      <c r="F13" s="239">
        <f>SUMIFS('Actual - 2026'!$AI$5:$AI$56,'Actual - 2026'!$A$5:$A$56,'AVA WP - Overview'!D13)</f>
        <v>303927.78999999998</v>
      </c>
      <c r="G13" s="233">
        <f>SUMIFS('Budget - 2026'!$BE$5:$BE$56,'Budget - 2026'!$B$5:$B$56,'AVA WP - Overview'!D13)</f>
        <v>281870.1924385702</v>
      </c>
      <c r="H13" s="247">
        <f t="shared" si="3"/>
        <v>7.8254452415137635E-2</v>
      </c>
      <c r="I13" s="194"/>
      <c r="J13" s="239">
        <f>SUMIFS('Budget - 2026'!$BQ$5:$BQ$56,'Budget - 2026'!$B$5:$B$56,'AVA WP - Overview'!D13)</f>
        <v>309141</v>
      </c>
      <c r="K13" s="251">
        <f t="shared" si="1"/>
        <v>-1.6863534762454741E-2</v>
      </c>
      <c r="L13" s="194"/>
      <c r="M13" s="239">
        <f>SUMIFS('Actual - 2026'!$AC$5:$AC$56,'Actual - 2026'!$A$5:$A$56,'AVA WP - Overview'!D13)</f>
        <v>33819.1</v>
      </c>
      <c r="N13" s="233">
        <f>SUMIFS('Budget - 2026'!$AY$5:$AY$56,'Budget - 2026'!$B$5:$B$56,'AVA WP - Overview'!D13)</f>
        <v>25090.559006248714</v>
      </c>
      <c r="O13" s="240">
        <f>SUMIFS('Budget - 2026'!$BK$5:$BK$56,'Budget - 2026'!$B$5:$B$56,'AVA WP - Overview'!D13)</f>
        <v>36202</v>
      </c>
      <c r="P13" s="239">
        <f>SUMIFS('Actual - 2026'!$Z$5:$Z$56,'Actual - 2026'!$A$5:$A$56,'AVA WP - Overview'!D13)</f>
        <v>233124.73</v>
      </c>
      <c r="Q13" s="233">
        <f>SUMIFS('Budget - 2026'!$AV$5:$AV$56,'Budget - 2026'!$B$5:$B$56,'AVA WP - Overview'!D13)</f>
        <v>232733.02501028584</v>
      </c>
      <c r="R13" s="240">
        <f>SUMIFS('Budget - 2026'!$BH$5:$BH$56,'Budget - 2026'!$B$5:$B$56,'AVA WP - Overview'!D13)</f>
        <v>248021</v>
      </c>
      <c r="S13" s="239">
        <f>SUMIFS('Actual - 2026'!$AF$5:$AF$56,'Actual - 2026'!$A$5:$A$56,'AVA WP - Overview'!D13)</f>
        <v>36983.96</v>
      </c>
      <c r="T13" s="233">
        <f>SUMIFS('Budget - 2026'!$BB$5:$BB$56,'Budget - 2026'!$B$5:$B$56,'AVA WP - Overview'!D13)</f>
        <v>24046.608422035635</v>
      </c>
      <c r="U13" s="240">
        <f>SUMIFS('Budget - 2026'!$BN$5:$BN$56,'Budget - 2026'!$B$5:$B$56,'AVA WP - Overview'!D13)</f>
        <v>24918</v>
      </c>
    </row>
    <row r="14" spans="4:21" s="108" customFormat="1" ht="22.15" customHeight="1">
      <c r="D14" s="193" t="s">
        <v>131</v>
      </c>
      <c r="E14" s="194"/>
      <c r="F14" s="239">
        <f>SUMIFS('Actual - 2026'!$AI$5:$AI$56,'Actual - 2026'!$A$5:$A$56,'AVA WP - Overview'!D14)</f>
        <v>298623</v>
      </c>
      <c r="G14" s="233">
        <f>SUMIFS('Budget - 2026'!$BE$5:$BE$56,'Budget - 2026'!$B$5:$B$56,'AVA WP - Overview'!D14)</f>
        <v>257597.05023326553</v>
      </c>
      <c r="H14" s="247">
        <f t="shared" si="3"/>
        <v>0.15926405108126687</v>
      </c>
      <c r="I14" s="194"/>
      <c r="J14" s="239">
        <f>SUMIFS('Budget - 2026'!$BQ$5:$BQ$56,'Budget - 2026'!$B$5:$B$56,'AVA WP - Overview'!D14)</f>
        <v>263574</v>
      </c>
      <c r="K14" s="251">
        <f t="shared" si="1"/>
        <v>0.13297593844612898</v>
      </c>
      <c r="L14" s="194"/>
      <c r="M14" s="239">
        <f>SUMIFS('Actual - 2026'!$AC$5:$AC$56,'Actual - 2026'!$A$5:$A$56,'AVA WP - Overview'!D14)</f>
        <v>22082.49</v>
      </c>
      <c r="N14" s="233">
        <f>SUMIFS('Budget - 2026'!$AY$5:$AY$56,'Budget - 2026'!$B$5:$B$56,'AVA WP - Overview'!D14)</f>
        <v>22446.420869743884</v>
      </c>
      <c r="O14" s="240">
        <f>SUMIFS('Budget - 2026'!$BK$5:$BK$56,'Budget - 2026'!$B$5:$B$56,'AVA WP - Overview'!D14)</f>
        <v>29931</v>
      </c>
      <c r="P14" s="239">
        <f>SUMIFS('Actual - 2026'!$Z$5:$Z$56,'Actual - 2026'!$A$5:$A$56,'AVA WP - Overview'!D14)</f>
        <v>230509.81</v>
      </c>
      <c r="Q14" s="233">
        <f>SUMIFS('Budget - 2026'!$AV$5:$AV$56,'Budget - 2026'!$B$5:$B$56,'AVA WP - Overview'!D14)</f>
        <v>196128.22742470133</v>
      </c>
      <c r="R14" s="240">
        <f>SUMIFS('Budget - 2026'!$BH$5:$BH$56,'Budget - 2026'!$B$5:$B$56,'AVA WP - Overview'!D14)</f>
        <v>190696</v>
      </c>
      <c r="S14" s="239">
        <f>SUMIFS('Actual - 2026'!$AF$5:$AF$56,'Actual - 2026'!$A$5:$A$56,'AVA WP - Overview'!D14)</f>
        <v>46030.7</v>
      </c>
      <c r="T14" s="233">
        <f>SUMIFS('Budget - 2026'!$BB$5:$BB$56,'Budget - 2026'!$B$5:$B$56,'AVA WP - Overview'!D14)</f>
        <v>39022.401938820323</v>
      </c>
      <c r="U14" s="240">
        <f>SUMIFS('Budget - 2026'!$BN$5:$BN$56,'Budget - 2026'!$B$5:$B$56,'AVA WP - Overview'!D14)</f>
        <v>42947</v>
      </c>
    </row>
    <row r="15" spans="4:21" s="108" customFormat="1" ht="22.15" customHeight="1">
      <c r="D15" s="227" t="s">
        <v>253</v>
      </c>
      <c r="E15" s="194"/>
      <c r="F15" s="241">
        <f>SUM(F11:F14)</f>
        <v>1103982.3899999999</v>
      </c>
      <c r="G15" s="228">
        <f>SUM(G11:G14)</f>
        <v>981279.72805999732</v>
      </c>
      <c r="H15" s="248">
        <f t="shared" si="3"/>
        <v>0.12504351046014914</v>
      </c>
      <c r="I15" s="194"/>
      <c r="J15" s="241">
        <f>SUM(J11:J14)</f>
        <v>1036003</v>
      </c>
      <c r="K15" s="248">
        <f>IFERROR((F15-J15)/J15,0)</f>
        <v>6.5616981804106647E-2</v>
      </c>
      <c r="L15" s="194"/>
      <c r="M15" s="241">
        <f t="shared" ref="M15:U15" si="4">SUM(M11:M14)</f>
        <v>104026.68000000001</v>
      </c>
      <c r="N15" s="228">
        <f t="shared" si="4"/>
        <v>89180.728059997346</v>
      </c>
      <c r="O15" s="242">
        <f t="shared" si="4"/>
        <v>129319</v>
      </c>
      <c r="P15" s="241">
        <f t="shared" si="4"/>
        <v>822516.85000000009</v>
      </c>
      <c r="Q15" s="228">
        <f t="shared" si="4"/>
        <v>775926.00000000012</v>
      </c>
      <c r="R15" s="242">
        <f t="shared" si="4"/>
        <v>775926</v>
      </c>
      <c r="S15" s="241">
        <f t="shared" si="4"/>
        <v>177438.86</v>
      </c>
      <c r="T15" s="228">
        <f t="shared" si="4"/>
        <v>116173</v>
      </c>
      <c r="U15" s="242">
        <f t="shared" si="4"/>
        <v>130758</v>
      </c>
    </row>
    <row r="16" spans="4:21" s="108" customFormat="1" ht="22.15" customHeight="1">
      <c r="D16" s="193" t="s">
        <v>134</v>
      </c>
      <c r="E16" s="194"/>
      <c r="F16" s="239">
        <f>SUMIFS('Actual - 2026'!$AI$5:$AI$56,'Actual - 2026'!$A$5:$A$56,'AVA WP - Overview'!D16)</f>
        <v>244386.51</v>
      </c>
      <c r="G16" s="233">
        <f>SUMIFS('Budget - 2026'!$BE$5:$BE$56,'Budget - 2026'!$B$5:$B$56,'AVA WP - Overview'!D16)</f>
        <v>238019.31985168753</v>
      </c>
      <c r="H16" s="247">
        <f t="shared" si="3"/>
        <v>2.6750728269788977E-2</v>
      </c>
      <c r="I16" s="194"/>
      <c r="J16" s="239">
        <f>SUMIFS('Budget - 2026'!$BQ$5:$BQ$56,'Budget - 2026'!$B$5:$B$56,'AVA WP - Overview'!D16)</f>
        <v>241547.08</v>
      </c>
      <c r="K16" s="251">
        <f t="shared" si="1"/>
        <v>1.1755182467947956E-2</v>
      </c>
      <c r="L16" s="194"/>
      <c r="M16" s="239">
        <f>SUMIFS('Actual - 2026'!$AC$5:$AC$56,'Actual - 2026'!$A$5:$A$56,'AVA WP - Overview'!D16)</f>
        <v>24681.4</v>
      </c>
      <c r="N16" s="233">
        <f>SUMIFS('Budget - 2026'!$AY$5:$AY$56,'Budget - 2026'!$B$5:$B$56,'AVA WP - Overview'!D16)</f>
        <v>29675.174515886691</v>
      </c>
      <c r="O16" s="240">
        <f>SUMIFS('Budget - 2026'!$BK$5:$BK$56,'Budget - 2026'!$B$5:$B$56,'AVA WP - Overview'!D16)</f>
        <v>24850</v>
      </c>
      <c r="P16" s="239">
        <f>SUMIFS('Actual - 2026'!$Z$5:$Z$56,'Actual - 2026'!$A$5:$A$56,'AVA WP - Overview'!D16)</f>
        <v>186147.71000000002</v>
      </c>
      <c r="Q16" s="233">
        <f>SUMIFS('Budget - 2026'!$AV$5:$AV$56,'Budget - 2026'!$B$5:$B$56,'AVA WP - Overview'!D16)</f>
        <v>176552.23079736941</v>
      </c>
      <c r="R16" s="240">
        <f>SUMIFS('Budget - 2026'!$BH$5:$BH$56,'Budget - 2026'!$B$5:$B$56,'AVA WP - Overview'!D16)</f>
        <v>181924.08</v>
      </c>
      <c r="S16" s="239">
        <f>SUMIFS('Actual - 2026'!$AF$5:$AF$56,'Actual - 2026'!$A$5:$A$56,'AVA WP - Overview'!D16)</f>
        <v>33557.4</v>
      </c>
      <c r="T16" s="233">
        <f>SUMIFS('Budget - 2026'!$BB$5:$BB$56,'Budget - 2026'!$B$5:$B$56,'AVA WP - Overview'!D16)</f>
        <v>31791.914538431425</v>
      </c>
      <c r="U16" s="240">
        <f>SUMIFS('Budget - 2026'!$BN$5:$BN$56,'Budget - 2026'!$B$5:$B$56,'AVA WP - Overview'!D16)</f>
        <v>34773</v>
      </c>
    </row>
    <row r="17" spans="2:21" s="108" customFormat="1" ht="22.15" customHeight="1">
      <c r="D17" s="193" t="s">
        <v>135</v>
      </c>
      <c r="E17" s="194"/>
      <c r="F17" s="239">
        <f>SUMIFS('Actual - 2026'!$AI$5:$AI$56,'Actual - 2026'!$A$5:$A$56,'AVA WP - Overview'!D17)</f>
        <v>243569.07</v>
      </c>
      <c r="G17" s="233">
        <f>SUMIFS('Budget - 2026'!$BE$5:$BE$56,'Budget - 2026'!$B$5:$B$56,'AVA WP - Overview'!D17)</f>
        <v>249344.13722279816</v>
      </c>
      <c r="H17" s="247">
        <f t="shared" si="3"/>
        <v>-2.31610307229238E-2</v>
      </c>
      <c r="I17" s="194"/>
      <c r="J17" s="239">
        <f>SUMIFS('Budget - 2026'!$BQ$5:$BQ$56,'Budget - 2026'!$B$5:$B$56,'AVA WP - Overview'!D17)</f>
        <v>266833</v>
      </c>
      <c r="K17" s="251">
        <f t="shared" si="1"/>
        <v>-8.7185355634423006E-2</v>
      </c>
      <c r="L17" s="194"/>
      <c r="M17" s="239">
        <f>SUMIFS('Actual - 2026'!$AC$5:$AC$56,'Actual - 2026'!$A$5:$A$56,'AVA WP - Overview'!D17)</f>
        <v>23604</v>
      </c>
      <c r="N17" s="233">
        <f>SUMIFS('Budget - 2026'!$AY$5:$AY$56,'Budget - 2026'!$B$5:$B$56,'AVA WP - Overview'!D17)</f>
        <v>20791.119498944638</v>
      </c>
      <c r="O17" s="240">
        <f>SUMIFS('Budget - 2026'!$BK$5:$BK$56,'Budget - 2026'!$B$5:$B$56,'AVA WP - Overview'!D17)</f>
        <v>28814</v>
      </c>
      <c r="P17" s="239">
        <f>SUMIFS('Actual - 2026'!$Z$5:$Z$56,'Actual - 2026'!$A$5:$A$56,'AVA WP - Overview'!D17)</f>
        <v>180759.37000000002</v>
      </c>
      <c r="Q17" s="233">
        <f>SUMIFS('Budget - 2026'!$AV$5:$AV$56,'Budget - 2026'!$B$5:$B$56,'AVA WP - Overview'!D17)</f>
        <v>200030.71674365713</v>
      </c>
      <c r="R17" s="240">
        <f>SUMIFS('Budget - 2026'!$BH$5:$BH$56,'Budget - 2026'!$B$5:$B$56,'AVA WP - Overview'!D17)</f>
        <v>203467</v>
      </c>
      <c r="S17" s="239">
        <f>SUMIFS('Actual - 2026'!$AF$5:$AF$56,'Actual - 2026'!$A$5:$A$56,'AVA WP - Overview'!D17)</f>
        <v>39205.699999999997</v>
      </c>
      <c r="T17" s="233">
        <f>SUMIFS('Budget - 2026'!$BB$5:$BB$56,'Budget - 2026'!$B$5:$B$56,'AVA WP - Overview'!D17)</f>
        <v>28522.300980196407</v>
      </c>
      <c r="U17" s="240">
        <f>SUMIFS('Budget - 2026'!$BN$5:$BN$56,'Budget - 2026'!$B$5:$B$56,'AVA WP - Overview'!D17)</f>
        <v>34552</v>
      </c>
    </row>
    <row r="18" spans="2:21" s="108" customFormat="1" ht="22.15" customHeight="1">
      <c r="D18" s="193" t="s">
        <v>136</v>
      </c>
      <c r="E18" s="194"/>
      <c r="F18" s="239">
        <f>SUMIFS('Actual - 2026'!$AI$5:$AI$56,'Actual - 2026'!$A$5:$A$56,'AVA WP - Overview'!D18)</f>
        <v>226950.81</v>
      </c>
      <c r="G18" s="233">
        <f>SUMIFS('Budget - 2026'!$BE$5:$BE$56,'Budget - 2026'!$B$5:$B$56,'AVA WP - Overview'!D18)</f>
        <v>238137.74983226694</v>
      </c>
      <c r="H18" s="247">
        <f t="shared" si="3"/>
        <v>-4.6976759628183686E-2</v>
      </c>
      <c r="I18" s="194"/>
      <c r="J18" s="239">
        <f>SUMIFS('Budget - 2026'!$BQ$5:$BQ$56,'Budget - 2026'!$B$5:$B$56,'AVA WP - Overview'!D18)</f>
        <v>258958</v>
      </c>
      <c r="K18" s="251">
        <f t="shared" si="1"/>
        <v>-0.12359992740135467</v>
      </c>
      <c r="L18" s="194"/>
      <c r="M18" s="239">
        <f>SUMIFS('Actual - 2026'!$AC$5:$AC$56,'Actual - 2026'!$A$5:$A$56,'AVA WP - Overview'!D18)</f>
        <v>15184.5</v>
      </c>
      <c r="N18" s="233">
        <f>SUMIFS('Budget - 2026'!$AY$5:$AY$56,'Budget - 2026'!$B$5:$B$56,'AVA WP - Overview'!D18)</f>
        <v>21185.922173897492</v>
      </c>
      <c r="O18" s="240">
        <f>SUMIFS('Budget - 2026'!$BK$5:$BK$56,'Budget - 2026'!$B$5:$B$56,'AVA WP - Overview'!D18)</f>
        <v>42778</v>
      </c>
      <c r="P18" s="239">
        <f>SUMIFS('Actual - 2026'!$Z$5:$Z$56,'Actual - 2026'!$A$5:$A$56,'AVA WP - Overview'!D18)</f>
        <v>184639.81</v>
      </c>
      <c r="Q18" s="233">
        <f>SUMIFS('Budget - 2026'!$AV$5:$AV$56,'Budget - 2026'!$B$5:$B$56,'AVA WP - Overview'!D18)</f>
        <v>178506.84456409884</v>
      </c>
      <c r="R18" s="240">
        <f>SUMIFS('Budget - 2026'!$BH$5:$BH$56,'Budget - 2026'!$B$5:$B$56,'AVA WP - Overview'!D18)</f>
        <v>175507</v>
      </c>
      <c r="S18" s="239">
        <f>SUMIFS('Actual - 2026'!$AF$5:$AF$56,'Actual - 2026'!$A$5:$A$56,'AVA WP - Overview'!D18)</f>
        <v>27126.5</v>
      </c>
      <c r="T18" s="233">
        <f>SUMIFS('Budget - 2026'!$BB$5:$BB$56,'Budget - 2026'!$B$5:$B$56,'AVA WP - Overview'!D18)</f>
        <v>38444.983094270588</v>
      </c>
      <c r="U18" s="240">
        <f>SUMIFS('Budget - 2026'!$BN$5:$BN$56,'Budget - 2026'!$B$5:$B$56,'AVA WP - Overview'!D18)</f>
        <v>40673</v>
      </c>
    </row>
    <row r="19" spans="2:21" s="108" customFormat="1" ht="22.15" customHeight="1">
      <c r="D19" s="193" t="s">
        <v>137</v>
      </c>
      <c r="E19" s="194"/>
      <c r="F19" s="239">
        <f>SUMIFS('Actual - 2026'!$AI$5:$AI$56,'Actual - 2026'!$A$5:$A$56,'AVA WP - Overview'!D19)</f>
        <v>244239.17</v>
      </c>
      <c r="G19" s="233">
        <f>SUMIFS('Budget - 2026'!$BE$5:$BE$56,'Budget - 2026'!$B$5:$B$56,'AVA WP - Overview'!D19)</f>
        <v>257832.71499108948</v>
      </c>
      <c r="H19" s="247">
        <f t="shared" si="3"/>
        <v>-5.2722343600032494E-2</v>
      </c>
      <c r="I19" s="194"/>
      <c r="J19" s="239">
        <f>SUMIFS('Budget - 2026'!$BQ$5:$BQ$56,'Budget - 2026'!$B$5:$B$56,'AVA WP - Overview'!D19)</f>
        <v>253591</v>
      </c>
      <c r="K19" s="251">
        <f t="shared" si="1"/>
        <v>-3.6877610009818908E-2</v>
      </c>
      <c r="L19" s="194"/>
      <c r="M19" s="239">
        <f>SUMIFS('Actual - 2026'!$AC$5:$AC$56,'Actual - 2026'!$A$5:$A$56,'AVA WP - Overview'!D19)</f>
        <v>33253</v>
      </c>
      <c r="N19" s="233">
        <f>SUMIFS('Budget - 2026'!$AY$5:$AY$56,'Budget - 2026'!$B$5:$B$56,'AVA WP - Overview'!D19)</f>
        <v>36131.743906739517</v>
      </c>
      <c r="O19" s="240">
        <f>SUMIFS('Budget - 2026'!$BK$5:$BK$56,'Budget - 2026'!$B$5:$B$56,'AVA WP - Overview'!D19)</f>
        <v>38468</v>
      </c>
      <c r="P19" s="239">
        <f>SUMIFS('Actual - 2026'!$Z$5:$Z$56,'Actual - 2026'!$A$5:$A$56,'AVA WP - Overview'!D19)</f>
        <v>184170.95</v>
      </c>
      <c r="Q19" s="233">
        <f>SUMIFS('Budget - 2026'!$AV$5:$AV$56,'Budget - 2026'!$B$5:$B$56,'AVA WP - Overview'!D19)</f>
        <v>187528.95874222979</v>
      </c>
      <c r="R19" s="240">
        <f>SUMIFS('Budget - 2026'!$BH$5:$BH$56,'Budget - 2026'!$B$5:$B$56,'AVA WP - Overview'!D19)</f>
        <v>187075</v>
      </c>
      <c r="S19" s="239">
        <f>SUMIFS('Actual - 2026'!$AF$5:$AF$56,'Actual - 2026'!$A$5:$A$56,'AVA WP - Overview'!D19)</f>
        <v>26815.22</v>
      </c>
      <c r="T19" s="233">
        <f>SUMIFS('Budget - 2026'!$BB$5:$BB$56,'Budget - 2026'!$B$5:$B$56,'AVA WP - Overview'!D19)</f>
        <v>34172.012342120157</v>
      </c>
      <c r="U19" s="240">
        <f>SUMIFS('Budget - 2026'!$BN$5:$BN$56,'Budget - 2026'!$B$5:$B$56,'AVA WP - Overview'!D19)</f>
        <v>28048</v>
      </c>
    </row>
    <row r="20" spans="2:21" s="108" customFormat="1" ht="22.15" customHeight="1">
      <c r="D20" s="193" t="s">
        <v>138</v>
      </c>
      <c r="E20" s="194"/>
      <c r="F20" s="239">
        <f>SUMIFS('Actual - 2026'!$AI$5:$AI$56,'Actual - 2026'!$A$5:$A$56,'AVA WP - Overview'!D20)</f>
        <v>252945.05</v>
      </c>
      <c r="G20" s="233">
        <f>SUMIFS('Budget - 2026'!$BE$5:$BE$56,'Budget - 2026'!$B$5:$B$56,'AVA WP - Overview'!D20)</f>
        <v>259826.76890336612</v>
      </c>
      <c r="H20" s="247">
        <f t="shared" si="3"/>
        <v>-2.6485796411244881E-2</v>
      </c>
      <c r="I20" s="194"/>
      <c r="J20" s="239">
        <f>SUMIFS('Budget - 2026'!$BQ$5:$BQ$56,'Budget - 2026'!$B$5:$B$56,'AVA WP - Overview'!D20)</f>
        <v>286302</v>
      </c>
      <c r="K20" s="251">
        <f t="shared" si="1"/>
        <v>-0.11650966461987695</v>
      </c>
      <c r="L20" s="194"/>
      <c r="M20" s="239">
        <f>SUMIFS('Actual - 2026'!$AC$5:$AC$56,'Actual - 2026'!$A$5:$A$56,'AVA WP - Overview'!D20)</f>
        <v>22275.01</v>
      </c>
      <c r="N20" s="233">
        <f>SUMIFS('Budget - 2026'!$AY$5:$AY$56,'Budget - 2026'!$B$5:$B$56,'AVA WP - Overview'!D20)</f>
        <v>20468.730705739858</v>
      </c>
      <c r="O20" s="240">
        <f>SUMIFS('Budget - 2026'!$BK$5:$BK$56,'Budget - 2026'!$B$5:$B$56,'AVA WP - Overview'!D20)</f>
        <v>45625</v>
      </c>
      <c r="P20" s="239">
        <f>SUMIFS('Actual - 2026'!$Z$5:$Z$56,'Actual - 2026'!$A$5:$A$56,'AVA WP - Overview'!D20)</f>
        <v>189692.43999999997</v>
      </c>
      <c r="Q20" s="233">
        <f>SUMIFS('Budget - 2026'!$AV$5:$AV$56,'Budget - 2026'!$B$5:$B$56,'AVA WP - Overview'!D20)</f>
        <v>191829.24915264486</v>
      </c>
      <c r="R20" s="240">
        <f>SUMIFS('Budget - 2026'!$BH$5:$BH$56,'Budget - 2026'!$B$5:$B$56,'AVA WP - Overview'!D20)</f>
        <v>186738</v>
      </c>
      <c r="S20" s="239">
        <f>SUMIFS('Actual - 2026'!$AF$5:$AF$56,'Actual - 2026'!$A$5:$A$56,'AVA WP - Overview'!D20)</f>
        <v>40977.600000000006</v>
      </c>
      <c r="T20" s="233">
        <f>SUMIFS('Budget - 2026'!$BB$5:$BB$56,'Budget - 2026'!$B$5:$B$56,'AVA WP - Overview'!D20)</f>
        <v>47528.789044981415</v>
      </c>
      <c r="U20" s="240">
        <f>SUMIFS('Budget - 2026'!$BN$5:$BN$56,'Budget - 2026'!$B$5:$B$56,'AVA WP - Overview'!D20)</f>
        <v>53939</v>
      </c>
    </row>
    <row r="21" spans="2:21" s="108" customFormat="1" ht="22.15" customHeight="1">
      <c r="D21" s="227" t="s">
        <v>254</v>
      </c>
      <c r="E21" s="194"/>
      <c r="F21" s="241">
        <f>SUM(F16:F20)</f>
        <v>1212090.6100000001</v>
      </c>
      <c r="G21" s="228">
        <f>SUM(G16:G20)</f>
        <v>1243160.6908012081</v>
      </c>
      <c r="H21" s="248">
        <f t="shared" si="3"/>
        <v>-2.4992811493406854E-2</v>
      </c>
      <c r="I21" s="194"/>
      <c r="J21" s="241">
        <f>SUM(J16:J20)</f>
        <v>1307231.08</v>
      </c>
      <c r="K21" s="248">
        <f>IFERROR((F21-J21)/J21,0)</f>
        <v>-7.278014687349689E-2</v>
      </c>
      <c r="L21" s="194"/>
      <c r="M21" s="241">
        <f t="shared" ref="M21:U21" si="5">SUM(M16:M20)</f>
        <v>118997.90999999999</v>
      </c>
      <c r="N21" s="228">
        <f t="shared" si="5"/>
        <v>128252.6908012082</v>
      </c>
      <c r="O21" s="242">
        <f t="shared" si="5"/>
        <v>180535</v>
      </c>
      <c r="P21" s="241">
        <f t="shared" si="5"/>
        <v>925410.28</v>
      </c>
      <c r="Q21" s="228">
        <f t="shared" si="5"/>
        <v>934448.00000000012</v>
      </c>
      <c r="R21" s="242">
        <f t="shared" si="5"/>
        <v>934711.08</v>
      </c>
      <c r="S21" s="318">
        <v>768000</v>
      </c>
      <c r="T21" s="228">
        <f t="shared" si="5"/>
        <v>180460</v>
      </c>
      <c r="U21" s="242">
        <f t="shared" si="5"/>
        <v>191985</v>
      </c>
    </row>
    <row r="22" spans="2:21" s="108" customFormat="1" ht="22.15" customHeight="1">
      <c r="D22" s="193" t="s">
        <v>141</v>
      </c>
      <c r="E22" s="194"/>
      <c r="F22" s="239">
        <f>SUMIFS('Actual - 2026'!$AI$5:$AI$56,'Actual - 2026'!$A$5:$A$56,'AVA WP - Overview'!D22)</f>
        <v>236142.99</v>
      </c>
      <c r="G22" s="233">
        <f>SUMIFS('Budget - 2026'!$BE$5:$BE$56,'Budget - 2026'!$B$5:$B$56,'AVA WP - Overview'!D22)</f>
        <v>216248.64660945983</v>
      </c>
      <c r="H22" s="247">
        <f t="shared" si="3"/>
        <v>9.199753941798719E-2</v>
      </c>
      <c r="I22" s="194"/>
      <c r="J22" s="239">
        <f>SUMIFS('Budget - 2026'!$BQ$5:$BQ$56,'Budget - 2026'!$B$5:$B$56,'AVA WP - Overview'!D22)</f>
        <v>208431</v>
      </c>
      <c r="K22" s="251">
        <f t="shared" si="1"/>
        <v>0.13295522259164899</v>
      </c>
      <c r="L22" s="194"/>
      <c r="M22" s="239">
        <f>SUMIFS('Actual - 2026'!$AC$5:$AC$56,'Actual - 2026'!$A$5:$A$56,'AVA WP - Overview'!D22)</f>
        <v>34067</v>
      </c>
      <c r="N22" s="233">
        <f>SUMIFS('Budget - 2026'!$AY$5:$AY$56,'Budget - 2026'!$B$5:$B$56,'AVA WP - Overview'!D22)</f>
        <v>19610.415852425172</v>
      </c>
      <c r="O22" s="240">
        <f>SUMIFS('Budget - 2026'!$BK$5:$BK$56,'Budget - 2026'!$B$5:$B$56,'AVA WP - Overview'!D22)</f>
        <v>24790</v>
      </c>
      <c r="P22" s="239">
        <f>SUMIFS('Actual - 2026'!$Z$5:$Z$56,'Actual - 2026'!$A$5:$A$56,'AVA WP - Overview'!D22)</f>
        <v>181775.9</v>
      </c>
      <c r="Q22" s="233">
        <f>SUMIFS('Budget - 2026'!$AV$5:$AV$56,'Budget - 2026'!$B$5:$B$56,'AVA WP - Overview'!D22)</f>
        <v>165782.00972208299</v>
      </c>
      <c r="R22" s="240">
        <f>SUMIFS('Budget - 2026'!$BH$5:$BH$56,'Budget - 2026'!$B$5:$B$56,'AVA WP - Overview'!D22)</f>
        <v>158277</v>
      </c>
      <c r="S22" s="319">
        <f>F19</f>
        <v>244239.17</v>
      </c>
      <c r="T22" s="233">
        <f>SUMIFS('Budget - 2026'!$BB$5:$BB$56,'Budget - 2026'!$B$5:$B$56,'AVA WP - Overview'!D22)</f>
        <v>30856.221034951646</v>
      </c>
      <c r="U22" s="240">
        <f>SUMIFS('Budget - 2026'!$BN$5:$BN$56,'Budget - 2026'!$B$5:$B$56,'AVA WP - Overview'!D22)</f>
        <v>25364</v>
      </c>
    </row>
    <row r="23" spans="2:21" s="108" customFormat="1" ht="22.15" customHeight="1">
      <c r="D23" s="193" t="s">
        <v>142</v>
      </c>
      <c r="E23" s="194"/>
      <c r="F23" s="239">
        <f>SUMIFS('Actual - 2026'!$AI$5:$AI$56,'Actual - 2026'!$A$5:$A$56,'AVA WP - Overview'!D23)</f>
        <v>261623.67999999999</v>
      </c>
      <c r="G23" s="233">
        <f>SUMIFS('Budget - 2026'!$BE$5:$BE$56,'Budget - 2026'!$B$5:$B$56,'AVA WP - Overview'!D23)</f>
        <v>218836.78436635816</v>
      </c>
      <c r="H23" s="247">
        <f t="shared" si="3"/>
        <v>0.19551966895113762</v>
      </c>
      <c r="I23" s="194"/>
      <c r="J23" s="239">
        <f>SUMIFS('Budget - 2026'!$BQ$5:$BQ$56,'Budget - 2026'!$B$5:$B$56,'AVA WP - Overview'!D23)</f>
        <v>220996</v>
      </c>
      <c r="K23" s="251">
        <f t="shared" si="1"/>
        <v>0.18383898351101374</v>
      </c>
      <c r="L23" s="194"/>
      <c r="M23" s="239">
        <f>SUMIFS('Actual - 2026'!$AC$5:$AC$56,'Actual - 2026'!$A$5:$A$56,'AVA WP - Overview'!D23)</f>
        <v>21233</v>
      </c>
      <c r="N23" s="233">
        <f>SUMIFS('Budget - 2026'!$AY$5:$AY$56,'Budget - 2026'!$B$5:$B$56,'AVA WP - Overview'!D23)</f>
        <v>23474.790289282104</v>
      </c>
      <c r="O23" s="240">
        <f>SUMIFS('Budget - 2026'!$BK$5:$BK$56,'Budget - 2026'!$B$5:$B$56,'AVA WP - Overview'!D23)</f>
        <v>34502</v>
      </c>
      <c r="P23" s="239">
        <f>SUMIFS('Actual - 2026'!$Z$5:$Z$56,'Actual - 2026'!$A$5:$A$56,'AVA WP - Overview'!D23)</f>
        <v>194494.3</v>
      </c>
      <c r="Q23" s="233">
        <f>SUMIFS('Budget - 2026'!$AV$5:$AV$56,'Budget - 2026'!$B$5:$B$56,'AVA WP - Overview'!D23)</f>
        <v>165107.26010370289</v>
      </c>
      <c r="R23" s="240">
        <f>SUMIFS('Budget - 2026'!$BH$5:$BH$56,'Budget - 2026'!$B$5:$B$56,'AVA WP - Overview'!D23)</f>
        <v>163527</v>
      </c>
      <c r="S23" s="322">
        <f>SUM(S21:S22)</f>
        <v>1012239.17</v>
      </c>
      <c r="T23" s="233">
        <f>SUMIFS('Budget - 2026'!$BB$5:$BB$56,'Budget - 2026'!$B$5:$B$56,'AVA WP - Overview'!D23)</f>
        <v>30254.733973373171</v>
      </c>
      <c r="U23" s="240">
        <f>SUMIFS('Budget - 2026'!$BN$5:$BN$56,'Budget - 2026'!$B$5:$B$56,'AVA WP - Overview'!D23)</f>
        <v>22967</v>
      </c>
    </row>
    <row r="24" spans="2:21" s="108" customFormat="1" ht="22.15" customHeight="1">
      <c r="D24" s="193" t="s">
        <v>143</v>
      </c>
      <c r="E24" s="194"/>
      <c r="F24" s="239">
        <f>SUMIFS('Actual - 2026'!$AI$5:$AI$56,'Actual - 2026'!$A$5:$A$56,'AVA WP - Overview'!D24)</f>
        <v>256659.12999999995</v>
      </c>
      <c r="G24" s="233">
        <f>SUMIFS('Budget - 2026'!$BE$5:$BE$56,'Budget - 2026'!$B$5:$B$56,'AVA WP - Overview'!D24)</f>
        <v>244293.64677016999</v>
      </c>
      <c r="H24" s="247">
        <f t="shared" si="3"/>
        <v>5.0617293545350904E-2</v>
      </c>
      <c r="I24" s="194"/>
      <c r="J24" s="239">
        <f>SUMIFS('Budget - 2026'!$BQ$5:$BQ$56,'Budget - 2026'!$B$5:$B$56,'AVA WP - Overview'!D24)</f>
        <v>254245</v>
      </c>
      <c r="K24" s="251">
        <f t="shared" si="1"/>
        <v>9.495289976203844E-3</v>
      </c>
      <c r="L24" s="194"/>
      <c r="M24" s="239">
        <f>SUMIFS('Actual - 2026'!$AC$5:$AC$56,'Actual - 2026'!$A$5:$A$56,'AVA WP - Overview'!D24)</f>
        <v>39373.33</v>
      </c>
      <c r="N24" s="233">
        <f>SUMIFS('Budget - 2026'!$AY$5:$AY$56,'Budget - 2026'!$B$5:$B$56,'AVA WP - Overview'!D24)</f>
        <v>32010.539271654365</v>
      </c>
      <c r="O24" s="240">
        <f>SUMIFS('Budget - 2026'!$BK$5:$BK$56,'Budget - 2026'!$B$5:$B$56,'AVA WP - Overview'!D24)</f>
        <v>35030</v>
      </c>
      <c r="P24" s="239">
        <f>SUMIFS('Actual - 2026'!$Z$5:$Z$56,'Actual - 2026'!$A$5:$A$56,'AVA WP - Overview'!D24)</f>
        <v>184733.11999999997</v>
      </c>
      <c r="Q24" s="233">
        <f>SUMIFS('Budget - 2026'!$AV$5:$AV$56,'Budget - 2026'!$B$5:$B$56,'AVA WP - Overview'!D24)</f>
        <v>183898.94797179065</v>
      </c>
      <c r="R24" s="240">
        <f>SUMIFS('Budget - 2026'!$BH$5:$BH$56,'Budget - 2026'!$B$5:$B$56,'AVA WP - Overview'!D24)</f>
        <v>180175</v>
      </c>
      <c r="S24" s="319">
        <v>1028594</v>
      </c>
      <c r="T24" s="233">
        <f>SUMIFS('Budget - 2026'!$BB$5:$BB$56,'Budget - 2026'!$B$5:$B$56,'AVA WP - Overview'!D24)</f>
        <v>28384.159526724987</v>
      </c>
      <c r="U24" s="240">
        <f>SUMIFS('Budget - 2026'!$BN$5:$BN$56,'Budget - 2026'!$B$5:$B$56,'AVA WP - Overview'!D24)</f>
        <v>39040</v>
      </c>
    </row>
    <row r="25" spans="2:21" s="108" customFormat="1" ht="22.15" customHeight="1">
      <c r="D25" s="193" t="s">
        <v>144</v>
      </c>
      <c r="E25" s="194"/>
      <c r="F25" s="239">
        <f>SUMIFS('Actual - 2026'!$AI$5:$AI$56,'Actual - 2026'!$A$5:$A$56,'AVA WP - Overview'!D25)</f>
        <v>234073.63999999996</v>
      </c>
      <c r="G25" s="233">
        <f>SUMIFS('Budget - 2026'!$BE$5:$BE$56,'Budget - 2026'!$B$5:$B$56,'AVA WP - Overview'!D25)</f>
        <v>231432.94531048933</v>
      </c>
      <c r="H25" s="247">
        <f t="shared" si="3"/>
        <v>1.1410193505370982E-2</v>
      </c>
      <c r="I25" s="194"/>
      <c r="J25" s="239">
        <f>SUMIFS('Budget - 2026'!$BQ$5:$BQ$56,'Budget - 2026'!$B$5:$B$56,'AVA WP - Overview'!D25)</f>
        <v>261144</v>
      </c>
      <c r="K25" s="251">
        <f t="shared" si="1"/>
        <v>-0.10366066231657646</v>
      </c>
      <c r="L25" s="194"/>
      <c r="M25" s="239">
        <f>SUMIFS('Actual - 2026'!$AC$5:$AC$56,'Actual - 2026'!$A$5:$A$56,'AVA WP - Overview'!D25)</f>
        <v>21944.36</v>
      </c>
      <c r="N25" s="233">
        <f>SUMIFS('Budget - 2026'!$AY$5:$AY$56,'Budget - 2026'!$B$5:$B$56,'AVA WP - Overview'!D25)</f>
        <v>22419.277643115653</v>
      </c>
      <c r="O25" s="240">
        <f>SUMIFS('Budget - 2026'!$BK$5:$BK$56,'Budget - 2026'!$B$5:$B$56,'AVA WP - Overview'!D25)</f>
        <v>37200</v>
      </c>
      <c r="P25" s="239">
        <f>SUMIFS('Actual - 2026'!$Z$5:$Z$56,'Actual - 2026'!$A$5:$A$56,'AVA WP - Overview'!D25)</f>
        <v>189125.25999999998</v>
      </c>
      <c r="Q25" s="233">
        <f>SUMIFS('Budget - 2026'!$AV$5:$AV$56,'Budget - 2026'!$B$5:$B$56,'AVA WP - Overview'!D25)</f>
        <v>187363.78220242349</v>
      </c>
      <c r="R25" s="240">
        <f>SUMIFS('Budget - 2026'!$BH$5:$BH$56,'Budget - 2026'!$B$5:$B$56,'AVA WP - Overview'!D25)</f>
        <v>200172</v>
      </c>
      <c r="S25" s="322">
        <f>S23-S24</f>
        <v>-16354.829999999958</v>
      </c>
      <c r="T25" s="233">
        <f>SUMIFS('Budget - 2026'!$BB$5:$BB$56,'Budget - 2026'!$B$5:$B$56,'AVA WP - Overview'!D25)</f>
        <v>21649.885464950188</v>
      </c>
      <c r="U25" s="240">
        <f>SUMIFS('Budget - 2026'!$BN$5:$BN$56,'Budget - 2026'!$B$5:$B$56,'AVA WP - Overview'!D25)</f>
        <v>23772</v>
      </c>
    </row>
    <row r="26" spans="2:21" s="108" customFormat="1" ht="22.15" customHeight="1">
      <c r="D26" s="227" t="s">
        <v>255</v>
      </c>
      <c r="E26" s="194"/>
      <c r="F26" s="241">
        <f>SUM(F22:F25)</f>
        <v>988499.44</v>
      </c>
      <c r="G26" s="228"/>
      <c r="H26" s="248" t="e">
        <f t="shared" si="3"/>
        <v>#DIV/0!</v>
      </c>
      <c r="I26" s="194"/>
      <c r="J26" s="241">
        <f>SUM(J22:J25)</f>
        <v>944816</v>
      </c>
      <c r="K26" s="248">
        <f>IFERROR((F26-J26)/J26,0)</f>
        <v>4.6234864777903784E-2</v>
      </c>
      <c r="L26" s="194"/>
      <c r="M26" s="241">
        <f t="shared" ref="M26:U26" si="6">SUM(M22:M25)</f>
        <v>116617.69</v>
      </c>
      <c r="N26" s="228">
        <f t="shared" si="6"/>
        <v>97515.023056477294</v>
      </c>
      <c r="O26" s="242">
        <f t="shared" si="6"/>
        <v>131522</v>
      </c>
      <c r="P26" s="241">
        <f t="shared" si="6"/>
        <v>750128.58</v>
      </c>
      <c r="Q26" s="228">
        <f t="shared" si="6"/>
        <v>702152</v>
      </c>
      <c r="R26" s="242">
        <f t="shared" si="6"/>
        <v>702151</v>
      </c>
      <c r="S26" s="241">
        <f t="shared" si="6"/>
        <v>2268717.5099999998</v>
      </c>
      <c r="T26" s="228">
        <f t="shared" si="6"/>
        <v>111144.99999999999</v>
      </c>
      <c r="U26" s="242">
        <f t="shared" si="6"/>
        <v>111143</v>
      </c>
    </row>
    <row r="27" spans="2:21" s="108" customFormat="1" ht="22.15" customHeight="1">
      <c r="D27" s="193" t="s">
        <v>147</v>
      </c>
      <c r="E27" s="194"/>
      <c r="F27" s="239">
        <f>SUMIFS('Actual - 2026'!$AI$5:$AI$56,'Actual - 2026'!$A$5:$A$56,'AVA WP - Overview'!D27)</f>
        <v>244802.62</v>
      </c>
      <c r="G27" s="233">
        <f>SUMIFS('Budget - 2026'!$BE$5:$BE$56,'Budget - 2026'!$B$5:$B$56,'AVA WP - Overview'!D27)</f>
        <v>258869.96807065126</v>
      </c>
      <c r="H27" s="247">
        <f t="shared" si="3"/>
        <v>-5.434136750390442E-2</v>
      </c>
      <c r="I27" s="194"/>
      <c r="J27" s="239">
        <f>SUMIFS('Budget - 2026'!$BQ$5:$BQ$56,'Budget - 2026'!$B$5:$B$56,'AVA WP - Overview'!D27)</f>
        <v>267361</v>
      </c>
      <c r="K27" s="251">
        <f t="shared" si="1"/>
        <v>-8.4374235584097929E-2</v>
      </c>
      <c r="L27" s="194"/>
      <c r="M27" s="239">
        <f>SUMIFS('Actual - 2026'!$AC$5:$AC$56,'Actual - 2026'!$A$5:$A$56,'AVA WP - Overview'!D27)</f>
        <v>21165</v>
      </c>
      <c r="N27" s="233">
        <f>SUMIFS('Budget - 2026'!$AY$5:$AY$56,'Budget - 2026'!$B$5:$B$56,'AVA WP - Overview'!D27)</f>
        <v>21859.864458730943</v>
      </c>
      <c r="O27" s="240">
        <f>SUMIFS('Budget - 2026'!$BK$5:$BK$56,'Budget - 2026'!$B$5:$B$56,'AVA WP - Overview'!D27)</f>
        <v>35261</v>
      </c>
      <c r="P27" s="239">
        <f>SUMIFS('Actual - 2026'!$Z$5:$Z$56,'Actual - 2026'!$A$5:$A$56,'AVA WP - Overview'!D27)</f>
        <v>190874.62</v>
      </c>
      <c r="Q27" s="233">
        <f>SUMIFS('Budget - 2026'!$AV$5:$AV$56,'Budget - 2026'!$B$5:$B$56,'AVA WP - Overview'!D27)</f>
        <v>199529.65704992597</v>
      </c>
      <c r="R27" s="240">
        <f>SUMIFS('Budget - 2026'!$BH$5:$BH$56,'Budget - 2026'!$B$5:$B$56,'AVA WP - Overview'!D27)</f>
        <v>200853</v>
      </c>
      <c r="S27" s="239">
        <f>SUMIFS('Actual - 2026'!$AF$5:$AF$56,'Actual - 2026'!$A$5:$A$56,'AVA WP - Overview'!D27)</f>
        <v>32763</v>
      </c>
      <c r="T27" s="233">
        <f>SUMIFS('Budget - 2026'!$BB$5:$BB$56,'Budget - 2026'!$B$5:$B$56,'AVA WP - Overview'!D27)</f>
        <v>37480.446561994337</v>
      </c>
      <c r="U27" s="240">
        <f>SUMIFS('Budget - 2026'!$BN$5:$BN$56,'Budget - 2026'!$B$5:$B$56,'AVA WP - Overview'!D27)</f>
        <v>31247</v>
      </c>
    </row>
    <row r="28" spans="2:21" s="108" customFormat="1" ht="22.15" customHeight="1">
      <c r="B28" s="108" t="s">
        <v>99</v>
      </c>
      <c r="D28" s="193" t="s">
        <v>148</v>
      </c>
      <c r="E28" s="194"/>
      <c r="F28" s="239">
        <f>SUMIFS('Actual - 2026'!$AI$5:$AI$56,'Actual - 2026'!$A$5:$A$56,'AVA WP - Overview'!D28)</f>
        <v>307004.09999999992</v>
      </c>
      <c r="G28" s="233">
        <f>SUMIFS('Budget - 2026'!$BE$5:$BE$56,'Budget - 2026'!$B$5:$B$56,'AVA WP - Overview'!D28)</f>
        <v>260089.96084967078</v>
      </c>
      <c r="H28" s="247">
        <f t="shared" si="3"/>
        <v>0.18037658584386887</v>
      </c>
      <c r="I28" s="194"/>
      <c r="J28" s="239">
        <f>SUMIFS('Budget - 2026'!$BQ$5:$BQ$56,'Budget - 2026'!$B$5:$B$56,'AVA WP - Overview'!D28)</f>
        <v>237966</v>
      </c>
      <c r="K28" s="251">
        <f t="shared" si="1"/>
        <v>0.29011749577670726</v>
      </c>
      <c r="L28" s="194"/>
      <c r="M28" s="239">
        <f>SUMIFS('Actual - 2026'!$AC$5:$AC$56,'Actual - 2026'!$A$5:$A$56,'AVA WP - Overview'!D28)</f>
        <v>42502.04</v>
      </c>
      <c r="N28" s="233">
        <f>SUMIFS('Budget - 2026'!$AY$5:$AY$56,'Budget - 2026'!$B$5:$B$56,'AVA WP - Overview'!D28)</f>
        <v>33664.091180950672</v>
      </c>
      <c r="O28" s="240">
        <f>SUMIFS('Budget - 2026'!$BK$5:$BK$56,'Budget - 2026'!$B$5:$B$56,'AVA WP - Overview'!D28)</f>
        <v>53712</v>
      </c>
      <c r="P28" s="239">
        <f>SUMIFS('Actual - 2026'!$Z$5:$Z$56,'Actual - 2026'!$A$5:$A$56,'AVA WP - Overview'!D28)</f>
        <v>213980.46999999997</v>
      </c>
      <c r="Q28" s="233">
        <f>SUMIFS('Budget - 2026'!$AV$5:$AV$56,'Budget - 2026'!$B$5:$B$56,'AVA WP - Overview'!D28)</f>
        <v>197820.29545504283</v>
      </c>
      <c r="R28" s="240">
        <f>SUMIFS('Budget - 2026'!$BH$5:$BH$56,'Budget - 2026'!$B$5:$B$56,'AVA WP - Overview'!D28)</f>
        <v>159299</v>
      </c>
      <c r="S28" s="239">
        <f>SUMIFS('Actual - 2026'!$AF$5:$AF$56,'Actual - 2026'!$A$5:$A$56,'AVA WP - Overview'!D28)</f>
        <v>50521.59</v>
      </c>
      <c r="T28" s="233">
        <f>SUMIFS('Budget - 2026'!$BB$5:$BB$56,'Budget - 2026'!$B$5:$B$56,'AVA WP - Overview'!D28)</f>
        <v>28605.574213677293</v>
      </c>
      <c r="U28" s="240">
        <f>SUMIFS('Budget - 2026'!$BN$5:$BN$56,'Budget - 2026'!$B$5:$B$56,'AVA WP - Overview'!D28)</f>
        <v>24955</v>
      </c>
    </row>
    <row r="29" spans="2:21" s="108" customFormat="1" ht="22.15" customHeight="1">
      <c r="D29" s="193" t="s">
        <v>149</v>
      </c>
      <c r="E29" s="194"/>
      <c r="F29" s="239">
        <f>SUMIFS('Actual - 2026'!$AI$5:$AI$56,'Actual - 2026'!$A$5:$A$56,'AVA WP - Overview'!D29)</f>
        <v>255287.18</v>
      </c>
      <c r="G29" s="233">
        <f>SUMIFS('Budget - 2026'!$BE$5:$BE$56,'Budget - 2026'!$B$5:$B$56,'AVA WP - Overview'!D29)</f>
        <v>232930.18319996912</v>
      </c>
      <c r="H29" s="247">
        <f t="shared" si="3"/>
        <v>9.5981536153421254E-2</v>
      </c>
      <c r="I29" s="194"/>
      <c r="J29" s="239">
        <f>SUMIFS('Budget - 2026'!$BQ$5:$BQ$56,'Budget - 2026'!$B$5:$B$56,'AVA WP - Overview'!D29)</f>
        <v>250392</v>
      </c>
      <c r="K29" s="251">
        <f t="shared" si="1"/>
        <v>1.9550065497300206E-2</v>
      </c>
      <c r="L29" s="194"/>
      <c r="M29" s="239">
        <f>SUMIFS('Actual - 2026'!$AC$5:$AC$56,'Actual - 2026'!$A$5:$A$56,'AVA WP - Overview'!D29)</f>
        <v>18885.5</v>
      </c>
      <c r="N29" s="233">
        <f>SUMIFS('Budget - 2026'!$AY$5:$AY$56,'Budget - 2026'!$B$5:$B$56,'AVA WP - Overview'!D29)</f>
        <v>24717.997121544733</v>
      </c>
      <c r="O29" s="240">
        <f>SUMIFS('Budget - 2026'!$BK$5:$BK$56,'Budget - 2026'!$B$5:$B$56,'AVA WP - Overview'!D29)</f>
        <v>32826</v>
      </c>
      <c r="P29" s="239">
        <f>SUMIFS('Actual - 2026'!$Z$5:$Z$56,'Actual - 2026'!$A$5:$A$56,'AVA WP - Overview'!D29)</f>
        <v>190426.86</v>
      </c>
      <c r="Q29" s="233">
        <f>SUMIFS('Budget - 2026'!$AV$5:$AV$56,'Budget - 2026'!$B$5:$B$56,'AVA WP - Overview'!D29)</f>
        <v>178840.76015927375</v>
      </c>
      <c r="R29" s="240">
        <f>SUMIFS('Budget - 2026'!$BH$5:$BH$56,'Budget - 2026'!$B$5:$B$56,'AVA WP - Overview'!D29)</f>
        <v>175583</v>
      </c>
      <c r="S29" s="239">
        <f>SUMIFS('Actual - 2026'!$AF$5:$AF$56,'Actual - 2026'!$A$5:$A$56,'AVA WP - Overview'!D29)</f>
        <v>45974.82</v>
      </c>
      <c r="T29" s="233">
        <f>SUMIFS('Budget - 2026'!$BB$5:$BB$56,'Budget - 2026'!$B$5:$B$56,'AVA WP - Overview'!D29)</f>
        <v>29371.425919150639</v>
      </c>
      <c r="U29" s="240">
        <f>SUMIFS('Budget - 2026'!$BN$5:$BN$56,'Budget - 2026'!$B$5:$B$56,'AVA WP - Overview'!D29)</f>
        <v>41983</v>
      </c>
    </row>
    <row r="30" spans="2:21" s="108" customFormat="1" ht="22.15" customHeight="1">
      <c r="D30" s="193" t="s">
        <v>150</v>
      </c>
      <c r="E30" s="194"/>
      <c r="F30" s="239">
        <f>SUMIFS('Actual - 2026'!$AI$5:$AI$56,'Actual - 2026'!$A$5:$A$56,'AVA WP - Overview'!D30)</f>
        <v>266123.31000000006</v>
      </c>
      <c r="G30" s="233">
        <f>SUMIFS('Budget - 2026'!$BE$5:$BE$56,'Budget - 2026'!$B$5:$B$56,'AVA WP - Overview'!D30)</f>
        <v>251150.31708119428</v>
      </c>
      <c r="H30" s="247">
        <f t="shared" si="3"/>
        <v>5.9617654848371782E-2</v>
      </c>
      <c r="I30" s="194"/>
      <c r="J30" s="239">
        <f>SUMIFS('Budget - 2026'!$BQ$5:$BQ$56,'Budget - 2026'!$B$5:$B$56,'AVA WP - Overview'!D30)</f>
        <v>256402</v>
      </c>
      <c r="K30" s="251">
        <f t="shared" si="1"/>
        <v>3.791432984142111E-2</v>
      </c>
      <c r="L30" s="194"/>
      <c r="M30" s="239">
        <f>SUMIFS('Actual - 2026'!$AC$5:$AC$56,'Actual - 2026'!$A$5:$A$56,'AVA WP - Overview'!D30)</f>
        <v>22834.03</v>
      </c>
      <c r="N30" s="233">
        <f>SUMIFS('Budget - 2026'!$AY$5:$AY$56,'Budget - 2026'!$B$5:$B$56,'AVA WP - Overview'!D30)</f>
        <v>28578.773184445141</v>
      </c>
      <c r="O30" s="240">
        <f>SUMIFS('Budget - 2026'!$BK$5:$BK$56,'Budget - 2026'!$B$5:$B$56,'AVA WP - Overview'!D30)</f>
        <v>32725</v>
      </c>
      <c r="P30" s="239">
        <f>SUMIFS('Actual - 2026'!$Z$5:$Z$56,'Actual - 2026'!$A$5:$A$56,'AVA WP - Overview'!D30)</f>
        <v>206256.33000000002</v>
      </c>
      <c r="Q30" s="233">
        <f>SUMIFS('Budget - 2026'!$AV$5:$AV$56,'Budget - 2026'!$B$5:$B$56,'AVA WP - Overview'!D30)</f>
        <v>182827.99059157143</v>
      </c>
      <c r="R30" s="240">
        <f>SUMIFS('Budget - 2026'!$BH$5:$BH$56,'Budget - 2026'!$B$5:$B$56,'AVA WP - Overview'!D30)</f>
        <v>186664</v>
      </c>
      <c r="S30" s="239">
        <f>SUMIFS('Actual - 2026'!$AF$5:$AF$56,'Actual - 2026'!$A$5:$A$56,'AVA WP - Overview'!D30)</f>
        <v>37032.949999999997</v>
      </c>
      <c r="T30" s="233">
        <f>SUMIFS('Budget - 2026'!$BB$5:$BB$56,'Budget - 2026'!$B$5:$B$56,'AVA WP - Overview'!D30)</f>
        <v>39743.553305177731</v>
      </c>
      <c r="U30" s="240">
        <f>SUMIFS('Budget - 2026'!$BN$5:$BN$56,'Budget - 2026'!$B$5:$B$56,'AVA WP - Overview'!D30)</f>
        <v>37013</v>
      </c>
    </row>
    <row r="31" spans="2:21" s="108" customFormat="1" ht="22.15" customHeight="1">
      <c r="D31" s="227" t="s">
        <v>256</v>
      </c>
      <c r="E31" s="194"/>
      <c r="F31" s="241">
        <f>SUM(F27:F30)</f>
        <v>1073217.21</v>
      </c>
      <c r="G31" s="228">
        <f>SUM(G27:G30)</f>
        <v>1003040.4292014855</v>
      </c>
      <c r="H31" s="248">
        <f t="shared" si="3"/>
        <v>6.9964060027352851E-2</v>
      </c>
      <c r="I31" s="194"/>
      <c r="J31" s="241">
        <f>SUM(J27:J30)</f>
        <v>1012121</v>
      </c>
      <c r="K31" s="248">
        <f>IFERROR((F31-J31)/J31,0)</f>
        <v>6.0364531513524534E-2</v>
      </c>
      <c r="L31" s="194"/>
      <c r="M31" s="241">
        <f t="shared" ref="M31:U31" si="7">SUM(M27:M30)</f>
        <v>105386.57</v>
      </c>
      <c r="N31" s="228">
        <f t="shared" si="7"/>
        <v>108820.7259456715</v>
      </c>
      <c r="O31" s="242">
        <f t="shared" si="7"/>
        <v>154524</v>
      </c>
      <c r="P31" s="241">
        <f t="shared" si="7"/>
        <v>801538.28</v>
      </c>
      <c r="Q31" s="228">
        <f t="shared" si="7"/>
        <v>759018.70325581403</v>
      </c>
      <c r="R31" s="242">
        <f t="shared" si="7"/>
        <v>722399</v>
      </c>
      <c r="S31" s="241">
        <f t="shared" si="7"/>
        <v>166292.35999999999</v>
      </c>
      <c r="T31" s="228">
        <f t="shared" si="7"/>
        <v>135201</v>
      </c>
      <c r="U31" s="242">
        <f t="shared" si="7"/>
        <v>135198</v>
      </c>
    </row>
    <row r="32" spans="2:21" s="108" customFormat="1" ht="22.15" customHeight="1">
      <c r="D32" s="193" t="s">
        <v>153</v>
      </c>
      <c r="E32" s="194"/>
      <c r="F32" s="239">
        <f>SUMIFS('Actual - 2026'!$AI$5:$AI$56,'Actual - 2026'!$A$5:$A$56,'AVA WP - Overview'!D32)</f>
        <v>203185.78000000003</v>
      </c>
      <c r="G32" s="233">
        <f>SUMIFS('Budget - 2026'!$BE$5:$BE$56,'Budget - 2026'!$B$5:$B$56,'AVA WP - Overview'!D32)</f>
        <v>197551.48688002417</v>
      </c>
      <c r="H32" s="247">
        <f t="shared" si="3"/>
        <v>2.8520631299513564E-2</v>
      </c>
      <c r="I32" s="194"/>
      <c r="J32" s="239">
        <f>SUMIFS('Budget - 2026'!$BQ$5:$BQ$56,'Budget - 2026'!$B$5:$B$56,'AVA WP - Overview'!D32)</f>
        <v>196213</v>
      </c>
      <c r="K32" s="251">
        <f t="shared" si="1"/>
        <v>3.5536789101639689E-2</v>
      </c>
      <c r="L32" s="194"/>
      <c r="M32" s="239">
        <f>SUMIFS('Actual - 2026'!$AC$5:$AC$56,'Actual - 2026'!$A$5:$A$56,'AVA WP - Overview'!D32)</f>
        <v>17868</v>
      </c>
      <c r="N32" s="233">
        <f>SUMIFS('Budget - 2026'!$AY$5:$AY$56,'Budget - 2026'!$B$5:$B$56,'AVA WP - Overview'!D32)</f>
        <v>16535.605001309246</v>
      </c>
      <c r="O32" s="240">
        <f>SUMIFS('Budget - 2026'!$BK$5:$BK$56,'Budget - 2026'!$B$5:$B$56,'AVA WP - Overview'!D32)</f>
        <v>19844</v>
      </c>
      <c r="P32" s="239">
        <f>SUMIFS('Actual - 2026'!$Z$5:$Z$56,'Actual - 2026'!$A$5:$A$56,'AVA WP - Overview'!D32)</f>
        <v>158585.00000000003</v>
      </c>
      <c r="Q32" s="233">
        <f>SUMIFS('Budget - 2026'!$AV$5:$AV$56,'Budget - 2026'!$B$5:$B$56,'AVA WP - Overview'!D32)</f>
        <v>150676.76587034753</v>
      </c>
      <c r="R32" s="240">
        <f>SUMIFS('Budget - 2026'!$BH$5:$BH$56,'Budget - 2026'!$B$5:$B$56,'AVA WP - Overview'!D32)</f>
        <v>149972</v>
      </c>
      <c r="S32" s="239">
        <f>SUMIFS('Actual - 2026'!$AF$5:$AF$56,'Actual - 2026'!$A$5:$A$56,'AVA WP - Overview'!D32)</f>
        <v>26732.78</v>
      </c>
      <c r="T32" s="233">
        <f>SUMIFS('Budget - 2026'!$BB$5:$BB$56,'Budget - 2026'!$B$5:$B$56,'AVA WP - Overview'!D32)</f>
        <v>30339.116008367393</v>
      </c>
      <c r="U32" s="240">
        <f>SUMIFS('Budget - 2026'!$BN$5:$BN$56,'Budget - 2026'!$B$5:$B$56,'AVA WP - Overview'!D32)</f>
        <v>26397</v>
      </c>
    </row>
    <row r="33" spans="4:21" s="108" customFormat="1" ht="22.15" customHeight="1">
      <c r="D33" s="193" t="s">
        <v>154</v>
      </c>
      <c r="E33" s="194"/>
      <c r="F33" s="239">
        <f>SUMIFS('Actual - 2026'!$AI$5:$AI$56,'Actual - 2026'!$A$5:$A$56,'AVA WP - Overview'!D33)</f>
        <v>210457.04</v>
      </c>
      <c r="G33" s="233">
        <f>SUMIFS('Budget - 2026'!$BE$5:$BE$56,'Budget - 2026'!$B$5:$B$56,'AVA WP - Overview'!D33)</f>
        <v>195960.99528998148</v>
      </c>
      <c r="H33" s="247">
        <f t="shared" si="3"/>
        <v>7.3974132906231657E-2</v>
      </c>
      <c r="I33" s="194"/>
      <c r="J33" s="239">
        <f>SUMIFS('Budget - 2026'!$BQ$5:$BQ$56,'Budget - 2026'!$B$5:$B$56,'AVA WP - Overview'!D33)</f>
        <v>199331</v>
      </c>
      <c r="K33" s="251">
        <f t="shared" si="1"/>
        <v>5.5816907555774106E-2</v>
      </c>
      <c r="L33" s="194"/>
      <c r="M33" s="239">
        <f>SUMIFS('Actual - 2026'!$AC$5:$AC$56,'Actual - 2026'!$A$5:$A$56,'AVA WP - Overview'!D33)</f>
        <v>18179.55</v>
      </c>
      <c r="N33" s="233">
        <f>SUMIFS('Budget - 2026'!$AY$5:$AY$56,'Budget - 2026'!$B$5:$B$56,'AVA WP - Overview'!D33)</f>
        <v>16205.35716156062</v>
      </c>
      <c r="O33" s="240">
        <f>SUMIFS('Budget - 2026'!$BK$5:$BK$56,'Budget - 2026'!$B$5:$B$56,'AVA WP - Overview'!D33)</f>
        <v>18567</v>
      </c>
      <c r="P33" s="239">
        <f>SUMIFS('Actual - 2026'!$Z$5:$Z$56,'Actual - 2026'!$A$5:$A$56,'AVA WP - Overview'!D33)</f>
        <v>161480.79</v>
      </c>
      <c r="Q33" s="233">
        <f>SUMIFS('Budget - 2026'!$AV$5:$AV$56,'Budget - 2026'!$B$5:$B$56,'AVA WP - Overview'!D33)</f>
        <v>155674.58579269532</v>
      </c>
      <c r="R33" s="240">
        <f>SUMIFS('Budget - 2026'!$BH$5:$BH$56,'Budget - 2026'!$B$5:$B$56,'AVA WP - Overview'!D33)</f>
        <v>159081</v>
      </c>
      <c r="S33" s="239">
        <f>SUMIFS('Actual - 2026'!$AF$5:$AF$56,'Actual - 2026'!$A$5:$A$56,'AVA WP - Overview'!D33)</f>
        <v>30796.7</v>
      </c>
      <c r="T33" s="233">
        <f>SUMIFS('Budget - 2026'!$BB$5:$BB$56,'Budget - 2026'!$B$5:$B$56,'AVA WP - Overview'!D33)</f>
        <v>24081.052335725552</v>
      </c>
      <c r="U33" s="240">
        <f>SUMIFS('Budget - 2026'!$BN$5:$BN$56,'Budget - 2026'!$B$5:$B$56,'AVA WP - Overview'!D33)</f>
        <v>21683</v>
      </c>
    </row>
    <row r="34" spans="4:21" s="108" customFormat="1" ht="22.15" customHeight="1">
      <c r="D34" s="193" t="s">
        <v>155</v>
      </c>
      <c r="E34" s="194"/>
      <c r="F34" s="239">
        <f>SUMIFS('Actual - 2026'!$AI$5:$AI$56,'Actual - 2026'!$A$5:$A$56,'AVA WP - Overview'!D34)</f>
        <v>191293.49</v>
      </c>
      <c r="G34" s="233">
        <f>SUMIFS('Budget - 2026'!$BE$5:$BE$56,'Budget - 2026'!$B$5:$B$56,'AVA WP - Overview'!D34)</f>
        <v>246410.05809559365</v>
      </c>
      <c r="H34" s="247">
        <f t="shared" si="3"/>
        <v>-0.2236782399288727</v>
      </c>
      <c r="I34" s="194"/>
      <c r="J34" s="239">
        <f>SUMIFS('Budget - 2026'!$BQ$5:$BQ$56,'Budget - 2026'!$B$5:$B$56,'AVA WP - Overview'!D34)</f>
        <v>248305</v>
      </c>
      <c r="K34" s="251">
        <f t="shared" si="1"/>
        <v>-0.22960274662209787</v>
      </c>
      <c r="L34" s="194"/>
      <c r="M34" s="239">
        <f>SUMIFS('Actual - 2026'!$AC$5:$AC$56,'Actual - 2026'!$A$5:$A$56,'AVA WP - Overview'!D34)</f>
        <v>16768.82</v>
      </c>
      <c r="N34" s="233">
        <f>SUMIFS('Budget - 2026'!$AY$5:$AY$56,'Budget - 2026'!$B$5:$B$56,'AVA WP - Overview'!D34)</f>
        <v>29236.380911233304</v>
      </c>
      <c r="O34" s="240">
        <f>SUMIFS('Budget - 2026'!$BK$5:$BK$56,'Budget - 2026'!$B$5:$B$56,'AVA WP - Overview'!D34)</f>
        <v>29550</v>
      </c>
      <c r="P34" s="239">
        <f>SUMIFS('Actual - 2026'!$Z$5:$Z$56,'Actual - 2026'!$A$5:$A$56,'AVA WP - Overview'!D34)</f>
        <v>151669.26999999999</v>
      </c>
      <c r="Q34" s="233">
        <f>SUMIFS('Budget - 2026'!$AV$5:$AV$56,'Budget - 2026'!$B$5:$B$56,'AVA WP - Overview'!D34)</f>
        <v>186945.82313434908</v>
      </c>
      <c r="R34" s="240">
        <f>SUMIFS('Budget - 2026'!$BH$5:$BH$56,'Budget - 2026'!$B$5:$B$56,'AVA WP - Overview'!D34)</f>
        <v>189637</v>
      </c>
      <c r="S34" s="239">
        <f>SUMIFS('Actual - 2026'!$AF$5:$AF$56,'Actual - 2026'!$A$5:$A$56,'AVA WP - Overview'!D34)</f>
        <v>22855.4</v>
      </c>
      <c r="T34" s="233">
        <f>SUMIFS('Budget - 2026'!$BB$5:$BB$56,'Budget - 2026'!$B$5:$B$56,'AVA WP - Overview'!D34)</f>
        <v>30227.854050011265</v>
      </c>
      <c r="U34" s="240">
        <f>SUMIFS('Budget - 2026'!$BN$5:$BN$56,'Budget - 2026'!$B$5:$B$56,'AVA WP - Overview'!D34)</f>
        <v>29118</v>
      </c>
    </row>
    <row r="35" spans="4:21" s="108" customFormat="1" ht="22.15" customHeight="1">
      <c r="D35" s="193" t="s">
        <v>156</v>
      </c>
      <c r="E35" s="194"/>
      <c r="F35" s="239">
        <f>SUMIFS('Actual - 2026'!$AI$5:$AI$56,'Actual - 2026'!$A$5:$A$56,'AVA WP - Overview'!D35)</f>
        <v>225505.08000000002</v>
      </c>
      <c r="G35" s="233">
        <f>SUMIFS('Budget - 2026'!$BE$5:$BE$56,'Budget - 2026'!$B$5:$B$56,'AVA WP - Overview'!D35)</f>
        <v>226531.60216132068</v>
      </c>
      <c r="H35" s="247">
        <f t="shared" si="3"/>
        <v>-4.5314744235537005E-3</v>
      </c>
      <c r="I35" s="194"/>
      <c r="J35" s="239">
        <f>SUMIFS('Budget - 2026'!$BQ$5:$BQ$56,'Budget - 2026'!$B$5:$B$56,'AVA WP - Overview'!D35)</f>
        <v>241797</v>
      </c>
      <c r="K35" s="251">
        <f t="shared" si="1"/>
        <v>-6.7378503455377797E-2</v>
      </c>
      <c r="L35" s="194"/>
      <c r="M35" s="239">
        <f>SUMIFS('Actual - 2026'!$AC$5:$AC$56,'Actual - 2026'!$A$5:$A$56,'AVA WP - Overview'!D35)</f>
        <v>26631</v>
      </c>
      <c r="N35" s="233">
        <f>SUMIFS('Budget - 2026'!$AY$5:$AY$56,'Budget - 2026'!$B$5:$B$56,'AVA WP - Overview'!D35)</f>
        <v>19045.323566378633</v>
      </c>
      <c r="O35" s="240">
        <f>SUMIFS('Budget - 2026'!$BK$5:$BK$56,'Budget - 2026'!$B$5:$B$56,'AVA WP - Overview'!D35)</f>
        <v>22906</v>
      </c>
      <c r="P35" s="239">
        <f>SUMIFS('Actual - 2026'!$Z$5:$Z$56,'Actual - 2026'!$A$5:$A$56,'AVA WP - Overview'!D35)</f>
        <v>172269.2</v>
      </c>
      <c r="Q35" s="233">
        <f>SUMIFS('Budget - 2026'!$AV$5:$AV$56,'Budget - 2026'!$B$5:$B$56,'AVA WP - Overview'!D35)</f>
        <v>181732.0238155516</v>
      </c>
      <c r="R35" s="240">
        <f>SUMIFS('Budget - 2026'!$BH$5:$BH$56,'Budget - 2026'!$B$5:$B$56,'AVA WP - Overview'!D35)</f>
        <v>178914</v>
      </c>
      <c r="S35" s="239">
        <f>SUMIFS('Actual - 2026'!$AF$5:$AF$56,'Actual - 2026'!$A$5:$A$56,'AVA WP - Overview'!D35)</f>
        <v>26604.879999999997</v>
      </c>
      <c r="T35" s="233">
        <f>SUMIFS('Budget - 2026'!$BB$5:$BB$56,'Budget - 2026'!$B$5:$B$56,'AVA WP - Overview'!D35)</f>
        <v>25754.254779390467</v>
      </c>
      <c r="U35" s="240">
        <f>SUMIFS('Budget - 2026'!$BN$5:$BN$56,'Budget - 2026'!$B$5:$B$56,'AVA WP - Overview'!D35)</f>
        <v>39977</v>
      </c>
    </row>
    <row r="36" spans="4:21" s="108" customFormat="1" ht="22.15" customHeight="1">
      <c r="D36" s="193" t="s">
        <v>157</v>
      </c>
      <c r="E36" s="194"/>
      <c r="F36" s="239">
        <f>SUMIFS('Actual - 2026'!$AI$5:$AI$56,'Actual - 2026'!$A$5:$A$56,'AVA WP - Overview'!D36)</f>
        <v>220388.31</v>
      </c>
      <c r="G36" s="233">
        <f>SUMIFS('Budget - 2026'!$BE$5:$BE$56,'Budget - 2026'!$B$5:$B$56,'AVA WP - Overview'!D36)</f>
        <v>214620.78718816253</v>
      </c>
      <c r="H36" s="247">
        <f t="shared" si="3"/>
        <v>2.6873085722031936E-2</v>
      </c>
      <c r="I36" s="194"/>
      <c r="J36" s="239">
        <f>SUMIFS('Budget - 2026'!$BQ$5:$BQ$56,'Budget - 2026'!$B$5:$B$56,'AVA WP - Overview'!D36)</f>
        <v>218587.22999999998</v>
      </c>
      <c r="K36" s="251">
        <f t="shared" si="1"/>
        <v>8.2396396166419077E-3</v>
      </c>
      <c r="L36" s="194"/>
      <c r="M36" s="239">
        <f>SUMIFS('Actual - 2026'!$AC$5:$AC$56,'Actual - 2026'!$A$5:$A$56,'AVA WP - Overview'!D36)</f>
        <v>14802.01</v>
      </c>
      <c r="N36" s="233">
        <f>SUMIFS('Budget - 2026'!$AY$5:$AY$56,'Budget - 2026'!$B$5:$B$56,'AVA WP - Overview'!D36)</f>
        <v>18513.262974600679</v>
      </c>
      <c r="O36" s="240">
        <f>SUMIFS('Budget - 2026'!$BK$5:$BK$56,'Budget - 2026'!$B$5:$B$56,'AVA WP - Overview'!D36)</f>
        <v>19444</v>
      </c>
      <c r="P36" s="239">
        <f>SUMIFS('Actual - 2026'!$Z$5:$Z$56,'Actual - 2026'!$A$5:$A$56,'AVA WP - Overview'!D36)</f>
        <v>169795.59</v>
      </c>
      <c r="Q36" s="233">
        <f>SUMIFS('Budget - 2026'!$AV$5:$AV$56,'Budget - 2026'!$B$5:$B$56,'AVA WP - Overview'!D36)</f>
        <v>166076.80138705653</v>
      </c>
      <c r="R36" s="240">
        <f>SUMIFS('Budget - 2026'!$BH$5:$BH$56,'Budget - 2026'!$B$5:$B$56,'AVA WP - Overview'!D36)</f>
        <v>160982.32999999999</v>
      </c>
      <c r="S36" s="239">
        <f>SUMIFS('Actual - 2026'!$AF$5:$AF$56,'Actual - 2026'!$A$5:$A$56,'AVA WP - Overview'!D36)</f>
        <v>35790.71</v>
      </c>
      <c r="T36" s="233">
        <f>SUMIFS('Budget - 2026'!$BB$5:$BB$56,'Budget - 2026'!$B$5:$B$56,'AVA WP - Overview'!D36)</f>
        <v>30030.722826505327</v>
      </c>
      <c r="U36" s="240">
        <f>SUMIFS('Budget - 2026'!$BN$5:$BN$56,'Budget - 2026'!$B$5:$B$56,'AVA WP - Overview'!D36)</f>
        <v>38160.9</v>
      </c>
    </row>
    <row r="37" spans="4:21" s="108" customFormat="1" ht="22.15" customHeight="1">
      <c r="D37" s="227" t="s">
        <v>257</v>
      </c>
      <c r="E37" s="194"/>
      <c r="F37" s="241">
        <f>SUM(F32:F36)</f>
        <v>1050829.7000000002</v>
      </c>
      <c r="G37" s="228">
        <f>SUM(G32:G36)</f>
        <v>1081074.9296150825</v>
      </c>
      <c r="H37" s="248">
        <f t="shared" si="3"/>
        <v>-2.7976996586028594E-2</v>
      </c>
      <c r="I37" s="194"/>
      <c r="J37" s="241">
        <f>SUM(J32:J36)</f>
        <v>1104233.23</v>
      </c>
      <c r="K37" s="248">
        <f>IFERROR((F37-J37)/J37,0)</f>
        <v>-4.8362545655323011E-2</v>
      </c>
      <c r="L37" s="194"/>
      <c r="M37" s="241">
        <f t="shared" ref="M37:U37" si="8">SUM(M32:M36)</f>
        <v>94249.37999999999</v>
      </c>
      <c r="N37" s="228">
        <f t="shared" si="8"/>
        <v>99535.929615082481</v>
      </c>
      <c r="O37" s="242">
        <f t="shared" si="8"/>
        <v>110311</v>
      </c>
      <c r="P37" s="241">
        <f t="shared" si="8"/>
        <v>813799.85</v>
      </c>
      <c r="Q37" s="228">
        <f t="shared" si="8"/>
        <v>841106</v>
      </c>
      <c r="R37" s="242">
        <f t="shared" si="8"/>
        <v>838586.33</v>
      </c>
      <c r="S37" s="241">
        <f t="shared" si="8"/>
        <v>142780.47</v>
      </c>
      <c r="T37" s="228">
        <f t="shared" si="8"/>
        <v>140433</v>
      </c>
      <c r="U37" s="242">
        <f t="shared" si="8"/>
        <v>155335.9</v>
      </c>
    </row>
    <row r="38" spans="4:21" s="108" customFormat="1" ht="22.15" customHeight="1">
      <c r="D38" s="193" t="s">
        <v>160</v>
      </c>
      <c r="E38" s="194"/>
      <c r="F38" s="239">
        <f>SUMIFS('Actual - 2026'!$AI$5:$AI$56,'Actual - 2026'!$A$5:$A$56,'AVA WP - Overview'!D38)</f>
        <v>163522.54</v>
      </c>
      <c r="G38" s="233">
        <f>SUMIFS('Budget - 2026'!$BE$5:$BE$56,'Budget - 2026'!$B$5:$B$56,'AVA WP - Overview'!D38)</f>
        <v>191294.78219165598</v>
      </c>
      <c r="H38" s="247">
        <f t="shared" si="3"/>
        <v>-0.14518034351732234</v>
      </c>
      <c r="I38" s="194"/>
      <c r="J38" s="239">
        <f>SUMIFS('Budget - 2026'!$BQ$5:$BQ$56,'Budget - 2026'!$B$5:$B$56,'AVA WP - Overview'!D38)</f>
        <v>187124.24</v>
      </c>
      <c r="K38" s="251">
        <f t="shared" si="1"/>
        <v>-0.12612850157734767</v>
      </c>
      <c r="L38" s="194"/>
      <c r="M38" s="239">
        <f>SUMIFS('Actual - 2026'!$AC$5:$AC$56,'Actual - 2026'!$A$5:$A$56,'AVA WP - Overview'!D38)</f>
        <v>10561.5</v>
      </c>
      <c r="N38" s="233">
        <f>SUMIFS('Budget - 2026'!$AY$5:$AY$56,'Budget - 2026'!$B$5:$B$56,'AVA WP - Overview'!D38)</f>
        <v>14954.938358165353</v>
      </c>
      <c r="O38" s="240">
        <f>SUMIFS('Budget - 2026'!$BK$5:$BK$56,'Budget - 2026'!$B$5:$B$56,'AVA WP - Overview'!D38)</f>
        <v>12223</v>
      </c>
      <c r="P38" s="239">
        <f>SUMIFS('Actual - 2026'!$Z$5:$Z$56,'Actual - 2026'!$A$5:$A$56,'AVA WP - Overview'!D38)</f>
        <v>132540.19</v>
      </c>
      <c r="Q38" s="233">
        <f>SUMIFS('Budget - 2026'!$AV$5:$AV$56,'Budget - 2026'!$B$5:$B$56,'AVA WP - Overview'!D38)</f>
        <v>147462.15494700757</v>
      </c>
      <c r="R38" s="240">
        <f>SUMIFS('Budget - 2026'!$BH$5:$BH$56,'Budget - 2026'!$B$5:$B$56,'AVA WP - Overview'!D38)</f>
        <v>142231.97</v>
      </c>
      <c r="S38" s="239">
        <f>SUMIFS('Actual - 2026'!$AF$5:$AF$56,'Actual - 2026'!$A$5:$A$56,'AVA WP - Overview'!D38)</f>
        <v>20420.849999999999</v>
      </c>
      <c r="T38" s="233">
        <f>SUMIFS('Budget - 2026'!$BB$5:$BB$56,'Budget - 2026'!$B$5:$B$56,'AVA WP - Overview'!D38)</f>
        <v>28877.68888648304</v>
      </c>
      <c r="U38" s="240">
        <f>SUMIFS('Budget - 2026'!$BN$5:$BN$56,'Budget - 2026'!$B$5:$B$56,'AVA WP - Overview'!D38)</f>
        <v>32669.27</v>
      </c>
    </row>
    <row r="39" spans="4:21" s="108" customFormat="1" ht="22.15" customHeight="1">
      <c r="D39" s="193" t="s">
        <v>161</v>
      </c>
      <c r="E39" s="194"/>
      <c r="F39" s="239">
        <f>SUMIFS('Actual - 2026'!$AI$5:$AI$56,'Actual - 2026'!$A$5:$A$56,'AVA WP - Overview'!D39)</f>
        <v>210330.16999999995</v>
      </c>
      <c r="G39" s="233">
        <f>SUMIFS('Budget - 2026'!$BE$5:$BE$56,'Budget - 2026'!$B$5:$B$56,'AVA WP - Overview'!D39)</f>
        <v>185913.31520598667</v>
      </c>
      <c r="H39" s="247">
        <f t="shared" si="3"/>
        <v>0.13133462101388543</v>
      </c>
      <c r="I39" s="194"/>
      <c r="J39" s="239">
        <f>SUMIFS('Budget - 2026'!$BQ$5:$BQ$56,'Budget - 2026'!$B$5:$B$56,'AVA WP - Overview'!D39)</f>
        <v>186681.44999999998</v>
      </c>
      <c r="K39" s="251">
        <f t="shared" si="1"/>
        <v>0.12667953886152039</v>
      </c>
      <c r="L39" s="194"/>
      <c r="M39" s="239">
        <f>SUMIFS('Actual - 2026'!$AC$5:$AC$56,'Actual - 2026'!$A$5:$A$56,'AVA WP - Overview'!D39)</f>
        <v>19821.68</v>
      </c>
      <c r="N39" s="233">
        <f>SUMIFS('Budget - 2026'!$AY$5:$AY$56,'Budget - 2026'!$B$5:$B$56,'AVA WP - Overview'!D39)</f>
        <v>11927.173298276364</v>
      </c>
      <c r="O39" s="240">
        <f>SUMIFS('Budget - 2026'!$BK$5:$BK$56,'Budget - 2026'!$B$5:$B$56,'AVA WP - Overview'!D39)</f>
        <v>14828</v>
      </c>
      <c r="P39" s="239">
        <f>SUMIFS('Actual - 2026'!$Z$5:$Z$56,'Actual - 2026'!$A$5:$A$56,'AVA WP - Overview'!D39)</f>
        <v>151127.30999999997</v>
      </c>
      <c r="Q39" s="233">
        <f>SUMIFS('Budget - 2026'!$AV$5:$AV$56,'Budget - 2026'!$B$5:$B$56,'AVA WP - Overview'!D39)</f>
        <v>150760.92330506493</v>
      </c>
      <c r="R39" s="240">
        <f>SUMIFS('Budget - 2026'!$BH$5:$BH$56,'Budget - 2026'!$B$5:$B$56,'AVA WP - Overview'!D39)</f>
        <v>150134.44999999998</v>
      </c>
      <c r="S39" s="239">
        <f>SUMIFS('Actual - 2026'!$AF$5:$AF$56,'Actual - 2026'!$A$5:$A$56,'AVA WP - Overview'!D39)</f>
        <v>39381.18</v>
      </c>
      <c r="T39" s="233">
        <f>SUMIFS('Budget - 2026'!$BB$5:$BB$56,'Budget - 2026'!$B$5:$B$56,'AVA WP - Overview'!D39)</f>
        <v>23225.218602645386</v>
      </c>
      <c r="U39" s="240">
        <f>SUMIFS('Budget - 2026'!$BN$5:$BN$56,'Budget - 2026'!$B$5:$B$56,'AVA WP - Overview'!D39)</f>
        <v>21719</v>
      </c>
    </row>
    <row r="40" spans="4:21" s="108" customFormat="1" ht="22.15" customHeight="1">
      <c r="D40" s="193" t="s">
        <v>162</v>
      </c>
      <c r="E40" s="194"/>
      <c r="F40" s="239">
        <f>SUMIFS('Actual - 2026'!$AI$5:$AI$56,'Actual - 2026'!$A$5:$A$56,'AVA WP - Overview'!D40)</f>
        <v>233410.96</v>
      </c>
      <c r="G40" s="233">
        <f>SUMIFS('Budget - 2026'!$BE$5:$BE$56,'Budget - 2026'!$B$5:$B$56,'AVA WP - Overview'!D40)</f>
        <v>212549.10745084169</v>
      </c>
      <c r="H40" s="247">
        <f t="shared" si="3"/>
        <v>9.8150741724395252E-2</v>
      </c>
      <c r="I40" s="194"/>
      <c r="J40" s="239">
        <f>SUMIFS('Budget - 2026'!$BQ$5:$BQ$56,'Budget - 2026'!$B$5:$B$56,'AVA WP - Overview'!D40)</f>
        <v>209157.17</v>
      </c>
      <c r="K40" s="251">
        <f t="shared" si="1"/>
        <v>0.11595963934681262</v>
      </c>
      <c r="L40" s="194"/>
      <c r="M40" s="239">
        <f>SUMIFS('Actual - 2026'!$AC$5:$AC$56,'Actual - 2026'!$A$5:$A$56,'AVA WP - Overview'!D40)</f>
        <v>15899.15</v>
      </c>
      <c r="N40" s="233">
        <f>SUMIFS('Budget - 2026'!$AY$5:$AY$56,'Budget - 2026'!$B$5:$B$56,'AVA WP - Overview'!D40)</f>
        <v>18032.090505404616</v>
      </c>
      <c r="O40" s="240">
        <f>SUMIFS('Budget - 2026'!$BK$5:$BK$56,'Budget - 2026'!$B$5:$B$56,'AVA WP - Overview'!D40)</f>
        <v>18786</v>
      </c>
      <c r="P40" s="239">
        <f>SUMIFS('Actual - 2026'!$Z$5:$Z$56,'Actual - 2026'!$A$5:$A$56,'AVA WP - Overview'!D40)</f>
        <v>186213.95</v>
      </c>
      <c r="Q40" s="233">
        <f>SUMIFS('Budget - 2026'!$AV$5:$AV$56,'Budget - 2026'!$B$5:$B$56,'AVA WP - Overview'!D40)</f>
        <v>163264.55480848966</v>
      </c>
      <c r="R40" s="240">
        <f>SUMIFS('Budget - 2026'!$BH$5:$BH$56,'Budget - 2026'!$B$5:$B$56,'AVA WP - Overview'!D40)</f>
        <v>165179.17000000001</v>
      </c>
      <c r="S40" s="239">
        <f>SUMIFS('Actual - 2026'!$AF$5:$AF$56,'Actual - 2026'!$A$5:$A$56,'AVA WP - Overview'!D40)</f>
        <v>31297.86</v>
      </c>
      <c r="T40" s="233">
        <f>SUMIFS('Budget - 2026'!$BB$5:$BB$56,'Budget - 2026'!$B$5:$B$56,'AVA WP - Overview'!D40)</f>
        <v>31252.462136947412</v>
      </c>
      <c r="U40" s="240">
        <f>SUMIFS('Budget - 2026'!$BN$5:$BN$56,'Budget - 2026'!$B$5:$B$56,'AVA WP - Overview'!D40)</f>
        <v>25192</v>
      </c>
    </row>
    <row r="41" spans="4:21" s="108" customFormat="1" ht="22.15" customHeight="1">
      <c r="D41" s="193" t="s">
        <v>163</v>
      </c>
      <c r="E41" s="194"/>
      <c r="F41" s="239">
        <f>SUMIFS('Actual - 2026'!$AI$5:$AI$56,'Actual - 2026'!$A$5:$A$56,'AVA WP - Overview'!D41)</f>
        <v>222091.13</v>
      </c>
      <c r="G41" s="233">
        <f>SUMIFS('Budget - 2026'!$BE$5:$BE$56,'Budget - 2026'!$B$5:$B$56,'AVA WP - Overview'!D41)</f>
        <v>202433.09471330355</v>
      </c>
      <c r="H41" s="247">
        <f t="shared" si="3"/>
        <v>9.7108801871241462E-2</v>
      </c>
      <c r="I41" s="194"/>
      <c r="J41" s="239">
        <f>SUMIFS('Budget - 2026'!$BQ$5:$BQ$56,'Budget - 2026'!$B$5:$B$56,'AVA WP - Overview'!D41)</f>
        <v>214415.12</v>
      </c>
      <c r="K41" s="251">
        <f t="shared" si="1"/>
        <v>3.5799760763140252E-2</v>
      </c>
      <c r="L41" s="194"/>
      <c r="M41" s="239">
        <f>SUMIFS('Actual - 2026'!$AC$5:$AC$56,'Actual - 2026'!$A$5:$A$56,'AVA WP - Overview'!D41)</f>
        <v>15494.5</v>
      </c>
      <c r="N41" s="233">
        <f>SUMIFS('Budget - 2026'!$AY$5:$AY$56,'Budget - 2026'!$B$5:$B$56,'AVA WP - Overview'!D41)</f>
        <v>14098.097399941571</v>
      </c>
      <c r="O41" s="240">
        <f>SUMIFS('Budget - 2026'!$BK$5:$BK$56,'Budget - 2026'!$B$5:$B$56,'AVA WP - Overview'!D41)</f>
        <v>18723</v>
      </c>
      <c r="P41" s="239">
        <f>SUMIFS('Actual - 2026'!$Z$5:$Z$56,'Actual - 2026'!$A$5:$A$56,'AVA WP - Overview'!D41)</f>
        <v>172463.13</v>
      </c>
      <c r="Q41" s="233">
        <f>SUMIFS('Budget - 2026'!$AV$5:$AV$56,'Budget - 2026'!$B$5:$B$56,'AVA WP - Overview'!D41)</f>
        <v>154185.36693943784</v>
      </c>
      <c r="R41" s="240">
        <f>SUMIFS('Budget - 2026'!$BH$5:$BH$56,'Budget - 2026'!$B$5:$B$56,'AVA WP - Overview'!D41)</f>
        <v>157770.62</v>
      </c>
      <c r="S41" s="239">
        <f>SUMIFS('Actual - 2026'!$AF$5:$AF$56,'Actual - 2026'!$A$5:$A$56,'AVA WP - Overview'!D41)</f>
        <v>34133.5</v>
      </c>
      <c r="T41" s="233">
        <f>SUMIFS('Budget - 2026'!$BB$5:$BB$56,'Budget - 2026'!$B$5:$B$56,'AVA WP - Overview'!D41)</f>
        <v>34149.630373924156</v>
      </c>
      <c r="U41" s="240">
        <f>SUMIFS('Budget - 2026'!$BN$5:$BN$56,'Budget - 2026'!$B$5:$B$56,'AVA WP - Overview'!D41)</f>
        <v>37921.5</v>
      </c>
    </row>
    <row r="42" spans="4:21" s="108" customFormat="1" ht="22.15" customHeight="1">
      <c r="D42" s="227" t="s">
        <v>258</v>
      </c>
      <c r="E42" s="194"/>
      <c r="F42" s="241">
        <f>SUM(F38:F41)</f>
        <v>829354.79999999993</v>
      </c>
      <c r="G42" s="228">
        <f>SUM(G38:G41)</f>
        <v>792190.29956178786</v>
      </c>
      <c r="H42" s="248">
        <f t="shared" si="3"/>
        <v>4.6913602020587954E-2</v>
      </c>
      <c r="I42" s="194"/>
      <c r="J42" s="241">
        <f>SUM(J38:J41)</f>
        <v>797377.98</v>
      </c>
      <c r="K42" s="248">
        <f>IFERROR((F42-J42)/J42,0)</f>
        <v>4.01024618211804E-2</v>
      </c>
      <c r="L42" s="194"/>
      <c r="M42" s="241">
        <f t="shared" ref="M42:U42" si="9">SUM(M38:M41)</f>
        <v>61776.83</v>
      </c>
      <c r="N42" s="228">
        <f t="shared" si="9"/>
        <v>59012.299561787906</v>
      </c>
      <c r="O42" s="242">
        <f t="shared" si="9"/>
        <v>64560</v>
      </c>
      <c r="P42" s="241">
        <f t="shared" si="9"/>
        <v>642344.58000000007</v>
      </c>
      <c r="Q42" s="228">
        <f t="shared" si="9"/>
        <v>615673</v>
      </c>
      <c r="R42" s="242">
        <f t="shared" si="9"/>
        <v>615316.21</v>
      </c>
      <c r="S42" s="241">
        <f t="shared" si="9"/>
        <v>125233.39</v>
      </c>
      <c r="T42" s="228">
        <f t="shared" si="9"/>
        <v>117505</v>
      </c>
      <c r="U42" s="242">
        <f t="shared" si="9"/>
        <v>117501.77</v>
      </c>
    </row>
    <row r="43" spans="4:21" s="108" customFormat="1" ht="22.15" customHeight="1">
      <c r="D43" s="193" t="s">
        <v>166</v>
      </c>
      <c r="E43" s="194"/>
      <c r="F43" s="239">
        <f>SUMIFS('Actual - 2026'!$AI$5:$AI$56,'Actual - 2026'!$A$5:$A$56,'AVA WP - Overview'!D43)</f>
        <v>228717.62</v>
      </c>
      <c r="G43" s="205">
        <f>SUMIFS('Budget - 2026'!$BE$5:$BE$56,'Budget - 2026'!$B$5:$B$56,'AVA WP - Overview'!D43)</f>
        <v>231481.09351828872</v>
      </c>
      <c r="H43" s="247">
        <f t="shared" si="3"/>
        <v>-1.1938225607485255E-2</v>
      </c>
      <c r="I43" s="194"/>
      <c r="J43" s="239">
        <f>SUMIFS('Budget - 2026'!$BQ$5:$BQ$56,'Budget - 2026'!$B$5:$B$56,'AVA WP - Overview'!D43)</f>
        <v>224938.96</v>
      </c>
      <c r="K43" s="305">
        <f t="shared" si="1"/>
        <v>1.6798601718439544E-2</v>
      </c>
      <c r="L43" s="194"/>
      <c r="M43" s="239">
        <f>SUMIFS('Actual - 2026'!$AC$5:$AC$56,'Actual - 2026'!$A$5:$A$56,'AVA WP - Overview'!D43)</f>
        <v>23584.940000000002</v>
      </c>
      <c r="N43" s="233">
        <f>SUMIFS('Budget - 2026'!$AY$5:$AY$56,'Budget - 2026'!$B$5:$B$56,'AVA WP - Overview'!D43)</f>
        <v>15419.625802572646</v>
      </c>
      <c r="O43" s="306">
        <f>SUMIFS('Budget - 2026'!$BK$5:$BK$56,'Budget - 2026'!$B$5:$B$56,'AVA WP - Overview'!D43)</f>
        <v>16275</v>
      </c>
      <c r="P43" s="239">
        <f>SUMIFS('Actual - 2026'!$Z$5:$Z$56,'Actual - 2026'!$A$5:$A$56,'AVA WP - Overview'!D43)</f>
        <v>171921.56</v>
      </c>
      <c r="Q43" s="233">
        <f>SUMIFS('Budget - 2026'!$AV$5:$AV$56,'Budget - 2026'!$B$5:$B$56,'AVA WP - Overview'!D43)</f>
        <v>182403.31383968479</v>
      </c>
      <c r="R43" s="240">
        <f>SUMIFS('Budget - 2026'!$BH$5:$BH$56,'Budget - 2026'!$B$5:$B$56,'AVA WP - Overview'!D43)</f>
        <v>181065.16</v>
      </c>
      <c r="S43" s="239">
        <f>SUMIFS('Actual - 2026'!$AF$5:$AF$56,'Actual - 2026'!$A$5:$A$56,'AVA WP - Overview'!D43)</f>
        <v>33211.119999999995</v>
      </c>
      <c r="T43" s="233">
        <f>SUMIFS('Budget - 2026'!$BB$5:$BB$56,'Budget - 2026'!$B$5:$B$56,'AVA WP - Overview'!D43)</f>
        <v>33658.153876031283</v>
      </c>
      <c r="U43" s="240">
        <f>SUMIFS('Budget - 2026'!$BN$5:$BN$56,'Budget - 2026'!$B$5:$B$56,'AVA WP - Overview'!D43)</f>
        <v>27598.799999999999</v>
      </c>
    </row>
    <row r="44" spans="4:21" s="108" customFormat="1" ht="22.15" customHeight="1">
      <c r="D44" s="193" t="s">
        <v>167</v>
      </c>
      <c r="E44" s="194"/>
      <c r="F44" s="239">
        <f>SUMIFS('Actual - 2026'!$AI$5:$AI$56,'Actual - 2026'!$A$5:$A$56,'AVA WP - Overview'!D44)</f>
        <v>219819.07000000004</v>
      </c>
      <c r="G44" s="205">
        <f>SUMIFS('Budget - 2026'!$BE$5:$BE$56,'Budget - 2026'!$B$5:$B$56,'AVA WP - Overview'!D44)</f>
        <v>195493.53421420223</v>
      </c>
      <c r="H44" s="247">
        <f t="shared" si="3"/>
        <v>0.12443140835105229</v>
      </c>
      <c r="I44" s="194"/>
      <c r="J44" s="239">
        <f>SUMIFS('Budget - 2026'!$BQ$5:$BQ$56,'Budget - 2026'!$B$5:$B$56,'AVA WP - Overview'!D44)</f>
        <v>209856.42</v>
      </c>
      <c r="K44" s="305">
        <f t="shared" si="1"/>
        <v>4.7473648888130382E-2</v>
      </c>
      <c r="L44" s="194"/>
      <c r="M44" s="239">
        <f>SUMIFS('Actual - 2026'!$AC$5:$AC$56,'Actual - 2026'!$A$5:$A$56,'AVA WP - Overview'!D44)</f>
        <v>18366.5</v>
      </c>
      <c r="N44" s="233">
        <f>SUMIFS('Budget - 2026'!$AY$5:$AY$56,'Budget - 2026'!$B$5:$B$56,'AVA WP - Overview'!D44)</f>
        <v>15558.533834918253</v>
      </c>
      <c r="O44" s="306">
        <f>SUMIFS('Budget - 2026'!$BK$5:$BK$56,'Budget - 2026'!$B$5:$B$56,'AVA WP - Overview'!D44)</f>
        <v>17232</v>
      </c>
      <c r="P44" s="239">
        <f>SUMIFS('Actual - 2026'!$Z$5:$Z$56,'Actual - 2026'!$A$5:$A$56,'AVA WP - Overview'!D44)</f>
        <v>171353.59000000003</v>
      </c>
      <c r="Q44" s="233">
        <f>SUMIFS('Budget - 2026'!$AV$5:$AV$56,'Budget - 2026'!$B$5:$B$56,'AVA WP - Overview'!D44)</f>
        <v>156194.69799794894</v>
      </c>
      <c r="R44" s="240">
        <f>SUMIFS('Budget - 2026'!$BH$5:$BH$56,'Budget - 2026'!$B$5:$B$56,'AVA WP - Overview'!D44)</f>
        <v>159847.92000000001</v>
      </c>
      <c r="S44" s="239">
        <f>SUMIFS('Actual - 2026'!$AF$5:$AF$56,'Actual - 2026'!$A$5:$A$56,'AVA WP - Overview'!D44)</f>
        <v>30098.980000000003</v>
      </c>
      <c r="T44" s="233">
        <f>SUMIFS('Budget - 2026'!$BB$5:$BB$56,'Budget - 2026'!$B$5:$B$56,'AVA WP - Overview'!D44)</f>
        <v>23740.302381335045</v>
      </c>
      <c r="U44" s="240">
        <f>SUMIFS('Budget - 2026'!$BN$5:$BN$56,'Budget - 2026'!$B$5:$B$56,'AVA WP - Overview'!D44)</f>
        <v>32776.5</v>
      </c>
    </row>
    <row r="45" spans="4:21" s="108" customFormat="1" ht="22.15" customHeight="1">
      <c r="D45" s="193" t="s">
        <v>168</v>
      </c>
      <c r="E45" s="194"/>
      <c r="F45" s="239">
        <f>SUMIFS('Actual - 2026'!$AI$5:$AI$56,'Actual - 2026'!$A$5:$A$56,'AVA WP - Overview'!D45)</f>
        <v>207885.03999999998</v>
      </c>
      <c r="G45" s="233">
        <f>SUMIFS('Budget - 2026'!$BE$5:$BE$56,'Budget - 2026'!$B$5:$B$56,'AVA WP - Overview'!D45)</f>
        <v>215228.29491185449</v>
      </c>
      <c r="H45" s="247">
        <f t="shared" si="3"/>
        <v>-3.4118445787352923E-2</v>
      </c>
      <c r="I45" s="194"/>
      <c r="J45" s="239">
        <f>SUMIFS('Budget - 2026'!$BQ$5:$BQ$56,'Budget - 2026'!$B$5:$B$56,'AVA WP - Overview'!D45)</f>
        <v>210230.6</v>
      </c>
      <c r="K45" s="251">
        <f t="shared" si="1"/>
        <v>-1.1157081794943393E-2</v>
      </c>
      <c r="L45" s="194"/>
      <c r="M45" s="239">
        <f>SUMIFS('Actual - 2026'!$AC$5:$AC$56,'Actual - 2026'!$A$5:$A$56,'AVA WP - Overview'!D45)</f>
        <v>15261</v>
      </c>
      <c r="N45" s="233">
        <f>SUMIFS('Budget - 2026'!$AY$5:$AY$56,'Budget - 2026'!$B$5:$B$56,'AVA WP - Overview'!D45)</f>
        <v>16554.846879619618</v>
      </c>
      <c r="O45" s="240">
        <f>SUMIFS('Budget - 2026'!$BK$5:$BK$56,'Budget - 2026'!$B$5:$B$56,'AVA WP - Overview'!D45)</f>
        <v>21595</v>
      </c>
      <c r="P45" s="239">
        <f>SUMIFS('Actual - 2026'!$Z$5:$Z$56,'Actual - 2026'!$A$5:$A$56,'AVA WP - Overview'!D45)</f>
        <v>160122.23999999999</v>
      </c>
      <c r="Q45" s="233">
        <f>SUMIFS('Budget - 2026'!$AV$5:$AV$56,'Budget - 2026'!$B$5:$B$56,'AVA WP - Overview'!D45)</f>
        <v>169357.64432495963</v>
      </c>
      <c r="R45" s="240">
        <f>SUMIFS('Budget - 2026'!$BH$5:$BH$56,'Budget - 2026'!$B$5:$B$56,'AVA WP - Overview'!D45)</f>
        <v>165208.31</v>
      </c>
      <c r="S45" s="239">
        <f>SUMIFS('Actual - 2026'!$AF$5:$AF$56,'Actual - 2026'!$A$5:$A$56,'AVA WP - Overview'!D45)</f>
        <v>32501.8</v>
      </c>
      <c r="T45" s="233">
        <f>SUMIFS('Budget - 2026'!$BB$5:$BB$56,'Budget - 2026'!$B$5:$B$56,'AVA WP - Overview'!D45)</f>
        <v>29315.803707275256</v>
      </c>
      <c r="U45" s="240">
        <f>SUMIFS('Budget - 2026'!$BN$5:$BN$56,'Budget - 2026'!$B$5:$B$56,'AVA WP - Overview'!D45)</f>
        <v>23427.29</v>
      </c>
    </row>
    <row r="46" spans="4:21" s="108" customFormat="1" ht="22.15" customHeight="1">
      <c r="D46" s="193" t="s">
        <v>101</v>
      </c>
      <c r="E46" s="194"/>
      <c r="F46" s="239">
        <f>SUMIFS('Actual - 2026'!$AI$5:$AI$56,'Actual - 2026'!$A$5:$A$56,'AVA WP - Overview'!D46)</f>
        <v>263440.24</v>
      </c>
      <c r="G46" s="233">
        <f>SUMIFS('Budget - 2026'!$BE$5:$BE$56,'Budget - 2026'!$B$5:$B$56,'AVA WP - Overview'!D46)</f>
        <v>243716.3272425773</v>
      </c>
      <c r="H46" s="247">
        <f t="shared" si="3"/>
        <v>8.0929796458777903E-2</v>
      </c>
      <c r="I46" s="194"/>
      <c r="J46" s="239">
        <f>SUMIFS('Budget - 2026'!$BQ$5:$BQ$56,'Budget - 2026'!$B$5:$B$56,'AVA WP - Overview'!D46)</f>
        <v>253094.62</v>
      </c>
      <c r="K46" s="251">
        <f t="shared" si="1"/>
        <v>4.0876491171562619E-2</v>
      </c>
      <c r="L46" s="194"/>
      <c r="M46" s="239">
        <f>SUMIFS('Actual - 2026'!$AC$5:$AC$56,'Actual - 2026'!$A$5:$A$56,'AVA WP - Overview'!D46)</f>
        <v>17786</v>
      </c>
      <c r="N46" s="233">
        <f>SUMIFS('Budget - 2026'!$AY$5:$AY$56,'Budget - 2026'!$B$5:$B$56,'AVA WP - Overview'!D46)</f>
        <v>18441.243369812237</v>
      </c>
      <c r="O46" s="240">
        <f>SUMIFS('Budget - 2026'!$BK$5:$BK$56,'Budget - 2026'!$B$5:$B$56,'AVA WP - Overview'!D46)</f>
        <v>22481</v>
      </c>
      <c r="P46" s="239">
        <f>SUMIFS('Actual - 2026'!$Z$5:$Z$56,'Actual - 2026'!$A$5:$A$56,'AVA WP - Overview'!D46)</f>
        <v>206393.2</v>
      </c>
      <c r="Q46" s="233">
        <f>SUMIFS('Budget - 2026'!$AV$5:$AV$56,'Budget - 2026'!$B$5:$B$56,'AVA WP - Overview'!D46)</f>
        <v>196748.34383740666</v>
      </c>
      <c r="R46" s="240">
        <f>SUMIFS('Budget - 2026'!$BH$5:$BH$56,'Budget - 2026'!$B$5:$B$56,'AVA WP - Overview'!D46)</f>
        <v>194952.52</v>
      </c>
      <c r="S46" s="239">
        <f>SUMIFS('Actual - 2026'!$AF$5:$AF$56,'Actual - 2026'!$A$5:$A$56,'AVA WP - Overview'!D46)</f>
        <v>39261.039999999994</v>
      </c>
      <c r="T46" s="233">
        <f>SUMIFS('Budget - 2026'!$BB$5:$BB$56,'Budget - 2026'!$B$5:$B$56,'AVA WP - Overview'!D46)</f>
        <v>28526.740035358402</v>
      </c>
      <c r="U46" s="240">
        <f>SUMIFS('Budget - 2026'!$BN$5:$BN$56,'Budget - 2026'!$B$5:$B$56,'AVA WP - Overview'!D46)</f>
        <v>35661.1</v>
      </c>
    </row>
    <row r="47" spans="4:21" s="108" customFormat="1" ht="22.15" customHeight="1">
      <c r="D47" s="227" t="s">
        <v>259</v>
      </c>
      <c r="E47" s="194"/>
      <c r="F47" s="241">
        <f>SUM(F43:F46)</f>
        <v>919861.97</v>
      </c>
      <c r="G47" s="228">
        <f>SUM(G43:G46)</f>
        <v>885919.24988692277</v>
      </c>
      <c r="H47" s="248">
        <f t="shared" si="3"/>
        <v>3.8313559748712527E-2</v>
      </c>
      <c r="I47" s="194"/>
      <c r="J47" s="241">
        <f>SUM(J43:J46)</f>
        <v>898120.6</v>
      </c>
      <c r="K47" s="248">
        <f>IFERROR((F47-J47)/J47,0)</f>
        <v>2.4207628685947072E-2</v>
      </c>
      <c r="L47" s="194"/>
      <c r="M47" s="241">
        <f t="shared" ref="M47:U47" si="10">SUM(M43:M46)</f>
        <v>74998.44</v>
      </c>
      <c r="N47" s="228">
        <f t="shared" si="10"/>
        <v>65974.249886922757</v>
      </c>
      <c r="O47" s="242">
        <f t="shared" si="10"/>
        <v>77583</v>
      </c>
      <c r="P47" s="241">
        <f t="shared" si="10"/>
        <v>709790.59000000008</v>
      </c>
      <c r="Q47" s="228">
        <f t="shared" si="10"/>
        <v>704704</v>
      </c>
      <c r="R47" s="242">
        <f t="shared" si="10"/>
        <v>701073.91</v>
      </c>
      <c r="S47" s="241">
        <f t="shared" si="10"/>
        <v>135072.94</v>
      </c>
      <c r="T47" s="228">
        <f t="shared" si="10"/>
        <v>115241</v>
      </c>
      <c r="U47" s="242">
        <f t="shared" si="10"/>
        <v>119463.69</v>
      </c>
    </row>
    <row r="48" spans="4:21" s="108" customFormat="1" ht="22.15" customHeight="1">
      <c r="D48" s="193" t="s">
        <v>171</v>
      </c>
      <c r="E48" s="194"/>
      <c r="F48" s="239">
        <f>SUMIFS('Actual - 2026'!$AI$5:$AI$56,'Actual - 2026'!$A$5:$A$56,'AVA WP - Overview'!D48)</f>
        <v>0</v>
      </c>
      <c r="G48" s="233">
        <f>SUMIFS('Budget - 2026'!$BE$5:$BE$56,'Budget - 2026'!$B$5:$B$56,'AVA WP - Overview'!D48)</f>
        <v>227313.3291751417</v>
      </c>
      <c r="H48" s="247">
        <f t="shared" si="3"/>
        <v>-1</v>
      </c>
      <c r="I48" s="194"/>
      <c r="J48" s="239">
        <f>SUMIFS('Budget - 2026'!$BQ$5:$BQ$56,'Budget - 2026'!$B$5:$B$56,'AVA WP - Overview'!D48)</f>
        <v>227829.29</v>
      </c>
      <c r="K48" s="251">
        <f t="shared" si="1"/>
        <v>-1</v>
      </c>
      <c r="L48" s="194"/>
      <c r="M48" s="239">
        <f>SUMIFS('Actual - 2026'!$AC$5:$AC$56,'Actual - 2026'!$A$5:$A$56,'AVA WP - Overview'!D48)</f>
        <v>0</v>
      </c>
      <c r="N48" s="233">
        <f>SUMIFS('Budget - 2026'!$AY$5:$AY$56,'Budget - 2026'!$B$5:$B$56,'AVA WP - Overview'!D48)</f>
        <v>15099.981778652036</v>
      </c>
      <c r="O48" s="240">
        <f>SUMIFS('Budget - 2026'!$BK$5:$BK$56,'Budget - 2026'!$B$5:$B$56,'AVA WP - Overview'!D48)</f>
        <v>18785</v>
      </c>
      <c r="P48" s="239">
        <f>SUMIFS('Actual - 2026'!$Z$5:$Z$56,'Actual - 2026'!$A$5:$A$56,'AVA WP - Overview'!D48)</f>
        <v>0</v>
      </c>
      <c r="Q48" s="233">
        <f>SUMIFS('Budget - 2026'!$AV$5:$AV$56,'Budget - 2026'!$B$5:$B$56,'AVA WP - Overview'!D48)</f>
        <v>183471.32439721259</v>
      </c>
      <c r="R48" s="240">
        <f>SUMIFS('Budget - 2026'!$BH$5:$BH$56,'Budget - 2026'!$B$5:$B$56,'AVA WP - Overview'!D48)</f>
        <v>182172.69</v>
      </c>
      <c r="S48" s="239">
        <f>SUMIFS('Actual - 2026'!$AF$5:$AF$56,'Actual - 2026'!$A$5:$A$56,'AVA WP - Overview'!D48)</f>
        <v>0</v>
      </c>
      <c r="T48" s="233">
        <f>SUMIFS('Budget - 2026'!$BB$5:$BB$56,'Budget - 2026'!$B$5:$B$56,'AVA WP - Overview'!D48)</f>
        <v>28742.022999277076</v>
      </c>
      <c r="U48" s="240">
        <f>SUMIFS('Budget - 2026'!$BN$5:$BN$56,'Budget - 2026'!$B$5:$B$56,'AVA WP - Overview'!D48)</f>
        <v>26871.599999999999</v>
      </c>
    </row>
    <row r="49" spans="4:21" s="108" customFormat="1" ht="22.15" customHeight="1">
      <c r="D49" s="193" t="s">
        <v>172</v>
      </c>
      <c r="E49" s="194"/>
      <c r="F49" s="239">
        <f>SUMIFS('Actual - 2026'!$AI$5:$AI$56,'Actual - 2026'!$A$5:$A$56,'AVA WP - Overview'!D49)</f>
        <v>0</v>
      </c>
      <c r="G49" s="233">
        <f>SUMIFS('Budget - 2026'!$BE$5:$BE$56,'Budget - 2026'!$B$5:$B$56,'AVA WP - Overview'!D49)</f>
        <v>216776.42792837723</v>
      </c>
      <c r="H49" s="247">
        <f t="shared" si="3"/>
        <v>-1</v>
      </c>
      <c r="I49" s="194"/>
      <c r="J49" s="239">
        <f>SUMIFS('Budget - 2026'!$BQ$5:$BQ$56,'Budget - 2026'!$B$5:$B$56,'AVA WP - Overview'!D49)</f>
        <v>230610.44999999998</v>
      </c>
      <c r="K49" s="251">
        <f t="shared" si="1"/>
        <v>-1</v>
      </c>
      <c r="L49" s="194"/>
      <c r="M49" s="239">
        <f>SUMIFS('Actual - 2026'!$AC$5:$AC$56,'Actual - 2026'!$A$5:$A$56,'AVA WP - Overview'!D49)</f>
        <v>0</v>
      </c>
      <c r="N49" s="233">
        <f>SUMIFS('Budget - 2026'!$AY$5:$AY$56,'Budget - 2026'!$B$5:$B$56,'AVA WP - Overview'!D49)</f>
        <v>16416.534216792628</v>
      </c>
      <c r="O49" s="240">
        <f>SUMIFS('Budget - 2026'!$BK$5:$BK$56,'Budget - 2026'!$B$5:$B$56,'AVA WP - Overview'!D49)</f>
        <v>17067</v>
      </c>
      <c r="P49" s="239">
        <f>SUMIFS('Actual - 2026'!$Z$5:$Z$56,'Actual - 2026'!$A$5:$A$56,'AVA WP - Overview'!D49)</f>
        <v>0</v>
      </c>
      <c r="Q49" s="233">
        <f>SUMIFS('Budget - 2026'!$AV$5:$AV$56,'Budget - 2026'!$B$5:$B$56,'AVA WP - Overview'!D49)</f>
        <v>169908.80704221129</v>
      </c>
      <c r="R49" s="240">
        <f>SUMIFS('Budget - 2026'!$BH$5:$BH$56,'Budget - 2026'!$B$5:$B$56,'AVA WP - Overview'!D49)</f>
        <v>171995.74</v>
      </c>
      <c r="S49" s="239">
        <f>SUMIFS('Actual - 2026'!$AF$5:$AF$56,'Actual - 2026'!$A$5:$A$56,'AVA WP - Overview'!D49)</f>
        <v>0</v>
      </c>
      <c r="T49" s="233">
        <f>SUMIFS('Budget - 2026'!$BB$5:$BB$56,'Budget - 2026'!$B$5:$B$56,'AVA WP - Overview'!D49)</f>
        <v>30451.086669373322</v>
      </c>
      <c r="U49" s="240">
        <f>SUMIFS('Budget - 2026'!$BN$5:$BN$56,'Budget - 2026'!$B$5:$B$56,'AVA WP - Overview'!D49)</f>
        <v>41547.71</v>
      </c>
    </row>
    <row r="50" spans="4:21" s="108" customFormat="1" ht="22.15" customHeight="1">
      <c r="D50" s="193" t="s">
        <v>173</v>
      </c>
      <c r="E50" s="194"/>
      <c r="F50" s="239">
        <f>SUMIFS('Actual - 2026'!$AI$5:$AI$56,'Actual - 2026'!$A$5:$A$56,'AVA WP - Overview'!D50)</f>
        <v>0</v>
      </c>
      <c r="G50" s="233">
        <f>SUMIFS('Budget - 2026'!$BE$5:$BE$56,'Budget - 2026'!$B$5:$B$56,'AVA WP - Overview'!D50)</f>
        <v>204209.6904894491</v>
      </c>
      <c r="H50" s="247">
        <f t="shared" si="3"/>
        <v>-1</v>
      </c>
      <c r="I50" s="194"/>
      <c r="J50" s="239">
        <f>SUMIFS('Budget - 2026'!$BQ$5:$BQ$56,'Budget - 2026'!$B$5:$B$56,'AVA WP - Overview'!D50)</f>
        <v>221980.72</v>
      </c>
      <c r="K50" s="251">
        <f t="shared" si="1"/>
        <v>-1</v>
      </c>
      <c r="L50" s="194"/>
      <c r="M50" s="239">
        <f>SUMIFS('Actual - 2026'!$AC$5:$AC$56,'Actual - 2026'!$A$5:$A$56,'AVA WP - Overview'!D50)</f>
        <v>0</v>
      </c>
      <c r="N50" s="233">
        <f>SUMIFS('Budget - 2026'!$AY$5:$AY$56,'Budget - 2026'!$B$5:$B$56,'AVA WP - Overview'!D50)</f>
        <v>15793.690858266902</v>
      </c>
      <c r="O50" s="240">
        <f>SUMIFS('Budget - 2026'!$BK$5:$BK$56,'Budget - 2026'!$B$5:$B$56,'AVA WP - Overview'!D50)</f>
        <v>19095</v>
      </c>
      <c r="P50" s="239">
        <f>SUMIFS('Actual - 2026'!$Z$5:$Z$56,'Actual - 2026'!$A$5:$A$56,'AVA WP - Overview'!D50)</f>
        <v>0</v>
      </c>
      <c r="Q50" s="233">
        <f>SUMIFS('Budget - 2026'!$AV$5:$AV$56,'Budget - 2026'!$B$5:$B$56,'AVA WP - Overview'!D50)</f>
        <v>166185.28800670203</v>
      </c>
      <c r="R50" s="240">
        <f>SUMIFS('Budget - 2026'!$BH$5:$BH$56,'Budget - 2026'!$B$5:$B$56,'AVA WP - Overview'!D50)</f>
        <v>166640.57</v>
      </c>
      <c r="S50" s="239">
        <f>SUMIFS('Actual - 2026'!$AF$5:$AF$56,'Actual - 2026'!$A$5:$A$56,'AVA WP - Overview'!D50)</f>
        <v>0</v>
      </c>
      <c r="T50" s="233">
        <f>SUMIFS('Budget - 2026'!$BB$5:$BB$56,'Budget - 2026'!$B$5:$B$56,'AVA WP - Overview'!D50)</f>
        <v>22230.711624480165</v>
      </c>
      <c r="U50" s="240">
        <f>SUMIFS('Budget - 2026'!$BN$5:$BN$56,'Budget - 2026'!$B$5:$B$56,'AVA WP - Overview'!D50)</f>
        <v>36245.15</v>
      </c>
    </row>
    <row r="51" spans="4:21" s="108" customFormat="1" ht="22.15" customHeight="1">
      <c r="D51" s="193" t="s">
        <v>174</v>
      </c>
      <c r="E51" s="194"/>
      <c r="F51" s="239">
        <f>SUMIFS('Actual - 2026'!$AI$5:$AI$56,'Actual - 2026'!$A$5:$A$56,'AVA WP - Overview'!D51)</f>
        <v>0</v>
      </c>
      <c r="G51" s="233">
        <f>SUMIFS('Budget - 2026'!$BE$5:$BE$56,'Budget - 2026'!$B$5:$B$56,'AVA WP - Overview'!D51)</f>
        <v>244406.03558090213</v>
      </c>
      <c r="H51" s="247">
        <f t="shared" si="3"/>
        <v>-1</v>
      </c>
      <c r="I51" s="194"/>
      <c r="J51" s="239">
        <f>SUMIFS('Budget - 2026'!$BQ$5:$BQ$56,'Budget - 2026'!$B$5:$B$56,'AVA WP - Overview'!D51)</f>
        <v>242489.54</v>
      </c>
      <c r="K51" s="251">
        <f t="shared" si="1"/>
        <v>-1</v>
      </c>
      <c r="L51" s="194"/>
      <c r="M51" s="239">
        <f>SUMIFS('Actual - 2026'!$AC$5:$AC$56,'Actual - 2026'!$A$5:$A$56,'AVA WP - Overview'!D51)</f>
        <v>0</v>
      </c>
      <c r="N51" s="233">
        <f>SUMIFS('Budget - 2026'!$AY$5:$AY$56,'Budget - 2026'!$B$5:$B$56,'AVA WP - Overview'!D51)</f>
        <v>15706.469406770888</v>
      </c>
      <c r="O51" s="240">
        <f>SUMIFS('Budget - 2026'!$BK$5:$BK$56,'Budget - 2026'!$B$5:$B$56,'AVA WP - Overview'!D51)</f>
        <v>18973</v>
      </c>
      <c r="P51" s="239">
        <f>SUMIFS('Actual - 2026'!$Z$5:$Z$56,'Actual - 2026'!$A$5:$A$56,'AVA WP - Overview'!D51)</f>
        <v>0</v>
      </c>
      <c r="Q51" s="233">
        <f>SUMIFS('Budget - 2026'!$AV$5:$AV$56,'Budget - 2026'!$B$5:$B$56,'AVA WP - Overview'!D51)</f>
        <v>187847.04068070769</v>
      </c>
      <c r="R51" s="240">
        <f>SUMIFS('Budget - 2026'!$BH$5:$BH$56,'Budget - 2026'!$B$5:$B$56,'AVA WP - Overview'!D51)</f>
        <v>181327.88</v>
      </c>
      <c r="S51" s="239">
        <f>SUMIFS('Actual - 2026'!$AF$5:$AF$56,'Actual - 2026'!$A$5:$A$56,'AVA WP - Overview'!D51)</f>
        <v>0</v>
      </c>
      <c r="T51" s="233">
        <f>SUMIFS('Budget - 2026'!$BB$5:$BB$56,'Budget - 2026'!$B$5:$B$56,'AVA WP - Overview'!D51)</f>
        <v>40852.525493423542</v>
      </c>
      <c r="U51" s="240">
        <f>SUMIFS('Budget - 2026'!$BN$5:$BN$56,'Budget - 2026'!$B$5:$B$56,'AVA WP - Overview'!D51)</f>
        <v>42188.659999999996</v>
      </c>
    </row>
    <row r="52" spans="4:21" s="108" customFormat="1" ht="22.15" customHeight="1">
      <c r="D52" s="193" t="s">
        <v>175</v>
      </c>
      <c r="E52" s="194"/>
      <c r="F52" s="239">
        <f>SUMIFS('Actual - 2026'!$AI$5:$AI$56,'Actual - 2026'!$A$5:$A$56,'AVA WP - Overview'!D52)</f>
        <v>0</v>
      </c>
      <c r="G52" s="233">
        <f>SUMIFS('Budget - 2026'!$BE$5:$BE$56,'Budget - 2026'!$B$5:$B$56,'AVA WP - Overview'!D52)</f>
        <v>258333.5513017484</v>
      </c>
      <c r="H52" s="247">
        <f t="shared" si="3"/>
        <v>-1</v>
      </c>
      <c r="I52" s="194"/>
      <c r="J52" s="239">
        <f>SUMIFS('Budget - 2026'!$BQ$5:$BQ$56,'Budget - 2026'!$B$5:$B$56,'AVA WP - Overview'!D52)</f>
        <v>252756.7</v>
      </c>
      <c r="K52" s="251">
        <f t="shared" si="1"/>
        <v>-1</v>
      </c>
      <c r="L52" s="194"/>
      <c r="M52" s="239">
        <f>SUMIFS('Actual - 2026'!$AC$5:$AC$56,'Actual - 2026'!$A$5:$A$56,'AVA WP - Overview'!D52)</f>
        <v>0</v>
      </c>
      <c r="N52" s="233">
        <f>SUMIFS('Budget - 2026'!$AY$5:$AY$56,'Budget - 2026'!$B$5:$B$56,'AVA WP - Overview'!D52)</f>
        <v>21418.358215136144</v>
      </c>
      <c r="O52" s="240">
        <f>SUMIFS('Budget - 2026'!$BK$5:$BK$56,'Budget - 2026'!$B$5:$B$56,'AVA WP - Overview'!D52)</f>
        <v>18283</v>
      </c>
      <c r="P52" s="239">
        <f>SUMIFS('Actual - 2026'!$Z$5:$Z$56,'Actual - 2026'!$A$5:$A$56,'AVA WP - Overview'!D52)</f>
        <v>0</v>
      </c>
      <c r="Q52" s="233">
        <f>SUMIFS('Budget - 2026'!$AV$5:$AV$56,'Budget - 2026'!$B$5:$B$56,'AVA WP - Overview'!D52)</f>
        <v>195766.53987316636</v>
      </c>
      <c r="R52" s="240">
        <f>SUMIFS('Budget - 2026'!$BH$5:$BH$56,'Budget - 2026'!$B$5:$B$56,'AVA WP - Overview'!D52)</f>
        <v>195335.35</v>
      </c>
      <c r="S52" s="239">
        <f>SUMIFS('Actual - 2026'!$AF$5:$AF$56,'Actual - 2026'!$A$5:$A$56,'AVA WP - Overview'!D52)</f>
        <v>0</v>
      </c>
      <c r="T52" s="233">
        <f>SUMIFS('Budget - 2026'!$BB$5:$BB$56,'Budget - 2026'!$B$5:$B$56,'AVA WP - Overview'!D52)</f>
        <v>41148.653213445898</v>
      </c>
      <c r="U52" s="240">
        <f>SUMIFS('Budget - 2026'!$BN$5:$BN$56,'Budget - 2026'!$B$5:$B$56,'AVA WP - Overview'!D52)</f>
        <v>39138.350000000006</v>
      </c>
    </row>
    <row r="53" spans="4:21" s="108" customFormat="1" ht="22.15" customHeight="1">
      <c r="D53" s="227" t="s">
        <v>260</v>
      </c>
      <c r="E53" s="194"/>
      <c r="F53" s="241">
        <f>SUM(F48:F52)</f>
        <v>0</v>
      </c>
      <c r="G53" s="228">
        <f>SUM(G48:G52)</f>
        <v>1151039.0344756185</v>
      </c>
      <c r="H53" s="248">
        <f t="shared" si="3"/>
        <v>-1</v>
      </c>
      <c r="I53" s="194"/>
      <c r="J53" s="241">
        <f>SUM(J48:J52)</f>
        <v>1175666.7</v>
      </c>
      <c r="K53" s="248">
        <f>IFERROR((F53-J53)/J53,0)</f>
        <v>-1</v>
      </c>
      <c r="L53" s="194"/>
      <c r="M53" s="241">
        <f t="shared" ref="M53:U53" si="11">SUM(M48:M52)</f>
        <v>0</v>
      </c>
      <c r="N53" s="228">
        <f t="shared" si="11"/>
        <v>84435.03447561861</v>
      </c>
      <c r="O53" s="242">
        <f t="shared" si="11"/>
        <v>92203</v>
      </c>
      <c r="P53" s="241">
        <f t="shared" si="11"/>
        <v>0</v>
      </c>
      <c r="Q53" s="228">
        <f t="shared" si="11"/>
        <v>903179</v>
      </c>
      <c r="R53" s="242">
        <f t="shared" si="11"/>
        <v>897472.23</v>
      </c>
      <c r="S53" s="241">
        <f t="shared" si="11"/>
        <v>0</v>
      </c>
      <c r="T53" s="228">
        <f t="shared" si="11"/>
        <v>163425</v>
      </c>
      <c r="U53" s="242">
        <f t="shared" si="11"/>
        <v>185991.47</v>
      </c>
    </row>
    <row r="54" spans="4:21" s="108" customFormat="1" ht="22.15" customHeight="1">
      <c r="D54" s="193" t="s">
        <v>177</v>
      </c>
      <c r="E54" s="194"/>
      <c r="F54" s="239">
        <f>SUMIFS('Actual - 2026'!$AI$5:$AI$56,'Actual - 2026'!$A$5:$A$56,'AVA WP - Overview'!D54)</f>
        <v>0</v>
      </c>
      <c r="G54" s="233">
        <f>SUMIFS('Budget - 2026'!$BE$5:$BE$56,'Budget - 2026'!$B$5:$B$56,'AVA WP - Overview'!D54)</f>
        <v>223823.61923557788</v>
      </c>
      <c r="H54" s="247">
        <f t="shared" si="3"/>
        <v>-1</v>
      </c>
      <c r="I54" s="194"/>
      <c r="J54" s="239">
        <f>SUMIFS('Budget - 2026'!$BQ$5:$BQ$56,'Budget - 2026'!$B$5:$B$56,'AVA WP - Overview'!D54)</f>
        <v>219009.55000000002</v>
      </c>
      <c r="K54" s="251">
        <f t="shared" si="1"/>
        <v>-1</v>
      </c>
      <c r="L54" s="194"/>
      <c r="M54" s="239">
        <f>SUMIFS('Actual - 2026'!$AC$5:$AC$56,'Actual - 2026'!$A$5:$A$56,'AVA WP - Overview'!D54)</f>
        <v>0</v>
      </c>
      <c r="N54" s="233">
        <f>SUMIFS('Budget - 2026'!$AY$5:$AY$56,'Budget - 2026'!$B$5:$B$56,'AVA WP - Overview'!D54)</f>
        <v>19555.110368205729</v>
      </c>
      <c r="O54" s="240">
        <f>SUMIFS('Budget - 2026'!$BK$5:$BK$56,'Budget - 2026'!$B$5:$B$56,'AVA WP - Overview'!D54)</f>
        <v>18009</v>
      </c>
      <c r="P54" s="239">
        <f>SUMIFS('Actual - 2026'!$Z$5:$Z$56,'Actual - 2026'!$A$5:$A$56,'AVA WP - Overview'!D54)</f>
        <v>0</v>
      </c>
      <c r="Q54" s="233">
        <f>SUMIFS('Budget - 2026'!$AV$5:$AV$56,'Budget - 2026'!$B$5:$B$56,'AVA WP - Overview'!D54)</f>
        <v>174130.64452057244</v>
      </c>
      <c r="R54" s="240">
        <f>SUMIFS('Budget - 2026'!$BH$5:$BH$56,'Budget - 2026'!$B$5:$B$56,'AVA WP - Overview'!D54)</f>
        <v>166843.45000000001</v>
      </c>
      <c r="S54" s="239">
        <f>SUMIFS('Actual - 2026'!$AF$5:$AF$56,'Actual - 2026'!$A$5:$A$56,'AVA WP - Overview'!D54)</f>
        <v>0</v>
      </c>
      <c r="T54" s="233">
        <f>SUMIFS('Budget - 2026'!$BB$5:$BB$56,'Budget - 2026'!$B$5:$B$56,'AVA WP - Overview'!D54)</f>
        <v>30137.864346799699</v>
      </c>
      <c r="U54" s="240">
        <f>SUMIFS('Budget - 2026'!$BN$5:$BN$56,'Budget - 2026'!$B$5:$B$56,'AVA WP - Overview'!D54)</f>
        <v>34157.1</v>
      </c>
    </row>
    <row r="55" spans="4:21" s="108" customFormat="1" ht="22.15" customHeight="1">
      <c r="D55" s="193" t="s">
        <v>178</v>
      </c>
      <c r="E55" s="194"/>
      <c r="F55" s="239">
        <f>SUMIFS('Actual - 2026'!$AI$5:$AI$56,'Actual - 2026'!$A$5:$A$56,'AVA WP - Overview'!D55)</f>
        <v>0</v>
      </c>
      <c r="G55" s="233">
        <f>SUMIFS('Budget - 2026'!$BE$5:$BE$56,'Budget - 2026'!$B$5:$B$56,'AVA WP - Overview'!D55)</f>
        <v>232833.6792313492</v>
      </c>
      <c r="H55" s="247">
        <f t="shared" si="3"/>
        <v>-1</v>
      </c>
      <c r="I55" s="194"/>
      <c r="J55" s="239">
        <f>SUMIFS('Budget - 2026'!$BQ$5:$BQ$56,'Budget - 2026'!$B$5:$B$56,'AVA WP - Overview'!D55)</f>
        <v>236246.37</v>
      </c>
      <c r="K55" s="251">
        <f t="shared" si="1"/>
        <v>-1</v>
      </c>
      <c r="L55" s="194"/>
      <c r="M55" s="239">
        <f>SUMIFS('Actual - 2026'!$AC$5:$AC$56,'Actual - 2026'!$A$5:$A$56,'AVA WP - Overview'!D55)</f>
        <v>0</v>
      </c>
      <c r="N55" s="233">
        <f>SUMIFS('Budget - 2026'!$AY$5:$AY$56,'Budget - 2026'!$B$5:$B$56,'AVA WP - Overview'!D55)</f>
        <v>24179.245727644651</v>
      </c>
      <c r="O55" s="240">
        <f>SUMIFS('Budget - 2026'!$BK$5:$BK$56,'Budget - 2026'!$B$5:$B$56,'AVA WP - Overview'!D55)</f>
        <v>24033</v>
      </c>
      <c r="P55" s="239">
        <f>SUMIFS('Actual - 2026'!$Z$5:$Z$56,'Actual - 2026'!$A$5:$A$56,'AVA WP - Overview'!D55)</f>
        <v>0</v>
      </c>
      <c r="Q55" s="233">
        <f>SUMIFS('Budget - 2026'!$AV$5:$AV$56,'Budget - 2026'!$B$5:$B$56,'AVA WP - Overview'!D55)</f>
        <v>171002.18666869556</v>
      </c>
      <c r="R55" s="240">
        <f>SUMIFS('Budget - 2026'!$BH$5:$BH$56,'Budget - 2026'!$B$5:$B$56,'AVA WP - Overview'!D55)</f>
        <v>172920.27</v>
      </c>
      <c r="S55" s="239">
        <f>SUMIFS('Actual - 2026'!$AF$5:$AF$56,'Actual - 2026'!$A$5:$A$56,'AVA WP - Overview'!D55)</f>
        <v>0</v>
      </c>
      <c r="T55" s="233">
        <f>SUMIFS('Budget - 2026'!$BB$5:$BB$56,'Budget - 2026'!$B$5:$B$56,'AVA WP - Overview'!D55)</f>
        <v>37652.246835008977</v>
      </c>
      <c r="U55" s="240">
        <f>SUMIFS('Budget - 2026'!$BN$5:$BN$56,'Budget - 2026'!$B$5:$B$56,'AVA WP - Overview'!D55)</f>
        <v>39293.1</v>
      </c>
    </row>
    <row r="56" spans="4:21" s="108" customFormat="1" ht="22.15" customHeight="1">
      <c r="D56" s="193" t="s">
        <v>179</v>
      </c>
      <c r="E56" s="194"/>
      <c r="F56" s="239">
        <f>SUMIFS('Actual - 2026'!$AI$5:$AI$56,'Actual - 2026'!$A$5:$A$56,'AVA WP - Overview'!D56)</f>
        <v>0</v>
      </c>
      <c r="G56" s="233">
        <f>SUMIFS('Budget - 2026'!$BE$5:$BE$56,'Budget - 2026'!$B$5:$B$56,'AVA WP - Overview'!D56)</f>
        <v>237355.62247068359</v>
      </c>
      <c r="H56" s="247">
        <f t="shared" si="3"/>
        <v>-1</v>
      </c>
      <c r="I56" s="194"/>
      <c r="J56" s="239">
        <f>SUMIFS('Budget - 2026'!$BQ$5:$BQ$56,'Budget - 2026'!$B$5:$B$56,'AVA WP - Overview'!D56)</f>
        <v>239202.97</v>
      </c>
      <c r="K56" s="251">
        <f t="shared" si="1"/>
        <v>-1</v>
      </c>
      <c r="L56" s="194"/>
      <c r="M56" s="239">
        <f>SUMIFS('Actual - 2026'!$AC$5:$AC$56,'Actual - 2026'!$A$5:$A$56,'AVA WP - Overview'!D56)</f>
        <v>0</v>
      </c>
      <c r="N56" s="233">
        <f>SUMIFS('Budget - 2026'!$AY$5:$AY$56,'Budget - 2026'!$B$5:$B$56,'AVA WP - Overview'!D56)</f>
        <v>17839.697767387494</v>
      </c>
      <c r="O56" s="240">
        <f>SUMIFS('Budget - 2026'!$BK$5:$BK$56,'Budget - 2026'!$B$5:$B$56,'AVA WP - Overview'!D56)</f>
        <v>21524</v>
      </c>
      <c r="P56" s="239">
        <f>SUMIFS('Actual - 2026'!$Z$5:$Z$56,'Actual - 2026'!$A$5:$A$56,'AVA WP - Overview'!D56)</f>
        <v>0</v>
      </c>
      <c r="Q56" s="233">
        <f>SUMIFS('Budget - 2026'!$AV$5:$AV$56,'Budget - 2026'!$B$5:$B$56,'AVA WP - Overview'!D56)</f>
        <v>184446.21019805659</v>
      </c>
      <c r="R56" s="240">
        <f>SUMIFS('Budget - 2026'!$BH$5:$BH$56,'Budget - 2026'!$B$5:$B$56,'AVA WP - Overview'!D56)</f>
        <v>183575.47</v>
      </c>
      <c r="S56" s="239">
        <f>SUMIFS('Actual - 2026'!$AF$5:$AF$56,'Actual - 2026'!$A$5:$A$56,'AVA WP - Overview'!D56)</f>
        <v>0</v>
      </c>
      <c r="T56" s="233">
        <f>SUMIFS('Budget - 2026'!$BB$5:$BB$56,'Budget - 2026'!$B$5:$B$56,'AVA WP - Overview'!D56)</f>
        <v>35069.714505239506</v>
      </c>
      <c r="U56" s="240">
        <f>SUMIFS('Budget - 2026'!$BN$5:$BN$56,'Budget - 2026'!$B$5:$B$56,'AVA WP - Overview'!D56)</f>
        <v>34103.5</v>
      </c>
    </row>
    <row r="57" spans="4:21" s="108" customFormat="1" ht="22.15" customHeight="1">
      <c r="D57" s="193" t="s">
        <v>180</v>
      </c>
      <c r="E57" s="194"/>
      <c r="F57" s="239">
        <f>SUMIFS('Actual - 2026'!$AI$5:$AI$56,'Actual - 2026'!$A$5:$A$56,'AVA WP - Overview'!D57)</f>
        <v>0</v>
      </c>
      <c r="G57" s="233">
        <f>SUMIFS('Budget - 2026'!$BE$5:$BE$56,'Budget - 2026'!$B$5:$B$56,'AVA WP - Overview'!D57)</f>
        <v>233288.15749605387</v>
      </c>
      <c r="H57" s="247">
        <f t="shared" si="3"/>
        <v>-1</v>
      </c>
      <c r="I57" s="194"/>
      <c r="J57" s="239">
        <f>SUMIFS('Budget - 2026'!$BQ$5:$BQ$56,'Budget - 2026'!$B$5:$B$56,'AVA WP - Overview'!D57)</f>
        <v>249676.15</v>
      </c>
      <c r="K57" s="251">
        <f t="shared" si="1"/>
        <v>-1</v>
      </c>
      <c r="L57" s="194"/>
      <c r="M57" s="239">
        <f>SUMIFS('Actual - 2026'!$AC$5:$AC$56,'Actual - 2026'!$A$5:$A$56,'AVA WP - Overview'!D57)</f>
        <v>0</v>
      </c>
      <c r="N57" s="233">
        <f>SUMIFS('Budget - 2026'!$AY$5:$AY$56,'Budget - 2026'!$B$5:$B$56,'AVA WP - Overview'!D57)</f>
        <v>18929.024570426649</v>
      </c>
      <c r="O57" s="240">
        <f>SUMIFS('Budget - 2026'!$BK$5:$BK$56,'Budget - 2026'!$B$5:$B$56,'AVA WP - Overview'!D57)</f>
        <v>19954</v>
      </c>
      <c r="P57" s="239">
        <f>SUMIFS('Actual - 2026'!$Z$5:$Z$56,'Actual - 2026'!$A$5:$A$56,'AVA WP - Overview'!D57)</f>
        <v>0</v>
      </c>
      <c r="Q57" s="233">
        <f>SUMIFS('Budget - 2026'!$AV$5:$AV$56,'Budget - 2026'!$B$5:$B$56,'AVA WP - Overview'!D57)</f>
        <v>180736.9586126754</v>
      </c>
      <c r="R57" s="240">
        <f>SUMIFS('Budget - 2026'!$BH$5:$BH$56,'Budget - 2026'!$B$5:$B$56,'AVA WP - Overview'!D57)</f>
        <v>190555.65</v>
      </c>
      <c r="S57" s="239">
        <f>SUMIFS('Actual - 2026'!$AF$5:$AF$56,'Actual - 2026'!$A$5:$A$56,'AVA WP - Overview'!D57)</f>
        <v>0</v>
      </c>
      <c r="T57" s="233">
        <f>SUMIFS('Budget - 2026'!$BB$5:$BB$56,'Budget - 2026'!$B$5:$B$56,'AVA WP - Overview'!D57)</f>
        <v>33622.174312951829</v>
      </c>
      <c r="U57" s="240">
        <f>SUMIFS('Budget - 2026'!$BN$5:$BN$56,'Budget - 2026'!$B$5:$B$56,'AVA WP - Overview'!D57)</f>
        <v>39166.5</v>
      </c>
    </row>
    <row r="58" spans="4:21" s="108" customFormat="1" ht="22.15" customHeight="1">
      <c r="D58" s="227" t="s">
        <v>261</v>
      </c>
      <c r="E58" s="194"/>
      <c r="F58" s="241">
        <f>SUM(F54:F57)</f>
        <v>0</v>
      </c>
      <c r="G58" s="228">
        <f>SUM(G54:G57)</f>
        <v>927301.07843366452</v>
      </c>
      <c r="H58" s="248">
        <f t="shared" si="3"/>
        <v>-1</v>
      </c>
      <c r="I58" s="194"/>
      <c r="J58" s="241">
        <f>SUM(J54:J57)</f>
        <v>944135.04</v>
      </c>
      <c r="K58" s="248">
        <f>IFERROR((F58-J58)/J58,0)</f>
        <v>-1</v>
      </c>
      <c r="L58" s="194"/>
      <c r="M58" s="241">
        <f t="shared" ref="M58:U58" si="12">SUM(M54:M57)</f>
        <v>0</v>
      </c>
      <c r="N58" s="228">
        <f t="shared" si="12"/>
        <v>80503.078433664516</v>
      </c>
      <c r="O58" s="242">
        <f t="shared" si="12"/>
        <v>83520</v>
      </c>
      <c r="P58" s="241">
        <f t="shared" si="12"/>
        <v>0</v>
      </c>
      <c r="Q58" s="228">
        <f t="shared" si="12"/>
        <v>710316.00000000012</v>
      </c>
      <c r="R58" s="242">
        <f t="shared" si="12"/>
        <v>713894.84</v>
      </c>
      <c r="S58" s="241">
        <f t="shared" si="12"/>
        <v>0</v>
      </c>
      <c r="T58" s="228">
        <f t="shared" si="12"/>
        <v>136482</v>
      </c>
      <c r="U58" s="242">
        <f t="shared" si="12"/>
        <v>146720.20000000001</v>
      </c>
    </row>
    <row r="59" spans="4:21" s="108" customFormat="1" ht="22.15" customHeight="1">
      <c r="D59" s="193" t="s">
        <v>183</v>
      </c>
      <c r="E59" s="194"/>
      <c r="F59" s="239">
        <f>SUMIFS('Actual - 2026'!$AI$5:$AI$56,'Actual - 2026'!$A$5:$A$56,'AVA WP - Overview'!D59)</f>
        <v>0</v>
      </c>
      <c r="G59" s="233">
        <f>SUMIFS('Budget - 2026'!$BE$5:$BE$56,'Budget - 2026'!$B$5:$B$56,'AVA WP - Overview'!D59)</f>
        <v>224173.73534798535</v>
      </c>
      <c r="H59" s="247">
        <f t="shared" si="3"/>
        <v>-1</v>
      </c>
      <c r="I59" s="194"/>
      <c r="J59" s="239">
        <f>SUMIFS('Budget - 2026'!$BQ$5:$BQ$56,'Budget - 2026'!$B$5:$B$56,'AVA WP - Overview'!D59)</f>
        <v>214633.77</v>
      </c>
      <c r="K59" s="251">
        <f t="shared" si="1"/>
        <v>-1</v>
      </c>
      <c r="L59" s="194"/>
      <c r="M59" s="239">
        <f>SUMIFS('Actual - 2026'!$AC$5:$AC$56,'Actual - 2026'!$A$5:$A$56,'AVA WP - Overview'!D59)</f>
        <v>0</v>
      </c>
      <c r="N59" s="233">
        <f>SUMIFS('Budget - 2026'!$AY$5:$AY$56,'Budget - 2026'!$B$5:$B$56,'AVA WP - Overview'!D59)</f>
        <v>19772.93</v>
      </c>
      <c r="O59" s="240">
        <f>SUMIFS('Budget - 2026'!$BK$5:$BK$56,'Budget - 2026'!$B$5:$B$56,'AVA WP - Overview'!D59)</f>
        <v>18516</v>
      </c>
      <c r="P59" s="239">
        <f>SUMIFS('Actual - 2026'!$Z$5:$Z$56,'Actual - 2026'!$A$5:$A$56,'AVA WP - Overview'!D59)</f>
        <v>0</v>
      </c>
      <c r="Q59" s="233">
        <f>SUMIFS('Budget - 2026'!$AV$5:$AV$56,'Budget - 2026'!$B$5:$B$56,'AVA WP - Overview'!D59)</f>
        <v>177787</v>
      </c>
      <c r="R59" s="240">
        <f>SUMIFS('Budget - 2026'!$BH$5:$BH$56,'Budget - 2026'!$B$5:$B$56,'AVA WP - Overview'!D59)</f>
        <v>171738.06999999998</v>
      </c>
      <c r="S59" s="239">
        <f>SUMIFS('Actual - 2026'!$AF$5:$AF$56,'Actual - 2026'!$A$5:$A$56,'AVA WP - Overview'!D59)</f>
        <v>0</v>
      </c>
      <c r="T59" s="233">
        <f>SUMIFS('Budget - 2026'!$BB$5:$BB$56,'Budget - 2026'!$B$5:$B$56,'AVA WP - Overview'!D59)</f>
        <v>26613.805347985348</v>
      </c>
      <c r="U59" s="240">
        <f>SUMIFS('Budget - 2026'!$BN$5:$BN$56,'Budget - 2026'!$B$5:$B$56,'AVA WP - Overview'!D59)</f>
        <v>24379.7</v>
      </c>
    </row>
    <row r="60" spans="4:21" s="108" customFormat="1" ht="22.15" customHeight="1">
      <c r="D60" s="193" t="s">
        <v>184</v>
      </c>
      <c r="E60" s="194"/>
      <c r="F60" s="239">
        <f>SUMIFS('Actual - 2026'!$AI$5:$AI$56,'Actual - 2026'!$A$5:$A$56,'AVA WP - Overview'!D60)</f>
        <v>0</v>
      </c>
      <c r="G60" s="233">
        <f>SUMIFS('Budget - 2026'!$BE$5:$BE$56,'Budget - 2026'!$B$5:$B$56,'AVA WP - Overview'!D60)</f>
        <v>248612.80282051282</v>
      </c>
      <c r="H60" s="247">
        <f t="shared" si="3"/>
        <v>-1</v>
      </c>
      <c r="I60" s="194"/>
      <c r="J60" s="239">
        <f>SUMIFS('Budget - 2026'!$BQ$5:$BQ$56,'Budget - 2026'!$B$5:$B$56,'AVA WP - Overview'!D60)</f>
        <v>236958.21</v>
      </c>
      <c r="K60" s="251">
        <f t="shared" si="1"/>
        <v>-1</v>
      </c>
      <c r="L60" s="194"/>
      <c r="M60" s="239">
        <f>SUMIFS('Actual - 2026'!$AC$5:$AC$56,'Actual - 2026'!$A$5:$A$56,'AVA WP - Overview'!D60)</f>
        <v>0</v>
      </c>
      <c r="N60" s="233">
        <f>SUMIFS('Budget - 2026'!$AY$5:$AY$56,'Budget - 2026'!$B$5:$B$56,'AVA WP - Overview'!D60)</f>
        <v>21555.47</v>
      </c>
      <c r="O60" s="240">
        <f>SUMIFS('Budget - 2026'!$BK$5:$BK$56,'Budget - 2026'!$B$5:$B$56,'AVA WP - Overview'!D60)</f>
        <v>29059</v>
      </c>
      <c r="P60" s="239">
        <f>SUMIFS('Actual - 2026'!$Z$5:$Z$56,'Actual - 2026'!$A$5:$A$56,'AVA WP - Overview'!D60)</f>
        <v>0</v>
      </c>
      <c r="Q60" s="233">
        <f>SUMIFS('Budget - 2026'!$AV$5:$AV$56,'Budget - 2026'!$B$5:$B$56,'AVA WP - Overview'!D60)</f>
        <v>195934</v>
      </c>
      <c r="R60" s="240">
        <f>SUMIFS('Budget - 2026'!$BH$5:$BH$56,'Budget - 2026'!$B$5:$B$56,'AVA WP - Overview'!D60)</f>
        <v>169852.31</v>
      </c>
      <c r="S60" s="239">
        <f>SUMIFS('Actual - 2026'!$AF$5:$AF$56,'Actual - 2026'!$A$5:$A$56,'AVA WP - Overview'!D60)</f>
        <v>0</v>
      </c>
      <c r="T60" s="233">
        <f>SUMIFS('Budget - 2026'!$BB$5:$BB$56,'Budget - 2026'!$B$5:$B$56,'AVA WP - Overview'!D60)</f>
        <v>31123.33282051282</v>
      </c>
      <c r="U60" s="240">
        <f>SUMIFS('Budget - 2026'!$BN$5:$BN$56,'Budget - 2026'!$B$5:$B$56,'AVA WP - Overview'!D60)</f>
        <v>38046.9</v>
      </c>
    </row>
    <row r="61" spans="4:21" s="108" customFormat="1" ht="22.15" customHeight="1">
      <c r="D61" s="193" t="s">
        <v>185</v>
      </c>
      <c r="E61" s="194"/>
      <c r="F61" s="239">
        <f>SUMIFS('Actual - 2026'!$AI$5:$AI$56,'Actual - 2026'!$A$5:$A$56,'AVA WP - Overview'!D61)</f>
        <v>0</v>
      </c>
      <c r="G61" s="233">
        <f>SUMIFS('Budget - 2026'!$BE$5:$BE$56,'Budget - 2026'!$B$5:$B$56,'AVA WP - Overview'!D61)</f>
        <v>236038.53501831501</v>
      </c>
      <c r="H61" s="247">
        <f t="shared" si="3"/>
        <v>-1</v>
      </c>
      <c r="I61" s="194"/>
      <c r="J61" s="239">
        <f>SUMIFS('Budget - 2026'!$BQ$5:$BQ$56,'Budget - 2026'!$B$5:$B$56,'AVA WP - Overview'!D61)</f>
        <v>263799.3</v>
      </c>
      <c r="K61" s="251">
        <f t="shared" si="1"/>
        <v>-1</v>
      </c>
      <c r="L61" s="194"/>
      <c r="M61" s="239">
        <f>SUMIFS('Actual - 2026'!$AC$5:$AC$56,'Actual - 2026'!$A$5:$A$56,'AVA WP - Overview'!D61)</f>
        <v>0</v>
      </c>
      <c r="N61" s="233">
        <f>SUMIFS('Budget - 2026'!$AY$5:$AY$56,'Budget - 2026'!$B$5:$B$56,'AVA WP - Overview'!D61)</f>
        <v>18567.2</v>
      </c>
      <c r="O61" s="240">
        <f>SUMIFS('Budget - 2026'!$BK$5:$BK$56,'Budget - 2026'!$B$5:$B$56,'AVA WP - Overview'!D61)</f>
        <v>20647</v>
      </c>
      <c r="P61" s="239">
        <f>SUMIFS('Actual - 2026'!$Z$5:$Z$56,'Actual - 2026'!$A$5:$A$56,'AVA WP - Overview'!D61)</f>
        <v>0</v>
      </c>
      <c r="Q61" s="233">
        <f>SUMIFS('Budget - 2026'!$AV$5:$AV$56,'Budget - 2026'!$B$5:$B$56,'AVA WP - Overview'!D61)</f>
        <v>180744</v>
      </c>
      <c r="R61" s="240">
        <f>SUMIFS('Budget - 2026'!$BH$5:$BH$56,'Budget - 2026'!$B$5:$B$56,'AVA WP - Overview'!D61)</f>
        <v>195522</v>
      </c>
      <c r="S61" s="239">
        <f>SUMIFS('Actual - 2026'!$AF$5:$AF$56,'Actual - 2026'!$A$5:$A$56,'AVA WP - Overview'!D61)</f>
        <v>0</v>
      </c>
      <c r="T61" s="233">
        <f>SUMIFS('Budget - 2026'!$BB$5:$BB$56,'Budget - 2026'!$B$5:$B$56,'AVA WP - Overview'!D61)</f>
        <v>36727.335018315018</v>
      </c>
      <c r="U61" s="240">
        <f>SUMIFS('Budget - 2026'!$BN$5:$BN$56,'Budget - 2026'!$B$5:$B$56,'AVA WP - Overview'!D61)</f>
        <v>47630.3</v>
      </c>
    </row>
    <row r="62" spans="4:21" s="108" customFormat="1" ht="22.15" customHeight="1">
      <c r="D62" s="193" t="s">
        <v>186</v>
      </c>
      <c r="E62" s="194"/>
      <c r="F62" s="239">
        <f>SUMIFS('Actual - 2026'!$AI$5:$AI$56,'Actual - 2026'!$A$5:$A$56,'AVA WP - Overview'!D62)</f>
        <v>0</v>
      </c>
      <c r="G62" s="233">
        <f>SUMIFS('Budget - 2026'!$BE$5:$BE$56,'Budget - 2026'!$B$5:$B$56,'AVA WP - Overview'!D62)</f>
        <v>210676.8692737362</v>
      </c>
      <c r="H62" s="247">
        <f t="shared" si="3"/>
        <v>-1</v>
      </c>
      <c r="I62" s="194"/>
      <c r="J62" s="239">
        <f>SUMIFS('Budget - 2026'!$BQ$5:$BQ$56,'Budget - 2026'!$B$5:$B$56,'AVA WP - Overview'!D62)</f>
        <v>236449.74</v>
      </c>
      <c r="K62" s="251">
        <f t="shared" si="1"/>
        <v>-1</v>
      </c>
      <c r="L62" s="194"/>
      <c r="M62" s="239">
        <f>SUMIFS('Actual - 2026'!$AC$5:$AC$56,'Actual - 2026'!$A$5:$A$56,'AVA WP - Overview'!D62)</f>
        <v>0</v>
      </c>
      <c r="N62" s="233">
        <f>SUMIFS('Budget - 2026'!$AY$5:$AY$56,'Budget - 2026'!$B$5:$B$56,'AVA WP - Overview'!D62)</f>
        <v>17347.572460549385</v>
      </c>
      <c r="O62" s="240">
        <f>SUMIFS('Budget - 2026'!$BK$5:$BK$56,'Budget - 2026'!$B$5:$B$56,'AVA WP - Overview'!D62)</f>
        <v>22911</v>
      </c>
      <c r="P62" s="239">
        <f>SUMIFS('Actual - 2026'!$Z$5:$Z$56,'Actual - 2026'!$A$5:$A$56,'AVA WP - Overview'!D62)</f>
        <v>0</v>
      </c>
      <c r="Q62" s="233">
        <f>SUMIFS('Budget - 2026'!$AV$5:$AV$56,'Budget - 2026'!$B$5:$B$56,'AVA WP - Overview'!D62)</f>
        <v>151100</v>
      </c>
      <c r="R62" s="240">
        <f>SUMIFS('Budget - 2026'!$BH$5:$BH$56,'Budget - 2026'!$B$5:$B$56,'AVA WP - Overview'!D62)</f>
        <v>175078.24</v>
      </c>
      <c r="S62" s="239">
        <f>SUMIFS('Actual - 2026'!$AF$5:$AF$56,'Actual - 2026'!$A$5:$A$56,'AVA WP - Overview'!D62)</f>
        <v>0</v>
      </c>
      <c r="T62" s="233">
        <f>SUMIFS('Budget - 2026'!$BB$5:$BB$56,'Budget - 2026'!$B$5:$B$56,'AVA WP - Overview'!D62)</f>
        <v>42229.296813186811</v>
      </c>
      <c r="U62" s="240">
        <f>SUMIFS('Budget - 2026'!$BN$5:$BN$56,'Budget - 2026'!$B$5:$B$56,'AVA WP - Overview'!D62)</f>
        <v>38460.5</v>
      </c>
    </row>
    <row r="63" spans="4:21" s="108" customFormat="1" ht="22.15" customHeight="1">
      <c r="D63" s="227" t="s">
        <v>262</v>
      </c>
      <c r="E63" s="194"/>
      <c r="F63" s="241">
        <f>SUM(F59:F62)</f>
        <v>0</v>
      </c>
      <c r="G63" s="228">
        <f>SUM(G59:G62)</f>
        <v>919501.9424605493</v>
      </c>
      <c r="H63" s="248">
        <f t="shared" si="3"/>
        <v>-1</v>
      </c>
      <c r="I63" s="194"/>
      <c r="J63" s="241">
        <f>SUM(J59:J62)</f>
        <v>951841.02</v>
      </c>
      <c r="K63" s="248">
        <f>IFERROR((F63-J63)/J63,0)</f>
        <v>-1</v>
      </c>
      <c r="L63" s="194"/>
      <c r="M63" s="241">
        <f t="shared" ref="M63:U63" si="13">SUM(M59:M62)</f>
        <v>0</v>
      </c>
      <c r="N63" s="228">
        <f t="shared" si="13"/>
        <v>77243.172460549395</v>
      </c>
      <c r="O63" s="242">
        <f t="shared" si="13"/>
        <v>91133</v>
      </c>
      <c r="P63" s="241">
        <f t="shared" si="13"/>
        <v>0</v>
      </c>
      <c r="Q63" s="228">
        <f t="shared" si="13"/>
        <v>705565</v>
      </c>
      <c r="R63" s="242">
        <f t="shared" si="13"/>
        <v>712190.62</v>
      </c>
      <c r="S63" s="241">
        <f t="shared" si="13"/>
        <v>0</v>
      </c>
      <c r="T63" s="228">
        <f t="shared" si="13"/>
        <v>136693.76999999999</v>
      </c>
      <c r="U63" s="242">
        <f t="shared" si="13"/>
        <v>148517.40000000002</v>
      </c>
    </row>
    <row r="64" spans="4:21" s="108" customFormat="1" ht="22.15" customHeight="1">
      <c r="D64" s="193" t="s">
        <v>189</v>
      </c>
      <c r="E64" s="194"/>
      <c r="F64" s="239">
        <f>SUMIFS('Actual - 2026'!$AI$5:$AI$56,'Actual - 2026'!$A$5:$A$56,'AVA WP - Overview'!D64)</f>
        <v>0</v>
      </c>
      <c r="G64" s="233">
        <f>SUMIFS('Budget - 2026'!$BE$5:$BE$56,'Budget - 2026'!$B$5:$B$56,'AVA WP - Overview'!D64)</f>
        <v>231251.3458328463</v>
      </c>
      <c r="H64" s="247">
        <f t="shared" si="3"/>
        <v>-1</v>
      </c>
      <c r="I64" s="194"/>
      <c r="J64" s="239">
        <f>SUMIFS('Budget - 2026'!$BQ$5:$BQ$56,'Budget - 2026'!$B$5:$B$56,'AVA WP - Overview'!D64)</f>
        <v>189087.35999999999</v>
      </c>
      <c r="K64" s="251">
        <f t="shared" si="1"/>
        <v>-1</v>
      </c>
      <c r="L64" s="194"/>
      <c r="M64" s="239">
        <f>SUMIFS('Actual - 2026'!$AC$5:$AC$56,'Actual - 2026'!$A$5:$A$56,'AVA WP - Overview'!D64)</f>
        <v>0</v>
      </c>
      <c r="N64" s="233">
        <f>SUMIFS('Budget - 2026'!$AY$5:$AY$56,'Budget - 2026'!$B$5:$B$56,'AVA WP - Overview'!D64)</f>
        <v>15839.345832846288</v>
      </c>
      <c r="O64" s="240">
        <f>SUMIFS('Budget - 2026'!$BK$5:$BK$56,'Budget - 2026'!$B$5:$B$56,'AVA WP - Overview'!D64)</f>
        <v>25287</v>
      </c>
      <c r="P64" s="239">
        <f>SUMIFS('Actual - 2026'!$Z$5:$Z$56,'Actual - 2026'!$A$5:$A$56,'AVA WP - Overview'!D64)</f>
        <v>0</v>
      </c>
      <c r="Q64" s="233">
        <f>SUMIFS('Budget - 2026'!$AV$5:$AV$56,'Budget - 2026'!$B$5:$B$56,'AVA WP - Overview'!D64)</f>
        <v>184442</v>
      </c>
      <c r="R64" s="240">
        <f>SUMIFS('Budget - 2026'!$BH$5:$BH$56,'Budget - 2026'!$B$5:$B$56,'AVA WP - Overview'!D64)</f>
        <v>143901.85999999999</v>
      </c>
      <c r="S64" s="239">
        <f>SUMIFS('Actual - 2026'!$AF$5:$AF$56,'Actual - 2026'!$A$5:$A$56,'AVA WP - Overview'!D64)</f>
        <v>0</v>
      </c>
      <c r="T64" s="233">
        <f>SUMIFS('Budget - 2026'!$BB$5:$BB$56,'Budget - 2026'!$B$5:$B$56,'AVA WP - Overview'!D64)</f>
        <v>30970</v>
      </c>
      <c r="U64" s="240">
        <f>SUMIFS('Budget - 2026'!$BN$5:$BN$56,'Budget - 2026'!$B$5:$B$56,'AVA WP - Overview'!D64)</f>
        <v>19898.5</v>
      </c>
    </row>
    <row r="65" spans="4:21" s="108" customFormat="1" ht="22.15" customHeight="1">
      <c r="D65" s="193" t="s">
        <v>190</v>
      </c>
      <c r="E65" s="194"/>
      <c r="F65" s="239">
        <f>SUMIFS('Actual - 2026'!$AI$5:$AI$56,'Actual - 2026'!$A$5:$A$56,'AVA WP - Overview'!D65)</f>
        <v>0</v>
      </c>
      <c r="G65" s="233">
        <f>SUMIFS('Budget - 2026'!$BE$5:$BE$56,'Budget - 2026'!$B$5:$B$56,'AVA WP - Overview'!D65)</f>
        <v>300308.77694915253</v>
      </c>
      <c r="H65" s="247">
        <f t="shared" si="3"/>
        <v>-1</v>
      </c>
      <c r="I65" s="194"/>
      <c r="J65" s="239">
        <f>SUMIFS('Budget - 2026'!$BQ$5:$BQ$56,'Budget - 2026'!$B$5:$B$56,'AVA WP - Overview'!D65)</f>
        <v>246688.34</v>
      </c>
      <c r="K65" s="251">
        <f t="shared" si="1"/>
        <v>-1</v>
      </c>
      <c r="L65" s="194"/>
      <c r="M65" s="239">
        <f>SUMIFS('Actual - 2026'!$AC$5:$AC$56,'Actual - 2026'!$A$5:$A$56,'AVA WP - Overview'!D65)</f>
        <v>0</v>
      </c>
      <c r="N65" s="233">
        <f>SUMIFS('Budget - 2026'!$AY$5:$AY$56,'Budget - 2026'!$B$5:$B$56,'AVA WP - Overview'!D65)</f>
        <v>20772.77694915254</v>
      </c>
      <c r="O65" s="240">
        <f>SUMIFS('Budget - 2026'!$BK$5:$BK$56,'Budget - 2026'!$B$5:$B$56,'AVA WP - Overview'!D65)</f>
        <v>20563</v>
      </c>
      <c r="P65" s="239">
        <f>SUMIFS('Actual - 2026'!$Z$5:$Z$56,'Actual - 2026'!$A$5:$A$56,'AVA WP - Overview'!D65)</f>
        <v>0</v>
      </c>
      <c r="Q65" s="233">
        <f>SUMIFS('Budget - 2026'!$AV$5:$AV$56,'Budget - 2026'!$B$5:$B$56,'AVA WP - Overview'!D65)</f>
        <v>229756</v>
      </c>
      <c r="R65" s="240">
        <f>SUMIFS('Budget - 2026'!$BH$5:$BH$56,'Budget - 2026'!$B$5:$B$56,'AVA WP - Overview'!D65)</f>
        <v>179193.33</v>
      </c>
      <c r="S65" s="239">
        <f>SUMIFS('Actual - 2026'!$AF$5:$AF$56,'Actual - 2026'!$A$5:$A$56,'AVA WP - Overview'!D65)</f>
        <v>0</v>
      </c>
      <c r="T65" s="233">
        <f>SUMIFS('Budget - 2026'!$BB$5:$BB$56,'Budget - 2026'!$B$5:$B$56,'AVA WP - Overview'!D65)</f>
        <v>49780</v>
      </c>
      <c r="U65" s="240">
        <f>SUMIFS('Budget - 2026'!$BN$5:$BN$56,'Budget - 2026'!$B$5:$B$56,'AVA WP - Overview'!D65)</f>
        <v>46932.01</v>
      </c>
    </row>
    <row r="66" spans="4:21" s="108" customFormat="1" ht="22.15" customHeight="1">
      <c r="D66" s="193" t="s">
        <v>191</v>
      </c>
      <c r="E66" s="194"/>
      <c r="F66" s="239">
        <f>SUMIFS('Actual - 2026'!$AI$5:$AI$56,'Actual - 2026'!$A$5:$A$56,'AVA WP - Overview'!D66)</f>
        <v>0</v>
      </c>
      <c r="G66" s="233">
        <f>SUMIFS('Budget - 2026'!$BE$5:$BE$56,'Budget - 2026'!$B$5:$B$56,'AVA WP - Overview'!D66)</f>
        <v>288169.88488603156</v>
      </c>
      <c r="H66" s="247">
        <f t="shared" si="3"/>
        <v>-1</v>
      </c>
      <c r="I66" s="194"/>
      <c r="J66" s="239">
        <f>SUMIFS('Budget - 2026'!$BQ$5:$BQ$56,'Budget - 2026'!$B$5:$B$56,'AVA WP - Overview'!D66)</f>
        <v>318458.55000000005</v>
      </c>
      <c r="K66" s="251">
        <f t="shared" si="1"/>
        <v>-1</v>
      </c>
      <c r="L66" s="194"/>
      <c r="M66" s="239">
        <f>SUMIFS('Actual - 2026'!$AC$5:$AC$56,'Actual - 2026'!$A$5:$A$56,'AVA WP - Overview'!D66)</f>
        <v>0</v>
      </c>
      <c r="N66" s="233">
        <f>SUMIFS('Budget - 2026'!$AY$5:$AY$56,'Budget - 2026'!$B$5:$B$56,'AVA WP - Overview'!D66)</f>
        <v>19481.884886031559</v>
      </c>
      <c r="O66" s="240">
        <f>SUMIFS('Budget - 2026'!$BK$5:$BK$56,'Budget - 2026'!$B$5:$B$56,'AVA WP - Overview'!D66)</f>
        <v>22426</v>
      </c>
      <c r="P66" s="239">
        <f>SUMIFS('Actual - 2026'!$Z$5:$Z$56,'Actual - 2026'!$A$5:$A$56,'AVA WP - Overview'!D66)</f>
        <v>0</v>
      </c>
      <c r="Q66" s="233">
        <f>SUMIFS('Budget - 2026'!$AV$5:$AV$56,'Budget - 2026'!$B$5:$B$56,'AVA WP - Overview'!D66)</f>
        <v>203855</v>
      </c>
      <c r="R66" s="240">
        <f>SUMIFS('Budget - 2026'!$BH$5:$BH$56,'Budget - 2026'!$B$5:$B$56,'AVA WP - Overview'!D66)</f>
        <v>226494.05000000002</v>
      </c>
      <c r="S66" s="239">
        <f>SUMIFS('Actual - 2026'!$AF$5:$AF$56,'Actual - 2026'!$A$5:$A$56,'AVA WP - Overview'!D66)</f>
        <v>0</v>
      </c>
      <c r="T66" s="233">
        <f>SUMIFS('Budget - 2026'!$BB$5:$BB$56,'Budget - 2026'!$B$5:$B$56,'AVA WP - Overview'!D66)</f>
        <v>64833</v>
      </c>
      <c r="U66" s="240">
        <f>SUMIFS('Budget - 2026'!$BN$5:$BN$56,'Budget - 2026'!$B$5:$B$56,'AVA WP - Overview'!D66)</f>
        <v>69538.5</v>
      </c>
    </row>
    <row r="67" spans="4:21" s="108" customFormat="1" ht="22.15" customHeight="1">
      <c r="D67" s="193" t="s">
        <v>192</v>
      </c>
      <c r="E67" s="194"/>
      <c r="F67" s="239">
        <f>SUMIFS('Actual - 2026'!$AI$5:$AI$56,'Actual - 2026'!$A$5:$A$56,'AVA WP - Overview'!D67)</f>
        <v>0</v>
      </c>
      <c r="G67" s="233">
        <f>SUMIFS('Budget - 2026'!$BE$5:$BE$56,'Budget - 2026'!$B$5:$B$56,'AVA WP - Overview'!D67)</f>
        <v>322225.81253068382</v>
      </c>
      <c r="H67" s="247">
        <f t="shared" si="3"/>
        <v>-1</v>
      </c>
      <c r="I67" s="194"/>
      <c r="J67" s="239">
        <f>SUMIFS('Budget - 2026'!$BQ$5:$BQ$56,'Budget - 2026'!$B$5:$B$56,'AVA WP - Overview'!D67)</f>
        <v>266012.41000000003</v>
      </c>
      <c r="K67" s="251">
        <f t="shared" si="1"/>
        <v>-1</v>
      </c>
      <c r="L67" s="194"/>
      <c r="M67" s="239">
        <f>SUMIFS('Actual - 2026'!$AC$5:$AC$56,'Actual - 2026'!$A$5:$A$56,'AVA WP - Overview'!D67)</f>
        <v>0</v>
      </c>
      <c r="N67" s="233">
        <f>SUMIFS('Budget - 2026'!$AY$5:$AY$56,'Budget - 2026'!$B$5:$B$56,'AVA WP - Overview'!D67)</f>
        <v>23434.812530683812</v>
      </c>
      <c r="O67" s="240">
        <f>SUMIFS('Budget - 2026'!$BK$5:$BK$56,'Budget - 2026'!$B$5:$B$56,'AVA WP - Overview'!D67)</f>
        <v>20067</v>
      </c>
      <c r="P67" s="239">
        <f>SUMIFS('Actual - 2026'!$Z$5:$Z$56,'Actual - 2026'!$A$5:$A$56,'AVA WP - Overview'!D67)</f>
        <v>0</v>
      </c>
      <c r="Q67" s="233">
        <f>SUMIFS('Budget - 2026'!$AV$5:$AV$56,'Budget - 2026'!$B$5:$B$56,'AVA WP - Overview'!D67)</f>
        <v>255661</v>
      </c>
      <c r="R67" s="240">
        <f>SUMIFS('Budget - 2026'!$BH$5:$BH$56,'Budget - 2026'!$B$5:$B$56,'AVA WP - Overview'!D67)</f>
        <v>204262.16</v>
      </c>
      <c r="S67" s="239">
        <f>SUMIFS('Actual - 2026'!$AF$5:$AF$56,'Actual - 2026'!$A$5:$A$56,'AVA WP - Overview'!D67)</f>
        <v>0</v>
      </c>
      <c r="T67" s="233">
        <f>SUMIFS('Budget - 2026'!$BB$5:$BB$56,'Budget - 2026'!$B$5:$B$56,'AVA WP - Overview'!D67)</f>
        <v>43130</v>
      </c>
      <c r="U67" s="240">
        <f>SUMIFS('Budget - 2026'!$BN$5:$BN$56,'Budget - 2026'!$B$5:$B$56,'AVA WP - Overview'!D67)</f>
        <v>41683.25</v>
      </c>
    </row>
    <row r="68" spans="4:21" s="108" customFormat="1" ht="22.15" customHeight="1">
      <c r="D68" s="193" t="s">
        <v>193</v>
      </c>
      <c r="E68" s="194"/>
      <c r="F68" s="239">
        <f>SUMIFS('Actual - 2026'!$AI$5:$AI$56,'Actual - 2026'!$A$5:$A$56,'AVA WP - Overview'!D68)</f>
        <v>0</v>
      </c>
      <c r="G68" s="233">
        <f>SUMIFS('Budget - 2026'!$BE$5:$BE$56,'Budget - 2026'!$B$5:$B$56,'AVA WP - Overview'!D68)</f>
        <v>50540</v>
      </c>
      <c r="H68" s="247">
        <f t="shared" si="3"/>
        <v>-1</v>
      </c>
      <c r="I68" s="194"/>
      <c r="J68" s="239">
        <f>SUMIFS('Budget - 2026'!$BQ$5:$BQ$56,'Budget - 2026'!$B$5:$B$56,'AVA WP - Overview'!D68)</f>
        <v>315032</v>
      </c>
      <c r="K68" s="251">
        <f t="shared" si="1"/>
        <v>-1</v>
      </c>
      <c r="L68" s="194"/>
      <c r="M68" s="239">
        <f>SUMIFS('Actual - 2026'!$AC$5:$AC$56,'Actual - 2026'!$A$5:$A$56,'AVA WP - Overview'!D68)</f>
        <v>0</v>
      </c>
      <c r="N68" s="233">
        <f>SUMIFS('Budget - 2026'!$AY$5:$AY$56,'Budget - 2026'!$B$5:$B$56,'AVA WP - Overview'!D68)</f>
        <v>0</v>
      </c>
      <c r="O68" s="240">
        <f>SUMIFS('Budget - 2026'!$BK$5:$BK$56,'Budget - 2026'!$B$5:$B$56,'AVA WP - Overview'!D68)</f>
        <v>26382</v>
      </c>
      <c r="P68" s="239">
        <f>SUMIFS('Actual - 2026'!$Z$5:$Z$56,'Actual - 2026'!$A$5:$A$56,'AVA WP - Overview'!D68)</f>
        <v>0</v>
      </c>
      <c r="Q68" s="233">
        <f>SUMIFS('Budget - 2026'!$AV$5:$AV$56,'Budget - 2026'!$B$5:$B$56,'AVA WP - Overview'!D68)</f>
        <v>0</v>
      </c>
      <c r="R68" s="240">
        <f>SUMIFS('Budget - 2026'!$BH$5:$BH$56,'Budget - 2026'!$B$5:$B$56,'AVA WP - Overview'!D68)</f>
        <v>254018.8</v>
      </c>
      <c r="S68" s="239">
        <f>SUMIFS('Actual - 2026'!$AF$5:$AF$56,'Actual - 2026'!$A$5:$A$56,'AVA WP - Overview'!D68)</f>
        <v>0</v>
      </c>
      <c r="T68" s="233">
        <f>SUMIFS('Budget - 2026'!$BB$5:$BB$56,'Budget - 2026'!$B$5:$B$56,'AVA WP - Overview'!D68)</f>
        <v>50540</v>
      </c>
      <c r="U68" s="240">
        <f>SUMIFS('Budget - 2026'!$BN$5:$BN$56,'Budget - 2026'!$B$5:$B$56,'AVA WP - Overview'!D68)</f>
        <v>34631.200000000004</v>
      </c>
    </row>
    <row r="69" spans="4:21" s="108" customFormat="1" ht="22.15" customHeight="1" thickBot="1">
      <c r="D69" s="227" t="s">
        <v>263</v>
      </c>
      <c r="E69" s="194"/>
      <c r="F69" s="243">
        <f>SUM(F64:F68)</f>
        <v>0</v>
      </c>
      <c r="G69" s="244">
        <f>SUM(G64:G68)</f>
        <v>1192495.8201987143</v>
      </c>
      <c r="H69" s="249">
        <f t="shared" si="3"/>
        <v>-1</v>
      </c>
      <c r="I69" s="194"/>
      <c r="J69" s="243">
        <f>SUM(J64:J68)</f>
        <v>1335278.6600000001</v>
      </c>
      <c r="K69" s="249">
        <f>IFERROR((F69-J69)/J69,0)</f>
        <v>-1</v>
      </c>
      <c r="L69" s="194"/>
      <c r="M69" s="243">
        <f t="shared" ref="M69:U69" si="14">SUM(M64:M68)</f>
        <v>0</v>
      </c>
      <c r="N69" s="244">
        <f t="shared" si="14"/>
        <v>79528.820198714209</v>
      </c>
      <c r="O69" s="245">
        <f t="shared" si="14"/>
        <v>114725</v>
      </c>
      <c r="P69" s="243">
        <f t="shared" si="14"/>
        <v>0</v>
      </c>
      <c r="Q69" s="244">
        <f t="shared" si="14"/>
        <v>873714</v>
      </c>
      <c r="R69" s="245">
        <f t="shared" si="14"/>
        <v>1007870.2</v>
      </c>
      <c r="S69" s="243">
        <f t="shared" si="14"/>
        <v>0</v>
      </c>
      <c r="T69" s="244">
        <f t="shared" si="14"/>
        <v>239253</v>
      </c>
      <c r="U69" s="245">
        <f t="shared" si="14"/>
        <v>212683.46000000002</v>
      </c>
    </row>
    <row r="70" spans="4:21" ht="22.15" customHeight="1"/>
  </sheetData>
  <mergeCells count="5">
    <mergeCell ref="F4:K4"/>
    <mergeCell ref="M4:O4"/>
    <mergeCell ref="P4:R4"/>
    <mergeCell ref="S4:U4"/>
    <mergeCell ref="D2:U2"/>
  </mergeCells>
  <conditionalFormatting sqref="H1:H1048576 K1:K1048576">
    <cfRule type="cellIs" dxfId="242" priority="1" operator="lessThan">
      <formula>0.01</formula>
    </cfRule>
  </conditionalFormatting>
  <pageMargins left="0.7" right="0.7" top="0.75" bottom="0.75" header="0.3" footer="0.3"/>
  <pageSetup scale="37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78F277-15FB-48E9-8254-0FC160ABE55C}">
          <x14:formula1>
            <xm:f>'Budget - 2026'!$B$5:$B$56</xm:f>
          </x14:formula1>
          <xm:sqref>D1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C681-5EE5-4297-AA03-E0D11E711840}">
  <sheetPr>
    <tabColor theme="2" tint="-9.9978637043366805E-2"/>
    <pageSetUpPr fitToPage="1"/>
  </sheetPr>
  <dimension ref="B1:U70"/>
  <sheetViews>
    <sheetView workbookViewId="0">
      <selection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/>
    <col min="9" max="9" width="1.5703125" style="5" customWidth="1"/>
    <col min="10" max="11" width="14.5703125" style="5" customWidth="1"/>
    <col min="12" max="12" width="1.5703125" style="5" customWidth="1"/>
    <col min="13" max="18" width="14.7109375" style="5" customWidth="1"/>
    <col min="19" max="19" width="13.28515625" style="5" bestFit="1" customWidth="1"/>
    <col min="20" max="16384" width="10.7109375" style="5"/>
  </cols>
  <sheetData>
    <row r="1" spans="4:20" ht="18.75">
      <c r="D1" s="118" t="str">
        <f>'MILA 3F - Overview'!D1</f>
        <v>Week 34</v>
      </c>
      <c r="F1" s="5">
        <f>VLOOKUP(D1,Dates!$B$2:$E$53,4,FALSE)</f>
        <v>34</v>
      </c>
      <c r="G1" s="5" t="b">
        <v>1</v>
      </c>
    </row>
    <row r="2" spans="4:20" ht="28.5">
      <c r="D2" s="399" t="str">
        <f>CONCATENATE("CASA NEOS",)</f>
        <v>CASA NEOS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</row>
    <row r="4" spans="4:20">
      <c r="F4" s="431" t="s">
        <v>249</v>
      </c>
      <c r="G4" s="431"/>
      <c r="H4" s="431"/>
      <c r="I4" s="431"/>
      <c r="J4" s="431"/>
      <c r="K4" s="431"/>
      <c r="M4" s="432" t="s">
        <v>240</v>
      </c>
      <c r="N4" s="433"/>
      <c r="O4" s="433"/>
      <c r="P4" s="432" t="s">
        <v>241</v>
      </c>
      <c r="Q4" s="433"/>
      <c r="R4" s="433"/>
    </row>
    <row r="5" spans="4:20" ht="27" customHeight="1" thickBot="1">
      <c r="D5" s="229" t="s">
        <v>250</v>
      </c>
      <c r="E5" s="230"/>
      <c r="F5" s="234">
        <v>2026</v>
      </c>
      <c r="G5" s="235" t="s">
        <v>15</v>
      </c>
      <c r="H5" s="234" t="s">
        <v>251</v>
      </c>
      <c r="I5" s="230"/>
      <c r="J5" s="234">
        <v>2025</v>
      </c>
      <c r="K5" s="234" t="s">
        <v>251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</row>
    <row r="6" spans="4:20" s="108" customFormat="1" ht="22.15" customHeight="1">
      <c r="D6" s="193" t="s">
        <v>122</v>
      </c>
      <c r="E6" s="194"/>
      <c r="F6" s="236">
        <f>SUMIFS('Actual - 2026'!$AR$5:$AR$56,'Actual - 2026'!$A$5:$A$56,'CASA NEOS Overview '!D6)</f>
        <v>1637398.33</v>
      </c>
      <c r="G6" s="237">
        <f>SUMIFS('Budget - 2026'!$BZ$5:$BZ$56,'Budget - 2026'!$B$5:$B$56,'CASA NEOS Overview '!D6)</f>
        <v>1410605</v>
      </c>
      <c r="H6" s="246">
        <f>(F6-G6)/G6</f>
        <v>0.16077734730842444</v>
      </c>
      <c r="I6" s="194"/>
      <c r="J6" s="236">
        <f>SUMIFS('Budget - 2026'!$CI$5:$CI$56,'Budget - 2026'!$B$5:$B$56,'CASA NEOS Overview '!D6)</f>
        <v>829763.99999999988</v>
      </c>
      <c r="K6" s="250">
        <f>IFERROR((F6-J6)/J6,0)</f>
        <v>0.97333016375740611</v>
      </c>
      <c r="L6" s="194"/>
      <c r="M6" s="236">
        <f>SUMIFS('Actual - 2026'!$AO$5:$AO$56,'Actual - 2026'!$A$5:$A$56,'MILA 2F - Overview'!D6)</f>
        <v>1488899.83</v>
      </c>
      <c r="N6" s="237">
        <f>SUMIFS('Budget - 2026'!$BW$5:$BW$56,'Budget - 2026'!$B$5:$B$56,'MILA 2F - Overview'!D6)</f>
        <v>1020605</v>
      </c>
      <c r="O6" s="238">
        <f>SUMIFS('Budget - 2026'!$CF$5:$CF$56,'Budget - 2026'!$B$5:$B$56,'MILA 2F - Overview'!D6)</f>
        <v>759668.99999999988</v>
      </c>
      <c r="P6" s="236">
        <f>SUMIFS('Actual - 2026'!$AL$5:$AL$56,'Actual - 2026'!$A$5:$A$56,'MILA 2F - Overview'!D6)</f>
        <v>148498.5</v>
      </c>
      <c r="Q6" s="237">
        <f>SUMIFS('Budget - 2026'!$BT$5:$BT$56,'Budget - 2026'!$B$5:$B$56,'MILA 2F - Overview'!D6)</f>
        <v>390000</v>
      </c>
      <c r="R6" s="238">
        <f>SUMIFS('Budget - 2026'!$CC$5:$CC$56,'Budget - 2026'!$B$5:$B$56,'MILA 2F - Overview'!D6)</f>
        <v>70095</v>
      </c>
    </row>
    <row r="7" spans="4:20" s="108" customFormat="1" ht="22.15" customHeight="1">
      <c r="D7" s="193" t="s">
        <v>123</v>
      </c>
      <c r="E7" s="194"/>
      <c r="F7" s="239">
        <f>SUMIFS('Actual - 2026'!$AR$5:$AR$56,'Actual - 2026'!$A$5:$A$56,'CASA NEOS Overview '!D7)</f>
        <v>677561.07</v>
      </c>
      <c r="G7" s="233">
        <f>SUMIFS('Budget - 2026'!$BZ$5:$BZ$56,'Budget - 2026'!$B$5:$B$56,'CASA NEOS Overview '!D7)</f>
        <v>668824.33369704336</v>
      </c>
      <c r="H7" s="247">
        <f t="shared" ref="H7:H69" si="0">(F7-G7)/G7</f>
        <v>1.3062826608988273E-2</v>
      </c>
      <c r="I7" s="194"/>
      <c r="J7" s="239">
        <f>SUMIFS('Budget - 2026'!$CI$5:$CI$56,'Budget - 2026'!$B$5:$B$56,'CASA NEOS Overview '!D7)</f>
        <v>364335</v>
      </c>
      <c r="K7" s="251">
        <f t="shared" ref="K7:K35" si="1">IFERROR((F7-J7)/J7,0)</f>
        <v>0.85971995553542746</v>
      </c>
      <c r="L7" s="194"/>
      <c r="M7" s="239">
        <f>SUMIFS('Actual - 2026'!$AO$5:$AO$56,'Actual - 2026'!$A$5:$A$56,'MILA 2F - Overview'!D7)</f>
        <v>519413.20999999996</v>
      </c>
      <c r="N7" s="233">
        <f>SUMIFS('Budget - 2026'!$BW$5:$BW$56,'Budget - 2026'!$B$5:$B$56,'MILA 2F - Overview'!D7)</f>
        <v>456000</v>
      </c>
      <c r="O7" s="240">
        <f>SUMIFS('Budget - 2026'!$CF$5:$CF$56,'Budget - 2026'!$B$5:$B$56,'MILA 2F - Overview'!D7)</f>
        <v>294063</v>
      </c>
      <c r="P7" s="239">
        <f>SUMIFS('Actual - 2026'!$AL$5:$AL$56,'Actual - 2026'!$A$5:$A$56,'MILA 2F - Overview'!D7)</f>
        <v>158147.85999999999</v>
      </c>
      <c r="Q7" s="233">
        <f>SUMIFS('Budget - 2026'!$BT$5:$BT$56,'Budget - 2026'!$B$5:$B$56,'MILA 2F - Overview'!D7)</f>
        <v>212824.33369704336</v>
      </c>
      <c r="R7" s="240">
        <f>SUMIFS('Budget - 2026'!$CC$5:$CC$56,'Budget - 2026'!$B$5:$B$56,'MILA 2F - Overview'!D7)</f>
        <v>70272</v>
      </c>
    </row>
    <row r="8" spans="4:20" s="108" customFormat="1" ht="22.15" customHeight="1">
      <c r="D8" s="193" t="s">
        <v>124</v>
      </c>
      <c r="E8" s="194"/>
      <c r="F8" s="239">
        <f>SUMIFS('Actual - 2026'!$AR$5:$AR$56,'Actual - 2026'!$A$5:$A$56,'CASA NEOS Overview '!D8)</f>
        <v>745572.32</v>
      </c>
      <c r="G8" s="233">
        <f>SUMIFS('Budget - 2026'!$BZ$5:$BZ$56,'Budget - 2026'!$B$5:$B$56,'CASA NEOS Overview '!D8)</f>
        <v>697704.33369704336</v>
      </c>
      <c r="H8" s="247">
        <f t="shared" si="0"/>
        <v>6.8607838580148184E-2</v>
      </c>
      <c r="I8" s="194"/>
      <c r="J8" s="239">
        <f>SUMIFS('Budget - 2026'!$CI$5:$CI$56,'Budget - 2026'!$B$5:$B$56,'CASA NEOS Overview '!D8)</f>
        <v>495722</v>
      </c>
      <c r="K8" s="251">
        <f t="shared" si="1"/>
        <v>0.5040129750142216</v>
      </c>
      <c r="L8" s="194"/>
      <c r="M8" s="239">
        <f>SUMIFS('Actual - 2026'!$AO$5:$AO$56,'Actual - 2026'!$A$5:$A$56,'MILA 2F - Overview'!D8)</f>
        <v>552744.97</v>
      </c>
      <c r="N8" s="233">
        <f>SUMIFS('Budget - 2026'!$BW$5:$BW$56,'Budget - 2026'!$B$5:$B$56,'MILA 2F - Overview'!D8)</f>
        <v>484880</v>
      </c>
      <c r="O8" s="240">
        <f>SUMIFS('Budget - 2026'!$CF$5:$CF$56,'Budget - 2026'!$B$5:$B$56,'MILA 2F - Overview'!D8)</f>
        <v>395929</v>
      </c>
      <c r="P8" s="239">
        <f>SUMIFS('Actual - 2026'!$AL$5:$AL$56,'Actual - 2026'!$A$5:$A$56,'MILA 2F - Overview'!D8)</f>
        <v>192827.35</v>
      </c>
      <c r="Q8" s="233">
        <f>SUMIFS('Budget - 2026'!$BT$5:$BT$56,'Budget - 2026'!$B$5:$B$56,'MILA 2F - Overview'!D8)</f>
        <v>212824.33369704336</v>
      </c>
      <c r="R8" s="240">
        <f>SUMIFS('Budget - 2026'!$CC$5:$CC$56,'Budget - 2026'!$B$5:$B$56,'MILA 2F - Overview'!D8)</f>
        <v>99793</v>
      </c>
      <c r="T8" s="108">
        <f>SUM(S7:T7)</f>
        <v>0</v>
      </c>
    </row>
    <row r="9" spans="4:20" s="108" customFormat="1" ht="22.15" customHeight="1">
      <c r="D9" s="193" t="s">
        <v>125</v>
      </c>
      <c r="E9" s="194"/>
      <c r="F9" s="239">
        <f>SUMIFS('Actual - 2026'!$AR$5:$AR$56,'Actual - 2026'!$A$5:$A$56,'CASA NEOS Overview '!D9)</f>
        <v>721535.12</v>
      </c>
      <c r="G9" s="233">
        <f>SUMIFS('Budget - 2026'!$BZ$5:$BZ$56,'Budget - 2026'!$B$5:$B$56,'CASA NEOS Overview '!D9)</f>
        <v>597156.51440008078</v>
      </c>
      <c r="H9" s="247">
        <f t="shared" si="0"/>
        <v>0.20828476722701963</v>
      </c>
      <c r="I9" s="194"/>
      <c r="J9" s="239">
        <f>SUMIFS('Budget - 2026'!$CI$5:$CI$56,'Budget - 2026'!$B$5:$B$56,'CASA NEOS Overview '!D9)</f>
        <v>528390</v>
      </c>
      <c r="K9" s="251">
        <f t="shared" si="1"/>
        <v>0.36553515395825054</v>
      </c>
      <c r="L9" s="194"/>
      <c r="M9" s="239">
        <f>SUMIFS('Actual - 2026'!$AO$5:$AO$56,'Actual - 2026'!$A$5:$A$56,'MILA 2F - Overview'!D9)</f>
        <v>579486.71999999997</v>
      </c>
      <c r="N9" s="233">
        <f>SUMIFS('Budget - 2026'!$BW$5:$BW$56,'Budget - 2026'!$B$5:$B$56,'MILA 2F - Overview'!D9)</f>
        <v>466042</v>
      </c>
      <c r="O9" s="240">
        <f>SUMIFS('Budget - 2026'!$CF$5:$CF$56,'Budget - 2026'!$B$5:$B$56,'MILA 2F - Overview'!D9)</f>
        <v>436042</v>
      </c>
      <c r="P9" s="239">
        <f>SUMIFS('Actual - 2026'!$AL$5:$AL$56,'Actual - 2026'!$A$5:$A$56,'MILA 2F - Overview'!D9)</f>
        <v>142048.4</v>
      </c>
      <c r="Q9" s="233">
        <f>SUMIFS('Budget - 2026'!$BT$5:$BT$56,'Budget - 2026'!$B$5:$B$56,'MILA 2F - Overview'!D9)</f>
        <v>131114.51440008084</v>
      </c>
      <c r="R9" s="240">
        <f>SUMIFS('Budget - 2026'!$CC$5:$CC$56,'Budget - 2026'!$B$5:$B$56,'MILA 2F - Overview'!D9)</f>
        <v>92348</v>
      </c>
    </row>
    <row r="10" spans="4:20" s="108" customFormat="1" ht="22.15" customHeight="1">
      <c r="D10" s="227" t="s">
        <v>252</v>
      </c>
      <c r="E10" s="194"/>
      <c r="F10" s="241">
        <f>SUM(F6:F9)</f>
        <v>3782066.84</v>
      </c>
      <c r="G10" s="228">
        <f>SUM(G6:G9)</f>
        <v>3374290.1817941675</v>
      </c>
      <c r="H10" s="248">
        <f t="shared" si="0"/>
        <v>0.12084812989883714</v>
      </c>
      <c r="I10" s="194"/>
      <c r="J10" s="241">
        <f>SUM(J6:J9)</f>
        <v>2218211</v>
      </c>
      <c r="K10" s="248">
        <f>IFERROR((F10-J10)/J10,0)</f>
        <v>0.70500770215277075</v>
      </c>
      <c r="L10" s="194"/>
      <c r="M10" s="241">
        <f t="shared" ref="M10:R10" si="2">SUM(M6:M9)</f>
        <v>3140544.7299999995</v>
      </c>
      <c r="N10" s="228">
        <f t="shared" si="2"/>
        <v>2427527</v>
      </c>
      <c r="O10" s="242">
        <f t="shared" si="2"/>
        <v>1885703</v>
      </c>
      <c r="P10" s="241">
        <f t="shared" si="2"/>
        <v>641522.11</v>
      </c>
      <c r="Q10" s="228">
        <f t="shared" si="2"/>
        <v>946763.1817941675</v>
      </c>
      <c r="R10" s="242">
        <f t="shared" si="2"/>
        <v>332508</v>
      </c>
    </row>
    <row r="11" spans="4:20" s="108" customFormat="1" ht="22.15" customHeight="1">
      <c r="D11" s="193" t="s">
        <v>128</v>
      </c>
      <c r="E11" s="194"/>
      <c r="F11" s="239">
        <f>SUMIFS('Actual - 2026'!$AR$5:$AR$56,'Actual - 2026'!$A$5:$A$56,'CASA NEOS Overview '!D11)</f>
        <v>692521.17999999993</v>
      </c>
      <c r="G11" s="233">
        <f>SUMIFS('Budget - 2026'!$BZ$5:$BZ$56,'Budget - 2026'!$B$5:$B$56,'CASA NEOS Overview '!D11)</f>
        <v>603855.27531636087</v>
      </c>
      <c r="H11" s="247">
        <f t="shared" si="0"/>
        <v>0.14683303815999096</v>
      </c>
      <c r="I11" s="194"/>
      <c r="J11" s="239">
        <f>SUMIFS('Budget - 2026'!$CI$5:$CI$56,'Budget - 2026'!$B$5:$B$56,'CASA NEOS Overview '!D11)</f>
        <v>522017</v>
      </c>
      <c r="K11" s="251">
        <f t="shared" si="1"/>
        <v>0.32662572291706965</v>
      </c>
      <c r="L11" s="194"/>
      <c r="M11" s="239">
        <f>SUMIFS('Actual - 2026'!$AO$5:$AO$56,'Actual - 2026'!$A$5:$A$56,'MILA 2F - Overview'!D11)</f>
        <v>553293.71</v>
      </c>
      <c r="N11" s="233">
        <f>SUMIFS('Budget - 2026'!$BW$5:$BW$56,'Budget - 2026'!$B$5:$B$56,'MILA 2F - Overview'!D11)</f>
        <v>420869.79402806668</v>
      </c>
      <c r="O11" s="240">
        <f>SUMIFS('Budget - 2026'!$CF$5:$CF$56,'Budget - 2026'!$B$5:$B$56,'MILA 2F - Overview'!D11)</f>
        <v>382895</v>
      </c>
      <c r="P11" s="239">
        <f>SUMIFS('Actual - 2026'!$AL$5:$AL$56,'Actual - 2026'!$A$5:$A$56,'MILA 2F - Overview'!D11)</f>
        <v>139227.47</v>
      </c>
      <c r="Q11" s="233">
        <f>SUMIFS('Budget - 2026'!$BT$5:$BT$56,'Budget - 2026'!$B$5:$B$56,'MILA 2F - Overview'!D11)</f>
        <v>182985.48128829419</v>
      </c>
      <c r="R11" s="240">
        <f>SUMIFS('Budget - 2026'!$CC$5:$CC$56,'Budget - 2026'!$B$5:$B$56,'MILA 2F - Overview'!D11)</f>
        <v>139122</v>
      </c>
    </row>
    <row r="12" spans="4:20" s="108" customFormat="1" ht="22.15" customHeight="1">
      <c r="D12" s="193" t="s">
        <v>129</v>
      </c>
      <c r="E12" s="194"/>
      <c r="F12" s="239">
        <f>SUMIFS('Actual - 2026'!$AR$5:$AR$56,'Actual - 2026'!$A$5:$A$56,'CASA NEOS Overview '!D12)</f>
        <v>605208.06999999995</v>
      </c>
      <c r="G12" s="233">
        <f>SUMIFS('Budget - 2026'!$BZ$5:$BZ$56,'Budget - 2026'!$B$5:$B$56,'CASA NEOS Overview '!D12)</f>
        <v>608752.24051554757</v>
      </c>
      <c r="H12" s="247">
        <f t="shared" si="0"/>
        <v>-5.8220245933650978E-3</v>
      </c>
      <c r="I12" s="194"/>
      <c r="J12" s="239">
        <f>SUMIFS('Budget - 2026'!$CI$5:$CI$56,'Budget - 2026'!$B$5:$B$56,'CASA NEOS Overview '!D12)</f>
        <v>576399</v>
      </c>
      <c r="K12" s="251">
        <f t="shared" si="1"/>
        <v>4.9981124186544303E-2</v>
      </c>
      <c r="L12" s="194"/>
      <c r="M12" s="239">
        <f>SUMIFS('Actual - 2026'!$AO$5:$AO$56,'Actual - 2026'!$A$5:$A$56,'MILA 2F - Overview'!D12)</f>
        <v>481810.81999999995</v>
      </c>
      <c r="N12" s="233">
        <f>SUMIFS('Budget - 2026'!$BW$5:$BW$56,'Budget - 2026'!$B$5:$B$56,'MILA 2F - Overview'!D12)</f>
        <v>440478.25939811737</v>
      </c>
      <c r="O12" s="240">
        <f>SUMIFS('Budget - 2026'!$CF$5:$CF$56,'Budget - 2026'!$B$5:$B$56,'MILA 2F - Overview'!D12)</f>
        <v>433344</v>
      </c>
      <c r="P12" s="239">
        <f>SUMIFS('Actual - 2026'!$AL$5:$AL$56,'Actual - 2026'!$A$5:$A$56,'MILA 2F - Overview'!D12)</f>
        <v>123397.25</v>
      </c>
      <c r="Q12" s="233">
        <f>SUMIFS('Budget - 2026'!$BT$5:$BT$56,'Budget - 2026'!$B$5:$B$56,'MILA 2F - Overview'!D12)</f>
        <v>168273.98111743017</v>
      </c>
      <c r="R12" s="240">
        <f>SUMIFS('Budget - 2026'!$CC$5:$CC$56,'Budget - 2026'!$B$5:$B$56,'MILA 2F - Overview'!D12)</f>
        <v>143055</v>
      </c>
    </row>
    <row r="13" spans="4:20" s="108" customFormat="1" ht="22.15" customHeight="1">
      <c r="D13" s="193" t="s">
        <v>130</v>
      </c>
      <c r="E13" s="194"/>
      <c r="F13" s="239">
        <f>SUMIFS('Actual - 2026'!$AR$5:$AR$56,'Actual - 2026'!$A$5:$A$56,'CASA NEOS Overview '!D13)</f>
        <v>795387.63000000012</v>
      </c>
      <c r="G13" s="233">
        <f>SUMIFS('Budget - 2026'!$BZ$5:$BZ$56,'Budget - 2026'!$B$5:$B$56,'CASA NEOS Overview '!D13)</f>
        <v>698019.43071090861</v>
      </c>
      <c r="H13" s="247">
        <f t="shared" si="0"/>
        <v>0.13949210438157197</v>
      </c>
      <c r="I13" s="194"/>
      <c r="J13" s="239">
        <f>SUMIFS('Budget - 2026'!$CI$5:$CI$56,'Budget - 2026'!$B$5:$B$56,'CASA NEOS Overview '!D13)</f>
        <v>764454</v>
      </c>
      <c r="K13" s="251">
        <f t="shared" si="1"/>
        <v>4.0464998547983425E-2</v>
      </c>
      <c r="L13" s="194"/>
      <c r="M13" s="239">
        <f>SUMIFS('Actual - 2026'!$AO$5:$AO$56,'Actual - 2026'!$A$5:$A$56,'MILA 2F - Overview'!D13)</f>
        <v>607277.58000000007</v>
      </c>
      <c r="N13" s="233">
        <f>SUMIFS('Budget - 2026'!$BW$5:$BW$56,'Budget - 2026'!$B$5:$B$56,'MILA 2F - Overview'!D13)</f>
        <v>497949.77098322526</v>
      </c>
      <c r="O13" s="240">
        <f>SUMIFS('Budget - 2026'!$CF$5:$CF$56,'Budget - 2026'!$B$5:$B$56,'MILA 2F - Overview'!D13)</f>
        <v>568593</v>
      </c>
      <c r="P13" s="239">
        <f>SUMIFS('Actual - 2026'!$AL$5:$AL$56,'Actual - 2026'!$A$5:$A$56,'MILA 2F - Overview'!D13)</f>
        <v>188110.05</v>
      </c>
      <c r="Q13" s="233">
        <f>SUMIFS('Budget - 2026'!$BT$5:$BT$56,'Budget - 2026'!$B$5:$B$56,'MILA 2F - Overview'!D13)</f>
        <v>200069.65972768338</v>
      </c>
      <c r="R13" s="240">
        <f>SUMIFS('Budget - 2026'!$CC$5:$CC$56,'Budget - 2026'!$B$5:$B$56,'MILA 2F - Overview'!D13)</f>
        <v>195861</v>
      </c>
    </row>
    <row r="14" spans="4:20" s="108" customFormat="1" ht="22.15" customHeight="1">
      <c r="D14" s="193" t="s">
        <v>131</v>
      </c>
      <c r="E14" s="194"/>
      <c r="F14" s="239">
        <f>SUMIFS('Actual - 2026'!$AR$5:$AR$56,'Actual - 2026'!$A$5:$A$56,'CASA NEOS Overview '!D14)</f>
        <v>781318.1</v>
      </c>
      <c r="G14" s="233">
        <f>SUMIFS('Budget - 2026'!$BZ$5:$BZ$56,'Budget - 2026'!$B$5:$B$56,'CASA NEOS Overview '!D14)</f>
        <v>650635.42021544941</v>
      </c>
      <c r="H14" s="247">
        <f t="shared" si="0"/>
        <v>0.20085392790524179</v>
      </c>
      <c r="I14" s="194"/>
      <c r="J14" s="239">
        <f>SUMIFS('Budget - 2026'!$CI$5:$CI$56,'Budget - 2026'!$B$5:$B$56,'CASA NEOS Overview '!D14)</f>
        <v>623564</v>
      </c>
      <c r="K14" s="251">
        <f t="shared" si="1"/>
        <v>0.25298782482632093</v>
      </c>
      <c r="L14" s="194"/>
      <c r="M14" s="239">
        <f>SUMIFS('Actual - 2026'!$AO$5:$AO$56,'Actual - 2026'!$A$5:$A$56,'MILA 2F - Overview'!D14)</f>
        <v>596707.85</v>
      </c>
      <c r="N14" s="233">
        <f>SUMIFS('Budget - 2026'!$BW$5:$BW$56,'Budget - 2026'!$B$5:$B$56,'MILA 2F - Overview'!D14)</f>
        <v>467171.38284986163</v>
      </c>
      <c r="O14" s="240">
        <f>SUMIFS('Budget - 2026'!$CF$5:$CF$56,'Budget - 2026'!$B$5:$B$56,'MILA 2F - Overview'!D14)</f>
        <v>445465</v>
      </c>
      <c r="P14" s="239">
        <f>SUMIFS('Actual - 2026'!$AL$5:$AL$56,'Actual - 2026'!$A$5:$A$56,'MILA 2F - Overview'!D14)</f>
        <v>184610.25</v>
      </c>
      <c r="Q14" s="233">
        <f>SUMIFS('Budget - 2026'!$BT$5:$BT$56,'Budget - 2026'!$B$5:$B$56,'MILA 2F - Overview'!D14)</f>
        <v>183464.03736558775</v>
      </c>
      <c r="R14" s="240">
        <f>SUMIFS('Budget - 2026'!$CC$5:$CC$56,'Budget - 2026'!$B$5:$B$56,'MILA 2F - Overview'!D14)</f>
        <v>178099</v>
      </c>
    </row>
    <row r="15" spans="4:20" s="108" customFormat="1" ht="22.15" customHeight="1">
      <c r="D15" s="227" t="s">
        <v>253</v>
      </c>
      <c r="E15" s="194"/>
      <c r="F15" s="241">
        <f>SUM(F11:F14)</f>
        <v>2874434.98</v>
      </c>
      <c r="G15" s="228">
        <f>SUM(G11:G14)</f>
        <v>2561262.3667582665</v>
      </c>
      <c r="H15" s="248">
        <f t="shared" si="0"/>
        <v>0.12227275788153996</v>
      </c>
      <c r="I15" s="194"/>
      <c r="J15" s="241">
        <f>SUM(J11:J14)</f>
        <v>2486434</v>
      </c>
      <c r="K15" s="248">
        <f>IFERROR((F15-J15)/J15,0)</f>
        <v>0.15604716634344606</v>
      </c>
      <c r="L15" s="194"/>
      <c r="M15" s="241">
        <f t="shared" ref="M15:R15" si="3">SUM(M11:M14)</f>
        <v>2239089.96</v>
      </c>
      <c r="N15" s="228">
        <f t="shared" si="3"/>
        <v>1826469.2072592708</v>
      </c>
      <c r="O15" s="242">
        <f t="shared" si="3"/>
        <v>1830297</v>
      </c>
      <c r="P15" s="241">
        <f t="shared" si="3"/>
        <v>635345.02</v>
      </c>
      <c r="Q15" s="228">
        <f t="shared" si="3"/>
        <v>734793.15949899552</v>
      </c>
      <c r="R15" s="242">
        <f t="shared" si="3"/>
        <v>656137</v>
      </c>
    </row>
    <row r="16" spans="4:20" s="108" customFormat="1" ht="22.15" customHeight="1">
      <c r="D16" s="193" t="s">
        <v>134</v>
      </c>
      <c r="E16" s="194"/>
      <c r="F16" s="239">
        <f>SUMIFS('Actual - 2026'!$AR$5:$AR$56,'Actual - 2026'!$A$5:$A$56,'CASA NEOS Overview '!D16)</f>
        <v>864358.28</v>
      </c>
      <c r="G16" s="233">
        <f>SUMIFS('Budget - 2026'!$BZ$5:$BZ$56,'Budget - 2026'!$B$5:$B$56,'CASA NEOS Overview '!D16)</f>
        <v>727527.28534129402</v>
      </c>
      <c r="H16" s="247">
        <f t="shared" si="0"/>
        <v>0.18807678751803314</v>
      </c>
      <c r="I16" s="194"/>
      <c r="J16" s="239">
        <f>SUMIFS('Budget - 2026'!$CI$5:$CI$56,'Budget - 2026'!$B$5:$B$56,'CASA NEOS Overview '!D16)</f>
        <v>790381</v>
      </c>
      <c r="K16" s="251">
        <f t="shared" si="1"/>
        <v>9.3596986769671875E-2</v>
      </c>
      <c r="L16" s="194"/>
      <c r="M16" s="239">
        <f>SUMIFS('Actual - 2026'!$AO$5:$AO$56,'Actual - 2026'!$A$5:$A$56,'MILA 2F - Overview'!D16)</f>
        <v>682735.53</v>
      </c>
      <c r="N16" s="233">
        <f>SUMIFS('Budget - 2026'!$BW$5:$BW$56,'Budget - 2026'!$B$5:$B$56,'MILA 2F - Overview'!D16)</f>
        <v>517729.63919745863</v>
      </c>
      <c r="O16" s="240">
        <f>SUMIFS('Budget - 2026'!$CF$5:$CF$56,'Budget - 2026'!$B$5:$B$56,'MILA 2F - Overview'!D16)</f>
        <v>527406</v>
      </c>
      <c r="P16" s="239">
        <f>SUMIFS('Actual - 2026'!$AL$5:$AL$56,'Actual - 2026'!$A$5:$A$56,'MILA 2F - Overview'!D16)</f>
        <v>181622.75</v>
      </c>
      <c r="Q16" s="233">
        <f>SUMIFS('Budget - 2026'!$BT$5:$BT$56,'Budget - 2026'!$B$5:$B$56,'MILA 2F - Overview'!D16)</f>
        <v>209797.64614383536</v>
      </c>
      <c r="R16" s="240">
        <f>SUMIFS('Budget - 2026'!$CC$5:$CC$56,'Budget - 2026'!$B$5:$B$56,'MILA 2F - Overview'!D16)</f>
        <v>262975</v>
      </c>
      <c r="T16" s="108">
        <f>SUM(S14:T14)</f>
        <v>0</v>
      </c>
    </row>
    <row r="17" spans="2:20" s="108" customFormat="1" ht="22.15" customHeight="1">
      <c r="D17" s="193" t="s">
        <v>135</v>
      </c>
      <c r="E17" s="194"/>
      <c r="F17" s="239">
        <f>SUMIFS('Actual - 2026'!$AR$5:$AR$56,'Actual - 2026'!$A$5:$A$56,'CASA NEOS Overview '!D17)</f>
        <v>987253.6</v>
      </c>
      <c r="G17" s="233">
        <f>SUMIFS('Budget - 2026'!$BZ$5:$BZ$56,'Budget - 2026'!$B$5:$B$56,'CASA NEOS Overview '!D17)</f>
        <v>695487.76436792978</v>
      </c>
      <c r="H17" s="247">
        <f t="shared" si="0"/>
        <v>0.41951253577729236</v>
      </c>
      <c r="I17" s="194"/>
      <c r="J17" s="239">
        <f>SUMIFS('Budget - 2026'!$CI$5:$CI$56,'Budget - 2026'!$B$5:$B$56,'CASA NEOS Overview '!D17)</f>
        <v>668656</v>
      </c>
      <c r="K17" s="251">
        <f t="shared" si="1"/>
        <v>0.47647459979421403</v>
      </c>
      <c r="L17" s="194"/>
      <c r="M17" s="239">
        <f>SUMIFS('Actual - 2026'!$AO$5:$AO$56,'Actual - 2026'!$A$5:$A$56,'MILA 2F - Overview'!D17)</f>
        <v>883191</v>
      </c>
      <c r="N17" s="233">
        <f>SUMIFS('Budget - 2026'!$BW$5:$BW$56,'Budget - 2026'!$B$5:$B$56,'MILA 2F - Overview'!D17)</f>
        <v>482745.83537638444</v>
      </c>
      <c r="O17" s="240">
        <f>SUMIFS('Budget - 2026'!$CF$5:$CF$56,'Budget - 2026'!$B$5:$B$56,'MILA 2F - Overview'!D17)</f>
        <v>433224</v>
      </c>
      <c r="P17" s="239">
        <f>SUMIFS('Actual - 2026'!$AL$5:$AL$56,'Actual - 2026'!$A$5:$A$56,'MILA 2F - Overview'!D17)</f>
        <v>104062.6</v>
      </c>
      <c r="Q17" s="233">
        <f>SUMIFS('Budget - 2026'!$BT$5:$BT$56,'Budget - 2026'!$B$5:$B$56,'MILA 2F - Overview'!D17)</f>
        <v>212741.92899154534</v>
      </c>
      <c r="R17" s="240">
        <f>SUMIFS('Budget - 2026'!$CC$5:$CC$56,'Budget - 2026'!$B$5:$B$56,'MILA 2F - Overview'!D17)</f>
        <v>235432</v>
      </c>
    </row>
    <row r="18" spans="2:20" s="108" customFormat="1" ht="22.15" customHeight="1">
      <c r="D18" s="193" t="s">
        <v>136</v>
      </c>
      <c r="E18" s="194"/>
      <c r="F18" s="239">
        <f>SUMIFS('Actual - 2026'!$AR$5:$AR$56,'Actual - 2026'!$A$5:$A$56,'CASA NEOS Overview '!D18)</f>
        <v>693230.65</v>
      </c>
      <c r="G18" s="233">
        <f>SUMIFS('Budget - 2026'!$BZ$5:$BZ$56,'Budget - 2026'!$B$5:$B$56,'CASA NEOS Overview '!D18)</f>
        <v>744720.03329757403</v>
      </c>
      <c r="H18" s="247">
        <f t="shared" si="0"/>
        <v>-6.9139248301918532E-2</v>
      </c>
      <c r="I18" s="194"/>
      <c r="J18" s="239">
        <f>SUMIFS('Budget - 2026'!$CI$5:$CI$56,'Budget - 2026'!$B$5:$B$56,'CASA NEOS Overview '!D18)</f>
        <v>747801</v>
      </c>
      <c r="K18" s="251">
        <f t="shared" si="1"/>
        <v>-7.2974427688649757E-2</v>
      </c>
      <c r="L18" s="194"/>
      <c r="M18" s="239">
        <f>SUMIFS('Actual - 2026'!$AO$5:$AO$56,'Actual - 2026'!$A$5:$A$56,'MILA 2F - Overview'!D18)</f>
        <v>550973.86</v>
      </c>
      <c r="N18" s="233">
        <f>SUMIFS('Budget - 2026'!$BW$5:$BW$56,'Budget - 2026'!$B$5:$B$56,'MILA 2F - Overview'!D18)</f>
        <v>498232.79894884536</v>
      </c>
      <c r="O18" s="240">
        <f>SUMIFS('Budget - 2026'!$CF$5:$CF$56,'Budget - 2026'!$B$5:$B$56,'MILA 2F - Overview'!D18)</f>
        <v>517080</v>
      </c>
      <c r="P18" s="239">
        <f>SUMIFS('Actual - 2026'!$AL$5:$AL$56,'Actual - 2026'!$A$5:$A$56,'MILA 2F - Overview'!D18)</f>
        <v>142256.79000000004</v>
      </c>
      <c r="Q18" s="233">
        <f>SUMIFS('Budget - 2026'!$BT$5:$BT$56,'Budget - 2026'!$B$5:$B$56,'MILA 2F - Overview'!D18)</f>
        <v>246487.23434872867</v>
      </c>
      <c r="R18" s="240">
        <f>SUMIFS('Budget - 2026'!$CC$5:$CC$56,'Budget - 2026'!$B$5:$B$56,'MILA 2F - Overview'!D18)</f>
        <v>230721</v>
      </c>
    </row>
    <row r="19" spans="2:20" s="108" customFormat="1" ht="22.15" customHeight="1">
      <c r="D19" s="193" t="s">
        <v>137</v>
      </c>
      <c r="E19" s="194"/>
      <c r="F19" s="239">
        <f>SUMIFS('Actual - 2026'!$AR$5:$AR$56,'Actual - 2026'!$A$5:$A$56,'CASA NEOS Overview '!D19)</f>
        <v>822524.5</v>
      </c>
      <c r="G19" s="233">
        <f>SUMIFS('Budget - 2026'!$BZ$5:$BZ$56,'Budget - 2026'!$B$5:$B$56,'CASA NEOS Overview '!D19)</f>
        <v>807370.46093532676</v>
      </c>
      <c r="H19" s="247">
        <f t="shared" si="0"/>
        <v>1.8769622865713355E-2</v>
      </c>
      <c r="I19" s="194"/>
      <c r="J19" s="239">
        <f>SUMIFS('Budget - 2026'!$CI$5:$CI$56,'Budget - 2026'!$B$5:$B$56,'CASA NEOS Overview '!D19)</f>
        <v>808677</v>
      </c>
      <c r="K19" s="251">
        <f t="shared" si="1"/>
        <v>1.7123647636819152E-2</v>
      </c>
      <c r="L19" s="194"/>
      <c r="M19" s="239">
        <f>SUMIFS('Actual - 2026'!$AO$5:$AO$56,'Actual - 2026'!$A$5:$A$56,'MILA 2F - Overview'!D19)</f>
        <v>586089.22</v>
      </c>
      <c r="N19" s="233">
        <f>SUMIFS('Budget - 2026'!$BW$5:$BW$56,'Budget - 2026'!$B$5:$B$56,'MILA 2F - Overview'!D19)</f>
        <v>551005.71212903783</v>
      </c>
      <c r="O19" s="240">
        <f>SUMIFS('Budget - 2026'!$CF$5:$CF$56,'Budget - 2026'!$B$5:$B$56,'MILA 2F - Overview'!D19)</f>
        <v>564333</v>
      </c>
      <c r="P19" s="239">
        <f>SUMIFS('Actual - 2026'!$AL$5:$AL$56,'Actual - 2026'!$A$5:$A$56,'MILA 2F - Overview'!D19)</f>
        <v>236435.28</v>
      </c>
      <c r="Q19" s="233">
        <f>SUMIFS('Budget - 2026'!$BT$5:$BT$56,'Budget - 2026'!$B$5:$B$56,'MILA 2F - Overview'!D19)</f>
        <v>256364.74880628887</v>
      </c>
      <c r="R19" s="240">
        <f>SUMIFS('Budget - 2026'!$CC$5:$CC$56,'Budget - 2026'!$B$5:$B$56,'MILA 2F - Overview'!D19)</f>
        <v>244344</v>
      </c>
    </row>
    <row r="20" spans="2:20" s="108" customFormat="1" ht="22.15" customHeight="1">
      <c r="D20" s="193" t="s">
        <v>138</v>
      </c>
      <c r="E20" s="194"/>
      <c r="F20" s="239">
        <f>SUMIFS('Actual - 2026'!$AR$5:$AR$56,'Actual - 2026'!$A$5:$A$56,'CASA NEOS Overview '!D20)</f>
        <v>1109953.79</v>
      </c>
      <c r="G20" s="233">
        <f>SUMIFS('Budget - 2026'!$BZ$5:$BZ$56,'Budget - 2026'!$B$5:$B$56,'CASA NEOS Overview '!D20)</f>
        <v>725735.75753052079</v>
      </c>
      <c r="H20" s="247">
        <f t="shared" si="0"/>
        <v>0.52941863272228384</v>
      </c>
      <c r="I20" s="194"/>
      <c r="J20" s="239">
        <f>SUMIFS('Budget - 2026'!$CI$5:$CI$56,'Budget - 2026'!$B$5:$B$56,'CASA NEOS Overview '!D20)</f>
        <v>709687</v>
      </c>
      <c r="K20" s="251">
        <f t="shared" si="1"/>
        <v>0.56400468093680745</v>
      </c>
      <c r="L20" s="194"/>
      <c r="M20" s="239">
        <f>SUMIFS('Actual - 2026'!$AO$5:$AO$56,'Actual - 2026'!$A$5:$A$56,'MILA 2F - Overview'!D20)</f>
        <v>840999.99</v>
      </c>
      <c r="N20" s="233">
        <f>SUMIFS('Budget - 2026'!$BW$5:$BW$56,'Budget - 2026'!$B$5:$B$56,'MILA 2F - Overview'!D20)</f>
        <v>495275.42768336216</v>
      </c>
      <c r="O20" s="240">
        <f>SUMIFS('Budget - 2026'!$CF$5:$CF$56,'Budget - 2026'!$B$5:$B$56,'MILA 2F - Overview'!D20)</f>
        <v>488873</v>
      </c>
      <c r="P20" s="239">
        <f>SUMIFS('Actual - 2026'!$AL$5:$AL$56,'Actual - 2026'!$A$5:$A$56,'MILA 2F - Overview'!D20)</f>
        <v>268953.8</v>
      </c>
      <c r="Q20" s="233">
        <f>SUMIFS('Budget - 2026'!$BT$5:$BT$56,'Budget - 2026'!$B$5:$B$56,'MILA 2F - Overview'!D20)</f>
        <v>230460.32984715866</v>
      </c>
      <c r="R20" s="240">
        <f>SUMIFS('Budget - 2026'!$CC$5:$CC$56,'Budget - 2026'!$B$5:$B$56,'MILA 2F - Overview'!D20)</f>
        <v>220814</v>
      </c>
    </row>
    <row r="21" spans="2:20" s="108" customFormat="1" ht="22.15" customHeight="1">
      <c r="D21" s="227" t="s">
        <v>254</v>
      </c>
      <c r="E21" s="194"/>
      <c r="F21" s="241">
        <f>SUM(F16:F20)</f>
        <v>4477320.82</v>
      </c>
      <c r="G21" s="228">
        <f>SUM(G16:G20)</f>
        <v>3700841.3014726453</v>
      </c>
      <c r="H21" s="248">
        <f t="shared" si="0"/>
        <v>0.20981162262169334</v>
      </c>
      <c r="I21" s="194"/>
      <c r="J21" s="241">
        <f>SUM(J16:J20)</f>
        <v>3725202</v>
      </c>
      <c r="K21" s="248">
        <f>IFERROR((F21-J21)/J21,0)</f>
        <v>0.20190014393850328</v>
      </c>
      <c r="L21" s="194"/>
      <c r="M21" s="241">
        <f t="shared" ref="M21:R21" si="4">SUM(M16:M20)</f>
        <v>3543989.6000000006</v>
      </c>
      <c r="N21" s="228">
        <f t="shared" si="4"/>
        <v>2544989.4133350886</v>
      </c>
      <c r="O21" s="242">
        <f t="shared" si="4"/>
        <v>2530916</v>
      </c>
      <c r="P21" s="241">
        <f t="shared" si="4"/>
        <v>933331.22</v>
      </c>
      <c r="Q21" s="228">
        <f t="shared" si="4"/>
        <v>1155851.8881375568</v>
      </c>
      <c r="R21" s="242">
        <f t="shared" si="4"/>
        <v>1194286</v>
      </c>
      <c r="S21" s="342">
        <v>768000</v>
      </c>
    </row>
    <row r="22" spans="2:20" s="108" customFormat="1" ht="22.15" customHeight="1">
      <c r="D22" s="193" t="s">
        <v>141</v>
      </c>
      <c r="E22" s="194"/>
      <c r="F22" s="239">
        <f>SUMIFS('Actual - 2026'!$AR$5:$AR$56,'Actual - 2026'!$A$5:$A$56,'CASA NEOS Overview '!D22)</f>
        <v>773189.03</v>
      </c>
      <c r="G22" s="233">
        <f>SUMIFS('Budget - 2026'!$BZ$5:$BZ$56,'Budget - 2026'!$B$5:$B$56,'CASA NEOS Overview '!D22)</f>
        <v>699608.0894566006</v>
      </c>
      <c r="H22" s="247">
        <f t="shared" si="0"/>
        <v>0.10517451363455674</v>
      </c>
      <c r="I22" s="194"/>
      <c r="J22" s="239">
        <f>SUMIFS('Budget - 2026'!$CI$5:$CI$56,'Budget - 2026'!$B$5:$B$56,'CASA NEOS Overview '!D22)</f>
        <v>707477</v>
      </c>
      <c r="K22" s="251">
        <f t="shared" si="1"/>
        <v>9.2882213838753808E-2</v>
      </c>
      <c r="L22" s="194"/>
      <c r="M22" s="239">
        <f>SUMIFS('Actual - 2026'!$AO$5:$AO$56,'Actual - 2026'!$A$5:$A$56,'MILA 2F - Overview'!D22)</f>
        <v>608689.7300000001</v>
      </c>
      <c r="N22" s="233">
        <f>SUMIFS('Budget - 2026'!$BW$5:$BW$56,'Budget - 2026'!$B$5:$B$56,'MILA 2F - Overview'!D22)</f>
        <v>481364.65856845764</v>
      </c>
      <c r="O22" s="240">
        <f>SUMIFS('Budget - 2026'!$CF$5:$CF$56,'Budget - 2026'!$B$5:$B$56,'MILA 2F - Overview'!D22)</f>
        <v>483601</v>
      </c>
      <c r="P22" s="239">
        <f>SUMIFS('Actual - 2026'!$AL$5:$AL$56,'Actual - 2026'!$A$5:$A$56,'MILA 2F - Overview'!D22)</f>
        <v>164499.29999999999</v>
      </c>
      <c r="Q22" s="233">
        <f>SUMIFS('Budget - 2026'!$BT$5:$BT$56,'Budget - 2026'!$B$5:$B$56,'MILA 2F - Overview'!D22)</f>
        <v>218243.4308881429</v>
      </c>
      <c r="R22" s="240">
        <f>SUMIFS('Budget - 2026'!$CC$5:$CC$56,'Budget - 2026'!$B$5:$B$56,'MILA 2F - Overview'!D22)</f>
        <v>223876</v>
      </c>
      <c r="S22" s="342">
        <f>F19</f>
        <v>822524.5</v>
      </c>
    </row>
    <row r="23" spans="2:20" s="108" customFormat="1" ht="22.15" customHeight="1">
      <c r="D23" s="193" t="s">
        <v>142</v>
      </c>
      <c r="E23" s="194"/>
      <c r="F23" s="239">
        <f>SUMIFS('Actual - 2026'!$AR$5:$AR$56,'Actual - 2026'!$A$5:$A$56,'CASA NEOS Overview '!D23)</f>
        <v>803270.01</v>
      </c>
      <c r="G23" s="233">
        <f>SUMIFS('Budget - 2026'!$BZ$5:$BZ$56,'Budget - 2026'!$B$5:$B$56,'CASA NEOS Overview '!D23)</f>
        <v>712918.65731591184</v>
      </c>
      <c r="H23" s="247">
        <f t="shared" si="0"/>
        <v>0.1267344482528408</v>
      </c>
      <c r="I23" s="194"/>
      <c r="J23" s="239">
        <f>SUMIFS('Budget - 2026'!$CI$5:$CI$56,'Budget - 2026'!$B$5:$B$56,'CASA NEOS Overview '!D23)</f>
        <v>728115</v>
      </c>
      <c r="K23" s="251">
        <f t="shared" si="1"/>
        <v>0.10321859871036856</v>
      </c>
      <c r="L23" s="194"/>
      <c r="M23" s="239">
        <f>SUMIFS('Actual - 2026'!$AO$5:$AO$56,'Actual - 2026'!$A$5:$A$56,'MILA 2F - Overview'!D23)</f>
        <v>630456.94999999995</v>
      </c>
      <c r="N23" s="233">
        <f>SUMIFS('Budget - 2026'!$BW$5:$BW$56,'Budget - 2026'!$B$5:$B$56,'MILA 2F - Overview'!D23)</f>
        <v>479980.40903369751</v>
      </c>
      <c r="O23" s="240">
        <f>SUMIFS('Budget - 2026'!$CF$5:$CF$56,'Budget - 2026'!$B$5:$B$56,'MILA 2F - Overview'!D23)</f>
        <v>510567</v>
      </c>
      <c r="P23" s="239">
        <f>SUMIFS('Actual - 2026'!$AL$5:$AL$56,'Actual - 2026'!$A$5:$A$56,'MILA 2F - Overview'!D23)</f>
        <v>172813.06</v>
      </c>
      <c r="Q23" s="233">
        <f>SUMIFS('Budget - 2026'!$BT$5:$BT$56,'Budget - 2026'!$B$5:$B$56,'MILA 2F - Overview'!D23)</f>
        <v>232938.24828221434</v>
      </c>
      <c r="R23" s="240">
        <f>SUMIFS('Budget - 2026'!$CC$5:$CC$56,'Budget - 2026'!$B$5:$B$56,'MILA 2F - Overview'!D23)</f>
        <v>217548</v>
      </c>
      <c r="S23" s="323">
        <f>SUM(S21:S22)</f>
        <v>1590524.5</v>
      </c>
      <c r="T23" s="108">
        <f>SUM(S22:T22)</f>
        <v>822524.5</v>
      </c>
    </row>
    <row r="24" spans="2:20" s="108" customFormat="1" ht="22.15" customHeight="1">
      <c r="D24" s="193" t="s">
        <v>143</v>
      </c>
      <c r="E24" s="194"/>
      <c r="F24" s="239">
        <f>SUMIFS('Actual - 2026'!$AR$5:$AR$56,'Actual - 2026'!$A$5:$A$56,'CASA NEOS Overview '!D24)</f>
        <v>729282.90999999992</v>
      </c>
      <c r="G24" s="233">
        <f>SUMIFS('Budget - 2026'!$BZ$5:$BZ$56,'Budget - 2026'!$B$5:$B$56,'CASA NEOS Overview '!D24)</f>
        <v>736971.00683321804</v>
      </c>
      <c r="H24" s="247">
        <f t="shared" si="0"/>
        <v>-1.0432020746995268E-2</v>
      </c>
      <c r="I24" s="194"/>
      <c r="J24" s="239">
        <f>SUMIFS('Budget - 2026'!$CI$5:$CI$56,'Budget - 2026'!$B$5:$B$56,'CASA NEOS Overview '!D24)</f>
        <v>736667</v>
      </c>
      <c r="K24" s="251">
        <f t="shared" si="1"/>
        <v>-1.0023647048123622E-2</v>
      </c>
      <c r="L24" s="194"/>
      <c r="M24" s="239">
        <f>SUMIFS('Actual - 2026'!$AO$5:$AO$56,'Actual - 2026'!$A$5:$A$56,'MILA 2F - Overview'!D24)</f>
        <v>564191.86</v>
      </c>
      <c r="N24" s="233">
        <f>SUMIFS('Budget - 2026'!$BW$5:$BW$56,'Budget - 2026'!$B$5:$B$56,'MILA 2F - Overview'!D24)</f>
        <v>489544.44511959411</v>
      </c>
      <c r="O24" s="240">
        <f>SUMIFS('Budget - 2026'!$CF$5:$CF$56,'Budget - 2026'!$B$5:$B$56,'MILA 2F - Overview'!D24)</f>
        <v>496859</v>
      </c>
      <c r="P24" s="239">
        <f>SUMIFS('Actual - 2026'!$AL$5:$AL$56,'Actual - 2026'!$A$5:$A$56,'MILA 2F - Overview'!D24)</f>
        <v>165091.04999999999</v>
      </c>
      <c r="Q24" s="233">
        <f>SUMIFS('Budget - 2026'!$BT$5:$BT$56,'Budget - 2026'!$B$5:$B$56,'MILA 2F - Overview'!D24)</f>
        <v>247426.56171362387</v>
      </c>
      <c r="R24" s="240">
        <f>SUMIFS('Budget - 2026'!$CC$5:$CC$56,'Budget - 2026'!$B$5:$B$56,'MILA 2F - Overview'!D24)</f>
        <v>239808</v>
      </c>
      <c r="S24" s="342">
        <v>1028594</v>
      </c>
    </row>
    <row r="25" spans="2:20" s="108" customFormat="1" ht="22.15" customHeight="1">
      <c r="D25" s="193" t="s">
        <v>144</v>
      </c>
      <c r="E25" s="194"/>
      <c r="F25" s="239">
        <f>SUMIFS('Actual - 2026'!$AR$5:$AR$56,'Actual - 2026'!$A$5:$A$56,'CASA NEOS Overview '!D25)</f>
        <v>807754.57999999984</v>
      </c>
      <c r="G25" s="233">
        <f>SUMIFS('Budget - 2026'!$BZ$5:$BZ$56,'Budget - 2026'!$B$5:$B$56,'CASA NEOS Overview '!D25)</f>
        <v>777186.46777686162</v>
      </c>
      <c r="H25" s="247">
        <f t="shared" si="0"/>
        <v>3.9331760768529803E-2</v>
      </c>
      <c r="I25" s="194"/>
      <c r="J25" s="239">
        <f>SUMIFS('Budget - 2026'!$CI$5:$CI$56,'Budget - 2026'!$B$5:$B$56,'CASA NEOS Overview '!D25)</f>
        <v>743557</v>
      </c>
      <c r="K25" s="251">
        <f t="shared" si="1"/>
        <v>8.6338478421963405E-2</v>
      </c>
      <c r="L25" s="194"/>
      <c r="M25" s="239">
        <f>SUMIFS('Actual - 2026'!$AO$5:$AO$56,'Actual - 2026'!$A$5:$A$56,'MILA 2F - Overview'!D25)</f>
        <v>621357.89999999991</v>
      </c>
      <c r="N25" s="233">
        <f>SUMIFS('Budget - 2026'!$BW$5:$BW$56,'Budget - 2026'!$B$5:$B$56,'MILA 2F - Overview'!D25)</f>
        <v>516928.86551105871</v>
      </c>
      <c r="O25" s="240">
        <f>SUMIFS('Budget - 2026'!$CF$5:$CF$56,'Budget - 2026'!$B$5:$B$56,'MILA 2F - Overview'!D25)</f>
        <v>531909</v>
      </c>
      <c r="P25" s="239">
        <f>SUMIFS('Actual - 2026'!$AL$5:$AL$56,'Actual - 2026'!$A$5:$A$56,'MILA 2F - Overview'!D25)</f>
        <v>186396.68</v>
      </c>
      <c r="Q25" s="233">
        <f>SUMIFS('Budget - 2026'!$BT$5:$BT$56,'Budget - 2026'!$B$5:$B$56,'MILA 2F - Overview'!D25)</f>
        <v>260257.60226580288</v>
      </c>
      <c r="R25" s="240">
        <f>SUMIFS('Budget - 2026'!$CC$5:$CC$56,'Budget - 2026'!$B$5:$B$56,'MILA 2F - Overview'!D25)</f>
        <v>211648</v>
      </c>
      <c r="S25" s="323">
        <f>S23-S24</f>
        <v>561930.5</v>
      </c>
    </row>
    <row r="26" spans="2:20" s="108" customFormat="1" ht="22.15" customHeight="1">
      <c r="D26" s="227" t="s">
        <v>255</v>
      </c>
      <c r="E26" s="194"/>
      <c r="F26" s="241">
        <f>SUM(F22:F25)</f>
        <v>3113496.5300000003</v>
      </c>
      <c r="G26" s="228"/>
      <c r="H26" s="248" t="e">
        <f t="shared" si="0"/>
        <v>#DIV/0!</v>
      </c>
      <c r="I26" s="194"/>
      <c r="J26" s="241">
        <f>SUM(J22:J25)</f>
        <v>2915816</v>
      </c>
      <c r="K26" s="248">
        <f>IFERROR((F26-J26)/J26,0)</f>
        <v>6.7795954888785939E-2</v>
      </c>
      <c r="L26" s="194"/>
      <c r="M26" s="241">
        <f t="shared" ref="M26:R26" si="5">SUM(M22:M25)</f>
        <v>2424696.44</v>
      </c>
      <c r="N26" s="228">
        <f t="shared" si="5"/>
        <v>1967818.3782328079</v>
      </c>
      <c r="O26" s="242">
        <f t="shared" si="5"/>
        <v>2022936</v>
      </c>
      <c r="P26" s="241">
        <f t="shared" si="5"/>
        <v>688800.09</v>
      </c>
      <c r="Q26" s="228">
        <f t="shared" si="5"/>
        <v>958865.84314978402</v>
      </c>
      <c r="R26" s="242">
        <f t="shared" si="5"/>
        <v>892880</v>
      </c>
    </row>
    <row r="27" spans="2:20" s="108" customFormat="1" ht="22.15" customHeight="1">
      <c r="D27" s="193" t="s">
        <v>147</v>
      </c>
      <c r="E27" s="194"/>
      <c r="F27" s="239">
        <f>SUMIFS('Actual - 2026'!$AR$5:$AR$56,'Actual - 2026'!$A$5:$A$56,'CASA NEOS Overview '!D27)</f>
        <v>1850761.37</v>
      </c>
      <c r="G27" s="233">
        <f>SUMIFS('Budget - 2026'!$BZ$5:$BZ$56,'Budget - 2026'!$B$5:$B$56,'CASA NEOS Overview '!D27)</f>
        <v>1201970</v>
      </c>
      <c r="H27" s="247">
        <f t="shared" si="0"/>
        <v>0.53977334708852975</v>
      </c>
      <c r="I27" s="194"/>
      <c r="J27" s="239">
        <f>SUMIFS('Budget - 2026'!$CI$5:$CI$56,'Budget - 2026'!$B$5:$B$56,'CASA NEOS Overview '!D27)</f>
        <v>1121318</v>
      </c>
      <c r="K27" s="251">
        <f t="shared" si="1"/>
        <v>0.65052319680946891</v>
      </c>
      <c r="L27" s="194"/>
      <c r="M27" s="239">
        <f>SUMIFS('Actual - 2026'!$AO$5:$AO$56,'Actual - 2026'!$A$5:$A$56,'MILA 2F - Overview'!D27)</f>
        <v>1612142.37</v>
      </c>
      <c r="N27" s="233">
        <f>SUMIFS('Budget - 2026'!$BW$5:$BW$56,'Budget - 2026'!$B$5:$B$56,'MILA 2F - Overview'!D27)</f>
        <v>901991</v>
      </c>
      <c r="O27" s="240">
        <f>SUMIFS('Budget - 2026'!$CF$5:$CF$56,'Budget - 2026'!$B$5:$B$56,'MILA 2F - Overview'!D27)</f>
        <v>901991</v>
      </c>
      <c r="P27" s="239">
        <f>SUMIFS('Actual - 2026'!$AL$5:$AL$56,'Actual - 2026'!$A$5:$A$56,'MILA 2F - Overview'!D27)</f>
        <v>238619</v>
      </c>
      <c r="Q27" s="233">
        <f>SUMIFS('Budget - 2026'!$BT$5:$BT$56,'Budget - 2026'!$B$5:$B$56,'MILA 2F - Overview'!D27)</f>
        <v>299979</v>
      </c>
      <c r="R27" s="240">
        <f>SUMIFS('Budget - 2026'!$CC$5:$CC$56,'Budget - 2026'!$B$5:$B$56,'MILA 2F - Overview'!D27)</f>
        <v>219327</v>
      </c>
    </row>
    <row r="28" spans="2:20" s="108" customFormat="1" ht="22.15" customHeight="1">
      <c r="B28" s="108" t="s">
        <v>99</v>
      </c>
      <c r="D28" s="193" t="s">
        <v>148</v>
      </c>
      <c r="E28" s="194"/>
      <c r="F28" s="239">
        <f>SUMIFS('Actual - 2026'!$AR$5:$AR$56,'Actual - 2026'!$A$5:$A$56,'CASA NEOS Overview '!D28)</f>
        <v>627870.39</v>
      </c>
      <c r="G28" s="233">
        <f>SUMIFS('Budget - 2026'!$BZ$5:$BZ$56,'Budget - 2026'!$B$5:$B$56,'CASA NEOS Overview '!D28)</f>
        <v>738836</v>
      </c>
      <c r="H28" s="247">
        <f t="shared" si="0"/>
        <v>-0.15018977147837947</v>
      </c>
      <c r="I28" s="194"/>
      <c r="J28" s="239">
        <f>SUMIFS('Budget - 2026'!$CI$5:$CI$56,'Budget - 2026'!$B$5:$B$56,'CASA NEOS Overview '!D28)</f>
        <v>738819</v>
      </c>
      <c r="K28" s="251">
        <f t="shared" si="1"/>
        <v>-0.15017021760404103</v>
      </c>
      <c r="L28" s="194"/>
      <c r="M28" s="239">
        <f>SUMIFS('Actual - 2026'!$AO$5:$AO$56,'Actual - 2026'!$A$5:$A$56,'MILA 2F - Overview'!D28)</f>
        <v>499188.14</v>
      </c>
      <c r="N28" s="233">
        <f>SUMIFS('Budget - 2026'!$BW$5:$BW$56,'Budget - 2026'!$B$5:$B$56,'MILA 2F - Overview'!D28)</f>
        <v>552997</v>
      </c>
      <c r="O28" s="240">
        <f>SUMIFS('Budget - 2026'!$CF$5:$CF$56,'Budget - 2026'!$B$5:$B$56,'MILA 2F - Overview'!D28)</f>
        <v>552981</v>
      </c>
      <c r="P28" s="239">
        <f>SUMIFS('Actual - 2026'!$AL$5:$AL$56,'Actual - 2026'!$A$5:$A$56,'MILA 2F - Overview'!D28)</f>
        <v>128682.25</v>
      </c>
      <c r="Q28" s="233">
        <f>SUMIFS('Budget - 2026'!$BT$5:$BT$56,'Budget - 2026'!$B$5:$B$56,'MILA 2F - Overview'!D28)</f>
        <v>185839</v>
      </c>
      <c r="R28" s="240">
        <f>SUMIFS('Budget - 2026'!$CC$5:$CC$56,'Budget - 2026'!$B$5:$B$56,'MILA 2F - Overview'!D28)</f>
        <v>185838</v>
      </c>
    </row>
    <row r="29" spans="2:20" s="108" customFormat="1" ht="22.15" customHeight="1">
      <c r="D29" s="193" t="s">
        <v>149</v>
      </c>
      <c r="E29" s="194"/>
      <c r="F29" s="239">
        <f>SUMIFS('Actual - 2026'!$AR$5:$AR$56,'Actual - 2026'!$A$5:$A$56,'CASA NEOS Overview '!D29)</f>
        <v>729292.2</v>
      </c>
      <c r="G29" s="233">
        <f>SUMIFS('Budget - 2026'!$BZ$5:$BZ$56,'Budget - 2026'!$B$5:$B$56,'CASA NEOS Overview '!D29)</f>
        <v>719674</v>
      </c>
      <c r="H29" s="247">
        <f t="shared" si="0"/>
        <v>1.3364662333223034E-2</v>
      </c>
      <c r="I29" s="194"/>
      <c r="J29" s="239">
        <f>SUMIFS('Budget - 2026'!$CI$5:$CI$56,'Budget - 2026'!$B$5:$B$56,'CASA NEOS Overview '!D29)</f>
        <v>745747</v>
      </c>
      <c r="K29" s="251">
        <f t="shared" si="1"/>
        <v>-2.2064855775484241E-2</v>
      </c>
      <c r="L29" s="194"/>
      <c r="M29" s="239">
        <f>SUMIFS('Actual - 2026'!$AO$5:$AO$56,'Actual - 2026'!$A$5:$A$56,'MILA 2F - Overview'!D29)</f>
        <v>601803.69999999995</v>
      </c>
      <c r="N29" s="233">
        <f>SUMIFS('Budget - 2026'!$BW$5:$BW$56,'Budget - 2026'!$B$5:$B$56,'MILA 2F - Overview'!D29)</f>
        <v>521269</v>
      </c>
      <c r="O29" s="240">
        <f>SUMIFS('Budget - 2026'!$CF$5:$CF$56,'Budget - 2026'!$B$5:$B$56,'MILA 2F - Overview'!D29)</f>
        <v>521268</v>
      </c>
      <c r="P29" s="239">
        <f>SUMIFS('Actual - 2026'!$AL$5:$AL$56,'Actual - 2026'!$A$5:$A$56,'MILA 2F - Overview'!D29)</f>
        <v>127488.5</v>
      </c>
      <c r="Q29" s="233">
        <f>SUMIFS('Budget - 2026'!$BT$5:$BT$56,'Budget - 2026'!$B$5:$B$56,'MILA 2F - Overview'!D29)</f>
        <v>198405</v>
      </c>
      <c r="R29" s="240">
        <f>SUMIFS('Budget - 2026'!$CC$5:$CC$56,'Budget - 2026'!$B$5:$B$56,'MILA 2F - Overview'!D29)</f>
        <v>224479</v>
      </c>
    </row>
    <row r="30" spans="2:20" s="108" customFormat="1" ht="22.15" customHeight="1">
      <c r="D30" s="193" t="s">
        <v>150</v>
      </c>
      <c r="E30" s="194"/>
      <c r="F30" s="239">
        <f>SUMIFS('Actual - 2026'!$AR$5:$AR$56,'Actual - 2026'!$A$5:$A$56,'CASA NEOS Overview '!D30)</f>
        <v>754783.42</v>
      </c>
      <c r="G30" s="233">
        <f>SUMIFS('Budget - 2026'!$BZ$5:$BZ$56,'Budget - 2026'!$B$5:$B$56,'CASA NEOS Overview '!D30)</f>
        <v>712664</v>
      </c>
      <c r="H30" s="247">
        <f t="shared" si="0"/>
        <v>5.9101371754431323E-2</v>
      </c>
      <c r="I30" s="194"/>
      <c r="J30" s="239">
        <f>SUMIFS('Budget - 2026'!$CI$5:$CI$56,'Budget - 2026'!$B$5:$B$56,'CASA NEOS Overview '!D30)</f>
        <v>717796</v>
      </c>
      <c r="K30" s="251">
        <f t="shared" si="1"/>
        <v>5.1529153129858681E-2</v>
      </c>
      <c r="L30" s="194"/>
      <c r="M30" s="239">
        <f>SUMIFS('Actual - 2026'!$AO$5:$AO$56,'Actual - 2026'!$A$5:$A$56,'MILA 2F - Overview'!D30)</f>
        <v>566349.92000000004</v>
      </c>
      <c r="N30" s="233">
        <f>SUMIFS('Budget - 2026'!$BW$5:$BW$56,'Budget - 2026'!$B$5:$B$56,'MILA 2F - Overview'!D30)</f>
        <v>513789</v>
      </c>
      <c r="O30" s="240">
        <f>SUMIFS('Budget - 2026'!$CF$5:$CF$56,'Budget - 2026'!$B$5:$B$56,'MILA 2F - Overview'!D30)</f>
        <v>513789</v>
      </c>
      <c r="P30" s="239">
        <f>SUMIFS('Actual - 2026'!$AL$5:$AL$56,'Actual - 2026'!$A$5:$A$56,'MILA 2F - Overview'!D30)</f>
        <v>188433.5</v>
      </c>
      <c r="Q30" s="233">
        <f>SUMIFS('Budget - 2026'!$BT$5:$BT$56,'Budget - 2026'!$B$5:$B$56,'MILA 2F - Overview'!D30)</f>
        <v>198875</v>
      </c>
      <c r="R30" s="240">
        <f>SUMIFS('Budget - 2026'!$CC$5:$CC$56,'Budget - 2026'!$B$5:$B$56,'MILA 2F - Overview'!D30)</f>
        <v>204007</v>
      </c>
    </row>
    <row r="31" spans="2:20" s="108" customFormat="1" ht="22.15" customHeight="1">
      <c r="D31" s="227" t="s">
        <v>256</v>
      </c>
      <c r="E31" s="194"/>
      <c r="F31" s="241">
        <f>SUM(F27:F30)</f>
        <v>3962707.38</v>
      </c>
      <c r="G31" s="228">
        <f>SUM(G27:G30)</f>
        <v>3373144</v>
      </c>
      <c r="H31" s="248">
        <f t="shared" si="0"/>
        <v>0.17478156283870475</v>
      </c>
      <c r="I31" s="194"/>
      <c r="J31" s="241">
        <f>SUM(J27:J30)</f>
        <v>3323680</v>
      </c>
      <c r="K31" s="248">
        <f>IFERROR((F31-J31)/J31,0)</f>
        <v>0.19226501347903524</v>
      </c>
      <c r="L31" s="194"/>
      <c r="M31" s="241">
        <f t="shared" ref="M31:R31" si="6">SUM(M27:M30)</f>
        <v>3279484.13</v>
      </c>
      <c r="N31" s="228">
        <f t="shared" si="6"/>
        <v>2490046</v>
      </c>
      <c r="O31" s="242">
        <f t="shared" si="6"/>
        <v>2490029</v>
      </c>
      <c r="P31" s="241">
        <f t="shared" si="6"/>
        <v>683223.25</v>
      </c>
      <c r="Q31" s="228">
        <f t="shared" si="6"/>
        <v>883098</v>
      </c>
      <c r="R31" s="242">
        <f t="shared" si="6"/>
        <v>833651</v>
      </c>
    </row>
    <row r="32" spans="2:20" s="108" customFormat="1" ht="22.15" customHeight="1">
      <c r="D32" s="193" t="s">
        <v>153</v>
      </c>
      <c r="E32" s="194"/>
      <c r="F32" s="239">
        <f>SUMIFS('Actual - 2026'!$AR$5:$AR$56,'Actual - 2026'!$A$5:$A$56,'CASA NEOS Overview '!D32)</f>
        <v>780046.27</v>
      </c>
      <c r="G32" s="233">
        <f>SUMIFS('Budget - 2026'!$BZ$5:$BZ$56,'Budget - 2026'!$B$5:$B$56,'CASA NEOS Overview '!D32)</f>
        <v>609798.05229650578</v>
      </c>
      <c r="H32" s="247">
        <f t="shared" si="0"/>
        <v>0.27918786729858797</v>
      </c>
      <c r="I32" s="194"/>
      <c r="J32" s="239">
        <f>SUMIFS('Budget - 2026'!$CI$5:$CI$56,'Budget - 2026'!$B$5:$B$56,'CASA NEOS Overview '!D32)</f>
        <v>663797</v>
      </c>
      <c r="K32" s="251">
        <f t="shared" si="1"/>
        <v>0.17512774236701886</v>
      </c>
      <c r="L32" s="194"/>
      <c r="M32" s="239">
        <f>SUMIFS('Actual - 2026'!$AO$5:$AO$56,'Actual - 2026'!$A$5:$A$56,'MILA 2F - Overview'!D32)</f>
        <v>633283.5</v>
      </c>
      <c r="N32" s="233">
        <f>SUMIFS('Budget - 2026'!$BW$5:$BW$56,'Budget - 2026'!$B$5:$B$56,'MILA 2F - Overview'!D32)</f>
        <v>451305.72697585396</v>
      </c>
      <c r="O32" s="240">
        <f>SUMIFS('Budget - 2026'!$CF$5:$CF$56,'Budget - 2026'!$B$5:$B$56,'MILA 2F - Overview'!D32)</f>
        <v>571312</v>
      </c>
      <c r="P32" s="239">
        <f>SUMIFS('Actual - 2026'!$AL$5:$AL$56,'Actual - 2026'!$A$5:$A$56,'MILA 2F - Overview'!D32)</f>
        <v>146762.77000000002</v>
      </c>
      <c r="Q32" s="233">
        <f>SUMIFS('Budget - 2026'!$BT$5:$BT$56,'Budget - 2026'!$B$5:$B$56,'MILA 2F - Overview'!D32)</f>
        <v>158492.32532065181</v>
      </c>
      <c r="R32" s="240">
        <f>SUMIFS('Budget - 2026'!$CC$5:$CC$56,'Budget - 2026'!$B$5:$B$56,'MILA 2F - Overview'!D32)</f>
        <v>92485</v>
      </c>
    </row>
    <row r="33" spans="4:18" s="108" customFormat="1" ht="22.15" customHeight="1">
      <c r="D33" s="193" t="s">
        <v>154</v>
      </c>
      <c r="E33" s="194"/>
      <c r="F33" s="239">
        <f>SUMIFS('Actual - 2026'!$AR$5:$AR$56,'Actual - 2026'!$A$5:$A$56,'CASA NEOS Overview '!D33)</f>
        <v>579579.37</v>
      </c>
      <c r="G33" s="233">
        <f>SUMIFS('Budget - 2026'!$BZ$5:$BZ$56,'Budget - 2026'!$B$5:$B$56,'CASA NEOS Overview '!D33)</f>
        <v>551833.90254472522</v>
      </c>
      <c r="H33" s="247">
        <f t="shared" si="0"/>
        <v>5.0278656906234662E-2</v>
      </c>
      <c r="I33" s="194"/>
      <c r="J33" s="239">
        <f>SUMIFS('Budget - 2026'!$CI$5:$CI$56,'Budget - 2026'!$B$5:$B$56,'CASA NEOS Overview '!D33)</f>
        <v>533397</v>
      </c>
      <c r="K33" s="251">
        <f t="shared" si="1"/>
        <v>8.6581608070536567E-2</v>
      </c>
      <c r="L33" s="194"/>
      <c r="M33" s="239">
        <f>SUMIFS('Actual - 2026'!$AO$5:$AO$56,'Actual - 2026'!$A$5:$A$56,'MILA 2F - Overview'!D33)</f>
        <v>457411.87</v>
      </c>
      <c r="N33" s="233">
        <f>SUMIFS('Budget - 2026'!$BW$5:$BW$56,'Budget - 2026'!$B$5:$B$56,'MILA 2F - Overview'!D33)</f>
        <v>366265.74159352272</v>
      </c>
      <c r="O33" s="240">
        <f>SUMIFS('Budget - 2026'!$CF$5:$CF$56,'Budget - 2026'!$B$5:$B$56,'MILA 2F - Overview'!D33)</f>
        <v>395301</v>
      </c>
      <c r="P33" s="239">
        <f>SUMIFS('Actual - 2026'!$AL$5:$AL$56,'Actual - 2026'!$A$5:$A$56,'MILA 2F - Overview'!D33)</f>
        <v>122167.5</v>
      </c>
      <c r="Q33" s="233">
        <f>SUMIFS('Budget - 2026'!$BT$5:$BT$56,'Budget - 2026'!$B$5:$B$56,'MILA 2F - Overview'!D33)</f>
        <v>185568.16095120247</v>
      </c>
      <c r="R33" s="240">
        <f>SUMIFS('Budget - 2026'!$CC$5:$CC$56,'Budget - 2026'!$B$5:$B$56,'MILA 2F - Overview'!D33)</f>
        <v>138096</v>
      </c>
    </row>
    <row r="34" spans="4:18" s="108" customFormat="1" ht="22.15" customHeight="1">
      <c r="D34" s="193" t="s">
        <v>155</v>
      </c>
      <c r="E34" s="194"/>
      <c r="F34" s="239">
        <f>SUMIFS('Actual - 2026'!$AR$5:$AR$56,'Actual - 2026'!$A$5:$A$56,'CASA NEOS Overview '!D34)</f>
        <v>563657.76</v>
      </c>
      <c r="G34" s="233">
        <f>SUMIFS('Budget - 2026'!$BZ$5:$BZ$56,'Budget - 2026'!$B$5:$B$56,'CASA NEOS Overview '!D34)</f>
        <v>597055.94777219126</v>
      </c>
      <c r="H34" s="247">
        <f t="shared" si="0"/>
        <v>-5.5938120869259707E-2</v>
      </c>
      <c r="I34" s="194"/>
      <c r="J34" s="239">
        <f>SUMIFS('Budget - 2026'!$CI$5:$CI$56,'Budget - 2026'!$B$5:$B$56,'CASA NEOS Overview '!D34)</f>
        <v>555380</v>
      </c>
      <c r="K34" s="251">
        <f t="shared" si="1"/>
        <v>1.4904677878209531E-2</v>
      </c>
      <c r="L34" s="194"/>
      <c r="M34" s="239">
        <f>SUMIFS('Actual - 2026'!$AO$5:$AO$56,'Actual - 2026'!$A$5:$A$56,'MILA 2F - Overview'!D34)</f>
        <v>403082.61000000004</v>
      </c>
      <c r="N34" s="233">
        <f>SUMIFS('Budget - 2026'!$BW$5:$BW$56,'Budget - 2026'!$B$5:$B$56,'MILA 2F - Overview'!D34)</f>
        <v>385961.18079768121</v>
      </c>
      <c r="O34" s="240">
        <f>SUMIFS('Budget - 2026'!$CF$5:$CF$56,'Budget - 2026'!$B$5:$B$56,'MILA 2F - Overview'!D34)</f>
        <v>402740</v>
      </c>
      <c r="P34" s="239">
        <f>SUMIFS('Actual - 2026'!$AL$5:$AL$56,'Actual - 2026'!$A$5:$A$56,'MILA 2F - Overview'!D34)</f>
        <v>160575.15000000002</v>
      </c>
      <c r="Q34" s="233">
        <f>SUMIFS('Budget - 2026'!$BT$5:$BT$56,'Budget - 2026'!$B$5:$B$56,'MILA 2F - Overview'!D34)</f>
        <v>211094.76697451004</v>
      </c>
      <c r="R34" s="240">
        <f>SUMIFS('Budget - 2026'!$CC$5:$CC$56,'Budget - 2026'!$B$5:$B$56,'MILA 2F - Overview'!D34)</f>
        <v>152640</v>
      </c>
    </row>
    <row r="35" spans="4:18" s="108" customFormat="1" ht="22.15" customHeight="1">
      <c r="D35" s="193" t="s">
        <v>156</v>
      </c>
      <c r="E35" s="194"/>
      <c r="F35" s="239">
        <f>SUMIFS('Actual - 2026'!$AR$5:$AR$56,'Actual - 2026'!$A$5:$A$56,'CASA NEOS Overview '!D35)</f>
        <v>654082.16</v>
      </c>
      <c r="G35" s="233">
        <f>SUMIFS('Budget - 2026'!$BZ$5:$BZ$56,'Budget - 2026'!$B$5:$B$56,'CASA NEOS Overview '!D35)</f>
        <v>791017.1209233416</v>
      </c>
      <c r="H35" s="247">
        <f t="shared" si="0"/>
        <v>-0.17311251210782844</v>
      </c>
      <c r="I35" s="194"/>
      <c r="J35" s="239">
        <f>SUMIFS('Budget - 2026'!$CI$5:$CI$56,'Budget - 2026'!$B$5:$B$56,'CASA NEOS Overview '!D35)</f>
        <v>592660</v>
      </c>
      <c r="K35" s="251">
        <f t="shared" si="1"/>
        <v>0.10363810616542374</v>
      </c>
      <c r="L35" s="194"/>
      <c r="M35" s="239">
        <f>SUMIFS('Actual - 2026'!$AO$5:$AO$56,'Actual - 2026'!$A$5:$A$56,'MILA 2F - Overview'!D35)</f>
        <v>496079.01</v>
      </c>
      <c r="N35" s="233">
        <f>SUMIFS('Budget - 2026'!$BW$5:$BW$56,'Budget - 2026'!$B$5:$B$56,'MILA 2F - Overview'!D35)</f>
        <v>470742.1209233416</v>
      </c>
      <c r="O35" s="240">
        <f>SUMIFS('Budget - 2026'!$CF$5:$CF$56,'Budget - 2026'!$B$5:$B$56,'MILA 2F - Overview'!D35)</f>
        <v>454775</v>
      </c>
      <c r="P35" s="239">
        <f>SUMIFS('Actual - 2026'!$AL$5:$AL$56,'Actual - 2026'!$A$5:$A$56,'MILA 2F - Overview'!D35)</f>
        <v>158003.15</v>
      </c>
      <c r="Q35" s="233">
        <f>SUMIFS('Budget - 2026'!$BT$5:$BT$56,'Budget - 2026'!$B$5:$B$56,'MILA 2F - Overview'!D35)</f>
        <v>320275</v>
      </c>
      <c r="R35" s="240">
        <f>SUMIFS('Budget - 2026'!$CC$5:$CC$56,'Budget - 2026'!$B$5:$B$56,'MILA 2F - Overview'!D35)</f>
        <v>137885</v>
      </c>
    </row>
    <row r="36" spans="4:18" s="108" customFormat="1" ht="22.15" customHeight="1">
      <c r="D36" s="193" t="s">
        <v>157</v>
      </c>
      <c r="E36" s="194"/>
      <c r="F36" s="239">
        <f>SUMIFS('Actual - 2026'!$AR$5:$AR$56,'Actual - 2026'!$A$5:$A$56,'CASA NEOS Overview '!D36)</f>
        <v>827205.81</v>
      </c>
      <c r="G36" s="233">
        <f>SUMIFS('Budget - 2026'!$BZ$5:$BZ$56,'Budget - 2026'!$B$5:$B$56,'CASA NEOS Overview '!D36)</f>
        <v>668380.68651795294</v>
      </c>
      <c r="H36" s="247">
        <f t="shared" si="0"/>
        <v>0.23762673979925214</v>
      </c>
      <c r="I36" s="194"/>
      <c r="J36" s="239">
        <f>SUMIFS('Budget - 2026'!$CI$5:$CI$56,'Budget - 2026'!$B$5:$B$56,'CASA NEOS Overview '!D36)</f>
        <v>496113.8</v>
      </c>
      <c r="K36" s="251">
        <f t="shared" ref="K36:K68" si="7">(F36-J36)/J36</f>
        <v>0.66737109509955195</v>
      </c>
      <c r="L36" s="194"/>
      <c r="M36" s="239">
        <f>SUMIFS('Actual - 2026'!$AO$5:$AO$56,'Actual - 2026'!$A$5:$A$56,'MILA 2F - Overview'!D36)</f>
        <v>544420.23</v>
      </c>
      <c r="N36" s="233">
        <f>SUMIFS('Budget - 2026'!$BW$5:$BW$56,'Budget - 2026'!$B$5:$B$56,'MILA 2F - Overview'!D36)</f>
        <v>388812.68651795294</v>
      </c>
      <c r="O36" s="240">
        <f>SUMIFS('Budget - 2026'!$CF$5:$CF$56,'Budget - 2026'!$B$5:$B$56,'MILA 2F - Overview'!D36)</f>
        <v>401972.3</v>
      </c>
      <c r="P36" s="239">
        <f>SUMIFS('Actual - 2026'!$AL$5:$AL$56,'Actual - 2026'!$A$5:$A$56,'MILA 2F - Overview'!D36)</f>
        <v>282785.58</v>
      </c>
      <c r="Q36" s="233">
        <f>SUMIFS('Budget - 2026'!$BT$5:$BT$56,'Budget - 2026'!$B$5:$B$56,'MILA 2F - Overview'!D36)</f>
        <v>279568</v>
      </c>
      <c r="R36" s="240">
        <f>SUMIFS('Budget - 2026'!$CC$5:$CC$56,'Budget - 2026'!$B$5:$B$56,'MILA 2F - Overview'!D36)</f>
        <v>94141.5</v>
      </c>
    </row>
    <row r="37" spans="4:18" s="108" customFormat="1" ht="22.15" customHeight="1">
      <c r="D37" s="227" t="s">
        <v>257</v>
      </c>
      <c r="E37" s="194"/>
      <c r="F37" s="241">
        <f>SUM(F32:F36)</f>
        <v>3404571.37</v>
      </c>
      <c r="G37" s="228">
        <f>SUM(G32:G36)</f>
        <v>3218085.710054717</v>
      </c>
      <c r="H37" s="248">
        <f t="shared" si="0"/>
        <v>5.7949252054604931E-2</v>
      </c>
      <c r="I37" s="194"/>
      <c r="J37" s="241">
        <f>SUM(J32:J36)</f>
        <v>2841347.8</v>
      </c>
      <c r="K37" s="248">
        <f>(F37-J37)/J37</f>
        <v>0.19822408576662115</v>
      </c>
      <c r="L37" s="194"/>
      <c r="M37" s="241">
        <f t="shared" ref="M37:R37" si="8">SUM(M32:M36)</f>
        <v>2534277.2200000002</v>
      </c>
      <c r="N37" s="228">
        <f t="shared" si="8"/>
        <v>2063087.4568083524</v>
      </c>
      <c r="O37" s="242">
        <f t="shared" si="8"/>
        <v>2226100.2999999998</v>
      </c>
      <c r="P37" s="241">
        <f t="shared" si="8"/>
        <v>870294.15000000014</v>
      </c>
      <c r="Q37" s="228">
        <f t="shared" si="8"/>
        <v>1154998.2532463642</v>
      </c>
      <c r="R37" s="242">
        <f t="shared" si="8"/>
        <v>615247.5</v>
      </c>
    </row>
    <row r="38" spans="4:18" s="108" customFormat="1" ht="22.15" customHeight="1">
      <c r="D38" s="193" t="s">
        <v>160</v>
      </c>
      <c r="E38" s="194"/>
      <c r="F38" s="239">
        <f>SUMIFS('Actual - 2026'!$AR$5:$AR$56,'Actual - 2026'!$A$5:$A$56,'CASA NEOS Overview '!D38)</f>
        <v>556211.36</v>
      </c>
      <c r="G38" s="233">
        <f>SUMIFS('Budget - 2026'!$BZ$5:$BZ$56,'Budget - 2026'!$B$5:$B$56,'CASA NEOS Overview '!D38)</f>
        <v>597756.63355685072</v>
      </c>
      <c r="H38" s="247">
        <f t="shared" si="0"/>
        <v>-6.9501986635669005E-2</v>
      </c>
      <c r="I38" s="194"/>
      <c r="J38" s="239">
        <f>SUMIFS('Budget - 2026'!$CI$5:$CI$56,'Budget - 2026'!$B$5:$B$56,'CASA NEOS Overview '!D38)</f>
        <v>399337.52</v>
      </c>
      <c r="K38" s="251">
        <f t="shared" si="7"/>
        <v>0.39283521368089819</v>
      </c>
      <c r="L38" s="194"/>
      <c r="M38" s="239">
        <f>SUMIFS('Actual - 2026'!$AO$5:$AO$56,'Actual - 2026'!$A$5:$A$56,'MILA 2F - Overview'!D38)</f>
        <v>463085.24999999994</v>
      </c>
      <c r="N38" s="233">
        <f>SUMIFS('Budget - 2026'!$BW$5:$BW$56,'Budget - 2026'!$B$5:$B$56,'MILA 2F - Overview'!D38)</f>
        <v>365864.63355685072</v>
      </c>
      <c r="O38" s="240">
        <f>SUMIFS('Budget - 2026'!$CF$5:$CF$56,'Budget - 2026'!$B$5:$B$56,'MILA 2F - Overview'!D38)</f>
        <v>342402.97000000003</v>
      </c>
      <c r="P38" s="239">
        <f>SUMIFS('Actual - 2026'!$AL$5:$AL$56,'Actual - 2026'!$A$5:$A$56,'MILA 2F - Overview'!D38)</f>
        <v>93126.11</v>
      </c>
      <c r="Q38" s="233">
        <f>SUMIFS('Budget - 2026'!$BT$5:$BT$56,'Budget - 2026'!$B$5:$B$56,'MILA 2F - Overview'!D38)</f>
        <v>231892</v>
      </c>
      <c r="R38" s="240">
        <f>SUMIFS('Budget - 2026'!$CC$5:$CC$56,'Budget - 2026'!$B$5:$B$56,'MILA 2F - Overview'!D38)</f>
        <v>56934.55</v>
      </c>
    </row>
    <row r="39" spans="4:18" s="108" customFormat="1" ht="22.15" customHeight="1">
      <c r="D39" s="193" t="s">
        <v>161</v>
      </c>
      <c r="E39" s="194"/>
      <c r="F39" s="239">
        <f>SUMIFS('Actual - 2026'!$AR$5:$AR$56,'Actual - 2026'!$A$5:$A$56,'CASA NEOS Overview '!D39)</f>
        <v>728635.33999999985</v>
      </c>
      <c r="G39" s="233">
        <f>SUMIFS('Budget - 2026'!$BZ$5:$BZ$56,'Budget - 2026'!$B$5:$B$56,'CASA NEOS Overview '!D39)</f>
        <v>626460.44586445426</v>
      </c>
      <c r="H39" s="247">
        <f t="shared" si="0"/>
        <v>0.16309871566520726</v>
      </c>
      <c r="I39" s="194"/>
      <c r="J39" s="239">
        <f>SUMIFS('Budget - 2026'!$CI$5:$CI$56,'Budget - 2026'!$B$5:$B$56,'CASA NEOS Overview '!D39)</f>
        <v>451289.53</v>
      </c>
      <c r="K39" s="251">
        <f t="shared" si="7"/>
        <v>0.61456291707011201</v>
      </c>
      <c r="L39" s="194"/>
      <c r="M39" s="239">
        <f>SUMIFS('Actual - 2026'!$AO$5:$AO$56,'Actual - 2026'!$A$5:$A$56,'MILA 2F - Overview'!D39)</f>
        <v>553850.6399999999</v>
      </c>
      <c r="N39" s="233">
        <f>SUMIFS('Budget - 2026'!$BW$5:$BW$56,'Budget - 2026'!$B$5:$B$56,'MILA 2F - Overview'!D39)</f>
        <v>379200.44586445426</v>
      </c>
      <c r="O39" s="240">
        <f>SUMIFS('Budget - 2026'!$CF$5:$CF$56,'Budget - 2026'!$B$5:$B$56,'MILA 2F - Overview'!D39)</f>
        <v>370440.18</v>
      </c>
      <c r="P39" s="239">
        <f>SUMIFS('Actual - 2026'!$AL$5:$AL$56,'Actual - 2026'!$A$5:$A$56,'MILA 2F - Overview'!D39)</f>
        <v>174784.7</v>
      </c>
      <c r="Q39" s="233">
        <f>SUMIFS('Budget - 2026'!$BT$5:$BT$56,'Budget - 2026'!$B$5:$B$56,'MILA 2F - Overview'!D39)</f>
        <v>247260</v>
      </c>
      <c r="R39" s="240">
        <f>SUMIFS('Budget - 2026'!$CC$5:$CC$56,'Budget - 2026'!$B$5:$B$56,'MILA 2F - Overview'!D39)</f>
        <v>80849.350000000006</v>
      </c>
    </row>
    <row r="40" spans="4:18" s="108" customFormat="1" ht="22.15" customHeight="1">
      <c r="D40" s="193" t="s">
        <v>162</v>
      </c>
      <c r="E40" s="194"/>
      <c r="F40" s="239">
        <f>SUMIFS('Actual - 2026'!$AR$5:$AR$56,'Actual - 2026'!$A$5:$A$56,'CASA NEOS Overview '!D40)</f>
        <v>527411.91</v>
      </c>
      <c r="G40" s="233">
        <f>SUMIFS('Budget - 2026'!$BZ$5:$BZ$56,'Budget - 2026'!$B$5:$B$56,'CASA NEOS Overview '!D40)</f>
        <v>409771.00745732064</v>
      </c>
      <c r="H40" s="247">
        <f t="shared" si="0"/>
        <v>0.28708937528951994</v>
      </c>
      <c r="I40" s="194"/>
      <c r="J40" s="239">
        <f>SUMIFS('Budget - 2026'!$CI$5:$CI$56,'Budget - 2026'!$B$5:$B$56,'CASA NEOS Overview '!D40)</f>
        <v>435055.79000000004</v>
      </c>
      <c r="K40" s="251">
        <f t="shared" si="7"/>
        <v>0.21228569329004904</v>
      </c>
      <c r="L40" s="194"/>
      <c r="M40" s="239">
        <f>SUMIFS('Actual - 2026'!$AO$5:$AO$56,'Actual - 2026'!$A$5:$A$56,'MILA 2F - Overview'!D40)</f>
        <v>378289.57</v>
      </c>
      <c r="N40" s="233">
        <f>SUMIFS('Budget - 2026'!$BW$5:$BW$56,'Budget - 2026'!$B$5:$B$56,'MILA 2F - Overview'!D40)</f>
        <v>288726.36826956004</v>
      </c>
      <c r="O40" s="240">
        <f>SUMIFS('Budget - 2026'!$CF$5:$CF$56,'Budget - 2026'!$B$5:$B$56,'MILA 2F - Overview'!D40)</f>
        <v>333768.19000000006</v>
      </c>
      <c r="P40" s="239">
        <f>SUMIFS('Actual - 2026'!$AL$5:$AL$56,'Actual - 2026'!$A$5:$A$56,'MILA 2F - Overview'!D40)</f>
        <v>149122.34</v>
      </c>
      <c r="Q40" s="233">
        <f>SUMIFS('Budget - 2026'!$BT$5:$BT$56,'Budget - 2026'!$B$5:$B$56,'MILA 2F - Overview'!D40)</f>
        <v>121044.63918776061</v>
      </c>
      <c r="R40" s="240">
        <f>SUMIFS('Budget - 2026'!$CC$5:$CC$56,'Budget - 2026'!$B$5:$B$56,'MILA 2F - Overview'!D40)</f>
        <v>101287.6</v>
      </c>
    </row>
    <row r="41" spans="4:18" s="108" customFormat="1" ht="22.15" customHeight="1">
      <c r="D41" s="193" t="s">
        <v>163</v>
      </c>
      <c r="E41" s="194"/>
      <c r="F41" s="239">
        <f>SUMIFS('Actual - 2026'!$AR$5:$AR$56,'Actual - 2026'!$A$5:$A$56,'CASA NEOS Overview '!D41)</f>
        <v>485548.81</v>
      </c>
      <c r="G41" s="233">
        <f>SUMIFS('Budget - 2026'!$BZ$5:$BZ$56,'Budget - 2026'!$B$5:$B$56,'CASA NEOS Overview '!D41)</f>
        <v>451729.87151984626</v>
      </c>
      <c r="H41" s="247">
        <f t="shared" si="0"/>
        <v>7.4865402118239013E-2</v>
      </c>
      <c r="I41" s="194"/>
      <c r="J41" s="239">
        <f>SUMIFS('Budget - 2026'!$CI$5:$CI$56,'Budget - 2026'!$B$5:$B$56,'CASA NEOS Overview '!D41)</f>
        <v>453918.84</v>
      </c>
      <c r="K41" s="251">
        <f t="shared" si="7"/>
        <v>6.9681994252540763E-2</v>
      </c>
      <c r="L41" s="194"/>
      <c r="M41" s="239">
        <f>SUMIFS('Actual - 2026'!$AO$5:$AO$56,'Actual - 2026'!$A$5:$A$56,'MILA 2F - Overview'!D41)</f>
        <v>388767.88</v>
      </c>
      <c r="N41" s="233">
        <f>SUMIFS('Budget - 2026'!$BW$5:$BW$56,'Budget - 2026'!$B$5:$B$56,'MILA 2F - Overview'!D41)</f>
        <v>311332.13517634623</v>
      </c>
      <c r="O41" s="240">
        <f>SUMIFS('Budget - 2026'!$CF$5:$CF$56,'Budget - 2026'!$B$5:$B$56,'MILA 2F - Overview'!D41)</f>
        <v>353649.98000000004</v>
      </c>
      <c r="P41" s="239">
        <f>SUMIFS('Actual - 2026'!$AL$5:$AL$56,'Actual - 2026'!$A$5:$A$56,'MILA 2F - Overview'!D41)</f>
        <v>96780.93</v>
      </c>
      <c r="Q41" s="233">
        <f>SUMIFS('Budget - 2026'!$BT$5:$BT$56,'Budget - 2026'!$B$5:$B$56,'MILA 2F - Overview'!D41)</f>
        <v>140397.73634350003</v>
      </c>
      <c r="R41" s="240">
        <f>SUMIFS('Budget - 2026'!$CC$5:$CC$56,'Budget - 2026'!$B$5:$B$56,'MILA 2F - Overview'!D41)</f>
        <v>100268.86</v>
      </c>
    </row>
    <row r="42" spans="4:18" s="108" customFormat="1" ht="22.15" customHeight="1">
      <c r="D42" s="227" t="s">
        <v>258</v>
      </c>
      <c r="E42" s="194"/>
      <c r="F42" s="241">
        <f>SUM(F38:F41)</f>
        <v>2297807.42</v>
      </c>
      <c r="G42" s="228">
        <f>SUM(G38:G41)</f>
        <v>2085717.9583984721</v>
      </c>
      <c r="H42" s="248">
        <f t="shared" si="0"/>
        <v>0.10168654910771431</v>
      </c>
      <c r="I42" s="194"/>
      <c r="J42" s="241">
        <f>SUM(J38:J41)</f>
        <v>1739601.6800000002</v>
      </c>
      <c r="K42" s="248">
        <f>(F42-J42)/J42</f>
        <v>0.32088135256342115</v>
      </c>
      <c r="L42" s="194"/>
      <c r="M42" s="241">
        <f t="shared" ref="M42:R42" si="9">SUM(M38:M41)</f>
        <v>1783993.3399999999</v>
      </c>
      <c r="N42" s="228">
        <f t="shared" si="9"/>
        <v>1345123.5828672112</v>
      </c>
      <c r="O42" s="242">
        <f t="shared" si="9"/>
        <v>1400261.32</v>
      </c>
      <c r="P42" s="241">
        <f t="shared" si="9"/>
        <v>513814.08</v>
      </c>
      <c r="Q42" s="228">
        <f t="shared" si="9"/>
        <v>740594.37553126062</v>
      </c>
      <c r="R42" s="242">
        <f t="shared" si="9"/>
        <v>339340.36000000004</v>
      </c>
    </row>
    <row r="43" spans="4:18" s="108" customFormat="1" ht="22.15" customHeight="1">
      <c r="D43" s="193" t="s">
        <v>166</v>
      </c>
      <c r="E43" s="194"/>
      <c r="F43" s="239">
        <f>SUMIFS('Actual - 2026'!$AR$5:$AR$56,'Actual - 2026'!$A$5:$A$56,'CASA NEOS Overview '!D43)</f>
        <v>455530.85000000003</v>
      </c>
      <c r="G43" s="205">
        <f>SUMIFS('Budget - 2026'!$BZ$5:$BZ$56,'Budget - 2026'!$B$5:$B$56,'CASA NEOS Overview '!D43)</f>
        <v>397745.58850349148</v>
      </c>
      <c r="H43" s="247">
        <f t="shared" si="0"/>
        <v>0.14528196708334151</v>
      </c>
      <c r="I43" s="194"/>
      <c r="J43" s="239">
        <f>SUMIFS('Budget - 2026'!$CI$5:$CI$56,'Budget - 2026'!$B$5:$B$56,'CASA NEOS Overview '!D43)</f>
        <v>387650.75</v>
      </c>
      <c r="K43" s="305">
        <f t="shared" si="7"/>
        <v>0.17510632960209682</v>
      </c>
      <c r="L43" s="194"/>
      <c r="M43" s="239">
        <f>SUMIFS('Actual - 2026'!$AO$5:$AO$56,'Actual - 2026'!$A$5:$A$56,'MILA 2F - Overview'!D43)</f>
        <v>367394.10000000003</v>
      </c>
      <c r="N43" s="233">
        <f>SUMIFS('Budget - 2026'!$BW$5:$BW$56,'Budget - 2026'!$B$5:$B$56,'MILA 2F - Overview'!D43)</f>
        <v>288611.95428304072</v>
      </c>
      <c r="O43" s="306">
        <f>SUMIFS('Budget - 2026'!$CF$5:$CF$56,'Budget - 2026'!$B$5:$B$56,'MILA 2F - Overview'!D43)</f>
        <v>317464</v>
      </c>
      <c r="P43" s="239">
        <f>SUMIFS('Actual - 2026'!$AL$5:$AL$56,'Actual - 2026'!$A$5:$A$56,'MILA 2F - Overview'!D43)</f>
        <v>88136.75</v>
      </c>
      <c r="Q43" s="233">
        <f>SUMIFS('Budget - 2026'!$BT$5:$BT$56,'Budget - 2026'!$B$5:$B$56,'MILA 2F - Overview'!D43)</f>
        <v>109133.63422045077</v>
      </c>
      <c r="R43" s="240">
        <f>SUMIFS('Budget - 2026'!$CC$5:$CC$56,'Budget - 2026'!$B$5:$B$56,'MILA 2F - Overview'!D43)</f>
        <v>70186.75</v>
      </c>
    </row>
    <row r="44" spans="4:18" s="108" customFormat="1" ht="22.15" customHeight="1">
      <c r="D44" s="193" t="s">
        <v>167</v>
      </c>
      <c r="E44" s="194"/>
      <c r="F44" s="239">
        <f>SUMIFS('Actual - 2026'!$AR$5:$AR$56,'Actual - 2026'!$A$5:$A$56,'CASA NEOS Overview '!D44)</f>
        <v>439726.29</v>
      </c>
      <c r="G44" s="205">
        <f>SUMIFS('Budget - 2026'!$BZ$5:$BZ$56,'Budget - 2026'!$B$5:$B$56,'CASA NEOS Overview '!D44)</f>
        <v>435208.73905364511</v>
      </c>
      <c r="H44" s="247">
        <f t="shared" si="0"/>
        <v>1.0380193550750412E-2</v>
      </c>
      <c r="I44" s="194"/>
      <c r="J44" s="239">
        <f>SUMIFS('Budget - 2026'!$CI$5:$CI$56,'Budget - 2026'!$B$5:$B$56,'CASA NEOS Overview '!D44)</f>
        <v>421854.13</v>
      </c>
      <c r="K44" s="305">
        <f t="shared" si="7"/>
        <v>4.2365734335705035E-2</v>
      </c>
      <c r="L44" s="194"/>
      <c r="M44" s="239">
        <f>SUMIFS('Actual - 2026'!$AO$5:$AO$56,'Actual - 2026'!$A$5:$A$56,'MILA 2F - Overview'!D44)</f>
        <v>338910.83999999997</v>
      </c>
      <c r="N44" s="233">
        <f>SUMIFS('Budget - 2026'!$BW$5:$BW$56,'Budget - 2026'!$B$5:$B$56,'MILA 2F - Overview'!D44)</f>
        <v>313710.39365201892</v>
      </c>
      <c r="O44" s="306">
        <f>SUMIFS('Budget - 2026'!$CF$5:$CF$56,'Budget - 2026'!$B$5:$B$56,'MILA 2F - Overview'!D44)</f>
        <v>330722.46000000002</v>
      </c>
      <c r="P44" s="239">
        <f>SUMIFS('Actual - 2026'!$AL$5:$AL$56,'Actual - 2026'!$A$5:$A$56,'MILA 2F - Overview'!D44)</f>
        <v>100815.45</v>
      </c>
      <c r="Q44" s="233">
        <f>SUMIFS('Budget - 2026'!$BT$5:$BT$56,'Budget - 2026'!$B$5:$B$56,'MILA 2F - Overview'!D44)</f>
        <v>121498.34540162618</v>
      </c>
      <c r="R44" s="240">
        <f>SUMIFS('Budget - 2026'!$CC$5:$CC$56,'Budget - 2026'!$B$5:$B$56,'MILA 2F - Overview'!D44)</f>
        <v>91131.67</v>
      </c>
    </row>
    <row r="45" spans="4:18" s="108" customFormat="1" ht="22.15" customHeight="1">
      <c r="D45" s="193" t="s">
        <v>168</v>
      </c>
      <c r="E45" s="194"/>
      <c r="F45" s="239">
        <f>SUMIFS('Actual - 2026'!$AR$5:$AR$56,'Actual - 2026'!$A$5:$A$56,'CASA NEOS Overview '!D45)</f>
        <v>372957.05999999994</v>
      </c>
      <c r="G45" s="233">
        <f>SUMIFS('Budget - 2026'!$BZ$5:$BZ$56,'Budget - 2026'!$B$5:$B$56,'CASA NEOS Overview '!D45)</f>
        <v>524776.71663082764</v>
      </c>
      <c r="H45" s="247">
        <f t="shared" si="0"/>
        <v>-0.2893033395336983</v>
      </c>
      <c r="I45" s="194"/>
      <c r="J45" s="239">
        <f>SUMIFS('Budget - 2026'!$CI$5:$CI$56,'Budget - 2026'!$B$5:$B$56,'CASA NEOS Overview '!D45)</f>
        <v>561814.43999999994</v>
      </c>
      <c r="K45" s="251">
        <f t="shared" si="7"/>
        <v>-0.33615615148660122</v>
      </c>
      <c r="L45" s="194"/>
      <c r="M45" s="239">
        <f>SUMIFS('Actual - 2026'!$AO$5:$AO$56,'Actual - 2026'!$A$5:$A$56,'MILA 2F - Overview'!D45)</f>
        <v>314532.19999999995</v>
      </c>
      <c r="N45" s="233">
        <f>SUMIFS('Budget - 2026'!$BW$5:$BW$56,'Budget - 2026'!$B$5:$B$56,'MILA 2F - Overview'!D45)</f>
        <v>367058.96836051071</v>
      </c>
      <c r="O45" s="240">
        <f>SUMIFS('Budget - 2026'!$CF$5:$CF$56,'Budget - 2026'!$B$5:$B$56,'MILA 2F - Overview'!D45)</f>
        <v>440029.8</v>
      </c>
      <c r="P45" s="239">
        <f>SUMIFS('Actual - 2026'!$AL$5:$AL$56,'Actual - 2026'!$A$5:$A$56,'MILA 2F - Overview'!D45)</f>
        <v>58424.86</v>
      </c>
      <c r="Q45" s="233">
        <f>SUMIFS('Budget - 2026'!$BT$5:$BT$56,'Budget - 2026'!$B$5:$B$56,'MILA 2F - Overview'!D45)</f>
        <v>157717.74827031692</v>
      </c>
      <c r="R45" s="240">
        <f>SUMIFS('Budget - 2026'!$CC$5:$CC$56,'Budget - 2026'!$B$5:$B$56,'MILA 2F - Overview'!D45)</f>
        <v>121784.64</v>
      </c>
    </row>
    <row r="46" spans="4:18" s="108" customFormat="1" ht="22.15" customHeight="1">
      <c r="D46" s="193" t="s">
        <v>101</v>
      </c>
      <c r="E46" s="194"/>
      <c r="F46" s="239">
        <f>SUMIFS('Actual - 2026'!$AR$5:$AR$56,'Actual - 2026'!$A$5:$A$56,'CASA NEOS Overview '!D46)</f>
        <v>386565.86</v>
      </c>
      <c r="G46" s="233">
        <f>SUMIFS('Budget - 2026'!$BZ$5:$BZ$56,'Budget - 2026'!$B$5:$B$56,'CASA NEOS Overview '!D46)</f>
        <v>504292.48581203585</v>
      </c>
      <c r="H46" s="247">
        <f t="shared" si="0"/>
        <v>-0.23344909774427203</v>
      </c>
      <c r="I46" s="194"/>
      <c r="J46" s="239">
        <f>SUMIFS('Budget - 2026'!$CI$5:$CI$56,'Budget - 2026'!$B$5:$B$56,'CASA NEOS Overview '!D46)</f>
        <v>493511.75</v>
      </c>
      <c r="K46" s="251">
        <f t="shared" si="7"/>
        <v>-0.21670383734531146</v>
      </c>
      <c r="L46" s="194"/>
      <c r="M46" s="239">
        <f>SUMIFS('Actual - 2026'!$AO$5:$AO$56,'Actual - 2026'!$A$5:$A$56,'MILA 2F - Overview'!D46)</f>
        <v>323010.56</v>
      </c>
      <c r="N46" s="233">
        <f>SUMIFS('Budget - 2026'!$BW$5:$BW$56,'Budget - 2026'!$B$5:$B$56,'MILA 2F - Overview'!D46)</f>
        <v>333261.78221510875</v>
      </c>
      <c r="O46" s="240">
        <f>SUMIFS('Budget - 2026'!$CF$5:$CF$56,'Budget - 2026'!$B$5:$B$56,'MILA 2F - Overview'!D46)</f>
        <v>372869.14999999997</v>
      </c>
      <c r="P46" s="239">
        <f>SUMIFS('Actual - 2026'!$AL$5:$AL$56,'Actual - 2026'!$A$5:$A$56,'MILA 2F - Overview'!D46)</f>
        <v>63555.3</v>
      </c>
      <c r="Q46" s="233">
        <f>SUMIFS('Budget - 2026'!$BT$5:$BT$56,'Budget - 2026'!$B$5:$B$56,'MILA 2F - Overview'!D46)</f>
        <v>171030.70359692711</v>
      </c>
      <c r="R46" s="240">
        <f>SUMIFS('Budget - 2026'!$CC$5:$CC$56,'Budget - 2026'!$B$5:$B$56,'MILA 2F - Overview'!D46)</f>
        <v>120642.6</v>
      </c>
    </row>
    <row r="47" spans="4:18" s="108" customFormat="1" ht="22.15" customHeight="1">
      <c r="D47" s="227" t="s">
        <v>259</v>
      </c>
      <c r="E47" s="194"/>
      <c r="F47" s="241">
        <f>SUM(F43:F46)</f>
        <v>1654780.06</v>
      </c>
      <c r="G47" s="228">
        <f>SUM(G43:G46)</f>
        <v>1862023.53</v>
      </c>
      <c r="H47" s="248">
        <f t="shared" si="0"/>
        <v>-0.11130013485919803</v>
      </c>
      <c r="I47" s="194"/>
      <c r="J47" s="241">
        <f>SUM(J43:J46)</f>
        <v>1864831.0699999998</v>
      </c>
      <c r="K47" s="248">
        <f>(F47-J47)/J47</f>
        <v>-0.11263809005498809</v>
      </c>
      <c r="L47" s="194"/>
      <c r="M47" s="241">
        <f t="shared" ref="M47:R47" si="10">SUM(M43:M46)</f>
        <v>1343847.7</v>
      </c>
      <c r="N47" s="228">
        <f t="shared" si="10"/>
        <v>1302643.0985106789</v>
      </c>
      <c r="O47" s="242">
        <f t="shared" si="10"/>
        <v>1461085.41</v>
      </c>
      <c r="P47" s="241">
        <f t="shared" si="10"/>
        <v>310932.36</v>
      </c>
      <c r="Q47" s="228">
        <f t="shared" si="10"/>
        <v>559380.43148932094</v>
      </c>
      <c r="R47" s="242">
        <f t="shared" si="10"/>
        <v>403745.66000000003</v>
      </c>
    </row>
    <row r="48" spans="4:18" s="108" customFormat="1" ht="22.15" customHeight="1">
      <c r="D48" s="193" t="s">
        <v>171</v>
      </c>
      <c r="E48" s="194"/>
      <c r="F48" s="239">
        <f>SUMIFS('Actual - 2026'!$AR$5:$AR$56,'Actual - 2026'!$A$5:$A$56,'CASA NEOS Overview '!D48)</f>
        <v>0</v>
      </c>
      <c r="G48" s="233">
        <f>SUMIFS('Budget - 2026'!$BZ$5:$BZ$56,'Budget - 2026'!$B$5:$B$56,'CASA NEOS Overview '!D48)</f>
        <v>568272.82789967558</v>
      </c>
      <c r="H48" s="247">
        <f t="shared" si="0"/>
        <v>-1</v>
      </c>
      <c r="I48" s="194"/>
      <c r="J48" s="239">
        <f>SUMIFS('Budget - 2026'!$CI$5:$CI$56,'Budget - 2026'!$B$5:$B$56,'CASA NEOS Overview '!D48)</f>
        <v>554626.54</v>
      </c>
      <c r="K48" s="251">
        <f t="shared" si="7"/>
        <v>-1</v>
      </c>
      <c r="L48" s="194"/>
      <c r="M48" s="239">
        <f>SUMIFS('Actual - 2026'!$AO$5:$AO$56,'Actual - 2026'!$A$5:$A$56,'MILA 2F - Overview'!D48)</f>
        <v>0</v>
      </c>
      <c r="N48" s="233">
        <f>SUMIFS('Budget - 2026'!$BW$5:$BW$56,'Budget - 2026'!$B$5:$B$56,'MILA 2F - Overview'!D48)</f>
        <v>391369.3658978584</v>
      </c>
      <c r="O48" s="240">
        <f>SUMIFS('Budget - 2026'!$CF$5:$CF$56,'Budget - 2026'!$B$5:$B$56,'MILA 2F - Overview'!D48)</f>
        <v>445934.45000000007</v>
      </c>
      <c r="P48" s="239">
        <f>SUMIFS('Actual - 2026'!$AL$5:$AL$56,'Actual - 2026'!$A$5:$A$56,'MILA 2F - Overview'!D48)</f>
        <v>0</v>
      </c>
      <c r="Q48" s="233">
        <f>SUMIFS('Budget - 2026'!$BT$5:$BT$56,'Budget - 2026'!$B$5:$B$56,'MILA 2F - Overview'!D48)</f>
        <v>176903.46200181716</v>
      </c>
      <c r="R48" s="240">
        <f>SUMIFS('Budget - 2026'!$CC$5:$CC$56,'Budget - 2026'!$B$5:$B$56,'MILA 2F - Overview'!D48)</f>
        <v>108692.09</v>
      </c>
    </row>
    <row r="49" spans="4:21" s="108" customFormat="1" ht="22.15" customHeight="1">
      <c r="D49" s="193" t="s">
        <v>172</v>
      </c>
      <c r="E49" s="194"/>
      <c r="F49" s="239">
        <f>SUMIFS('Actual - 2026'!$AR$5:$AR$56,'Actual - 2026'!$A$5:$A$56,'CASA NEOS Overview '!D49)</f>
        <v>0</v>
      </c>
      <c r="G49" s="233">
        <f>SUMIFS('Budget - 2026'!$BZ$5:$BZ$56,'Budget - 2026'!$B$5:$B$56,'CASA NEOS Overview '!D49)</f>
        <v>423978.93737128301</v>
      </c>
      <c r="H49" s="247">
        <f t="shared" si="0"/>
        <v>-1</v>
      </c>
      <c r="I49" s="194"/>
      <c r="J49" s="239">
        <f>SUMIFS('Budget - 2026'!$CI$5:$CI$56,'Budget - 2026'!$B$5:$B$56,'CASA NEOS Overview '!D49)</f>
        <v>397557.26</v>
      </c>
      <c r="K49" s="251">
        <f t="shared" si="7"/>
        <v>-1</v>
      </c>
      <c r="L49" s="194"/>
      <c r="M49" s="239">
        <f>SUMIFS('Actual - 2026'!$AO$5:$AO$56,'Actual - 2026'!$A$5:$A$56,'MILA 2F - Overview'!D49)</f>
        <v>0</v>
      </c>
      <c r="N49" s="233">
        <f>SUMIFS('Budget - 2026'!$BW$5:$BW$56,'Budget - 2026'!$B$5:$B$56,'MILA 2F - Overview'!D49)</f>
        <v>264554.46443969611</v>
      </c>
      <c r="O49" s="240">
        <f>SUMIFS('Budget - 2026'!$CF$5:$CF$56,'Budget - 2026'!$B$5:$B$56,'MILA 2F - Overview'!D49)</f>
        <v>292768.96000000002</v>
      </c>
      <c r="P49" s="239">
        <f>SUMIFS('Actual - 2026'!$AL$5:$AL$56,'Actual - 2026'!$A$5:$A$56,'MILA 2F - Overview'!D49)</f>
        <v>0</v>
      </c>
      <c r="Q49" s="233">
        <f>SUMIFS('Budget - 2026'!$BT$5:$BT$56,'Budget - 2026'!$B$5:$B$56,'MILA 2F - Overview'!D49)</f>
        <v>159424.4729315869</v>
      </c>
      <c r="R49" s="240">
        <f>SUMIFS('Budget - 2026'!$CC$5:$CC$56,'Budget - 2026'!$B$5:$B$56,'MILA 2F - Overview'!D49)</f>
        <v>104788.3</v>
      </c>
    </row>
    <row r="50" spans="4:21" s="108" customFormat="1" ht="22.15" customHeight="1">
      <c r="D50" s="193" t="s">
        <v>173</v>
      </c>
      <c r="E50" s="194"/>
      <c r="F50" s="239">
        <f>SUMIFS('Actual - 2026'!$AR$5:$AR$56,'Actual - 2026'!$A$5:$A$56,'CASA NEOS Overview '!D50)</f>
        <v>0</v>
      </c>
      <c r="G50" s="233">
        <f>SUMIFS('Budget - 2026'!$BZ$5:$BZ$56,'Budget - 2026'!$B$5:$B$56,'CASA NEOS Overview '!D50)</f>
        <v>516573.18886320991</v>
      </c>
      <c r="H50" s="247">
        <f t="shared" si="0"/>
        <v>-1</v>
      </c>
      <c r="I50" s="194"/>
      <c r="J50" s="239">
        <f>SUMIFS('Budget - 2026'!$CI$5:$CI$56,'Budget - 2026'!$B$5:$B$56,'CASA NEOS Overview '!D50)</f>
        <v>481710.5</v>
      </c>
      <c r="K50" s="251">
        <f t="shared" si="7"/>
        <v>-1</v>
      </c>
      <c r="L50" s="194"/>
      <c r="M50" s="239">
        <f>SUMIFS('Actual - 2026'!$AO$5:$AO$56,'Actual - 2026'!$A$5:$A$56,'MILA 2F - Overview'!D50)</f>
        <v>0</v>
      </c>
      <c r="N50" s="233">
        <f>SUMIFS('Budget - 2026'!$BW$5:$BW$56,'Budget - 2026'!$B$5:$B$56,'MILA 2F - Overview'!D50)</f>
        <v>356530.21299536363</v>
      </c>
      <c r="O50" s="240">
        <f>SUMIFS('Budget - 2026'!$CF$5:$CF$56,'Budget - 2026'!$B$5:$B$56,'MILA 2F - Overview'!D50)</f>
        <v>385642.85</v>
      </c>
      <c r="P50" s="239">
        <f>SUMIFS('Actual - 2026'!$AL$5:$AL$56,'Actual - 2026'!$A$5:$A$56,'MILA 2F - Overview'!D50)</f>
        <v>0</v>
      </c>
      <c r="Q50" s="233">
        <f>SUMIFS('Budget - 2026'!$BT$5:$BT$56,'Budget - 2026'!$B$5:$B$56,'MILA 2F - Overview'!D50)</f>
        <v>160042.97586784631</v>
      </c>
      <c r="R50" s="240">
        <f>SUMIFS('Budget - 2026'!$CC$5:$CC$56,'Budget - 2026'!$B$5:$B$56,'MILA 2F - Overview'!D50)</f>
        <v>96067.65</v>
      </c>
    </row>
    <row r="51" spans="4:21" s="108" customFormat="1" ht="22.15" customHeight="1">
      <c r="D51" s="193" t="s">
        <v>174</v>
      </c>
      <c r="E51" s="194"/>
      <c r="F51" s="239">
        <f>SUMIFS('Actual - 2026'!$AR$5:$AR$56,'Actual - 2026'!$A$5:$A$56,'CASA NEOS Overview '!D51)</f>
        <v>0</v>
      </c>
      <c r="G51" s="233">
        <f>SUMIFS('Budget - 2026'!$BZ$5:$BZ$56,'Budget - 2026'!$B$5:$B$56,'CASA NEOS Overview '!D51)</f>
        <v>471579.57080375077</v>
      </c>
      <c r="H51" s="247">
        <f t="shared" si="0"/>
        <v>-1</v>
      </c>
      <c r="I51" s="194"/>
      <c r="J51" s="239">
        <f>SUMIFS('Budget - 2026'!$CI$5:$CI$56,'Budget - 2026'!$B$5:$B$56,'CASA NEOS Overview '!D51)</f>
        <v>502088.24</v>
      </c>
      <c r="K51" s="251">
        <f t="shared" si="7"/>
        <v>-1</v>
      </c>
      <c r="L51" s="194"/>
      <c r="M51" s="239">
        <f>SUMIFS('Actual - 2026'!$AO$5:$AO$56,'Actual - 2026'!$A$5:$A$56,'MILA 2F - Overview'!D51)</f>
        <v>0</v>
      </c>
      <c r="N51" s="233">
        <f>SUMIFS('Budget - 2026'!$BW$5:$BW$56,'Budget - 2026'!$B$5:$B$56,'MILA 2F - Overview'!D51)</f>
        <v>323720.04244637571</v>
      </c>
      <c r="O51" s="240">
        <f>SUMIFS('Budget - 2026'!$CF$5:$CF$56,'Budget - 2026'!$B$5:$B$56,'MILA 2F - Overview'!D51)</f>
        <v>395650.34</v>
      </c>
      <c r="P51" s="239">
        <f>SUMIFS('Actual - 2026'!$AL$5:$AL$56,'Actual - 2026'!$A$5:$A$56,'MILA 2F - Overview'!D51)</f>
        <v>0</v>
      </c>
      <c r="Q51" s="233">
        <f>SUMIFS('Budget - 2026'!$BT$5:$BT$56,'Budget - 2026'!$B$5:$B$56,'MILA 2F - Overview'!D51)</f>
        <v>147859.52835737509</v>
      </c>
      <c r="R51" s="240">
        <f>SUMIFS('Budget - 2026'!$CC$5:$CC$56,'Budget - 2026'!$B$5:$B$56,'MILA 2F - Overview'!D51)</f>
        <v>106437.9</v>
      </c>
      <c r="U51" s="258">
        <f>F51-G51</f>
        <v>-471579.57080375077</v>
      </c>
    </row>
    <row r="52" spans="4:21" s="108" customFormat="1" ht="22.15" customHeight="1">
      <c r="D52" s="193" t="s">
        <v>175</v>
      </c>
      <c r="E52" s="194"/>
      <c r="F52" s="239">
        <f>SUMIFS('Actual - 2026'!$AR$5:$AR$56,'Actual - 2026'!$A$5:$A$56,'CASA NEOS Overview '!D52)</f>
        <v>0</v>
      </c>
      <c r="G52" s="233">
        <f>SUMIFS('Budget - 2026'!$BZ$5:$BZ$56,'Budget - 2026'!$B$5:$B$56,'CASA NEOS Overview '!D52)</f>
        <v>520902.52506208071</v>
      </c>
      <c r="H52" s="247">
        <f t="shared" si="0"/>
        <v>-1</v>
      </c>
      <c r="I52" s="194"/>
      <c r="J52" s="239">
        <f>SUMIFS('Budget - 2026'!$CI$5:$CI$56,'Budget - 2026'!$B$5:$B$56,'CASA NEOS Overview '!D52)</f>
        <v>516060.21</v>
      </c>
      <c r="K52" s="251">
        <f t="shared" si="7"/>
        <v>-1</v>
      </c>
      <c r="L52" s="194"/>
      <c r="M52" s="239">
        <f>SUMIFS('Actual - 2026'!$AO$5:$AO$56,'Actual - 2026'!$A$5:$A$56,'MILA 2F - Overview'!D52)</f>
        <v>0</v>
      </c>
      <c r="N52" s="233">
        <f>SUMIFS('Budget - 2026'!$BW$5:$BW$56,'Budget - 2026'!$B$5:$B$56,'MILA 2F - Overview'!D52)</f>
        <v>354474.96630846127</v>
      </c>
      <c r="O52" s="240">
        <f>SUMIFS('Budget - 2026'!$CF$5:$CF$56,'Budget - 2026'!$B$5:$B$56,'MILA 2F - Overview'!D52)</f>
        <v>420977.9</v>
      </c>
      <c r="P52" s="239">
        <f>SUMIFS('Actual - 2026'!$AL$5:$AL$56,'Actual - 2026'!$A$5:$A$56,'MILA 2F - Overview'!D52)</f>
        <v>0</v>
      </c>
      <c r="Q52" s="233">
        <f>SUMIFS('Budget - 2026'!$BT$5:$BT$56,'Budget - 2026'!$B$5:$B$56,'MILA 2F - Overview'!D52)</f>
        <v>166427.55875361947</v>
      </c>
      <c r="R52" s="240">
        <f>SUMIFS('Budget - 2026'!$CC$5:$CC$56,'Budget - 2026'!$B$5:$B$56,'MILA 2F - Overview'!D52)</f>
        <v>95082.31</v>
      </c>
    </row>
    <row r="53" spans="4:21" s="108" customFormat="1" ht="22.15" customHeight="1">
      <c r="D53" s="227" t="s">
        <v>260</v>
      </c>
      <c r="E53" s="194"/>
      <c r="F53" s="241">
        <f>SUM(F48:F52)</f>
        <v>0</v>
      </c>
      <c r="G53" s="228">
        <f>SUM(G48:G52)</f>
        <v>2501307.0499999998</v>
      </c>
      <c r="H53" s="248">
        <f t="shared" si="0"/>
        <v>-1</v>
      </c>
      <c r="I53" s="194"/>
      <c r="J53" s="241">
        <f>SUM(J48:J52)</f>
        <v>2452042.75</v>
      </c>
      <c r="K53" s="248">
        <f>(F53-J53)/J53</f>
        <v>-1</v>
      </c>
      <c r="L53" s="194"/>
      <c r="M53" s="241">
        <f t="shared" ref="M53:R53" si="11">SUM(M48:M52)</f>
        <v>0</v>
      </c>
      <c r="N53" s="228">
        <f t="shared" si="11"/>
        <v>1690649.0520877552</v>
      </c>
      <c r="O53" s="242">
        <f t="shared" si="11"/>
        <v>1940974.5000000005</v>
      </c>
      <c r="P53" s="241">
        <f t="shared" si="11"/>
        <v>0</v>
      </c>
      <c r="Q53" s="228">
        <f t="shared" si="11"/>
        <v>810657.99791224487</v>
      </c>
      <c r="R53" s="242">
        <f t="shared" si="11"/>
        <v>511068.25000000006</v>
      </c>
    </row>
    <row r="54" spans="4:21" s="108" customFormat="1" ht="22.15" customHeight="1">
      <c r="D54" s="193" t="s">
        <v>177</v>
      </c>
      <c r="E54" s="194"/>
      <c r="F54" s="239">
        <f>SUMIFS('Actual - 2026'!$AR$5:$AR$56,'Actual - 2026'!$A$5:$A$56,'CASA NEOS Overview '!D54)</f>
        <v>0</v>
      </c>
      <c r="G54" s="233">
        <f>SUMIFS('Budget - 2026'!$BZ$5:$BZ$56,'Budget - 2026'!$B$5:$B$56,'CASA NEOS Overview '!D54)</f>
        <v>492025.59830495931</v>
      </c>
      <c r="H54" s="247">
        <f t="shared" si="0"/>
        <v>-1</v>
      </c>
      <c r="I54" s="194"/>
      <c r="J54" s="239">
        <f>SUMIFS('Budget - 2026'!$CI$5:$CI$56,'Budget - 2026'!$B$5:$B$56,'CASA NEOS Overview '!D54)</f>
        <v>491620.20999999996</v>
      </c>
      <c r="K54" s="251">
        <f t="shared" si="7"/>
        <v>-1</v>
      </c>
      <c r="L54" s="194"/>
      <c r="M54" s="239">
        <f>SUMIFS('Actual - 2026'!$AO$5:$AO$56,'Actual - 2026'!$A$5:$A$56,'MILA 2F - Overview'!D54)</f>
        <v>0</v>
      </c>
      <c r="N54" s="233">
        <f>SUMIFS('Budget - 2026'!$BW$5:$BW$56,'Budget - 2026'!$B$5:$B$56,'MILA 2F - Overview'!D54)</f>
        <v>332959.81029947801</v>
      </c>
      <c r="O54" s="240">
        <f>SUMIFS('Budget - 2026'!$CF$5:$CF$56,'Budget - 2026'!$B$5:$B$56,'MILA 2F - Overview'!D54)</f>
        <v>358228.66</v>
      </c>
      <c r="P54" s="239">
        <f>SUMIFS('Actual - 2026'!$AL$5:$AL$56,'Actual - 2026'!$A$5:$A$56,'MILA 2F - Overview'!D54)</f>
        <v>0</v>
      </c>
      <c r="Q54" s="233">
        <f>SUMIFS('Budget - 2026'!$BT$5:$BT$56,'Budget - 2026'!$B$5:$B$56,'MILA 2F - Overview'!D54)</f>
        <v>159065.7880054813</v>
      </c>
      <c r="R54" s="240">
        <f>SUMIFS('Budget - 2026'!$CC$5:$CC$56,'Budget - 2026'!$B$5:$B$56,'MILA 2F - Overview'!D54)</f>
        <v>133391.54999999999</v>
      </c>
    </row>
    <row r="55" spans="4:21" s="108" customFormat="1" ht="22.15" customHeight="1">
      <c r="D55" s="193" t="s">
        <v>178</v>
      </c>
      <c r="E55" s="194"/>
      <c r="F55" s="239">
        <f>SUMIFS('Actual - 2026'!$AR$5:$AR$56,'Actual - 2026'!$A$5:$A$56,'CASA NEOS Overview '!D55)</f>
        <v>0</v>
      </c>
      <c r="G55" s="233">
        <f>SUMIFS('Budget - 2026'!$BZ$5:$BZ$56,'Budget - 2026'!$B$5:$B$56,'CASA NEOS Overview '!D55)</f>
        <v>513721.50596077408</v>
      </c>
      <c r="H55" s="247">
        <f t="shared" si="0"/>
        <v>-1</v>
      </c>
      <c r="I55" s="194"/>
      <c r="J55" s="239">
        <f>SUMIFS('Budget - 2026'!$CI$5:$CI$56,'Budget - 2026'!$B$5:$B$56,'CASA NEOS Overview '!D55)</f>
        <v>495789.84</v>
      </c>
      <c r="K55" s="251">
        <f t="shared" si="7"/>
        <v>-1</v>
      </c>
      <c r="L55" s="194"/>
      <c r="M55" s="239">
        <f>SUMIFS('Actual - 2026'!$AO$5:$AO$56,'Actual - 2026'!$A$5:$A$56,'MILA 2F - Overview'!D55)</f>
        <v>0</v>
      </c>
      <c r="N55" s="233">
        <f>SUMIFS('Budget - 2026'!$BW$5:$BW$56,'Budget - 2026'!$B$5:$B$56,'MILA 2F - Overview'!D55)</f>
        <v>345361.16603506758</v>
      </c>
      <c r="O55" s="240">
        <f>SUMIFS('Budget - 2026'!$CF$5:$CF$56,'Budget - 2026'!$B$5:$B$56,'MILA 2F - Overview'!D55)</f>
        <v>379896.64</v>
      </c>
      <c r="P55" s="239">
        <f>SUMIFS('Actual - 2026'!$AL$5:$AL$56,'Actual - 2026'!$A$5:$A$56,'MILA 2F - Overview'!D55)</f>
        <v>0</v>
      </c>
      <c r="Q55" s="233">
        <f>SUMIFS('Budget - 2026'!$BT$5:$BT$56,'Budget - 2026'!$B$5:$B$56,'MILA 2F - Overview'!D55)</f>
        <v>168360.3399257065</v>
      </c>
      <c r="R55" s="240">
        <f>SUMIFS('Budget - 2026'!$CC$5:$CC$56,'Budget - 2026'!$B$5:$B$56,'MILA 2F - Overview'!D55)</f>
        <v>115893.2</v>
      </c>
    </row>
    <row r="56" spans="4:21" s="108" customFormat="1" ht="22.15" customHeight="1">
      <c r="D56" s="193" t="s">
        <v>179</v>
      </c>
      <c r="E56" s="194"/>
      <c r="F56" s="239">
        <f>SUMIFS('Actual - 2026'!$AR$5:$AR$56,'Actual - 2026'!$A$5:$A$56,'CASA NEOS Overview '!D56)</f>
        <v>0</v>
      </c>
      <c r="G56" s="233">
        <f>SUMIFS('Budget - 2026'!$BZ$5:$BZ$56,'Budget - 2026'!$B$5:$B$56,'CASA NEOS Overview '!D56)</f>
        <v>495067.09928503947</v>
      </c>
      <c r="H56" s="247">
        <f t="shared" si="0"/>
        <v>-1</v>
      </c>
      <c r="I56" s="194"/>
      <c r="J56" s="239">
        <f>SUMIFS('Budget - 2026'!$CI$5:$CI$56,'Budget - 2026'!$B$5:$B$56,'CASA NEOS Overview '!D56)</f>
        <v>481493.53</v>
      </c>
      <c r="K56" s="251">
        <f t="shared" si="7"/>
        <v>-1</v>
      </c>
      <c r="L56" s="194"/>
      <c r="M56" s="239">
        <f>SUMIFS('Actual - 2026'!$AO$5:$AO$56,'Actual - 2026'!$A$5:$A$56,'MILA 2F - Overview'!D56)</f>
        <v>0</v>
      </c>
      <c r="N56" s="233">
        <f>SUMIFS('Budget - 2026'!$BW$5:$BW$56,'Budget - 2026'!$B$5:$B$56,'MILA 2F - Overview'!D56)</f>
        <v>344172.89238559187</v>
      </c>
      <c r="O56" s="240">
        <f>SUMIFS('Budget - 2026'!$CF$5:$CF$56,'Budget - 2026'!$B$5:$B$56,'MILA 2F - Overview'!D56)</f>
        <v>375824.78</v>
      </c>
      <c r="P56" s="239">
        <f>SUMIFS('Actual - 2026'!$AL$5:$AL$56,'Actual - 2026'!$A$5:$A$56,'MILA 2F - Overview'!D56)</f>
        <v>0</v>
      </c>
      <c r="Q56" s="233">
        <f>SUMIFS('Budget - 2026'!$BT$5:$BT$56,'Budget - 2026'!$B$5:$B$56,'MILA 2F - Overview'!D56)</f>
        <v>150894.20689944763</v>
      </c>
      <c r="R56" s="240">
        <f>SUMIFS('Budget - 2026'!$CC$5:$CC$56,'Budget - 2026'!$B$5:$B$56,'MILA 2F - Overview'!D56)</f>
        <v>105668.75</v>
      </c>
    </row>
    <row r="57" spans="4:21" s="108" customFormat="1" ht="22.15" customHeight="1">
      <c r="D57" s="193" t="s">
        <v>180</v>
      </c>
      <c r="E57" s="194"/>
      <c r="F57" s="239">
        <f>SUMIFS('Actual - 2026'!$AR$5:$AR$56,'Actual - 2026'!$A$5:$A$56,'CASA NEOS Overview '!D57)</f>
        <v>0</v>
      </c>
      <c r="G57" s="233">
        <f>SUMIFS('Budget - 2026'!$BZ$5:$BZ$56,'Budget - 2026'!$B$5:$B$56,'CASA NEOS Overview '!D57)</f>
        <v>516280.08644922706</v>
      </c>
      <c r="H57" s="247">
        <f t="shared" si="0"/>
        <v>-1</v>
      </c>
      <c r="I57" s="194"/>
      <c r="J57" s="239">
        <f>SUMIFS('Budget - 2026'!$CI$5:$CI$56,'Budget - 2026'!$B$5:$B$56,'CASA NEOS Overview '!D57)</f>
        <v>546493.87</v>
      </c>
      <c r="K57" s="251">
        <f t="shared" si="7"/>
        <v>-1</v>
      </c>
      <c r="L57" s="194"/>
      <c r="M57" s="239">
        <f>SUMIFS('Actual - 2026'!$AO$5:$AO$56,'Actual - 2026'!$A$5:$A$56,'MILA 2F - Overview'!D57)</f>
        <v>0</v>
      </c>
      <c r="N57" s="233">
        <f>SUMIFS('Budget - 2026'!$BW$5:$BW$56,'Budget - 2026'!$B$5:$B$56,'MILA 2F - Overview'!D57)</f>
        <v>375486.87870369526</v>
      </c>
      <c r="O57" s="240">
        <f>SUMIFS('Budget - 2026'!$CF$5:$CF$56,'Budget - 2026'!$B$5:$B$56,'MILA 2F - Overview'!D57)</f>
        <v>438548.37</v>
      </c>
      <c r="P57" s="239">
        <f>SUMIFS('Actual - 2026'!$AL$5:$AL$56,'Actual - 2026'!$A$5:$A$56,'MILA 2F - Overview'!D57)</f>
        <v>0</v>
      </c>
      <c r="Q57" s="233">
        <f>SUMIFS('Budget - 2026'!$BT$5:$BT$56,'Budget - 2026'!$B$5:$B$56,'MILA 2F - Overview'!D57)</f>
        <v>140793.20774553181</v>
      </c>
      <c r="R57" s="240">
        <f>SUMIFS('Budget - 2026'!$CC$5:$CC$56,'Budget - 2026'!$B$5:$B$56,'MILA 2F - Overview'!D57)</f>
        <v>107945.5</v>
      </c>
    </row>
    <row r="58" spans="4:21" s="108" customFormat="1" ht="22.15" customHeight="1">
      <c r="D58" s="227" t="s">
        <v>261</v>
      </c>
      <c r="E58" s="194"/>
      <c r="F58" s="241">
        <f>SUM(F54:F57)</f>
        <v>0</v>
      </c>
      <c r="G58" s="228">
        <f>SUM(G54:G57)</f>
        <v>2017094.2899999998</v>
      </c>
      <c r="H58" s="248">
        <f t="shared" si="0"/>
        <v>-1</v>
      </c>
      <c r="I58" s="194"/>
      <c r="J58" s="241">
        <f>SUM(J54:J57)</f>
        <v>2015397.4500000002</v>
      </c>
      <c r="K58" s="248">
        <f>(F58-J58)/J58</f>
        <v>-1</v>
      </c>
      <c r="L58" s="194"/>
      <c r="M58" s="241">
        <f t="shared" ref="M58:R58" si="12">SUM(M54:M57)</f>
        <v>0</v>
      </c>
      <c r="N58" s="228">
        <f t="shared" si="12"/>
        <v>1397980.7474238328</v>
      </c>
      <c r="O58" s="242">
        <f t="shared" si="12"/>
        <v>1552498.4500000002</v>
      </c>
      <c r="P58" s="241">
        <f t="shared" si="12"/>
        <v>0</v>
      </c>
      <c r="Q58" s="228">
        <f t="shared" si="12"/>
        <v>619113.54257616727</v>
      </c>
      <c r="R58" s="242">
        <f t="shared" si="12"/>
        <v>462899</v>
      </c>
    </row>
    <row r="59" spans="4:21" s="108" customFormat="1" ht="22.15" customHeight="1">
      <c r="D59" s="193" t="s">
        <v>183</v>
      </c>
      <c r="E59" s="194"/>
      <c r="F59" s="239">
        <f>SUMIFS('Actual - 2026'!$AR$5:$AR$56,'Actual - 2026'!$A$5:$A$56,'CASA NEOS Overview '!D59)</f>
        <v>0</v>
      </c>
      <c r="G59" s="233">
        <f>SUMIFS('Budget - 2026'!$BZ$5:$BZ$56,'Budget - 2026'!$B$5:$B$56,'CASA NEOS Overview '!D59)</f>
        <v>511443.03862905613</v>
      </c>
      <c r="H59" s="247">
        <f t="shared" si="0"/>
        <v>-1</v>
      </c>
      <c r="I59" s="194"/>
      <c r="J59" s="239">
        <f>SUMIFS('Budget - 2026'!$CI$5:$CI$56,'Budget - 2026'!$B$5:$B$56,'CASA NEOS Overview '!D59)</f>
        <v>478851.26999999996</v>
      </c>
      <c r="K59" s="251">
        <f t="shared" si="7"/>
        <v>-1</v>
      </c>
      <c r="L59" s="194"/>
      <c r="M59" s="239">
        <f>SUMIFS('Actual - 2026'!$AO$5:$AO$56,'Actual - 2026'!$A$5:$A$56,'MILA 2F - Overview'!D59)</f>
        <v>0</v>
      </c>
      <c r="N59" s="233">
        <f>SUMIFS('Budget - 2026'!$BW$5:$BW$56,'Budget - 2026'!$B$5:$B$56,'MILA 2F - Overview'!D59)</f>
        <v>364694.55273300654</v>
      </c>
      <c r="O59" s="240">
        <f>SUMIFS('Budget - 2026'!$CF$5:$CF$56,'Budget - 2026'!$B$5:$B$56,'MILA 2F - Overview'!D59)</f>
        <v>388107.01999999996</v>
      </c>
      <c r="P59" s="239">
        <f>SUMIFS('Actual - 2026'!$AL$5:$AL$56,'Actual - 2026'!$A$5:$A$56,'MILA 2F - Overview'!D59)</f>
        <v>0</v>
      </c>
      <c r="Q59" s="233">
        <f>SUMIFS('Budget - 2026'!$BT$5:$BT$56,'Budget - 2026'!$B$5:$B$56,'MILA 2F - Overview'!D59)</f>
        <v>146748.48589604959</v>
      </c>
      <c r="R59" s="240">
        <f>SUMIFS('Budget - 2026'!$CC$5:$CC$56,'Budget - 2026'!$B$5:$B$56,'MILA 2F - Overview'!D59)</f>
        <v>90744.25</v>
      </c>
    </row>
    <row r="60" spans="4:21" s="108" customFormat="1" ht="22.15" customHeight="1">
      <c r="D60" s="193" t="s">
        <v>184</v>
      </c>
      <c r="E60" s="194"/>
      <c r="F60" s="239">
        <f>SUMIFS('Actual - 2026'!$AR$5:$AR$56,'Actual - 2026'!$A$5:$A$56,'CASA NEOS Overview '!D60)</f>
        <v>0</v>
      </c>
      <c r="G60" s="233">
        <f>SUMIFS('Budget - 2026'!$BZ$5:$BZ$56,'Budget - 2026'!$B$5:$B$56,'CASA NEOS Overview '!D60)</f>
        <v>686587.44580386463</v>
      </c>
      <c r="H60" s="247">
        <f t="shared" si="0"/>
        <v>-1</v>
      </c>
      <c r="I60" s="194"/>
      <c r="J60" s="239">
        <f>SUMIFS('Budget - 2026'!$CI$5:$CI$56,'Budget - 2026'!$B$5:$B$56,'CASA NEOS Overview '!D60)</f>
        <v>701313</v>
      </c>
      <c r="K60" s="251">
        <f t="shared" si="7"/>
        <v>-1</v>
      </c>
      <c r="L60" s="194"/>
      <c r="M60" s="239">
        <f>SUMIFS('Actual - 2026'!$AO$5:$AO$56,'Actual - 2026'!$A$5:$A$56,'MILA 2F - Overview'!D60)</f>
        <v>0</v>
      </c>
      <c r="N60" s="233">
        <f>SUMIFS('Budget - 2026'!$BW$5:$BW$56,'Budget - 2026'!$B$5:$B$56,'MILA 2F - Overview'!D60)</f>
        <v>497707.7418952015</v>
      </c>
      <c r="O60" s="240">
        <f>SUMIFS('Budget - 2026'!$CF$5:$CF$56,'Budget - 2026'!$B$5:$B$56,'MILA 2F - Overview'!D60)</f>
        <v>573603</v>
      </c>
      <c r="P60" s="239">
        <f>SUMIFS('Actual - 2026'!$AL$5:$AL$56,'Actual - 2026'!$A$5:$A$56,'MILA 2F - Overview'!D60)</f>
        <v>0</v>
      </c>
      <c r="Q60" s="233">
        <f>SUMIFS('Budget - 2026'!$BT$5:$BT$56,'Budget - 2026'!$B$5:$B$56,'MILA 2F - Overview'!D60)</f>
        <v>188879.70390866313</v>
      </c>
      <c r="R60" s="240">
        <f>SUMIFS('Budget - 2026'!$CC$5:$CC$56,'Budget - 2026'!$B$5:$B$56,'MILA 2F - Overview'!D60)</f>
        <v>127710</v>
      </c>
    </row>
    <row r="61" spans="4:21" s="108" customFormat="1" ht="22.15" customHeight="1">
      <c r="D61" s="193" t="s">
        <v>185</v>
      </c>
      <c r="E61" s="194"/>
      <c r="F61" s="239">
        <f>SUMIFS('Actual - 2026'!$AR$5:$AR$56,'Actual - 2026'!$A$5:$A$56,'CASA NEOS Overview '!D61)</f>
        <v>0</v>
      </c>
      <c r="G61" s="233">
        <f>SUMIFS('Budget - 2026'!$BZ$5:$BZ$56,'Budget - 2026'!$B$5:$B$56,'CASA NEOS Overview '!D61)</f>
        <v>653297.57638174773</v>
      </c>
      <c r="H61" s="247">
        <f t="shared" si="0"/>
        <v>-1</v>
      </c>
      <c r="I61" s="194"/>
      <c r="J61" s="239">
        <f>SUMIFS('Budget - 2026'!$CI$5:$CI$56,'Budget - 2026'!$B$5:$B$56,'CASA NEOS Overview '!D61)</f>
        <v>695546.25</v>
      </c>
      <c r="K61" s="251">
        <f t="shared" si="7"/>
        <v>-1</v>
      </c>
      <c r="L61" s="194"/>
      <c r="M61" s="239">
        <f>SUMIFS('Actual - 2026'!$AO$5:$AO$56,'Actual - 2026'!$A$5:$A$56,'MILA 2F - Overview'!D61)</f>
        <v>0</v>
      </c>
      <c r="N61" s="233">
        <f>SUMIFS('Budget - 2026'!$BW$5:$BW$56,'Budget - 2026'!$B$5:$B$56,'MILA 2F - Overview'!D61)</f>
        <v>441545.20066572976</v>
      </c>
      <c r="O61" s="240">
        <f>SUMIFS('Budget - 2026'!$CF$5:$CF$56,'Budget - 2026'!$B$5:$B$56,'MILA 2F - Overview'!D61)</f>
        <v>490803.6</v>
      </c>
      <c r="P61" s="239">
        <f>SUMIFS('Actual - 2026'!$AL$5:$AL$56,'Actual - 2026'!$A$5:$A$56,'MILA 2F - Overview'!D61)</f>
        <v>0</v>
      </c>
      <c r="Q61" s="233">
        <f>SUMIFS('Budget - 2026'!$BT$5:$BT$56,'Budget - 2026'!$B$5:$B$56,'MILA 2F - Overview'!D61)</f>
        <v>211752.37571601794</v>
      </c>
      <c r="R61" s="240">
        <f>SUMIFS('Budget - 2026'!$CC$5:$CC$56,'Budget - 2026'!$B$5:$B$56,'MILA 2F - Overview'!D61)</f>
        <v>204742.65</v>
      </c>
    </row>
    <row r="62" spans="4:21" s="108" customFormat="1" ht="22.15" customHeight="1">
      <c r="D62" s="193" t="s">
        <v>186</v>
      </c>
      <c r="E62" s="194"/>
      <c r="F62" s="239">
        <f>SUMIFS('Actual - 2026'!$AR$5:$AR$56,'Actual - 2026'!$A$5:$A$56,'CASA NEOS Overview '!D62)</f>
        <v>0</v>
      </c>
      <c r="G62" s="233">
        <f>SUMIFS('Budget - 2026'!$BZ$5:$BZ$56,'Budget - 2026'!$B$5:$B$56,'CASA NEOS Overview '!D62)</f>
        <v>570157.8591853315</v>
      </c>
      <c r="H62" s="247">
        <f t="shared" si="0"/>
        <v>-1</v>
      </c>
      <c r="I62" s="194"/>
      <c r="J62" s="239">
        <f>SUMIFS('Budget - 2026'!$CI$5:$CI$56,'Budget - 2026'!$B$5:$B$56,'CASA NEOS Overview '!D62)</f>
        <v>574889.39</v>
      </c>
      <c r="K62" s="251">
        <f t="shared" si="7"/>
        <v>-1</v>
      </c>
      <c r="L62" s="194"/>
      <c r="M62" s="239">
        <f>SUMIFS('Actual - 2026'!$AO$5:$AO$56,'Actual - 2026'!$A$5:$A$56,'MILA 2F - Overview'!D62)</f>
        <v>0</v>
      </c>
      <c r="N62" s="233">
        <f>SUMIFS('Budget - 2026'!$BW$5:$BW$56,'Budget - 2026'!$B$5:$B$56,'MILA 2F - Overview'!D62)</f>
        <v>383663.27991019376</v>
      </c>
      <c r="O62" s="240">
        <f>SUMIFS('Budget - 2026'!$CF$5:$CF$56,'Budget - 2026'!$B$5:$B$56,'MILA 2F - Overview'!D62)</f>
        <v>462498.49</v>
      </c>
      <c r="P62" s="239">
        <f>SUMIFS('Actual - 2026'!$AL$5:$AL$56,'Actual - 2026'!$A$5:$A$56,'MILA 2F - Overview'!D62)</f>
        <v>0</v>
      </c>
      <c r="Q62" s="233">
        <f>SUMIFS('Budget - 2026'!$BT$5:$BT$56,'Budget - 2026'!$B$5:$B$56,'MILA 2F - Overview'!D62)</f>
        <v>186494.57927513772</v>
      </c>
      <c r="R62" s="240">
        <f>SUMIFS('Budget - 2026'!$CC$5:$CC$56,'Budget - 2026'!$B$5:$B$56,'MILA 2F - Overview'!D62)</f>
        <v>112390.9</v>
      </c>
    </row>
    <row r="63" spans="4:21" s="108" customFormat="1" ht="22.15" customHeight="1">
      <c r="D63" s="227" t="s">
        <v>262</v>
      </c>
      <c r="E63" s="194"/>
      <c r="F63" s="241">
        <f>SUM(F59:F62)</f>
        <v>0</v>
      </c>
      <c r="G63" s="228">
        <f>SUM(G59:G62)</f>
        <v>2421485.92</v>
      </c>
      <c r="H63" s="248">
        <f t="shared" si="0"/>
        <v>-1</v>
      </c>
      <c r="I63" s="194"/>
      <c r="J63" s="241">
        <f>SUM(J59:J62)</f>
        <v>2450599.91</v>
      </c>
      <c r="K63" s="248">
        <f>(F63-J63)/J63</f>
        <v>-1</v>
      </c>
      <c r="L63" s="194"/>
      <c r="M63" s="241">
        <f t="shared" ref="M63:R63" si="13">SUM(M59:M62)</f>
        <v>0</v>
      </c>
      <c r="N63" s="228">
        <f t="shared" si="13"/>
        <v>1687610.7752041316</v>
      </c>
      <c r="O63" s="242">
        <f t="shared" si="13"/>
        <v>1915012.11</v>
      </c>
      <c r="P63" s="241">
        <f t="shared" si="13"/>
        <v>0</v>
      </c>
      <c r="Q63" s="228">
        <f t="shared" si="13"/>
        <v>733875.14479586843</v>
      </c>
      <c r="R63" s="242">
        <f t="shared" si="13"/>
        <v>535587.80000000005</v>
      </c>
    </row>
    <row r="64" spans="4:21" s="108" customFormat="1" ht="22.15" customHeight="1">
      <c r="D64" s="193" t="s">
        <v>189</v>
      </c>
      <c r="E64" s="194"/>
      <c r="F64" s="239">
        <f>SUMIFS('Actual - 2026'!$AR$5:$AR$56,'Actual - 2026'!$A$5:$A$56,'CASA NEOS Overview '!D64)</f>
        <v>0</v>
      </c>
      <c r="G64" s="233">
        <f>SUMIFS('Budget - 2026'!$BZ$5:$BZ$56,'Budget - 2026'!$B$5:$B$56,'CASA NEOS Overview '!D64)</f>
        <v>465020.19</v>
      </c>
      <c r="H64" s="247">
        <f t="shared" si="0"/>
        <v>-1</v>
      </c>
      <c r="I64" s="194"/>
      <c r="J64" s="239">
        <f>SUMIFS('Budget - 2026'!$CI$5:$CI$56,'Budget - 2026'!$B$5:$B$56,'CASA NEOS Overview '!D64)</f>
        <v>470399.83999999997</v>
      </c>
      <c r="K64" s="251">
        <f t="shared" si="7"/>
        <v>-1</v>
      </c>
      <c r="L64" s="194"/>
      <c r="M64" s="239">
        <f>SUMIFS('Actual - 2026'!$AO$5:$AO$56,'Actual - 2026'!$A$5:$A$56,'MILA 2F - Overview'!D64)</f>
        <v>0</v>
      </c>
      <c r="N64" s="233">
        <f>SUMIFS('Budget - 2026'!$BW$5:$BW$56,'Budget - 2026'!$B$5:$B$56,'MILA 2F - Overview'!D64)</f>
        <v>320782.90673753055</v>
      </c>
      <c r="O64" s="240">
        <f>SUMIFS('Budget - 2026'!$CF$5:$CF$56,'Budget - 2026'!$B$5:$B$56,'MILA 2F - Overview'!D64)</f>
        <v>364151.30999999994</v>
      </c>
      <c r="P64" s="239">
        <f>SUMIFS('Actual - 2026'!$AL$5:$AL$56,'Actual - 2026'!$A$5:$A$56,'MILA 2F - Overview'!D64)</f>
        <v>0</v>
      </c>
      <c r="Q64" s="233">
        <f>SUMIFS('Budget - 2026'!$BT$5:$BT$56,'Budget - 2026'!$B$5:$B$56,'MILA 2F - Overview'!D64)</f>
        <v>144237.28326246946</v>
      </c>
      <c r="R64" s="240">
        <f>SUMIFS('Budget - 2026'!$CC$5:$CC$56,'Budget - 2026'!$B$5:$B$56,'MILA 2F - Overview'!D64)</f>
        <v>106248.53</v>
      </c>
    </row>
    <row r="65" spans="4:18" s="108" customFormat="1" ht="22.15" customHeight="1">
      <c r="D65" s="193" t="s">
        <v>190</v>
      </c>
      <c r="E65" s="194"/>
      <c r="F65" s="239">
        <f>SUMIFS('Actual - 2026'!$AR$5:$AR$56,'Actual - 2026'!$A$5:$A$56,'CASA NEOS Overview '!D65)</f>
        <v>0</v>
      </c>
      <c r="G65" s="233">
        <f>SUMIFS('Budget - 2026'!$BZ$5:$BZ$56,'Budget - 2026'!$B$5:$B$56,'CASA NEOS Overview '!D65)</f>
        <v>2627048.0080000004</v>
      </c>
      <c r="H65" s="247">
        <f t="shared" si="0"/>
        <v>-1</v>
      </c>
      <c r="I65" s="194"/>
      <c r="J65" s="239">
        <f>SUMIFS('Budget - 2026'!$CI$5:$CI$56,'Budget - 2026'!$B$5:$B$56,'CASA NEOS Overview '!D65)</f>
        <v>2026591.74</v>
      </c>
      <c r="K65" s="251">
        <f t="shared" si="7"/>
        <v>-1</v>
      </c>
      <c r="L65" s="194"/>
      <c r="M65" s="239">
        <f>SUMIFS('Actual - 2026'!$AO$5:$AO$56,'Actual - 2026'!$A$5:$A$56,'MILA 2F - Overview'!D65)</f>
        <v>0</v>
      </c>
      <c r="N65" s="233">
        <f>SUMIFS('Budget - 2026'!$BW$5:$BW$56,'Budget - 2026'!$B$5:$B$56,'MILA 2F - Overview'!D65)</f>
        <v>1688029.717839286</v>
      </c>
      <c r="O65" s="240">
        <f>SUMIFS('Budget - 2026'!$CF$5:$CF$56,'Budget - 2026'!$B$5:$B$56,'MILA 2F - Overview'!D65)</f>
        <v>1566275.96</v>
      </c>
      <c r="P65" s="239">
        <f>SUMIFS('Actual - 2026'!$AL$5:$AL$56,'Actual - 2026'!$A$5:$A$56,'MILA 2F - Overview'!D65)</f>
        <v>0</v>
      </c>
      <c r="Q65" s="233">
        <f>SUMIFS('Budget - 2026'!$BT$5:$BT$56,'Budget - 2026'!$B$5:$B$56,'MILA 2F - Overview'!D65)</f>
        <v>939018.29016071418</v>
      </c>
      <c r="R65" s="240">
        <f>SUMIFS('Budget - 2026'!$CC$5:$CC$56,'Budget - 2026'!$B$5:$B$56,'MILA 2F - Overview'!D65)</f>
        <v>460315.78</v>
      </c>
    </row>
    <row r="66" spans="4:18" s="108" customFormat="1" ht="22.15" customHeight="1">
      <c r="D66" s="193" t="s">
        <v>191</v>
      </c>
      <c r="E66" s="194"/>
      <c r="F66" s="239">
        <f>SUMIFS('Actual - 2026'!$AR$5:$AR$56,'Actual - 2026'!$A$5:$A$56,'CASA NEOS Overview '!D66)</f>
        <v>0</v>
      </c>
      <c r="G66" s="233">
        <f>SUMIFS('Budget - 2026'!$BZ$5:$BZ$56,'Budget - 2026'!$B$5:$B$56,'CASA NEOS Overview '!D66)</f>
        <v>584052.03933835961</v>
      </c>
      <c r="H66" s="247">
        <f t="shared" si="0"/>
        <v>-1</v>
      </c>
      <c r="I66" s="194"/>
      <c r="J66" s="239">
        <f>SUMIFS('Budget - 2026'!$CI$5:$CI$56,'Budget - 2026'!$B$5:$B$56,'CASA NEOS Overview '!D66)</f>
        <v>656040.96000000008</v>
      </c>
      <c r="K66" s="251">
        <f t="shared" si="7"/>
        <v>-1</v>
      </c>
      <c r="L66" s="194"/>
      <c r="M66" s="239">
        <f>SUMIFS('Actual - 2026'!$AO$5:$AO$56,'Actual - 2026'!$A$5:$A$56,'MILA 2F - Overview'!D66)</f>
        <v>0</v>
      </c>
      <c r="N66" s="233">
        <f>SUMIFS('Budget - 2026'!$BW$5:$BW$56,'Budget - 2026'!$B$5:$B$56,'MILA 2F - Overview'!D66)</f>
        <v>584052.03933835961</v>
      </c>
      <c r="O66" s="240">
        <f>SUMIFS('Budget - 2026'!$CF$5:$CF$56,'Budget - 2026'!$B$5:$B$56,'MILA 2F - Overview'!D66)</f>
        <v>563519.56000000006</v>
      </c>
      <c r="P66" s="239">
        <f>SUMIFS('Actual - 2026'!$AL$5:$AL$56,'Actual - 2026'!$A$5:$A$56,'MILA 2F - Overview'!D66)</f>
        <v>0</v>
      </c>
      <c r="Q66" s="233">
        <f>SUMIFS('Budget - 2026'!$BT$5:$BT$56,'Budget - 2026'!$B$5:$B$56,'MILA 2F - Overview'!D66)</f>
        <v>0</v>
      </c>
      <c r="R66" s="240">
        <f>SUMIFS('Budget - 2026'!$CC$5:$CC$56,'Budget - 2026'!$B$5:$B$56,'MILA 2F - Overview'!D66)</f>
        <v>92521.4</v>
      </c>
    </row>
    <row r="67" spans="4:18" s="108" customFormat="1" ht="22.15" customHeight="1">
      <c r="D67" s="193" t="s">
        <v>192</v>
      </c>
      <c r="E67" s="194"/>
      <c r="F67" s="239">
        <f>SUMIFS('Actual - 2026'!$AR$5:$AR$56,'Actual - 2026'!$A$5:$A$56,'CASA NEOS Overview '!D67)</f>
        <v>0</v>
      </c>
      <c r="G67" s="233">
        <f>SUMIFS('Budget - 2026'!$BZ$5:$BZ$56,'Budget - 2026'!$B$5:$B$56,'CASA NEOS Overview '!D67)</f>
        <v>575536.47154079354</v>
      </c>
      <c r="H67" s="247">
        <f t="shared" si="0"/>
        <v>-1</v>
      </c>
      <c r="I67" s="194"/>
      <c r="J67" s="239">
        <f>SUMIFS('Budget - 2026'!$CI$5:$CI$56,'Budget - 2026'!$B$5:$B$56,'CASA NEOS Overview '!D67)</f>
        <v>500854.67000000004</v>
      </c>
      <c r="K67" s="251">
        <f t="shared" si="7"/>
        <v>-1</v>
      </c>
      <c r="L67" s="194"/>
      <c r="M67" s="239">
        <f>SUMIFS('Actual - 2026'!$AO$5:$AO$56,'Actual - 2026'!$A$5:$A$56,'MILA 2F - Overview'!D67)</f>
        <v>0</v>
      </c>
      <c r="N67" s="233">
        <f>SUMIFS('Budget - 2026'!$BW$5:$BW$56,'Budget - 2026'!$B$5:$B$56,'MILA 2F - Overview'!D67)</f>
        <v>575536.47154079354</v>
      </c>
      <c r="O67" s="240">
        <f>SUMIFS('Budget - 2026'!$CF$5:$CF$56,'Budget - 2026'!$B$5:$B$56,'MILA 2F - Overview'!D67)</f>
        <v>391208.87000000005</v>
      </c>
      <c r="P67" s="239">
        <f>SUMIFS('Actual - 2026'!$AL$5:$AL$56,'Actual - 2026'!$A$5:$A$56,'MILA 2F - Overview'!D67)</f>
        <v>0</v>
      </c>
      <c r="Q67" s="233">
        <f>SUMIFS('Budget - 2026'!$BT$5:$BT$56,'Budget - 2026'!$B$5:$B$56,'MILA 2F - Overview'!D67)</f>
        <v>0</v>
      </c>
      <c r="R67" s="240">
        <f>SUMIFS('Budget - 2026'!$CC$5:$CC$56,'Budget - 2026'!$B$5:$B$56,'MILA 2F - Overview'!D67)</f>
        <v>109645.8</v>
      </c>
    </row>
    <row r="68" spans="4:18" s="108" customFormat="1" ht="22.15" customHeight="1">
      <c r="D68" s="193" t="s">
        <v>193</v>
      </c>
      <c r="E68" s="194"/>
      <c r="F68" s="239">
        <f>SUMIFS('Actual - 2026'!$AR$5:$AR$56,'Actual - 2026'!$A$5:$A$56,'CASA NEOS Overview '!D68)</f>
        <v>0</v>
      </c>
      <c r="G68" s="233">
        <f>SUMIFS('Budget - 2026'!$BZ$5:$BZ$56,'Budget - 2026'!$B$5:$B$56,'CASA NEOS Overview '!D68)</f>
        <v>645180.65582157415</v>
      </c>
      <c r="H68" s="247">
        <f t="shared" si="0"/>
        <v>-1</v>
      </c>
      <c r="I68" s="194"/>
      <c r="J68" s="239">
        <f>SUMIFS('Budget - 2026'!$CI$5:$CI$56,'Budget - 2026'!$B$5:$B$56,'CASA NEOS Overview '!D68)</f>
        <v>691800.15999999992</v>
      </c>
      <c r="K68" s="251">
        <f t="shared" si="7"/>
        <v>-1</v>
      </c>
      <c r="L68" s="194"/>
      <c r="M68" s="239">
        <f>SUMIFS('Actual - 2026'!$AO$5:$AO$56,'Actual - 2026'!$A$5:$A$56,'MILA 2F - Overview'!D68)</f>
        <v>0</v>
      </c>
      <c r="N68" s="233">
        <f>SUMIFS('Budget - 2026'!$BW$5:$BW$56,'Budget - 2026'!$B$5:$B$56,'MILA 2F - Overview'!D68)</f>
        <v>485180.65582157415</v>
      </c>
      <c r="O68" s="240">
        <f>SUMIFS('Budget - 2026'!$CF$5:$CF$56,'Budget - 2026'!$B$5:$B$56,'MILA 2F - Overview'!D68)</f>
        <v>569316.85999999987</v>
      </c>
      <c r="P68" s="239">
        <f>SUMIFS('Actual - 2026'!$AL$5:$AL$56,'Actual - 2026'!$A$5:$A$56,'MILA 2F - Overview'!D68)</f>
        <v>0</v>
      </c>
      <c r="Q68" s="233">
        <f>SUMIFS('Budget - 2026'!$BT$5:$BT$56,'Budget - 2026'!$B$5:$B$56,'MILA 2F - Overview'!D68)</f>
        <v>160000</v>
      </c>
      <c r="R68" s="240">
        <f>SUMIFS('Budget - 2026'!$CC$5:$CC$56,'Budget - 2026'!$B$5:$B$56,'MILA 2F - Overview'!D68)</f>
        <v>122483.3</v>
      </c>
    </row>
    <row r="69" spans="4:18" s="108" customFormat="1" ht="22.15" customHeight="1" thickBot="1">
      <c r="D69" s="227" t="s">
        <v>263</v>
      </c>
      <c r="E69" s="194"/>
      <c r="F69" s="243">
        <f>SUM(F64:F68)</f>
        <v>0</v>
      </c>
      <c r="G69" s="244">
        <f>SUM(G64:G68)</f>
        <v>4896837.3647007272</v>
      </c>
      <c r="H69" s="249">
        <f t="shared" si="0"/>
        <v>-1</v>
      </c>
      <c r="I69" s="194"/>
      <c r="J69" s="243">
        <f>SUM(J64:J68)</f>
        <v>4345687.37</v>
      </c>
      <c r="K69" s="249">
        <f>(F69-J69)/J69</f>
        <v>-1</v>
      </c>
      <c r="L69" s="194"/>
      <c r="M69" s="243">
        <f t="shared" ref="M69:Q69" si="14">SUM(M64:M68)</f>
        <v>0</v>
      </c>
      <c r="N69" s="244">
        <f t="shared" si="14"/>
        <v>3653581.7912775436</v>
      </c>
      <c r="O69" s="245">
        <f t="shared" si="14"/>
        <v>3454472.56</v>
      </c>
      <c r="P69" s="243">
        <f t="shared" si="14"/>
        <v>0</v>
      </c>
      <c r="Q69" s="244">
        <f t="shared" si="14"/>
        <v>1243255.5734231835</v>
      </c>
      <c r="R69" s="245">
        <f>SUM(R64:R68)</f>
        <v>891214.81000000017</v>
      </c>
    </row>
    <row r="70" spans="4:18" ht="22.15" customHeight="1"/>
  </sheetData>
  <mergeCells count="4">
    <mergeCell ref="M4:O4"/>
    <mergeCell ref="P4:R4"/>
    <mergeCell ref="D2:R2"/>
    <mergeCell ref="F4:K4"/>
  </mergeCells>
  <conditionalFormatting sqref="H1 K1">
    <cfRule type="cellIs" dxfId="241" priority="4" operator="lessThan">
      <formula>0.01</formula>
    </cfRule>
  </conditionalFormatting>
  <conditionalFormatting sqref="H3:H1048576 K3:K1048576">
    <cfRule type="cellIs" dxfId="240" priority="1" operator="lessThan">
      <formula>0.01</formula>
    </cfRule>
  </conditionalFormatting>
  <pageMargins left="0.7" right="0.7" top="0.75" bottom="0.75" header="0.3" footer="0.3"/>
  <pageSetup scale="45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3CF4F9-B477-4D12-9FA1-20ED75DA91E7}">
          <x14:formula1>
            <xm:f>'Budget - 2026'!$B$5:$B$56</xm:f>
          </x14:formula1>
          <xm:sqref>D1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AF48-51D3-487C-A21F-FA6020DD90D7}">
  <sheetPr>
    <tabColor theme="2" tint="-9.9978637043366805E-2"/>
  </sheetPr>
  <dimension ref="B1:T70"/>
  <sheetViews>
    <sheetView workbookViewId="0">
      <selection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6" width="16.42578125" style="5" customWidth="1"/>
    <col min="7" max="7" width="14.5703125" style="232" customWidth="1"/>
    <col min="8" max="8" width="14.5703125" style="5" customWidth="1"/>
    <col min="9" max="9" width="1.5703125" style="5" customWidth="1"/>
    <col min="10" max="10" width="15.140625" style="5" bestFit="1" customWidth="1"/>
    <col min="11" max="11" width="14.5703125" style="5" customWidth="1"/>
    <col min="12" max="12" width="1.5703125" style="5" customWidth="1"/>
    <col min="13" max="18" width="14.7109375" style="5" customWidth="1"/>
    <col min="19" max="19" width="13.28515625" style="5" bestFit="1" customWidth="1"/>
    <col min="20" max="16384" width="10.7109375" style="5"/>
  </cols>
  <sheetData>
    <row r="1" spans="4:20" ht="18.75">
      <c r="D1" s="118" t="str">
        <f>Appendix!$D$1</f>
        <v>Week 34</v>
      </c>
      <c r="F1" s="5">
        <f>VLOOKUP(D1,Dates!$B$2:$E$53,4,FALSE)</f>
        <v>34</v>
      </c>
      <c r="G1" s="232" t="b">
        <v>1</v>
      </c>
    </row>
    <row r="2" spans="4:20" ht="28.5" customHeight="1">
      <c r="D2" s="400" t="s">
        <v>238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</row>
    <row r="3" spans="4:20" s="252" customFormat="1" ht="14.65" customHeight="1"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4:20">
      <c r="F4" s="430" t="s">
        <v>249</v>
      </c>
      <c r="G4" s="430"/>
      <c r="H4" s="430"/>
      <c r="I4" s="430"/>
      <c r="J4" s="430"/>
      <c r="K4" s="430"/>
      <c r="M4" s="428" t="s">
        <v>231</v>
      </c>
      <c r="N4" s="429"/>
      <c r="O4" s="429"/>
      <c r="P4" s="428" t="s">
        <v>207</v>
      </c>
      <c r="Q4" s="429"/>
      <c r="R4" s="429"/>
    </row>
    <row r="5" spans="4:20" ht="19.5" thickBot="1">
      <c r="D5" s="229" t="s">
        <v>250</v>
      </c>
      <c r="E5" s="230"/>
      <c r="F5" s="234">
        <v>2026</v>
      </c>
      <c r="G5" s="235" t="s">
        <v>15</v>
      </c>
      <c r="H5" s="234" t="s">
        <v>251</v>
      </c>
      <c r="I5" s="230"/>
      <c r="J5" s="234">
        <v>2025</v>
      </c>
      <c r="K5" s="234" t="s">
        <v>251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</row>
    <row r="6" spans="4:20" s="108" customFormat="1" ht="22.15" customHeight="1">
      <c r="D6" s="193" t="s">
        <v>122</v>
      </c>
      <c r="E6" s="194"/>
      <c r="F6" s="236">
        <f>SUMIFS('Actual - 2026'!$BV$5:$BV$56,'Actual - 2026'!$A$5:$A$56,$D6)</f>
        <v>0</v>
      </c>
      <c r="G6" s="237">
        <f>SUMIFS('Budget - 2026'!$DV$5:$DV$56,'Budget - 2026'!$B$5:$B$56,$D6)</f>
        <v>0</v>
      </c>
      <c r="H6" s="246">
        <f>IFERROR((F6-G6)/G6,0)</f>
        <v>0</v>
      </c>
      <c r="I6" s="194"/>
      <c r="J6" s="236">
        <v>0</v>
      </c>
      <c r="K6" s="250">
        <f>IFERROR((F6-J6)/J6,0)</f>
        <v>0</v>
      </c>
      <c r="L6" s="194"/>
      <c r="M6" s="236">
        <f>SUMIFS('Actual - 2026'!$BP$5:$BP$56,'Actual - 2026'!$A$5:$A$56,$D6)</f>
        <v>0</v>
      </c>
      <c r="N6" s="237">
        <f>SUMIFS('Budget - 2026'!$DP$5:$DP$56,'Budget - 2026'!$B$5:$B$56,$D6)</f>
        <v>0</v>
      </c>
      <c r="O6" s="238">
        <v>0</v>
      </c>
      <c r="P6" s="236">
        <f>SUMIFS('Actual - 2026'!$BS$5:$BS$56,'Actual - 2026'!$A$5:$A$56,$D6)</f>
        <v>0</v>
      </c>
      <c r="Q6" s="237">
        <f>SUMIFS('Budget - 2026'!$DS$5:$DS$56,'Budget - 2026'!$B$5:$B$56,$D6)</f>
        <v>0</v>
      </c>
      <c r="R6" s="238">
        <v>0</v>
      </c>
    </row>
    <row r="7" spans="4:20" s="108" customFormat="1" ht="22.15" customHeight="1">
      <c r="D7" s="193" t="s">
        <v>123</v>
      </c>
      <c r="E7" s="194"/>
      <c r="F7" s="239">
        <f>SUMIFS('Actual - 2026'!$BV$5:$BV$56,'Actual - 2026'!$A$5:$A$56,$D7)</f>
        <v>0</v>
      </c>
      <c r="G7" s="233">
        <f>SUMIFS('Budget - 2026'!$DV$5:$DV$56,'Budget - 2026'!$B$5:$B$56,$D7)</f>
        <v>0</v>
      </c>
      <c r="H7" s="247">
        <f t="shared" ref="H7:H9" si="0">IFERROR((F7-G7)/G7,0)</f>
        <v>0</v>
      </c>
      <c r="I7" s="194"/>
      <c r="J7" s="239">
        <v>0</v>
      </c>
      <c r="K7" s="251">
        <f t="shared" ref="K7:K69" si="1">IFERROR((F7-J7)/J7,0)</f>
        <v>0</v>
      </c>
      <c r="L7" s="194"/>
      <c r="M7" s="239">
        <f>SUMIFS('Actual - 2026'!$BP$5:$BP$56,'Actual - 2026'!$A$5:$A$56,$D7)</f>
        <v>0</v>
      </c>
      <c r="N7" s="233">
        <f>SUMIFS('Budget - 2026'!$DP$5:$DP$56,'Budget - 2026'!$B$5:$B$56,$D7)</f>
        <v>0</v>
      </c>
      <c r="O7" s="240">
        <v>0</v>
      </c>
      <c r="P7" s="239">
        <f>SUMIFS('Actual - 2026'!$BS$5:$BS$56,'Actual - 2026'!$A$5:$A$56,$D7)</f>
        <v>0</v>
      </c>
      <c r="Q7" s="233">
        <f>SUMIFS('Budget - 2026'!$DS$5:$DS$56,'Budget - 2026'!$B$5:$B$56,$D7)</f>
        <v>0</v>
      </c>
      <c r="R7" s="240">
        <v>0</v>
      </c>
    </row>
    <row r="8" spans="4:20" s="108" customFormat="1" ht="22.15" customHeight="1">
      <c r="D8" s="193" t="s">
        <v>124</v>
      </c>
      <c r="E8" s="194"/>
      <c r="F8" s="239">
        <f>SUMIFS('Actual - 2026'!$BV$5:$BV$56,'Actual - 2026'!$A$5:$A$56,$D8)</f>
        <v>0</v>
      </c>
      <c r="G8" s="233">
        <f>SUMIFS('Budget - 2026'!$DV$5:$DV$56,'Budget - 2026'!$B$5:$B$56,$D8)</f>
        <v>0</v>
      </c>
      <c r="H8" s="247">
        <f t="shared" si="0"/>
        <v>0</v>
      </c>
      <c r="I8" s="194"/>
      <c r="J8" s="239">
        <v>0</v>
      </c>
      <c r="K8" s="251">
        <f t="shared" si="1"/>
        <v>0</v>
      </c>
      <c r="L8" s="194"/>
      <c r="M8" s="239">
        <f>SUMIFS('Actual - 2026'!$BP$5:$BP$56,'Actual - 2026'!$A$5:$A$56,$D8)</f>
        <v>0</v>
      </c>
      <c r="N8" s="233">
        <f>SUMIFS('Budget - 2026'!$DP$5:$DP$56,'Budget - 2026'!$B$5:$B$56,$D8)</f>
        <v>0</v>
      </c>
      <c r="O8" s="240">
        <v>0</v>
      </c>
      <c r="P8" s="239">
        <f>SUMIFS('Actual - 2026'!$BS$5:$BS$56,'Actual - 2026'!$A$5:$A$56,$D8)</f>
        <v>0</v>
      </c>
      <c r="Q8" s="233">
        <f>SUMIFS('Budget - 2026'!$DS$5:$DS$56,'Budget - 2026'!$B$5:$B$56,$D8)</f>
        <v>0</v>
      </c>
      <c r="R8" s="240">
        <v>0</v>
      </c>
      <c r="T8" s="108">
        <f>SUM(S7:T7)</f>
        <v>0</v>
      </c>
    </row>
    <row r="9" spans="4:20" s="108" customFormat="1" ht="22.15" customHeight="1">
      <c r="D9" s="193" t="s">
        <v>125</v>
      </c>
      <c r="E9" s="194"/>
      <c r="F9" s="239">
        <f>SUMIFS('Actual - 2026'!$BV$5:$BV$56,'Actual - 2026'!$A$5:$A$56,$D9)</f>
        <v>0</v>
      </c>
      <c r="G9" s="233">
        <f>SUMIFS('Budget - 2026'!$DV$5:$DV$56,'Budget - 2026'!$B$5:$B$56,$D9)</f>
        <v>0</v>
      </c>
      <c r="H9" s="247">
        <f t="shared" si="0"/>
        <v>0</v>
      </c>
      <c r="I9" s="194"/>
      <c r="J9" s="239">
        <v>0</v>
      </c>
      <c r="K9" s="251">
        <f t="shared" si="1"/>
        <v>0</v>
      </c>
      <c r="L9" s="194"/>
      <c r="M9" s="239">
        <f>SUMIFS('Actual - 2026'!$BP$5:$BP$56,'Actual - 2026'!$A$5:$A$56,$D9)</f>
        <v>0</v>
      </c>
      <c r="N9" s="233">
        <f>SUMIFS('Budget - 2026'!$DP$5:$DP$56,'Budget - 2026'!$B$5:$B$56,$D9)</f>
        <v>0</v>
      </c>
      <c r="O9" s="240">
        <v>0</v>
      </c>
      <c r="P9" s="239">
        <f>SUMIFS('Actual - 2026'!$BS$5:$BS$56,'Actual - 2026'!$A$5:$A$56,$D9)</f>
        <v>0</v>
      </c>
      <c r="Q9" s="233">
        <f>SUMIFS('Budget - 2026'!$DS$5:$DS$56,'Budget - 2026'!$B$5:$B$56,$D9)</f>
        <v>0</v>
      </c>
      <c r="R9" s="240">
        <v>0</v>
      </c>
    </row>
    <row r="10" spans="4:20" s="108" customFormat="1" ht="21.75" customHeight="1">
      <c r="D10" s="227" t="s">
        <v>252</v>
      </c>
      <c r="E10" s="194"/>
      <c r="F10" s="241">
        <f>SUM(F6:F9)</f>
        <v>0</v>
      </c>
      <c r="G10" s="228">
        <f>SUM(G6:G9)</f>
        <v>0</v>
      </c>
      <c r="H10" s="248">
        <f>IFERROR((F10-G10)/G10,0)</f>
        <v>0</v>
      </c>
      <c r="I10" s="194"/>
      <c r="J10" s="241">
        <f>SUM(J6:J9)</f>
        <v>0</v>
      </c>
      <c r="K10" s="248">
        <f t="shared" si="1"/>
        <v>0</v>
      </c>
      <c r="L10" s="194"/>
      <c r="M10" s="241">
        <f t="shared" ref="M10:R10" si="2">SUM(M6:M9)</f>
        <v>0</v>
      </c>
      <c r="N10" s="228">
        <f t="shared" si="2"/>
        <v>0</v>
      </c>
      <c r="O10" s="242">
        <f t="shared" si="2"/>
        <v>0</v>
      </c>
      <c r="P10" s="241">
        <f t="shared" si="2"/>
        <v>0</v>
      </c>
      <c r="Q10" s="228">
        <f t="shared" si="2"/>
        <v>0</v>
      </c>
      <c r="R10" s="242">
        <f t="shared" si="2"/>
        <v>0</v>
      </c>
    </row>
    <row r="11" spans="4:20" s="108" customFormat="1" ht="22.15" customHeight="1">
      <c r="D11" s="193" t="s">
        <v>128</v>
      </c>
      <c r="E11" s="194"/>
      <c r="F11" s="239">
        <f>SUMIFS('Actual - 2026'!$BV$5:$BV$56,'Actual - 2026'!$A$5:$A$56,$D11)</f>
        <v>0</v>
      </c>
      <c r="G11" s="233">
        <f>SUMIFS('Budget - 2026'!$DV$5:$DV$56,'Budget - 2026'!$B$5:$B$56,$D11)</f>
        <v>0</v>
      </c>
      <c r="H11" s="247">
        <f t="shared" ref="H11:H14" si="3">IFERROR((F11-G11)/G11,0)</f>
        <v>0</v>
      </c>
      <c r="I11" s="194"/>
      <c r="J11" s="239">
        <v>0</v>
      </c>
      <c r="K11" s="251">
        <f t="shared" si="1"/>
        <v>0</v>
      </c>
      <c r="L11" s="194"/>
      <c r="M11" s="239">
        <f>SUMIFS('Actual - 2026'!$BP$5:$BP$56,'Actual - 2026'!$A$5:$A$56,$D11)</f>
        <v>0</v>
      </c>
      <c r="N11" s="233">
        <f>SUMIFS('Budget - 2026'!$DP$5:$DP$56,'Budget - 2026'!$B$5:$B$56,$D11)</f>
        <v>0</v>
      </c>
      <c r="O11" s="240">
        <v>0</v>
      </c>
      <c r="P11" s="239">
        <f>SUMIFS('Actual - 2026'!$BS$5:$BS$56,'Actual - 2026'!$A$5:$A$56,$D11)</f>
        <v>0</v>
      </c>
      <c r="Q11" s="233">
        <f>SUMIFS('Budget - 2026'!$DS$5:$DS$56,'Budget - 2026'!$B$5:$B$56,$D11)</f>
        <v>0</v>
      </c>
      <c r="R11" s="240">
        <v>0</v>
      </c>
    </row>
    <row r="12" spans="4:20" s="108" customFormat="1" ht="22.15" customHeight="1">
      <c r="D12" s="193" t="s">
        <v>129</v>
      </c>
      <c r="E12" s="194"/>
      <c r="F12" s="239">
        <f>SUMIFS('Actual - 2026'!$BV$5:$BV$56,'Actual - 2026'!$A$5:$A$56,$D12)</f>
        <v>0</v>
      </c>
      <c r="G12" s="233">
        <f>SUMIFS('Budget - 2026'!$DV$5:$DV$56,'Budget - 2026'!$B$5:$B$56,$D12)</f>
        <v>0</v>
      </c>
      <c r="H12" s="247">
        <f t="shared" si="3"/>
        <v>0</v>
      </c>
      <c r="I12" s="194"/>
      <c r="J12" s="239">
        <v>0</v>
      </c>
      <c r="K12" s="251">
        <f t="shared" si="1"/>
        <v>0</v>
      </c>
      <c r="L12" s="194"/>
      <c r="M12" s="239">
        <f>SUMIFS('Actual - 2026'!$BP$5:$BP$56,'Actual - 2026'!$A$5:$A$56,$D12)</f>
        <v>0</v>
      </c>
      <c r="N12" s="233">
        <f>SUMIFS('Budget - 2026'!$DP$5:$DP$56,'Budget - 2026'!$B$5:$B$56,$D12)</f>
        <v>0</v>
      </c>
      <c r="O12" s="240">
        <v>0</v>
      </c>
      <c r="P12" s="239">
        <f>SUMIFS('Actual - 2026'!$BS$5:$BS$56,'Actual - 2026'!$A$5:$A$56,$D12)</f>
        <v>0</v>
      </c>
      <c r="Q12" s="233">
        <f>SUMIFS('Budget - 2026'!$DS$5:$DS$56,'Budget - 2026'!$B$5:$B$56,$D12)</f>
        <v>0</v>
      </c>
      <c r="R12" s="240">
        <v>0</v>
      </c>
    </row>
    <row r="13" spans="4:20" s="108" customFormat="1" ht="22.15" customHeight="1">
      <c r="D13" s="193" t="s">
        <v>130</v>
      </c>
      <c r="E13" s="194"/>
      <c r="F13" s="239">
        <f>SUMIFS('Actual - 2026'!$BV$5:$BV$56,'Actual - 2026'!$A$5:$A$56,$D13)</f>
        <v>0</v>
      </c>
      <c r="G13" s="233">
        <f>SUMIFS('Budget - 2026'!$DV$5:$DV$56,'Budget - 2026'!$B$5:$B$56,$D13)</f>
        <v>0</v>
      </c>
      <c r="H13" s="247">
        <f t="shared" si="3"/>
        <v>0</v>
      </c>
      <c r="I13" s="194"/>
      <c r="J13" s="239">
        <v>0</v>
      </c>
      <c r="K13" s="251">
        <f t="shared" si="1"/>
        <v>0</v>
      </c>
      <c r="L13" s="194"/>
      <c r="M13" s="239">
        <f>SUMIFS('Actual - 2026'!$BP$5:$BP$56,'Actual - 2026'!$A$5:$A$56,$D13)</f>
        <v>0</v>
      </c>
      <c r="N13" s="233">
        <f>SUMIFS('Budget - 2026'!$DP$5:$DP$56,'Budget - 2026'!$B$5:$B$56,$D13)</f>
        <v>0</v>
      </c>
      <c r="O13" s="240">
        <v>0</v>
      </c>
      <c r="P13" s="239">
        <f>SUMIFS('Actual - 2026'!$BS$5:$BS$56,'Actual - 2026'!$A$5:$A$56,$D13)</f>
        <v>0</v>
      </c>
      <c r="Q13" s="233">
        <f>SUMIFS('Budget - 2026'!$DS$5:$DS$56,'Budget - 2026'!$B$5:$B$56,$D13)</f>
        <v>0</v>
      </c>
      <c r="R13" s="240">
        <v>0</v>
      </c>
    </row>
    <row r="14" spans="4:20" s="108" customFormat="1" ht="22.15" customHeight="1">
      <c r="D14" s="193" t="s">
        <v>131</v>
      </c>
      <c r="E14" s="194"/>
      <c r="F14" s="239">
        <f>SUMIFS('Actual - 2026'!$BV$5:$BV$56,'Actual - 2026'!$A$5:$A$56,$D14)</f>
        <v>0</v>
      </c>
      <c r="G14" s="233">
        <f>SUMIFS('Budget - 2026'!$DV$5:$DV$56,'Budget - 2026'!$B$5:$B$56,$D14)</f>
        <v>0</v>
      </c>
      <c r="H14" s="247">
        <f t="shared" si="3"/>
        <v>0</v>
      </c>
      <c r="I14" s="194"/>
      <c r="J14" s="239">
        <v>0</v>
      </c>
      <c r="K14" s="251">
        <f t="shared" si="1"/>
        <v>0</v>
      </c>
      <c r="L14" s="194"/>
      <c r="M14" s="239">
        <f>SUMIFS('Actual - 2026'!$BP$5:$BP$56,'Actual - 2026'!$A$5:$A$56,$D14)</f>
        <v>0</v>
      </c>
      <c r="N14" s="233">
        <f>SUMIFS('Budget - 2026'!$DP$5:$DP$56,'Budget - 2026'!$B$5:$B$56,$D14)</f>
        <v>0</v>
      </c>
      <c r="O14" s="240">
        <v>0</v>
      </c>
      <c r="P14" s="239">
        <f>SUMIFS('Actual - 2026'!$BS$5:$BS$56,'Actual - 2026'!$A$5:$A$56,$D14)</f>
        <v>0</v>
      </c>
      <c r="Q14" s="233">
        <f>SUMIFS('Budget - 2026'!$DS$5:$DS$56,'Budget - 2026'!$B$5:$B$56,$D14)</f>
        <v>0</v>
      </c>
      <c r="R14" s="240">
        <v>0</v>
      </c>
    </row>
    <row r="15" spans="4:20" s="108" customFormat="1" ht="22.15" customHeight="1">
      <c r="D15" s="227" t="s">
        <v>253</v>
      </c>
      <c r="E15" s="194"/>
      <c r="F15" s="241">
        <f>SUM(F11:F14)</f>
        <v>0</v>
      </c>
      <c r="G15" s="228">
        <f>SUM(G11:G14)</f>
        <v>0</v>
      </c>
      <c r="H15" s="248">
        <f>IFERROR((F15-G15)/G15,0)</f>
        <v>0</v>
      </c>
      <c r="I15" s="194"/>
      <c r="J15" s="241">
        <f>SUM(J11:J14)</f>
        <v>0</v>
      </c>
      <c r="K15" s="248">
        <f t="shared" si="1"/>
        <v>0</v>
      </c>
      <c r="L15" s="194"/>
      <c r="M15" s="241">
        <f t="shared" ref="M15:R15" si="4">SUM(M11:M14)</f>
        <v>0</v>
      </c>
      <c r="N15" s="228">
        <f t="shared" si="4"/>
        <v>0</v>
      </c>
      <c r="O15" s="242">
        <f t="shared" si="4"/>
        <v>0</v>
      </c>
      <c r="P15" s="241">
        <f t="shared" si="4"/>
        <v>0</v>
      </c>
      <c r="Q15" s="228">
        <f t="shared" si="4"/>
        <v>0</v>
      </c>
      <c r="R15" s="242">
        <f t="shared" si="4"/>
        <v>0</v>
      </c>
    </row>
    <row r="16" spans="4:20" s="108" customFormat="1" ht="22.15" customHeight="1">
      <c r="D16" s="193" t="s">
        <v>134</v>
      </c>
      <c r="E16" s="194"/>
      <c r="F16" s="239">
        <f>SUMIFS('Actual - 2026'!$BV$5:$BV$56,'Actual - 2026'!$A$5:$A$56,$D16)</f>
        <v>0</v>
      </c>
      <c r="G16" s="233">
        <f>SUMIFS('Budget - 2026'!$DV$5:$DV$56,'Budget - 2026'!$B$5:$B$56,$D16)</f>
        <v>227644.509656298</v>
      </c>
      <c r="H16" s="247">
        <f t="shared" ref="H16:H69" si="5">IFERROR((F16-G16)/G16,0)</f>
        <v>-1</v>
      </c>
      <c r="I16" s="194"/>
      <c r="J16" s="239">
        <v>0</v>
      </c>
      <c r="K16" s="251">
        <f t="shared" si="1"/>
        <v>0</v>
      </c>
      <c r="L16" s="194"/>
      <c r="M16" s="239">
        <f>SUMIFS('Actual - 2026'!$BP$5:$BP$56,'Actual - 2026'!$A$5:$A$56,$D16)</f>
        <v>0</v>
      </c>
      <c r="N16" s="233">
        <f>SUMIFS('Budget - 2026'!$DP$5:$DP$56,'Budget - 2026'!$B$5:$B$56,$D16)</f>
        <v>227644.509656298</v>
      </c>
      <c r="O16" s="240">
        <v>0</v>
      </c>
      <c r="P16" s="239">
        <f>SUMIFS('Actual - 2026'!$BS$5:$BS$56,'Actual - 2026'!$A$5:$A$56,$D16)</f>
        <v>0</v>
      </c>
      <c r="Q16" s="233">
        <f>SUMIFS('Budget - 2026'!$DS$5:$DS$56,'Budget - 2026'!$B$5:$B$56,$D16)</f>
        <v>0</v>
      </c>
      <c r="R16" s="240">
        <v>0</v>
      </c>
      <c r="T16" s="108">
        <f>SUM(S14:T14)</f>
        <v>0</v>
      </c>
    </row>
    <row r="17" spans="2:20" s="108" customFormat="1" ht="22.15" customHeight="1">
      <c r="D17" s="193" t="s">
        <v>135</v>
      </c>
      <c r="E17" s="194"/>
      <c r="F17" s="239">
        <f>SUMIFS('Actual - 2026'!$BV$5:$BV$56,'Actual - 2026'!$A$5:$A$56,$D17)</f>
        <v>267568.72000000003</v>
      </c>
      <c r="G17" s="233">
        <f>SUMIFS('Budget - 2026'!$DV$5:$DV$56,'Budget - 2026'!$B$5:$B$56,$D17)</f>
        <v>227644.509656298</v>
      </c>
      <c r="H17" s="247">
        <f t="shared" si="5"/>
        <v>0.17537963205868815</v>
      </c>
      <c r="I17" s="194"/>
      <c r="J17" s="239">
        <v>0</v>
      </c>
      <c r="K17" s="251">
        <f t="shared" si="1"/>
        <v>0</v>
      </c>
      <c r="L17" s="194"/>
      <c r="M17" s="239">
        <f>SUMIFS('Actual - 2026'!$BP$5:$BP$56,'Actual - 2026'!$A$5:$A$56,$D17)</f>
        <v>237629.36000000002</v>
      </c>
      <c r="N17" s="233">
        <f>SUMIFS('Budget - 2026'!$DP$5:$DP$56,'Budget - 2026'!$B$5:$B$56,$D17)</f>
        <v>227644.509656298</v>
      </c>
      <c r="O17" s="240">
        <v>0</v>
      </c>
      <c r="P17" s="239">
        <f>SUMIFS('Actual - 2026'!$BS$5:$BS$56,'Actual - 2026'!$A$5:$A$56,$D17)</f>
        <v>29939.360000000001</v>
      </c>
      <c r="Q17" s="233">
        <f>SUMIFS('Budget - 2026'!$DS$5:$DS$56,'Budget - 2026'!$B$5:$B$56,$D17)</f>
        <v>0</v>
      </c>
      <c r="R17" s="240">
        <v>0</v>
      </c>
    </row>
    <row r="18" spans="2:20" s="108" customFormat="1" ht="22.15" customHeight="1">
      <c r="D18" s="193" t="s">
        <v>136</v>
      </c>
      <c r="E18" s="194"/>
      <c r="F18" s="239">
        <f>SUMIFS('Actual - 2026'!$BV$5:$BV$56,'Actual - 2026'!$A$5:$A$56,$D18)</f>
        <v>301160.56000000006</v>
      </c>
      <c r="G18" s="233">
        <f>SUMIFS('Budget - 2026'!$DV$5:$DV$56,'Budget - 2026'!$B$5:$B$56,$D18)</f>
        <v>251644.509656298</v>
      </c>
      <c r="H18" s="247">
        <f t="shared" si="5"/>
        <v>0.19676984175546783</v>
      </c>
      <c r="I18" s="194"/>
      <c r="J18" s="239">
        <v>0</v>
      </c>
      <c r="K18" s="251">
        <f t="shared" si="1"/>
        <v>0</v>
      </c>
      <c r="L18" s="194"/>
      <c r="M18" s="239">
        <f>SUMIFS('Actual - 2026'!$BP$5:$BP$56,'Actual - 2026'!$A$5:$A$56,$D18)</f>
        <v>264033.72000000003</v>
      </c>
      <c r="N18" s="233">
        <f>SUMIFS('Budget - 2026'!$DP$5:$DP$56,'Budget - 2026'!$B$5:$B$56,$D18)</f>
        <v>227644.509656298</v>
      </c>
      <c r="O18" s="240">
        <v>0</v>
      </c>
      <c r="P18" s="239">
        <f>SUMIFS('Actual - 2026'!$BS$5:$BS$56,'Actual - 2026'!$A$5:$A$56,$D18)</f>
        <v>37126.839999999997</v>
      </c>
      <c r="Q18" s="233">
        <f>SUMIFS('Budget - 2026'!$DS$5:$DS$56,'Budget - 2026'!$B$5:$B$56,$D18)</f>
        <v>24000</v>
      </c>
      <c r="R18" s="240">
        <v>0</v>
      </c>
    </row>
    <row r="19" spans="2:20" s="108" customFormat="1" ht="22.15" customHeight="1">
      <c r="D19" s="193" t="s">
        <v>137</v>
      </c>
      <c r="E19" s="194"/>
      <c r="F19" s="239">
        <f>SUMIFS('Actual - 2026'!$BV$5:$BV$56,'Actual - 2026'!$A$5:$A$56,$D19)</f>
        <v>290409.02</v>
      </c>
      <c r="G19" s="233">
        <f>SUMIFS('Budget - 2026'!$DV$5:$DV$56,'Budget - 2026'!$B$5:$B$56,$D19)</f>
        <v>251644.509656298</v>
      </c>
      <c r="H19" s="247">
        <f t="shared" si="5"/>
        <v>0.15404472919614856</v>
      </c>
      <c r="I19" s="194"/>
      <c r="J19" s="239">
        <v>0</v>
      </c>
      <c r="K19" s="251">
        <f t="shared" si="1"/>
        <v>0</v>
      </c>
      <c r="L19" s="194"/>
      <c r="M19" s="239">
        <f>SUMIFS('Actual - 2026'!$BP$5:$BP$56,'Actual - 2026'!$A$5:$A$56,$D19)</f>
        <v>234905.5</v>
      </c>
      <c r="N19" s="233">
        <f>SUMIFS('Budget - 2026'!$DP$5:$DP$56,'Budget - 2026'!$B$5:$B$56,$D19)</f>
        <v>227644.509656298</v>
      </c>
      <c r="O19" s="240">
        <v>0</v>
      </c>
      <c r="P19" s="239">
        <f>SUMIFS('Actual - 2026'!$BS$5:$BS$56,'Actual - 2026'!$A$5:$A$56,$D19)</f>
        <v>55503.519999999997</v>
      </c>
      <c r="Q19" s="233">
        <f>SUMIFS('Budget - 2026'!$DS$5:$DS$56,'Budget - 2026'!$B$5:$B$56,$D19)</f>
        <v>24000</v>
      </c>
      <c r="R19" s="240">
        <v>0</v>
      </c>
    </row>
    <row r="20" spans="2:20" s="108" customFormat="1" ht="22.15" customHeight="1">
      <c r="D20" s="193" t="s">
        <v>138</v>
      </c>
      <c r="E20" s="194"/>
      <c r="F20" s="239">
        <f>SUMIFS('Actual - 2026'!$BV$5:$BV$56,'Actual - 2026'!$A$5:$A$56,$D20)</f>
        <v>528912.34000000008</v>
      </c>
      <c r="G20" s="233">
        <f>SUMIFS('Budget - 2026'!$DV$5:$DV$56,'Budget - 2026'!$B$5:$B$56,$D20)</f>
        <v>251644.509656298</v>
      </c>
      <c r="H20" s="247">
        <f t="shared" si="5"/>
        <v>1.101823483939312</v>
      </c>
      <c r="I20" s="194"/>
      <c r="J20" s="239">
        <v>0</v>
      </c>
      <c r="K20" s="251">
        <f t="shared" si="1"/>
        <v>0</v>
      </c>
      <c r="L20" s="194"/>
      <c r="M20" s="239">
        <f>SUMIFS('Actual - 2026'!$BP$5:$BP$56,'Actual - 2026'!$A$5:$A$56,$D20)</f>
        <v>436754.2900000001</v>
      </c>
      <c r="N20" s="233">
        <f>SUMIFS('Budget - 2026'!$DP$5:$DP$56,'Budget - 2026'!$B$5:$B$56,$D20)</f>
        <v>227644.509656298</v>
      </c>
      <c r="O20" s="240">
        <v>0</v>
      </c>
      <c r="P20" s="239">
        <f>SUMIFS('Actual - 2026'!$BS$5:$BS$56,'Actual - 2026'!$A$5:$A$56,$D20)</f>
        <v>92158.05</v>
      </c>
      <c r="Q20" s="233">
        <f>SUMIFS('Budget - 2026'!$DS$5:$DS$56,'Budget - 2026'!$B$5:$B$56,$D20)</f>
        <v>24000</v>
      </c>
      <c r="R20" s="240">
        <v>0</v>
      </c>
    </row>
    <row r="21" spans="2:20" s="108" customFormat="1" ht="22.15" customHeight="1">
      <c r="D21" s="227" t="s">
        <v>254</v>
      </c>
      <c r="E21" s="194"/>
      <c r="F21" s="241">
        <f>SUM(F16:F20)</f>
        <v>1388050.6400000001</v>
      </c>
      <c r="G21" s="228">
        <f>SUM(G16:G20)</f>
        <v>1210222.5482814901</v>
      </c>
      <c r="H21" s="248">
        <f t="shared" si="5"/>
        <v>0.14693833954013252</v>
      </c>
      <c r="I21" s="194"/>
      <c r="J21" s="241">
        <f>SUM(J16:J20)</f>
        <v>0</v>
      </c>
      <c r="K21" s="248">
        <f t="shared" si="1"/>
        <v>0</v>
      </c>
      <c r="L21" s="194"/>
      <c r="M21" s="241">
        <f t="shared" ref="M21:R21" si="6">SUM(M16:M20)</f>
        <v>1173322.8700000001</v>
      </c>
      <c r="N21" s="228">
        <f t="shared" si="6"/>
        <v>1138222.5482814901</v>
      </c>
      <c r="O21" s="242">
        <f t="shared" si="6"/>
        <v>0</v>
      </c>
      <c r="P21" s="241">
        <f t="shared" si="6"/>
        <v>214727.77000000002</v>
      </c>
      <c r="Q21" s="228">
        <f t="shared" si="6"/>
        <v>72000</v>
      </c>
      <c r="R21" s="242">
        <f t="shared" si="6"/>
        <v>0</v>
      </c>
      <c r="S21" s="342">
        <v>768000</v>
      </c>
    </row>
    <row r="22" spans="2:20" s="108" customFormat="1" ht="22.15" customHeight="1">
      <c r="D22" s="193" t="s">
        <v>141</v>
      </c>
      <c r="E22" s="194"/>
      <c r="F22" s="239">
        <f>SUMIFS('Actual - 2026'!$BV$5:$BV$56,'Actual - 2026'!$A$5:$A$56,$D22)</f>
        <v>241332.25</v>
      </c>
      <c r="G22" s="233">
        <f>SUMIFS('Budget - 2026'!$DV$5:$DV$56,'Budget - 2026'!$B$5:$B$56,$D22)</f>
        <v>223813.04789845698</v>
      </c>
      <c r="H22" s="247">
        <f t="shared" si="5"/>
        <v>7.8276053456416042E-2</v>
      </c>
      <c r="I22" s="194"/>
      <c r="J22" s="239">
        <v>0</v>
      </c>
      <c r="K22" s="251">
        <f t="shared" si="1"/>
        <v>0</v>
      </c>
      <c r="L22" s="194"/>
      <c r="M22" s="239">
        <f>SUMIFS('Actual - 2026'!$BP$5:$BP$56,'Actual - 2026'!$A$5:$A$56,$D22)</f>
        <v>173704.95</v>
      </c>
      <c r="N22" s="233">
        <f>SUMIFS('Budget - 2026'!$DP$5:$DP$56,'Budget - 2026'!$B$5:$B$56,$D22)</f>
        <v>199813.04789845698</v>
      </c>
      <c r="O22" s="240">
        <v>0</v>
      </c>
      <c r="P22" s="239">
        <f>SUMIFS('Actual - 2026'!$BS$5:$BS$56,'Actual - 2026'!$A$5:$A$56,$D22)</f>
        <v>67627.3</v>
      </c>
      <c r="Q22" s="233">
        <f>SUMIFS('Budget - 2026'!$DS$5:$DS$56,'Budget - 2026'!$B$5:$B$56,$D22)</f>
        <v>24000</v>
      </c>
      <c r="R22" s="240">
        <v>0</v>
      </c>
      <c r="S22" s="342">
        <f>F19</f>
        <v>290409.02</v>
      </c>
    </row>
    <row r="23" spans="2:20" s="108" customFormat="1" ht="22.15" customHeight="1">
      <c r="D23" s="193" t="s">
        <v>142</v>
      </c>
      <c r="E23" s="194"/>
      <c r="F23" s="239">
        <f>SUMIFS('Actual - 2026'!$BV$5:$BV$56,'Actual - 2026'!$A$5:$A$56,$D23)</f>
        <v>226233.03</v>
      </c>
      <c r="G23" s="233">
        <f>SUMIFS('Budget - 2026'!$DV$5:$DV$56,'Budget - 2026'!$B$5:$B$56,$D23)</f>
        <v>223813.04789845698</v>
      </c>
      <c r="H23" s="247">
        <f t="shared" si="5"/>
        <v>1.0812515732509733E-2</v>
      </c>
      <c r="I23" s="194"/>
      <c r="J23" s="239">
        <v>0</v>
      </c>
      <c r="K23" s="251">
        <f t="shared" si="1"/>
        <v>0</v>
      </c>
      <c r="L23" s="194"/>
      <c r="M23" s="239">
        <f>SUMIFS('Actual - 2026'!$BP$5:$BP$56,'Actual - 2026'!$A$5:$A$56,$D23)</f>
        <v>176083.18</v>
      </c>
      <c r="N23" s="233">
        <f>SUMIFS('Budget - 2026'!$DP$5:$DP$56,'Budget - 2026'!$B$5:$B$56,$D23)</f>
        <v>199813.04789845698</v>
      </c>
      <c r="O23" s="240">
        <v>0</v>
      </c>
      <c r="P23" s="239">
        <f>SUMIFS('Actual - 2026'!$BS$5:$BS$56,'Actual - 2026'!$A$5:$A$56,$D23)</f>
        <v>50149.85</v>
      </c>
      <c r="Q23" s="233">
        <f>SUMIFS('Budget - 2026'!$DS$5:$DS$56,'Budget - 2026'!$B$5:$B$56,$D23)</f>
        <v>24000</v>
      </c>
      <c r="R23" s="240">
        <v>0</v>
      </c>
      <c r="S23" s="323">
        <f>SUM(S21:S22)</f>
        <v>1058409.02</v>
      </c>
      <c r="T23" s="108">
        <f>SUM(S22:T22)</f>
        <v>290409.02</v>
      </c>
    </row>
    <row r="24" spans="2:20" s="108" customFormat="1" ht="22.15" customHeight="1">
      <c r="D24" s="193" t="s">
        <v>143</v>
      </c>
      <c r="E24" s="194"/>
      <c r="F24" s="239">
        <f>SUMIFS('Actual - 2026'!$BV$5:$BV$56,'Actual - 2026'!$A$5:$A$56,$D24)</f>
        <v>225820.85</v>
      </c>
      <c r="G24" s="233">
        <f>SUMIFS('Budget - 2026'!$DV$5:$DV$56,'Budget - 2026'!$B$5:$B$56,$D24)</f>
        <v>223813.04789845698</v>
      </c>
      <c r="H24" s="247">
        <f t="shared" si="5"/>
        <v>8.9708894114786317E-3</v>
      </c>
      <c r="I24" s="194"/>
      <c r="J24" s="239">
        <v>0</v>
      </c>
      <c r="K24" s="251">
        <f t="shared" si="1"/>
        <v>0</v>
      </c>
      <c r="L24" s="194"/>
      <c r="M24" s="239">
        <f>SUMIFS('Actual - 2026'!$BP$5:$BP$56,'Actual - 2026'!$A$5:$A$56,$D24)</f>
        <v>178072.1</v>
      </c>
      <c r="N24" s="233">
        <f>SUMIFS('Budget - 2026'!$DP$5:$DP$56,'Budget - 2026'!$B$5:$B$56,$D24)</f>
        <v>199813.04789845698</v>
      </c>
      <c r="O24" s="240">
        <v>0</v>
      </c>
      <c r="P24" s="239">
        <f>SUMIFS('Actual - 2026'!$BS$5:$BS$56,'Actual - 2026'!$A$5:$A$56,$D24)</f>
        <v>47748.75</v>
      </c>
      <c r="Q24" s="233">
        <f>SUMIFS('Budget - 2026'!$DS$5:$DS$56,'Budget - 2026'!$B$5:$B$56,$D24)</f>
        <v>24000</v>
      </c>
      <c r="R24" s="240">
        <v>0</v>
      </c>
      <c r="S24" s="342">
        <v>1028594</v>
      </c>
    </row>
    <row r="25" spans="2:20" s="108" customFormat="1" ht="22.15" customHeight="1">
      <c r="D25" s="193" t="s">
        <v>144</v>
      </c>
      <c r="E25" s="194"/>
      <c r="F25" s="239">
        <f>SUMIFS('Actual - 2026'!$BV$5:$BV$56,'Actual - 2026'!$A$5:$A$56,$D25)</f>
        <v>217781.01</v>
      </c>
      <c r="G25" s="233">
        <f>SUMIFS('Budget - 2026'!$DV$5:$DV$56,'Budget - 2026'!$B$5:$B$56,$D25)</f>
        <v>223813.04789845698</v>
      </c>
      <c r="H25" s="247">
        <f t="shared" si="5"/>
        <v>-2.6951234323003719E-2</v>
      </c>
      <c r="I25" s="194"/>
      <c r="J25" s="239">
        <v>0</v>
      </c>
      <c r="K25" s="251">
        <f t="shared" si="1"/>
        <v>0</v>
      </c>
      <c r="L25" s="194"/>
      <c r="M25" s="239">
        <f>SUMIFS('Actual - 2026'!$BP$5:$BP$56,'Actual - 2026'!$A$5:$A$56,$D25)</f>
        <v>155598.01</v>
      </c>
      <c r="N25" s="233">
        <f>SUMIFS('Budget - 2026'!$DP$5:$DP$56,'Budget - 2026'!$B$5:$B$56,$D25)</f>
        <v>199813.04789845698</v>
      </c>
      <c r="O25" s="240">
        <v>0</v>
      </c>
      <c r="P25" s="239">
        <f>SUMIFS('Actual - 2026'!$BS$5:$BS$56,'Actual - 2026'!$A$5:$A$56,$D25)</f>
        <v>62183</v>
      </c>
      <c r="Q25" s="233">
        <f>SUMIFS('Budget - 2026'!$DS$5:$DS$56,'Budget - 2026'!$B$5:$B$56,$D25)</f>
        <v>24000</v>
      </c>
      <c r="R25" s="240">
        <v>0</v>
      </c>
      <c r="S25" s="323">
        <f>S23-S24</f>
        <v>29815.020000000019</v>
      </c>
    </row>
    <row r="26" spans="2:20" s="108" customFormat="1" ht="22.15" customHeight="1">
      <c r="D26" s="227" t="s">
        <v>255</v>
      </c>
      <c r="E26" s="194"/>
      <c r="F26" s="241">
        <f>SUM(F22:F25)</f>
        <v>911167.14</v>
      </c>
      <c r="G26" s="228"/>
      <c r="H26" s="248">
        <f t="shared" si="5"/>
        <v>0</v>
      </c>
      <c r="I26" s="194"/>
      <c r="J26" s="241">
        <f>SUM(J22:J25)</f>
        <v>0</v>
      </c>
      <c r="K26" s="248">
        <f t="shared" si="1"/>
        <v>0</v>
      </c>
      <c r="L26" s="194"/>
      <c r="M26" s="241">
        <f t="shared" ref="M26:R26" si="7">SUM(M22:M25)</f>
        <v>683458.24</v>
      </c>
      <c r="N26" s="228">
        <f t="shared" si="7"/>
        <v>799252.19159382791</v>
      </c>
      <c r="O26" s="242">
        <f t="shared" si="7"/>
        <v>0</v>
      </c>
      <c r="P26" s="241">
        <f t="shared" si="7"/>
        <v>227708.9</v>
      </c>
      <c r="Q26" s="228">
        <f t="shared" si="7"/>
        <v>96000</v>
      </c>
      <c r="R26" s="242">
        <f t="shared" si="7"/>
        <v>0</v>
      </c>
    </row>
    <row r="27" spans="2:20" s="108" customFormat="1" ht="22.15" customHeight="1">
      <c r="D27" s="193" t="s">
        <v>147</v>
      </c>
      <c r="E27" s="194"/>
      <c r="F27" s="239">
        <f>SUMIFS('Actual - 2026'!$BV$5:$BV$56,'Actual - 2026'!$A$5:$A$56,$D27)</f>
        <v>714460.3</v>
      </c>
      <c r="G27" s="233">
        <f>SUMIFS('Budget - 2026'!$DV$5:$DV$56,'Budget - 2026'!$B$5:$B$56,$D27)</f>
        <v>430236.01706544368</v>
      </c>
      <c r="H27" s="247">
        <f t="shared" si="5"/>
        <v>0.66062410319153431</v>
      </c>
      <c r="I27" s="194"/>
      <c r="J27" s="239">
        <v>0</v>
      </c>
      <c r="K27" s="251">
        <f t="shared" si="1"/>
        <v>0</v>
      </c>
      <c r="L27" s="194"/>
      <c r="M27" s="239">
        <f>SUMIFS('Actual - 2026'!$BP$5:$BP$56,'Actual - 2026'!$A$5:$A$56,$D27)</f>
        <v>599851.30000000005</v>
      </c>
      <c r="N27" s="233">
        <f>SUMIFS('Budget - 2026'!$DP$5:$DP$56,'Budget - 2026'!$B$5:$B$56,$D27)</f>
        <v>350236.01706544368</v>
      </c>
      <c r="O27" s="240">
        <v>0</v>
      </c>
      <c r="P27" s="239">
        <f>SUMIFS('Actual - 2026'!$BS$5:$BS$56,'Actual - 2026'!$A$5:$A$56,$D27)</f>
        <v>114609</v>
      </c>
      <c r="Q27" s="233">
        <f>SUMIFS('Budget - 2026'!$DS$5:$DS$56,'Budget - 2026'!$B$5:$B$56,$D27)</f>
        <v>80000</v>
      </c>
      <c r="R27" s="240">
        <v>0</v>
      </c>
    </row>
    <row r="28" spans="2:20" s="108" customFormat="1" ht="22.15" customHeight="1">
      <c r="B28" s="108" t="s">
        <v>99</v>
      </c>
      <c r="D28" s="193" t="s">
        <v>148</v>
      </c>
      <c r="E28" s="194"/>
      <c r="F28" s="239">
        <f>SUMIFS('Actual - 2026'!$BV$5:$BV$56,'Actual - 2026'!$A$5:$A$56,$D28)</f>
        <v>137948.5</v>
      </c>
      <c r="G28" s="233">
        <f>SUMIFS('Budget - 2026'!$DV$5:$DV$56,'Budget - 2026'!$B$5:$B$56,$D28)</f>
        <v>290566.20828994201</v>
      </c>
      <c r="H28" s="247">
        <f t="shared" si="5"/>
        <v>-0.52524245399400382</v>
      </c>
      <c r="I28" s="194"/>
      <c r="J28" s="239">
        <v>0</v>
      </c>
      <c r="K28" s="251">
        <f t="shared" si="1"/>
        <v>0</v>
      </c>
      <c r="L28" s="194"/>
      <c r="M28" s="239">
        <f>SUMIFS('Actual - 2026'!$BP$5:$BP$56,'Actual - 2026'!$A$5:$A$56,$D28)</f>
        <v>95014.5</v>
      </c>
      <c r="N28" s="233">
        <f>SUMIFS('Budget - 2026'!$DP$5:$DP$56,'Budget - 2026'!$B$5:$B$56,$D28)</f>
        <v>242566.20828994198</v>
      </c>
      <c r="O28" s="240">
        <v>0</v>
      </c>
      <c r="P28" s="239">
        <f>SUMIFS('Actual - 2026'!$BS$5:$BS$56,'Actual - 2026'!$A$5:$A$56,$D28)</f>
        <v>42934</v>
      </c>
      <c r="Q28" s="233">
        <f>SUMIFS('Budget - 2026'!$DS$5:$DS$56,'Budget - 2026'!$B$5:$B$56,$D28)</f>
        <v>48000</v>
      </c>
      <c r="R28" s="240">
        <v>0</v>
      </c>
    </row>
    <row r="29" spans="2:20" s="108" customFormat="1" ht="22.15" customHeight="1">
      <c r="D29" s="193" t="s">
        <v>149</v>
      </c>
      <c r="E29" s="194"/>
      <c r="F29" s="239">
        <f>SUMIFS('Actual - 2026'!$BV$5:$BV$56,'Actual - 2026'!$A$5:$A$56,$D29)</f>
        <v>241426.05000000002</v>
      </c>
      <c r="G29" s="233">
        <f>SUMIFS('Budget - 2026'!$DV$5:$DV$56,'Budget - 2026'!$B$5:$B$56,$D29)</f>
        <v>290566.20828994201</v>
      </c>
      <c r="H29" s="247">
        <f t="shared" si="5"/>
        <v>-0.16911862731438954</v>
      </c>
      <c r="I29" s="194"/>
      <c r="J29" s="239">
        <v>0</v>
      </c>
      <c r="K29" s="251">
        <f t="shared" si="1"/>
        <v>0</v>
      </c>
      <c r="L29" s="194"/>
      <c r="M29" s="239">
        <f>SUMIFS('Actual - 2026'!$BP$5:$BP$56,'Actual - 2026'!$A$5:$A$56,$D29)</f>
        <v>178666.15000000002</v>
      </c>
      <c r="N29" s="233">
        <f>SUMIFS('Budget - 2026'!$DP$5:$DP$56,'Budget - 2026'!$B$5:$B$56,$D29)</f>
        <v>242566.20828994198</v>
      </c>
      <c r="O29" s="240">
        <v>0</v>
      </c>
      <c r="P29" s="239">
        <f>SUMIFS('Actual - 2026'!$BS$5:$BS$56,'Actual - 2026'!$A$5:$A$56,$D29)</f>
        <v>62759.9</v>
      </c>
      <c r="Q29" s="233">
        <f>SUMIFS('Budget - 2026'!$DS$5:$DS$56,'Budget - 2026'!$B$5:$B$56,$D29)</f>
        <v>48000</v>
      </c>
      <c r="R29" s="240">
        <v>0</v>
      </c>
    </row>
    <row r="30" spans="2:20" s="108" customFormat="1" ht="22.15" customHeight="1">
      <c r="D30" s="193" t="s">
        <v>150</v>
      </c>
      <c r="E30" s="194"/>
      <c r="F30" s="239">
        <f>SUMIFS('Actual - 2026'!$BV$5:$BV$56,'Actual - 2026'!$A$5:$A$56,$D30)</f>
        <v>287305.02</v>
      </c>
      <c r="G30" s="233">
        <f>SUMIFS('Budget - 2026'!$DV$5:$DV$56,'Budget - 2026'!$B$5:$B$56,$D30)</f>
        <v>331566.20828994201</v>
      </c>
      <c r="H30" s="247">
        <f t="shared" si="5"/>
        <v>-0.13349125207366508</v>
      </c>
      <c r="I30" s="194"/>
      <c r="J30" s="239">
        <v>0</v>
      </c>
      <c r="K30" s="251">
        <f t="shared" si="1"/>
        <v>0</v>
      </c>
      <c r="L30" s="194"/>
      <c r="M30" s="239">
        <f>SUMIFS('Actual - 2026'!$BP$5:$BP$56,'Actual - 2026'!$A$5:$A$56,$D30)</f>
        <v>215040.11000000002</v>
      </c>
      <c r="N30" s="233">
        <f>SUMIFS('Budget - 2026'!$DP$5:$DP$56,'Budget - 2026'!$B$5:$B$56,$D30)</f>
        <v>242566.20828994198</v>
      </c>
      <c r="O30" s="240">
        <v>0</v>
      </c>
      <c r="P30" s="239">
        <f>SUMIFS('Actual - 2026'!$BS$5:$BS$56,'Actual - 2026'!$A$5:$A$56,$D30)</f>
        <v>72264.91</v>
      </c>
      <c r="Q30" s="233">
        <f>SUMIFS('Budget - 2026'!$DS$5:$DS$56,'Budget - 2026'!$B$5:$B$56,$D30)</f>
        <v>89000</v>
      </c>
      <c r="R30" s="240">
        <v>0</v>
      </c>
    </row>
    <row r="31" spans="2:20" s="108" customFormat="1" ht="22.15" customHeight="1">
      <c r="D31" s="227" t="s">
        <v>256</v>
      </c>
      <c r="E31" s="194"/>
      <c r="F31" s="241">
        <f>SUM(F27:F30)</f>
        <v>1381139.87</v>
      </c>
      <c r="G31" s="228">
        <f>SUM(G27:G30)</f>
        <v>1342934.6419352698</v>
      </c>
      <c r="H31" s="248">
        <f t="shared" si="5"/>
        <v>2.8449059895925905E-2</v>
      </c>
      <c r="I31" s="194"/>
      <c r="J31" s="241">
        <f>SUM(J27:J30)</f>
        <v>0</v>
      </c>
      <c r="K31" s="248">
        <f t="shared" si="1"/>
        <v>0</v>
      </c>
      <c r="L31" s="194"/>
      <c r="M31" s="241">
        <f t="shared" ref="M31:R31" si="8">SUM(M27:M30)</f>
        <v>1088572.06</v>
      </c>
      <c r="N31" s="228">
        <f t="shared" si="8"/>
        <v>1077934.6419352696</v>
      </c>
      <c r="O31" s="242">
        <f t="shared" si="8"/>
        <v>0</v>
      </c>
      <c r="P31" s="241">
        <f t="shared" si="8"/>
        <v>292567.81</v>
      </c>
      <c r="Q31" s="228">
        <f t="shared" si="8"/>
        <v>265000</v>
      </c>
      <c r="R31" s="242">
        <f t="shared" si="8"/>
        <v>0</v>
      </c>
    </row>
    <row r="32" spans="2:20" s="108" customFormat="1" ht="22.15" customHeight="1">
      <c r="D32" s="193" t="s">
        <v>153</v>
      </c>
      <c r="E32" s="194"/>
      <c r="F32" s="239">
        <f>SUMIFS('Actual - 2026'!$BV$5:$BV$56,'Actual - 2026'!$A$5:$A$56,$D32)</f>
        <v>222572.5</v>
      </c>
      <c r="G32" s="233">
        <f>SUMIFS('Budget - 2026'!$DV$5:$DV$56,'Budget - 2026'!$B$5:$B$56,$D32)</f>
        <v>317244.29347218806</v>
      </c>
      <c r="H32" s="247">
        <f t="shared" si="5"/>
        <v>-0.29841921642157976</v>
      </c>
      <c r="I32" s="194"/>
      <c r="J32" s="239">
        <v>0</v>
      </c>
      <c r="K32" s="251">
        <f t="shared" si="1"/>
        <v>0</v>
      </c>
      <c r="L32" s="194"/>
      <c r="M32" s="239">
        <f>SUMIFS('Actual - 2026'!$BP$5:$BP$56,'Actual - 2026'!$A$5:$A$56,$D32)</f>
        <v>107280.75</v>
      </c>
      <c r="N32" s="233">
        <f>SUMIFS('Budget - 2026'!$DP$5:$DP$56,'Budget - 2026'!$B$5:$B$56,$D32)</f>
        <v>228244.29347218803</v>
      </c>
      <c r="O32" s="240">
        <v>0</v>
      </c>
      <c r="P32" s="239">
        <f>SUMIFS('Actual - 2026'!$BS$5:$BS$56,'Actual - 2026'!$A$5:$A$56,$D32)</f>
        <v>115291.75</v>
      </c>
      <c r="Q32" s="233">
        <f>SUMIFS('Budget - 2026'!$DS$5:$DS$56,'Budget - 2026'!$B$5:$B$56,$D32)</f>
        <v>89000</v>
      </c>
      <c r="R32" s="240">
        <v>0</v>
      </c>
    </row>
    <row r="33" spans="4:18" s="108" customFormat="1" ht="22.15" customHeight="1">
      <c r="D33" s="193" t="s">
        <v>154</v>
      </c>
      <c r="E33" s="194"/>
      <c r="F33" s="239">
        <f>SUMIFS('Actual - 2026'!$BV$5:$BV$56,'Actual - 2026'!$A$5:$A$56,$D33)</f>
        <v>206162</v>
      </c>
      <c r="G33" s="233">
        <f>SUMIFS('Budget - 2026'!$DV$5:$DV$56,'Budget - 2026'!$B$5:$B$56,$D33)</f>
        <v>317244.29347218806</v>
      </c>
      <c r="H33" s="247">
        <f t="shared" si="5"/>
        <v>-0.35014749124849537</v>
      </c>
      <c r="I33" s="194"/>
      <c r="J33" s="239">
        <v>0</v>
      </c>
      <c r="K33" s="251">
        <f t="shared" si="1"/>
        <v>0</v>
      </c>
      <c r="L33" s="194"/>
      <c r="M33" s="239">
        <f>SUMIFS('Actual - 2026'!$BP$5:$BP$56,'Actual - 2026'!$A$5:$A$56,$D33)</f>
        <v>168574.25</v>
      </c>
      <c r="N33" s="233">
        <f>SUMIFS('Budget - 2026'!$DP$5:$DP$56,'Budget - 2026'!$B$5:$B$56,$D33)</f>
        <v>228244.29347218803</v>
      </c>
      <c r="O33" s="240">
        <v>0</v>
      </c>
      <c r="P33" s="239">
        <f>SUMIFS('Actual - 2026'!$BS$5:$BS$56,'Actual - 2026'!$A$5:$A$56,$D33)</f>
        <v>37587.75</v>
      </c>
      <c r="Q33" s="233">
        <f>SUMIFS('Budget - 2026'!$DS$5:$DS$56,'Budget - 2026'!$B$5:$B$56,$D33)</f>
        <v>89000</v>
      </c>
      <c r="R33" s="240">
        <v>0</v>
      </c>
    </row>
    <row r="34" spans="4:18" s="108" customFormat="1" ht="22.15" customHeight="1">
      <c r="D34" s="193" t="s">
        <v>155</v>
      </c>
      <c r="E34" s="194"/>
      <c r="F34" s="239">
        <f>SUMIFS('Actual - 2026'!$BV$5:$BV$56,'Actual - 2026'!$A$5:$A$56,$D34)</f>
        <v>124237.5</v>
      </c>
      <c r="G34" s="233">
        <f>SUMIFS('Budget - 2026'!$DV$5:$DV$56,'Budget - 2026'!$B$5:$B$56,$D34)</f>
        <v>317244.29347218806</v>
      </c>
      <c r="H34" s="247">
        <f t="shared" si="5"/>
        <v>-0.60838539082849863</v>
      </c>
      <c r="I34" s="194"/>
      <c r="J34" s="239">
        <v>0</v>
      </c>
      <c r="K34" s="251">
        <f t="shared" si="1"/>
        <v>0</v>
      </c>
      <c r="L34" s="194"/>
      <c r="M34" s="239">
        <f>SUMIFS('Actual - 2026'!$BP$5:$BP$56,'Actual - 2026'!$A$5:$A$56,$D34)</f>
        <v>97436.75</v>
      </c>
      <c r="N34" s="233">
        <f>SUMIFS('Budget - 2026'!$DP$5:$DP$56,'Budget - 2026'!$B$5:$B$56,$D34)</f>
        <v>228244.29347218803</v>
      </c>
      <c r="O34" s="240">
        <v>0</v>
      </c>
      <c r="P34" s="239">
        <f>SUMIFS('Actual - 2026'!$BS$5:$BS$56,'Actual - 2026'!$A$5:$A$56,$D34)</f>
        <v>26800.75</v>
      </c>
      <c r="Q34" s="233">
        <f>SUMIFS('Budget - 2026'!$DS$5:$DS$56,'Budget - 2026'!$B$5:$B$56,$D34)</f>
        <v>89000</v>
      </c>
      <c r="R34" s="240">
        <v>0</v>
      </c>
    </row>
    <row r="35" spans="4:18" s="108" customFormat="1" ht="22.15" customHeight="1">
      <c r="D35" s="193" t="s">
        <v>156</v>
      </c>
      <c r="E35" s="194"/>
      <c r="F35" s="239">
        <f>SUMIFS('Actual - 2026'!$BV$5:$BV$56,'Actual - 2026'!$A$5:$A$56,$D35)</f>
        <v>198013.02999999997</v>
      </c>
      <c r="G35" s="233">
        <f>SUMIFS('Budget - 2026'!$DV$5:$DV$56,'Budget - 2026'!$B$5:$B$56,$D35)</f>
        <v>317244.29347218806</v>
      </c>
      <c r="H35" s="247">
        <f t="shared" si="5"/>
        <v>-0.37583422594373872</v>
      </c>
      <c r="I35" s="194"/>
      <c r="J35" s="239">
        <v>0</v>
      </c>
      <c r="K35" s="251">
        <f t="shared" si="1"/>
        <v>0</v>
      </c>
      <c r="L35" s="194"/>
      <c r="M35" s="239">
        <f>SUMIFS('Actual - 2026'!$BP$5:$BP$56,'Actual - 2026'!$A$5:$A$56,$D35)</f>
        <v>143891.87999999998</v>
      </c>
      <c r="N35" s="233">
        <f>SUMIFS('Budget - 2026'!$DP$5:$DP$56,'Budget - 2026'!$B$5:$B$56,$D35)</f>
        <v>228244.29347218803</v>
      </c>
      <c r="O35" s="240">
        <v>0</v>
      </c>
      <c r="P35" s="239">
        <f>SUMIFS('Actual - 2026'!$BS$5:$BS$56,'Actual - 2026'!$A$5:$A$56,$D35)</f>
        <v>54121.15</v>
      </c>
      <c r="Q35" s="233">
        <f>SUMIFS('Budget - 2026'!$DS$5:$DS$56,'Budget - 2026'!$B$5:$B$56,$D35)</f>
        <v>89000</v>
      </c>
      <c r="R35" s="240">
        <v>0</v>
      </c>
    </row>
    <row r="36" spans="4:18" s="108" customFormat="1" ht="22.15" customHeight="1">
      <c r="D36" s="193" t="s">
        <v>157</v>
      </c>
      <c r="E36" s="194"/>
      <c r="F36" s="239">
        <f>SUMIFS('Actual - 2026'!$BV$5:$BV$56,'Actual - 2026'!$A$5:$A$56,$D36)</f>
        <v>271311.13</v>
      </c>
      <c r="G36" s="233">
        <f>SUMIFS('Budget - 2026'!$DV$5:$DV$56,'Budget - 2026'!$B$5:$B$56,$D36)</f>
        <v>317244.29347218806</v>
      </c>
      <c r="H36" s="247">
        <f t="shared" si="5"/>
        <v>-0.14478798962609202</v>
      </c>
      <c r="I36" s="194"/>
      <c r="J36" s="239">
        <v>0</v>
      </c>
      <c r="K36" s="251">
        <f t="shared" si="1"/>
        <v>0</v>
      </c>
      <c r="L36" s="194"/>
      <c r="M36" s="239">
        <f>SUMIFS('Actual - 2026'!$BP$5:$BP$56,'Actual - 2026'!$A$5:$A$56,$D36)</f>
        <v>244637.13</v>
      </c>
      <c r="N36" s="233">
        <f>SUMIFS('Budget - 2026'!$DP$5:$DP$56,'Budget - 2026'!$B$5:$B$56,$D36)</f>
        <v>228244.29347218803</v>
      </c>
      <c r="O36" s="240">
        <v>0</v>
      </c>
      <c r="P36" s="239">
        <f>SUMIFS('Actual - 2026'!$BS$5:$BS$56,'Actual - 2026'!$A$5:$A$56,$D36)</f>
        <v>26674</v>
      </c>
      <c r="Q36" s="233">
        <f>SUMIFS('Budget - 2026'!$DS$5:$DS$56,'Budget - 2026'!$B$5:$B$56,$D36)</f>
        <v>89000</v>
      </c>
      <c r="R36" s="240">
        <v>0</v>
      </c>
    </row>
    <row r="37" spans="4:18" s="108" customFormat="1" ht="22.15" customHeight="1">
      <c r="D37" s="227" t="s">
        <v>257</v>
      </c>
      <c r="E37" s="194"/>
      <c r="F37" s="241">
        <f>SUM(F32:F36)</f>
        <v>1022296.16</v>
      </c>
      <c r="G37" s="228">
        <f>SUM(G32:G36)</f>
        <v>1586221.4673609403</v>
      </c>
      <c r="H37" s="248">
        <f t="shared" si="5"/>
        <v>-0.35551486281368089</v>
      </c>
      <c r="I37" s="194"/>
      <c r="J37" s="241">
        <f>SUM(J32:J36)</f>
        <v>0</v>
      </c>
      <c r="K37" s="248">
        <f t="shared" si="1"/>
        <v>0</v>
      </c>
      <c r="L37" s="194"/>
      <c r="M37" s="241">
        <f t="shared" ref="M37:R37" si="9">SUM(M32:M36)</f>
        <v>761820.76</v>
      </c>
      <c r="N37" s="228">
        <f t="shared" si="9"/>
        <v>1141221.4673609401</v>
      </c>
      <c r="O37" s="242">
        <f t="shared" si="9"/>
        <v>0</v>
      </c>
      <c r="P37" s="241">
        <f t="shared" si="9"/>
        <v>260475.4</v>
      </c>
      <c r="Q37" s="228">
        <f t="shared" si="9"/>
        <v>445000</v>
      </c>
      <c r="R37" s="242">
        <f t="shared" si="9"/>
        <v>0</v>
      </c>
    </row>
    <row r="38" spans="4:18" s="108" customFormat="1" ht="22.15" customHeight="1">
      <c r="D38" s="193" t="s">
        <v>160</v>
      </c>
      <c r="E38" s="194"/>
      <c r="F38" s="239">
        <f>SUMIFS('Actual - 2026'!$BV$5:$BV$56,'Actual - 2026'!$A$5:$A$56,$D38)</f>
        <v>150243.51999999999</v>
      </c>
      <c r="G38" s="233">
        <f>SUMIFS('Budget - 2026'!$DV$5:$DV$56,'Budget - 2026'!$B$5:$B$56,$D38)</f>
        <v>261510.26725440891</v>
      </c>
      <c r="H38" s="247">
        <f t="shared" si="5"/>
        <v>-0.42547754787066788</v>
      </c>
      <c r="I38" s="194"/>
      <c r="J38" s="239">
        <v>0</v>
      </c>
      <c r="K38" s="251">
        <f t="shared" si="1"/>
        <v>0</v>
      </c>
      <c r="L38" s="194"/>
      <c r="M38" s="239">
        <f>SUMIFS('Actual - 2026'!$BP$5:$BP$56,'Actual - 2026'!$A$5:$A$56,$D38)</f>
        <v>119747.51999999999</v>
      </c>
      <c r="N38" s="233">
        <f>SUMIFS('Budget - 2026'!$DP$5:$DP$56,'Budget - 2026'!$B$5:$B$56,$D38)</f>
        <v>196510.26725440891</v>
      </c>
      <c r="O38" s="240">
        <v>0</v>
      </c>
      <c r="P38" s="239">
        <f>SUMIFS('Actual - 2026'!$BS$5:$BS$56,'Actual - 2026'!$A$5:$A$56,$D38)</f>
        <v>30496</v>
      </c>
      <c r="Q38" s="233">
        <f>SUMIFS('Budget - 2026'!$DS$5:$DS$56,'Budget - 2026'!$B$5:$B$56,$D38)</f>
        <v>65000</v>
      </c>
      <c r="R38" s="240">
        <v>0</v>
      </c>
    </row>
    <row r="39" spans="4:18" s="108" customFormat="1" ht="22.15" customHeight="1">
      <c r="D39" s="193" t="s">
        <v>161</v>
      </c>
      <c r="E39" s="194"/>
      <c r="F39" s="239">
        <f>SUMIFS('Actual - 2026'!$BV$5:$BV$56,'Actual - 2026'!$A$5:$A$56,$D39)</f>
        <v>252804.5</v>
      </c>
      <c r="G39" s="233">
        <f>SUMIFS('Budget - 2026'!$DV$5:$DV$56,'Budget - 2026'!$B$5:$B$56,$D39)</f>
        <v>261510.26725440891</v>
      </c>
      <c r="H39" s="247">
        <f t="shared" si="5"/>
        <v>-3.3290345904237684E-2</v>
      </c>
      <c r="I39" s="194"/>
      <c r="J39" s="239">
        <v>0</v>
      </c>
      <c r="K39" s="251">
        <f t="shared" si="1"/>
        <v>0</v>
      </c>
      <c r="L39" s="194"/>
      <c r="M39" s="239">
        <f>SUMIFS('Actual - 2026'!$BP$5:$BP$56,'Actual - 2026'!$A$5:$A$56,$D39)</f>
        <v>218040.5</v>
      </c>
      <c r="N39" s="233">
        <f>SUMIFS('Budget - 2026'!$DP$5:$DP$56,'Budget - 2026'!$B$5:$B$56,$D39)</f>
        <v>196510.26725440891</v>
      </c>
      <c r="O39" s="240">
        <v>0</v>
      </c>
      <c r="P39" s="239">
        <f>SUMIFS('Actual - 2026'!$BS$5:$BS$56,'Actual - 2026'!$A$5:$A$56,$D39)</f>
        <v>34764</v>
      </c>
      <c r="Q39" s="233">
        <f>SUMIFS('Budget - 2026'!$DS$5:$DS$56,'Budget - 2026'!$B$5:$B$56,$D39)</f>
        <v>65000</v>
      </c>
      <c r="R39" s="240">
        <v>0</v>
      </c>
    </row>
    <row r="40" spans="4:18" s="108" customFormat="1" ht="22.15" customHeight="1">
      <c r="D40" s="193" t="s">
        <v>162</v>
      </c>
      <c r="E40" s="194"/>
      <c r="F40" s="239">
        <f>SUMIFS('Actual - 2026'!$BV$5:$BV$56,'Actual - 2026'!$A$5:$A$56,$D40)</f>
        <v>131152.65</v>
      </c>
      <c r="G40" s="233">
        <f>SUMIFS('Budget - 2026'!$DV$5:$DV$56,'Budget - 2026'!$B$5:$B$56,$D40)</f>
        <v>258260.26725440891</v>
      </c>
      <c r="H40" s="247">
        <f t="shared" si="5"/>
        <v>-0.49216868938339947</v>
      </c>
      <c r="I40" s="194"/>
      <c r="J40" s="239">
        <v>0</v>
      </c>
      <c r="K40" s="251">
        <f t="shared" si="1"/>
        <v>0</v>
      </c>
      <c r="L40" s="194"/>
      <c r="M40" s="239">
        <f>SUMIFS('Actual - 2026'!$BP$5:$BP$56,'Actual - 2026'!$A$5:$A$56,$D40)</f>
        <v>131152.65</v>
      </c>
      <c r="N40" s="233">
        <f>SUMIFS('Budget - 2026'!$DP$5:$DP$56,'Budget - 2026'!$B$5:$B$56,$D40)</f>
        <v>196510.26725440891</v>
      </c>
      <c r="O40" s="240">
        <v>0</v>
      </c>
      <c r="P40" s="239">
        <f>SUMIFS('Actual - 2026'!$BS$5:$BS$56,'Actual - 2026'!$A$5:$A$56,$D40)</f>
        <v>0</v>
      </c>
      <c r="Q40" s="233">
        <f>SUMIFS('Budget - 2026'!$DS$5:$DS$56,'Budget - 2026'!$B$5:$B$56,$D40)</f>
        <v>61750</v>
      </c>
      <c r="R40" s="240">
        <v>0</v>
      </c>
    </row>
    <row r="41" spans="4:18" s="108" customFormat="1" ht="22.15" customHeight="1">
      <c r="D41" s="193" t="s">
        <v>163</v>
      </c>
      <c r="E41" s="194"/>
      <c r="F41" s="239">
        <f>SUMIFS('Actual - 2026'!$BV$5:$BV$56,'Actual - 2026'!$A$5:$A$56,$D41)</f>
        <v>79190.3</v>
      </c>
      <c r="G41" s="233">
        <f>SUMIFS('Budget - 2026'!$DV$5:$DV$56,'Budget - 2026'!$B$5:$B$56,$D41)</f>
        <v>258260.26725440891</v>
      </c>
      <c r="H41" s="247">
        <f t="shared" si="5"/>
        <v>-0.69337017713998328</v>
      </c>
      <c r="I41" s="194"/>
      <c r="J41" s="239">
        <v>0</v>
      </c>
      <c r="K41" s="251">
        <f t="shared" si="1"/>
        <v>0</v>
      </c>
      <c r="L41" s="194"/>
      <c r="M41" s="239">
        <f>SUMIFS('Actual - 2026'!$BP$5:$BP$56,'Actual - 2026'!$A$5:$A$56,$D41)</f>
        <v>79190.3</v>
      </c>
      <c r="N41" s="233">
        <f>SUMIFS('Budget - 2026'!$DP$5:$DP$56,'Budget - 2026'!$B$5:$B$56,$D41)</f>
        <v>196510.26725440891</v>
      </c>
      <c r="O41" s="240">
        <v>0</v>
      </c>
      <c r="P41" s="239">
        <f>SUMIFS('Actual - 2026'!$BS$5:$BS$56,'Actual - 2026'!$A$5:$A$56,$D41)</f>
        <v>0</v>
      </c>
      <c r="Q41" s="233">
        <f>SUMIFS('Budget - 2026'!$DS$5:$DS$56,'Budget - 2026'!$B$5:$B$56,$D41)</f>
        <v>61750</v>
      </c>
      <c r="R41" s="240">
        <v>0</v>
      </c>
    </row>
    <row r="42" spans="4:18" s="108" customFormat="1" ht="22.15" customHeight="1">
      <c r="D42" s="227" t="s">
        <v>258</v>
      </c>
      <c r="E42" s="194"/>
      <c r="F42" s="241">
        <f>SUM(F38:F41)</f>
        <v>613390.97000000009</v>
      </c>
      <c r="G42" s="228">
        <f>SUM(G38:G41)</f>
        <v>1039541.0690176357</v>
      </c>
      <c r="H42" s="248">
        <f t="shared" si="5"/>
        <v>-0.40994060910007779</v>
      </c>
      <c r="I42" s="194"/>
      <c r="J42" s="241">
        <f>SUM(J38:J41)</f>
        <v>0</v>
      </c>
      <c r="K42" s="248">
        <f t="shared" si="1"/>
        <v>0</v>
      </c>
      <c r="L42" s="194"/>
      <c r="M42" s="241">
        <f t="shared" ref="M42:R42" si="10">SUM(M38:M41)</f>
        <v>548130.97000000009</v>
      </c>
      <c r="N42" s="228">
        <f t="shared" si="10"/>
        <v>786041.06901763566</v>
      </c>
      <c r="O42" s="242">
        <f t="shared" si="10"/>
        <v>0</v>
      </c>
      <c r="P42" s="241">
        <f t="shared" si="10"/>
        <v>65260</v>
      </c>
      <c r="Q42" s="228">
        <f t="shared" si="10"/>
        <v>253500</v>
      </c>
      <c r="R42" s="242">
        <f t="shared" si="10"/>
        <v>0</v>
      </c>
    </row>
    <row r="43" spans="4:18" s="108" customFormat="1" ht="22.15" customHeight="1">
      <c r="D43" s="193" t="s">
        <v>166</v>
      </c>
      <c r="E43" s="194"/>
      <c r="F43" s="239">
        <f>SUMIFS('Actual - 2026'!$BV$5:$BV$56,'Actual - 2026'!$A$5:$A$56,$D43)</f>
        <v>79700</v>
      </c>
      <c r="G43" s="205">
        <f>SUMIFS('Budget - 2026'!$DV$5:$DV$56,'Budget - 2026'!$B$5:$B$56,$D43)</f>
        <v>242808.39400666943</v>
      </c>
      <c r="H43" s="247">
        <f t="shared" si="5"/>
        <v>-0.67175764113900116</v>
      </c>
      <c r="I43" s="194"/>
      <c r="J43" s="239">
        <v>0</v>
      </c>
      <c r="K43" s="251">
        <f t="shared" si="1"/>
        <v>0</v>
      </c>
      <c r="L43" s="194"/>
      <c r="M43" s="239">
        <f>SUMIFS('Actual - 2026'!$BP$5:$BP$56,'Actual - 2026'!$A$5:$A$56,$D43)</f>
        <v>79700</v>
      </c>
      <c r="N43" s="233">
        <f>SUMIFS('Budget - 2026'!$DP$5:$DP$56,'Budget - 2026'!$B$5:$B$56,$D43)</f>
        <v>181058.39400666943</v>
      </c>
      <c r="O43" s="306">
        <v>0</v>
      </c>
      <c r="P43" s="239">
        <f>SUMIFS('Actual - 2026'!$BS$5:$BS$56,'Actual - 2026'!$A$5:$A$56,$D43)</f>
        <v>0</v>
      </c>
      <c r="Q43" s="233">
        <f>SUMIFS('Budget - 2026'!$DS$5:$DS$56,'Budget - 2026'!$B$5:$B$56,$D43)</f>
        <v>61750</v>
      </c>
      <c r="R43" s="240">
        <v>0</v>
      </c>
    </row>
    <row r="44" spans="4:18" s="108" customFormat="1" ht="22.15" customHeight="1">
      <c r="D44" s="193" t="s">
        <v>167</v>
      </c>
      <c r="E44" s="194"/>
      <c r="F44" s="239">
        <f>SUMIFS('Actual - 2026'!$BV$5:$BV$56,'Actual - 2026'!$A$5:$A$56,$D44)</f>
        <v>88135.3</v>
      </c>
      <c r="G44" s="205">
        <f>SUMIFS('Budget - 2026'!$DV$5:$DV$56,'Budget - 2026'!$B$5:$B$56,$D44)</f>
        <v>242808.39400666943</v>
      </c>
      <c r="H44" s="247">
        <f t="shared" si="5"/>
        <v>-0.63701707941126973</v>
      </c>
      <c r="I44" s="194"/>
      <c r="J44" s="239">
        <v>0</v>
      </c>
      <c r="K44" s="251">
        <f t="shared" si="1"/>
        <v>0</v>
      </c>
      <c r="L44" s="194"/>
      <c r="M44" s="239">
        <f>SUMIFS('Actual - 2026'!$BP$5:$BP$56,'Actual - 2026'!$A$5:$A$56,$D44)</f>
        <v>73306.3</v>
      </c>
      <c r="N44" s="233">
        <f>SUMIFS('Budget - 2026'!$DP$5:$DP$56,'Budget - 2026'!$B$5:$B$56,$D44)</f>
        <v>181058.39400666943</v>
      </c>
      <c r="O44" s="306">
        <v>0</v>
      </c>
      <c r="P44" s="239">
        <f>SUMIFS('Actual - 2026'!$BS$5:$BS$56,'Actual - 2026'!$A$5:$A$56,$D44)</f>
        <v>14829</v>
      </c>
      <c r="Q44" s="233">
        <f>SUMIFS('Budget - 2026'!$DS$5:$DS$56,'Budget - 2026'!$B$5:$B$56,$D44)</f>
        <v>61750</v>
      </c>
      <c r="R44" s="240">
        <v>0</v>
      </c>
    </row>
    <row r="45" spans="4:18" s="108" customFormat="1" ht="22.15" customHeight="1">
      <c r="D45" s="193" t="s">
        <v>168</v>
      </c>
      <c r="E45" s="194"/>
      <c r="F45" s="239">
        <f>SUMIFS('Actual - 2026'!$BV$5:$BV$56,'Actual - 2026'!$A$5:$A$56,$D45)</f>
        <v>146934.43</v>
      </c>
      <c r="G45" s="233">
        <f>SUMIFS('Budget - 2026'!$DV$5:$DV$56,'Budget - 2026'!$B$5:$B$56,$D45)</f>
        <v>242808.39400666943</v>
      </c>
      <c r="H45" s="247">
        <f t="shared" si="5"/>
        <v>-0.39485440525600601</v>
      </c>
      <c r="I45" s="194"/>
      <c r="J45" s="239">
        <v>0</v>
      </c>
      <c r="K45" s="251">
        <f t="shared" si="1"/>
        <v>0</v>
      </c>
      <c r="L45" s="194"/>
      <c r="M45" s="239">
        <f>SUMIFS('Actual - 2026'!$BP$5:$BP$56,'Actual - 2026'!$A$5:$A$56,$D45)</f>
        <v>118977.43</v>
      </c>
      <c r="N45" s="233">
        <f>SUMIFS('Budget - 2026'!$DP$5:$DP$56,'Budget - 2026'!$B$5:$B$56,$D45)</f>
        <v>181058.39400666943</v>
      </c>
      <c r="O45" s="240">
        <v>0</v>
      </c>
      <c r="P45" s="239">
        <f>SUMIFS('Actual - 2026'!$BS$5:$BS$56,'Actual - 2026'!$A$5:$A$56,$D45)</f>
        <v>27957</v>
      </c>
      <c r="Q45" s="233">
        <f>SUMIFS('Budget - 2026'!$DS$5:$DS$56,'Budget - 2026'!$B$5:$B$56,$D45)</f>
        <v>61750</v>
      </c>
      <c r="R45" s="240">
        <v>0</v>
      </c>
    </row>
    <row r="46" spans="4:18" s="108" customFormat="1" ht="22.15" customHeight="1">
      <c r="D46" s="193" t="s">
        <v>101</v>
      </c>
      <c r="E46" s="194"/>
      <c r="F46" s="239">
        <f>SUMIFS('Actual - 2026'!$BV$5:$BV$56,'Actual - 2026'!$A$5:$A$56,$D46)</f>
        <v>117509.75</v>
      </c>
      <c r="G46" s="233">
        <f>SUMIFS('Budget - 2026'!$DV$5:$DV$56,'Budget - 2026'!$B$5:$B$56,$D46)</f>
        <v>242808.39400666943</v>
      </c>
      <c r="H46" s="247">
        <f t="shared" si="5"/>
        <v>-0.51603917780217989</v>
      </c>
      <c r="I46" s="194"/>
      <c r="J46" s="239">
        <v>0</v>
      </c>
      <c r="K46" s="251">
        <f t="shared" si="1"/>
        <v>0</v>
      </c>
      <c r="L46" s="194"/>
      <c r="M46" s="239">
        <f>SUMIFS('Actual - 2026'!$BP$5:$BP$56,'Actual - 2026'!$A$5:$A$56,$D46)</f>
        <v>81304.5</v>
      </c>
      <c r="N46" s="233">
        <f>SUMIFS('Budget - 2026'!$DP$5:$DP$56,'Budget - 2026'!$B$5:$B$56,$D46)</f>
        <v>181058.39400666943</v>
      </c>
      <c r="O46" s="240">
        <v>0</v>
      </c>
      <c r="P46" s="239">
        <f>SUMIFS('Actual - 2026'!$BS$5:$BS$56,'Actual - 2026'!$A$5:$A$56,$D46)</f>
        <v>36205.25</v>
      </c>
      <c r="Q46" s="233">
        <f>SUMIFS('Budget - 2026'!$DS$5:$DS$56,'Budget - 2026'!$B$5:$B$56,$D46)</f>
        <v>61750</v>
      </c>
      <c r="R46" s="240">
        <v>0</v>
      </c>
    </row>
    <row r="47" spans="4:18" s="108" customFormat="1" ht="22.15" customHeight="1">
      <c r="D47" s="227" t="s">
        <v>259</v>
      </c>
      <c r="E47" s="194"/>
      <c r="F47" s="241">
        <f>SUM(F43:F46)</f>
        <v>432279.48</v>
      </c>
      <c r="G47" s="228">
        <f>SUM(G43:G46)</f>
        <v>971233.57602667774</v>
      </c>
      <c r="H47" s="248">
        <f t="shared" si="5"/>
        <v>-0.55491707590211425</v>
      </c>
      <c r="I47" s="194"/>
      <c r="J47" s="241">
        <f>SUM(J43:J46)</f>
        <v>0</v>
      </c>
      <c r="K47" s="248">
        <f t="shared" si="1"/>
        <v>0</v>
      </c>
      <c r="L47" s="194"/>
      <c r="M47" s="241">
        <f t="shared" ref="M47:R47" si="11">SUM(M43:M46)</f>
        <v>353288.23</v>
      </c>
      <c r="N47" s="228">
        <f t="shared" si="11"/>
        <v>724233.57602667774</v>
      </c>
      <c r="O47" s="242">
        <f t="shared" si="11"/>
        <v>0</v>
      </c>
      <c r="P47" s="241">
        <f t="shared" si="11"/>
        <v>78991.25</v>
      </c>
      <c r="Q47" s="228">
        <f t="shared" si="11"/>
        <v>247000</v>
      </c>
      <c r="R47" s="242">
        <f t="shared" si="11"/>
        <v>0</v>
      </c>
    </row>
    <row r="48" spans="4:18" s="108" customFormat="1" ht="22.15" customHeight="1">
      <c r="D48" s="193" t="s">
        <v>171</v>
      </c>
      <c r="E48" s="194"/>
      <c r="F48" s="239">
        <f>SUMIFS('Actual - 2026'!$BV$5:$BV$56,'Actual - 2026'!$A$5:$A$56,$D48)</f>
        <v>0</v>
      </c>
      <c r="G48" s="233">
        <f>SUMIFS('Budget - 2026'!$DV$5:$DV$56,'Budget - 2026'!$B$5:$B$56,$D48)</f>
        <v>181591.53720233616</v>
      </c>
      <c r="H48" s="247">
        <f t="shared" si="5"/>
        <v>-1</v>
      </c>
      <c r="I48" s="194"/>
      <c r="J48" s="239">
        <v>0</v>
      </c>
      <c r="K48" s="251">
        <f t="shared" si="1"/>
        <v>0</v>
      </c>
      <c r="L48" s="194"/>
      <c r="M48" s="239">
        <f>SUMIFS('Actual - 2026'!$BP$5:$BP$56,'Actual - 2026'!$A$5:$A$56,$D48)</f>
        <v>0</v>
      </c>
      <c r="N48" s="233">
        <f>SUMIFS('Budget - 2026'!$DP$5:$DP$56,'Budget - 2026'!$B$5:$B$56,$D48)</f>
        <v>158791.53720233616</v>
      </c>
      <c r="O48" s="240">
        <v>0</v>
      </c>
      <c r="P48" s="239">
        <f>SUMIFS('Actual - 2026'!$BS$5:$BS$56,'Actual - 2026'!$A$5:$A$56,$D48)</f>
        <v>0</v>
      </c>
      <c r="Q48" s="233">
        <f>SUMIFS('Budget - 2026'!$DS$5:$DS$56,'Budget - 2026'!$B$5:$B$56,$D48)</f>
        <v>22800</v>
      </c>
      <c r="R48" s="240">
        <v>0</v>
      </c>
    </row>
    <row r="49" spans="4:18" s="108" customFormat="1" ht="22.15" customHeight="1">
      <c r="D49" s="193" t="s">
        <v>172</v>
      </c>
      <c r="E49" s="194"/>
      <c r="F49" s="239">
        <f>SUMIFS('Actual - 2026'!$BV$5:$BV$56,'Actual - 2026'!$A$5:$A$56,$D49)</f>
        <v>0</v>
      </c>
      <c r="G49" s="233">
        <f>SUMIFS('Budget - 2026'!$DV$5:$DV$56,'Budget - 2026'!$B$5:$B$56,$D49)</f>
        <v>181591.53720233616</v>
      </c>
      <c r="H49" s="247">
        <f t="shared" si="5"/>
        <v>-1</v>
      </c>
      <c r="I49" s="194"/>
      <c r="J49" s="239">
        <v>0</v>
      </c>
      <c r="K49" s="251">
        <f t="shared" si="1"/>
        <v>0</v>
      </c>
      <c r="L49" s="194"/>
      <c r="M49" s="239">
        <f>SUMIFS('Actual - 2026'!$BP$5:$BP$56,'Actual - 2026'!$A$5:$A$56,$D49)</f>
        <v>0</v>
      </c>
      <c r="N49" s="233">
        <f>SUMIFS('Budget - 2026'!$DP$5:$DP$56,'Budget - 2026'!$B$5:$B$56,$D49)</f>
        <v>158791.53720233616</v>
      </c>
      <c r="O49" s="240">
        <v>0</v>
      </c>
      <c r="P49" s="239">
        <f>SUMIFS('Actual - 2026'!$BS$5:$BS$56,'Actual - 2026'!$A$5:$A$56,$D49)</f>
        <v>0</v>
      </c>
      <c r="Q49" s="233">
        <f>SUMIFS('Budget - 2026'!$DS$5:$DS$56,'Budget - 2026'!$B$5:$B$56,$D49)</f>
        <v>22800</v>
      </c>
      <c r="R49" s="240">
        <v>0</v>
      </c>
    </row>
    <row r="50" spans="4:18" s="108" customFormat="1" ht="22.15" customHeight="1">
      <c r="D50" s="193" t="s">
        <v>173</v>
      </c>
      <c r="E50" s="194"/>
      <c r="F50" s="239">
        <f>SUMIFS('Actual - 2026'!$BV$5:$BV$56,'Actual - 2026'!$A$5:$A$56,$D50)</f>
        <v>0</v>
      </c>
      <c r="G50" s="233">
        <f>SUMIFS('Budget - 2026'!$DV$5:$DV$56,'Budget - 2026'!$B$5:$B$56,$D50)</f>
        <v>181591.53720233616</v>
      </c>
      <c r="H50" s="247">
        <f t="shared" si="5"/>
        <v>-1</v>
      </c>
      <c r="I50" s="194"/>
      <c r="J50" s="239">
        <v>0</v>
      </c>
      <c r="K50" s="251">
        <f t="shared" si="1"/>
        <v>0</v>
      </c>
      <c r="L50" s="194"/>
      <c r="M50" s="239">
        <f>SUMIFS('Actual - 2026'!$BP$5:$BP$56,'Actual - 2026'!$A$5:$A$56,$D50)</f>
        <v>0</v>
      </c>
      <c r="N50" s="233">
        <f>SUMIFS('Budget - 2026'!$DP$5:$DP$56,'Budget - 2026'!$B$5:$B$56,$D50)</f>
        <v>158791.53720233616</v>
      </c>
      <c r="O50" s="240">
        <v>0</v>
      </c>
      <c r="P50" s="239">
        <f>SUMIFS('Actual - 2026'!$BS$5:$BS$56,'Actual - 2026'!$A$5:$A$56,$D50)</f>
        <v>0</v>
      </c>
      <c r="Q50" s="233">
        <f>SUMIFS('Budget - 2026'!$DS$5:$DS$56,'Budget - 2026'!$B$5:$B$56,$D50)</f>
        <v>22800</v>
      </c>
      <c r="R50" s="240">
        <v>0</v>
      </c>
    </row>
    <row r="51" spans="4:18" s="108" customFormat="1" ht="22.15" customHeight="1">
      <c r="D51" s="193" t="s">
        <v>174</v>
      </c>
      <c r="E51" s="194"/>
      <c r="F51" s="239">
        <f>SUMIFS('Actual - 2026'!$BV$5:$BV$56,'Actual - 2026'!$A$5:$A$56,$D51)</f>
        <v>0</v>
      </c>
      <c r="G51" s="233">
        <f>SUMIFS('Budget - 2026'!$DV$5:$DV$56,'Budget - 2026'!$B$5:$B$56,$D51)</f>
        <v>181591.53720233616</v>
      </c>
      <c r="H51" s="247">
        <f t="shared" si="5"/>
        <v>-1</v>
      </c>
      <c r="I51" s="194"/>
      <c r="J51" s="239">
        <v>0</v>
      </c>
      <c r="K51" s="251">
        <f t="shared" si="1"/>
        <v>0</v>
      </c>
      <c r="L51" s="194"/>
      <c r="M51" s="239">
        <f>SUMIFS('Actual - 2026'!$BP$5:$BP$56,'Actual - 2026'!$A$5:$A$56,$D51)</f>
        <v>0</v>
      </c>
      <c r="N51" s="233">
        <f>SUMIFS('Budget - 2026'!$DP$5:$DP$56,'Budget - 2026'!$B$5:$B$56,$D51)</f>
        <v>158791.53720233616</v>
      </c>
      <c r="O51" s="240">
        <v>0</v>
      </c>
      <c r="P51" s="239">
        <f>SUMIFS('Actual - 2026'!$BS$5:$BS$56,'Actual - 2026'!$A$5:$A$56,$D51)</f>
        <v>0</v>
      </c>
      <c r="Q51" s="233">
        <f>SUMIFS('Budget - 2026'!$DS$5:$DS$56,'Budget - 2026'!$B$5:$B$56,$D51)</f>
        <v>22800</v>
      </c>
      <c r="R51" s="240">
        <v>0</v>
      </c>
    </row>
    <row r="52" spans="4:18" s="108" customFormat="1" ht="22.15" customHeight="1">
      <c r="D52" s="193" t="s">
        <v>175</v>
      </c>
      <c r="E52" s="194"/>
      <c r="F52" s="239">
        <f>SUMIFS('Actual - 2026'!$BV$5:$BV$56,'Actual - 2026'!$A$5:$A$56,$D52)</f>
        <v>0</v>
      </c>
      <c r="G52" s="233">
        <f>SUMIFS('Budget - 2026'!$DV$5:$DV$56,'Budget - 2026'!$B$5:$B$56,$D52)</f>
        <v>181591.53720233616</v>
      </c>
      <c r="H52" s="247">
        <f t="shared" si="5"/>
        <v>-1</v>
      </c>
      <c r="I52" s="194"/>
      <c r="J52" s="239">
        <v>0</v>
      </c>
      <c r="K52" s="251">
        <f t="shared" si="1"/>
        <v>0</v>
      </c>
      <c r="L52" s="194"/>
      <c r="M52" s="239">
        <f>SUMIFS('Actual - 2026'!$BP$5:$BP$56,'Actual - 2026'!$A$5:$A$56,$D52)</f>
        <v>0</v>
      </c>
      <c r="N52" s="233">
        <f>SUMIFS('Budget - 2026'!$DP$5:$DP$56,'Budget - 2026'!$B$5:$B$56,$D52)</f>
        <v>158791.53720233616</v>
      </c>
      <c r="O52" s="240">
        <v>0</v>
      </c>
      <c r="P52" s="239">
        <f>SUMIFS('Actual - 2026'!$BS$5:$BS$56,'Actual - 2026'!$A$5:$A$56,$D52)</f>
        <v>0</v>
      </c>
      <c r="Q52" s="233">
        <f>SUMIFS('Budget - 2026'!$DS$5:$DS$56,'Budget - 2026'!$B$5:$B$56,$D52)</f>
        <v>22800</v>
      </c>
      <c r="R52" s="240">
        <v>0</v>
      </c>
    </row>
    <row r="53" spans="4:18" s="108" customFormat="1" ht="22.15" customHeight="1">
      <c r="D53" s="227" t="s">
        <v>260</v>
      </c>
      <c r="E53" s="194"/>
      <c r="F53" s="241">
        <f>SUM(F48:F52)</f>
        <v>0</v>
      </c>
      <c r="G53" s="228">
        <f>SUM(G48:G52)</f>
        <v>907957.68601168075</v>
      </c>
      <c r="H53" s="248">
        <f t="shared" si="5"/>
        <v>-1</v>
      </c>
      <c r="I53" s="194"/>
      <c r="J53" s="241">
        <f>SUM(J48:J52)</f>
        <v>0</v>
      </c>
      <c r="K53" s="248">
        <f t="shared" si="1"/>
        <v>0</v>
      </c>
      <c r="L53" s="194"/>
      <c r="M53" s="241">
        <f t="shared" ref="M53:R53" si="12">SUM(M48:M52)</f>
        <v>0</v>
      </c>
      <c r="N53" s="228">
        <f t="shared" si="12"/>
        <v>793957.68601168075</v>
      </c>
      <c r="O53" s="242">
        <f t="shared" si="12"/>
        <v>0</v>
      </c>
      <c r="P53" s="241">
        <f t="shared" si="12"/>
        <v>0</v>
      </c>
      <c r="Q53" s="228">
        <f t="shared" si="12"/>
        <v>114000</v>
      </c>
      <c r="R53" s="242">
        <f t="shared" si="12"/>
        <v>0</v>
      </c>
    </row>
    <row r="54" spans="4:18" s="108" customFormat="1" ht="22.15" customHeight="1">
      <c r="D54" s="193" t="s">
        <v>177</v>
      </c>
      <c r="E54" s="194"/>
      <c r="F54" s="239">
        <f>SUMIFS('Actual - 2026'!$BV$5:$BV$56,'Actual - 2026'!$A$5:$A$56,$D54)</f>
        <v>0</v>
      </c>
      <c r="G54" s="233">
        <f>SUMIFS('Budget - 2026'!$DV$5:$DV$56,'Budget - 2026'!$B$5:$B$56,$D54)</f>
        <v>201038.10246097873</v>
      </c>
      <c r="H54" s="247">
        <f t="shared" si="5"/>
        <v>-1</v>
      </c>
      <c r="I54" s="194"/>
      <c r="J54" s="239">
        <v>0</v>
      </c>
      <c r="K54" s="251">
        <f t="shared" si="1"/>
        <v>0</v>
      </c>
      <c r="L54" s="194"/>
      <c r="M54" s="239">
        <f>SUMIFS('Actual - 2026'!$BP$5:$BP$56,'Actual - 2026'!$A$5:$A$56,$D54)</f>
        <v>0</v>
      </c>
      <c r="N54" s="233">
        <f>SUMIFS('Budget - 2026'!$DP$5:$DP$56,'Budget - 2026'!$B$5:$B$56,$D54)</f>
        <v>178238.10246097873</v>
      </c>
      <c r="O54" s="240">
        <v>0</v>
      </c>
      <c r="P54" s="239">
        <f>SUMIFS('Actual - 2026'!$BS$5:$BS$56,'Actual - 2026'!$A$5:$A$56,$D54)</f>
        <v>0</v>
      </c>
      <c r="Q54" s="233">
        <f>SUMIFS('Budget - 2026'!$DS$5:$DS$56,'Budget - 2026'!$B$5:$B$56,$D54)</f>
        <v>22800</v>
      </c>
      <c r="R54" s="240">
        <v>0</v>
      </c>
    </row>
    <row r="55" spans="4:18" s="108" customFormat="1" ht="22.15" customHeight="1">
      <c r="D55" s="193" t="s">
        <v>178</v>
      </c>
      <c r="E55" s="194"/>
      <c r="F55" s="239">
        <f>SUMIFS('Actual - 2026'!$BV$5:$BV$56,'Actual - 2026'!$A$5:$A$56,$D55)</f>
        <v>0</v>
      </c>
      <c r="G55" s="233">
        <f>SUMIFS('Budget - 2026'!$DV$5:$DV$56,'Budget - 2026'!$B$5:$B$56,$D55)</f>
        <v>201038.10246097873</v>
      </c>
      <c r="H55" s="247">
        <f t="shared" si="5"/>
        <v>-1</v>
      </c>
      <c r="I55" s="194"/>
      <c r="J55" s="239">
        <v>0</v>
      </c>
      <c r="K55" s="251">
        <f t="shared" si="1"/>
        <v>0</v>
      </c>
      <c r="L55" s="194"/>
      <c r="M55" s="239">
        <f>SUMIFS('Actual - 2026'!$BP$5:$BP$56,'Actual - 2026'!$A$5:$A$56,$D55)</f>
        <v>0</v>
      </c>
      <c r="N55" s="233">
        <f>SUMIFS('Budget - 2026'!$DP$5:$DP$56,'Budget - 2026'!$B$5:$B$56,$D55)</f>
        <v>178238.10246097873</v>
      </c>
      <c r="O55" s="240">
        <v>0</v>
      </c>
      <c r="P55" s="239">
        <f>SUMIFS('Actual - 2026'!$BS$5:$BS$56,'Actual - 2026'!$A$5:$A$56,$D55)</f>
        <v>0</v>
      </c>
      <c r="Q55" s="233">
        <f>SUMIFS('Budget - 2026'!$DS$5:$DS$56,'Budget - 2026'!$B$5:$B$56,$D55)</f>
        <v>22800</v>
      </c>
      <c r="R55" s="240">
        <v>0</v>
      </c>
    </row>
    <row r="56" spans="4:18" s="108" customFormat="1" ht="22.15" customHeight="1">
      <c r="D56" s="193" t="s">
        <v>179</v>
      </c>
      <c r="E56" s="194"/>
      <c r="F56" s="239">
        <f>SUMIFS('Actual - 2026'!$BV$5:$BV$56,'Actual - 2026'!$A$5:$A$56,$D56)</f>
        <v>0</v>
      </c>
      <c r="G56" s="233">
        <f>SUMIFS('Budget - 2026'!$DV$5:$DV$56,'Budget - 2026'!$B$5:$B$56,$D56)</f>
        <v>201038.10246097873</v>
      </c>
      <c r="H56" s="247">
        <f t="shared" si="5"/>
        <v>-1</v>
      </c>
      <c r="I56" s="194"/>
      <c r="J56" s="239">
        <v>0</v>
      </c>
      <c r="K56" s="251">
        <f t="shared" si="1"/>
        <v>0</v>
      </c>
      <c r="L56" s="194"/>
      <c r="M56" s="239">
        <f>SUMIFS('Actual - 2026'!$BP$5:$BP$56,'Actual - 2026'!$A$5:$A$56,$D56)</f>
        <v>0</v>
      </c>
      <c r="N56" s="233">
        <f>SUMIFS('Budget - 2026'!$DP$5:$DP$56,'Budget - 2026'!$B$5:$B$56,$D56)</f>
        <v>178238.10246097873</v>
      </c>
      <c r="O56" s="240">
        <v>0</v>
      </c>
      <c r="P56" s="239">
        <f>SUMIFS('Actual - 2026'!$BS$5:$BS$56,'Actual - 2026'!$A$5:$A$56,$D56)</f>
        <v>0</v>
      </c>
      <c r="Q56" s="233">
        <f>SUMIFS('Budget - 2026'!$DS$5:$DS$56,'Budget - 2026'!$B$5:$B$56,$D56)</f>
        <v>22800</v>
      </c>
      <c r="R56" s="240">
        <v>0</v>
      </c>
    </row>
    <row r="57" spans="4:18" s="108" customFormat="1" ht="22.15" customHeight="1">
      <c r="D57" s="193" t="s">
        <v>180</v>
      </c>
      <c r="E57" s="194"/>
      <c r="F57" s="239">
        <f>SUMIFS('Actual - 2026'!$BV$5:$BV$56,'Actual - 2026'!$A$5:$A$56,$D57)</f>
        <v>0</v>
      </c>
      <c r="G57" s="233">
        <f>SUMIFS('Budget - 2026'!$DV$5:$DV$56,'Budget - 2026'!$B$5:$B$56,$D57)</f>
        <v>201038.10246097873</v>
      </c>
      <c r="H57" s="247">
        <f t="shared" si="5"/>
        <v>-1</v>
      </c>
      <c r="I57" s="194"/>
      <c r="J57" s="239">
        <v>0</v>
      </c>
      <c r="K57" s="251">
        <f t="shared" si="1"/>
        <v>0</v>
      </c>
      <c r="L57" s="194"/>
      <c r="M57" s="239">
        <f>SUMIFS('Actual - 2026'!$BP$5:$BP$56,'Actual - 2026'!$A$5:$A$56,$D57)</f>
        <v>0</v>
      </c>
      <c r="N57" s="233">
        <f>SUMIFS('Budget - 2026'!$DP$5:$DP$56,'Budget - 2026'!$B$5:$B$56,$D57)</f>
        <v>178238.10246097873</v>
      </c>
      <c r="O57" s="240">
        <v>0</v>
      </c>
      <c r="P57" s="239">
        <f>SUMIFS('Actual - 2026'!$BS$5:$BS$56,'Actual - 2026'!$A$5:$A$56,$D57)</f>
        <v>0</v>
      </c>
      <c r="Q57" s="233">
        <f>SUMIFS('Budget - 2026'!$DS$5:$DS$56,'Budget - 2026'!$B$5:$B$56,$D57)</f>
        <v>22800</v>
      </c>
      <c r="R57" s="240">
        <v>0</v>
      </c>
    </row>
    <row r="58" spans="4:18" s="108" customFormat="1" ht="22.15" customHeight="1">
      <c r="D58" s="227" t="s">
        <v>261</v>
      </c>
      <c r="E58" s="194"/>
      <c r="F58" s="241">
        <f>SUM(F54:F57)</f>
        <v>0</v>
      </c>
      <c r="G58" s="228">
        <f>SUM(G54:G57)</f>
        <v>804152.40984391491</v>
      </c>
      <c r="H58" s="248">
        <f t="shared" si="5"/>
        <v>-1</v>
      </c>
      <c r="I58" s="194"/>
      <c r="J58" s="241">
        <f>SUM(J54:J57)</f>
        <v>0</v>
      </c>
      <c r="K58" s="248">
        <f t="shared" si="1"/>
        <v>0</v>
      </c>
      <c r="L58" s="194"/>
      <c r="M58" s="241">
        <f t="shared" ref="M58:R58" si="13">SUM(M54:M57)</f>
        <v>0</v>
      </c>
      <c r="N58" s="228">
        <f t="shared" si="13"/>
        <v>712952.40984391491</v>
      </c>
      <c r="O58" s="242">
        <f t="shared" si="13"/>
        <v>0</v>
      </c>
      <c r="P58" s="241">
        <f t="shared" si="13"/>
        <v>0</v>
      </c>
      <c r="Q58" s="228">
        <f t="shared" si="13"/>
        <v>91200</v>
      </c>
      <c r="R58" s="242">
        <f t="shared" si="13"/>
        <v>0</v>
      </c>
    </row>
    <row r="59" spans="4:18" s="108" customFormat="1" ht="22.15" customHeight="1">
      <c r="D59" s="193" t="s">
        <v>183</v>
      </c>
      <c r="E59" s="194"/>
      <c r="F59" s="239">
        <f>SUMIFS('Actual - 2026'!$BV$5:$BV$56,'Actual - 2026'!$A$5:$A$56,$D59)</f>
        <v>0</v>
      </c>
      <c r="G59" s="233">
        <f>SUMIFS('Budget - 2026'!$DV$5:$DV$56,'Budget - 2026'!$B$5:$B$56,$D59)</f>
        <v>216472.25540845492</v>
      </c>
      <c r="H59" s="247">
        <f t="shared" si="5"/>
        <v>-1</v>
      </c>
      <c r="I59" s="194"/>
      <c r="J59" s="239">
        <v>0</v>
      </c>
      <c r="K59" s="251">
        <f t="shared" si="1"/>
        <v>0</v>
      </c>
      <c r="L59" s="194"/>
      <c r="M59" s="239">
        <f>SUMIFS('Actual - 2026'!$BP$5:$BP$56,'Actual - 2026'!$A$5:$A$56,$D59)</f>
        <v>0</v>
      </c>
      <c r="N59" s="233">
        <f>SUMIFS('Budget - 2026'!$DP$5:$DP$56,'Budget - 2026'!$B$5:$B$56,$D59)</f>
        <v>193672.25540845492</v>
      </c>
      <c r="O59" s="240">
        <v>0</v>
      </c>
      <c r="P59" s="239">
        <f>SUMIFS('Actual - 2026'!$BS$5:$BS$56,'Actual - 2026'!$A$5:$A$56,$D59)</f>
        <v>0</v>
      </c>
      <c r="Q59" s="233">
        <f>SUMIFS('Budget - 2026'!$DS$5:$DS$56,'Budget - 2026'!$B$5:$B$56,$D59)</f>
        <v>22800</v>
      </c>
      <c r="R59" s="240">
        <v>0</v>
      </c>
    </row>
    <row r="60" spans="4:18" s="108" customFormat="1" ht="22.15" customHeight="1">
      <c r="D60" s="193" t="s">
        <v>184</v>
      </c>
      <c r="E60" s="194"/>
      <c r="F60" s="239">
        <f>SUMIFS('Actual - 2026'!$BV$5:$BV$56,'Actual - 2026'!$A$5:$A$56,$D60)</f>
        <v>0</v>
      </c>
      <c r="G60" s="233">
        <f>SUMIFS('Budget - 2026'!$DV$5:$DV$56,'Budget - 2026'!$B$5:$B$56,$D60)</f>
        <v>216472.25540845492</v>
      </c>
      <c r="H60" s="247">
        <f t="shared" si="5"/>
        <v>-1</v>
      </c>
      <c r="I60" s="194"/>
      <c r="J60" s="239">
        <v>0</v>
      </c>
      <c r="K60" s="251">
        <f t="shared" si="1"/>
        <v>0</v>
      </c>
      <c r="L60" s="194"/>
      <c r="M60" s="239">
        <f>SUMIFS('Actual - 2026'!$BP$5:$BP$56,'Actual - 2026'!$A$5:$A$56,$D60)</f>
        <v>0</v>
      </c>
      <c r="N60" s="233">
        <f>SUMIFS('Budget - 2026'!$DP$5:$DP$56,'Budget - 2026'!$B$5:$B$56,$D60)</f>
        <v>193672.25540845492</v>
      </c>
      <c r="O60" s="240">
        <v>0</v>
      </c>
      <c r="P60" s="239">
        <f>SUMIFS('Actual - 2026'!$BS$5:$BS$56,'Actual - 2026'!$A$5:$A$56,$D60)</f>
        <v>0</v>
      </c>
      <c r="Q60" s="233">
        <f>SUMIFS('Budget - 2026'!$DS$5:$DS$56,'Budget - 2026'!$B$5:$B$56,$D60)</f>
        <v>22800</v>
      </c>
      <c r="R60" s="240">
        <v>0</v>
      </c>
    </row>
    <row r="61" spans="4:18" s="108" customFormat="1" ht="22.15" customHeight="1">
      <c r="D61" s="193" t="s">
        <v>185</v>
      </c>
      <c r="E61" s="194"/>
      <c r="F61" s="239">
        <f>SUMIFS('Actual - 2026'!$BV$5:$BV$56,'Actual - 2026'!$A$5:$A$56,$D61)</f>
        <v>0</v>
      </c>
      <c r="G61" s="233">
        <f>SUMIFS('Budget - 2026'!$DV$5:$DV$56,'Budget - 2026'!$B$5:$B$56,$D61)</f>
        <v>216472.25540845492</v>
      </c>
      <c r="H61" s="247">
        <f t="shared" si="5"/>
        <v>-1</v>
      </c>
      <c r="I61" s="194"/>
      <c r="J61" s="239">
        <v>0</v>
      </c>
      <c r="K61" s="251">
        <f t="shared" si="1"/>
        <v>0</v>
      </c>
      <c r="L61" s="194"/>
      <c r="M61" s="239">
        <f>SUMIFS('Actual - 2026'!$BP$5:$BP$56,'Actual - 2026'!$A$5:$A$56,$D61)</f>
        <v>0</v>
      </c>
      <c r="N61" s="233">
        <f>SUMIFS('Budget - 2026'!$DP$5:$DP$56,'Budget - 2026'!$B$5:$B$56,$D61)</f>
        <v>193672.25540845492</v>
      </c>
      <c r="O61" s="240">
        <v>0</v>
      </c>
      <c r="P61" s="239">
        <f>SUMIFS('Actual - 2026'!$BS$5:$BS$56,'Actual - 2026'!$A$5:$A$56,$D61)</f>
        <v>0</v>
      </c>
      <c r="Q61" s="233">
        <f>SUMIFS('Budget - 2026'!$DS$5:$DS$56,'Budget - 2026'!$B$5:$B$56,$D61)</f>
        <v>22800</v>
      </c>
      <c r="R61" s="240">
        <v>0</v>
      </c>
    </row>
    <row r="62" spans="4:18" s="108" customFormat="1" ht="22.15" customHeight="1">
      <c r="D62" s="193" t="s">
        <v>186</v>
      </c>
      <c r="E62" s="194"/>
      <c r="F62" s="239">
        <f>SUMIFS('Actual - 2026'!$BV$5:$BV$56,'Actual - 2026'!$A$5:$A$56,$D62)</f>
        <v>0</v>
      </c>
      <c r="G62" s="233">
        <f>SUMIFS('Budget - 2026'!$DV$5:$DV$56,'Budget - 2026'!$B$5:$B$56,$D62)</f>
        <v>216472.25540845492</v>
      </c>
      <c r="H62" s="247">
        <f t="shared" si="5"/>
        <v>-1</v>
      </c>
      <c r="I62" s="194"/>
      <c r="J62" s="239">
        <v>0</v>
      </c>
      <c r="K62" s="251">
        <f t="shared" si="1"/>
        <v>0</v>
      </c>
      <c r="L62" s="194"/>
      <c r="M62" s="239">
        <f>SUMIFS('Actual - 2026'!$BP$5:$BP$56,'Actual - 2026'!$A$5:$A$56,$D62)</f>
        <v>0</v>
      </c>
      <c r="N62" s="233">
        <f>SUMIFS('Budget - 2026'!$DP$5:$DP$56,'Budget - 2026'!$B$5:$B$56,$D62)</f>
        <v>193672.25540845492</v>
      </c>
      <c r="O62" s="240">
        <v>0</v>
      </c>
      <c r="P62" s="239">
        <f>SUMIFS('Actual - 2026'!$BS$5:$BS$56,'Actual - 2026'!$A$5:$A$56,$D62)</f>
        <v>0</v>
      </c>
      <c r="Q62" s="233">
        <f>SUMIFS('Budget - 2026'!$DS$5:$DS$56,'Budget - 2026'!$B$5:$B$56,$D62)</f>
        <v>22800</v>
      </c>
      <c r="R62" s="240">
        <v>0</v>
      </c>
    </row>
    <row r="63" spans="4:18" s="108" customFormat="1" ht="22.15" customHeight="1">
      <c r="D63" s="227" t="s">
        <v>262</v>
      </c>
      <c r="E63" s="194"/>
      <c r="F63" s="241">
        <f>SUM(F59:F62)</f>
        <v>0</v>
      </c>
      <c r="G63" s="228">
        <f>SUM(G59:G62)</f>
        <v>865889.02163381968</v>
      </c>
      <c r="H63" s="248">
        <f t="shared" si="5"/>
        <v>-1</v>
      </c>
      <c r="I63" s="194"/>
      <c r="J63" s="241">
        <f>SUM(J59:J62)</f>
        <v>0</v>
      </c>
      <c r="K63" s="248">
        <f t="shared" si="1"/>
        <v>0</v>
      </c>
      <c r="L63" s="194"/>
      <c r="M63" s="241">
        <f t="shared" ref="M63:R63" si="14">SUM(M59:M62)</f>
        <v>0</v>
      </c>
      <c r="N63" s="228">
        <f t="shared" si="14"/>
        <v>774689.02163381968</v>
      </c>
      <c r="O63" s="242">
        <f t="shared" si="14"/>
        <v>0</v>
      </c>
      <c r="P63" s="241">
        <f t="shared" si="14"/>
        <v>0</v>
      </c>
      <c r="Q63" s="228">
        <f t="shared" si="14"/>
        <v>91200</v>
      </c>
      <c r="R63" s="242">
        <f t="shared" si="14"/>
        <v>0</v>
      </c>
    </row>
    <row r="64" spans="4:18" s="108" customFormat="1" ht="22.15" customHeight="1">
      <c r="D64" s="193" t="s">
        <v>189</v>
      </c>
      <c r="E64" s="194"/>
      <c r="F64" s="239">
        <f>SUMIFS('Actual - 2026'!$BV$5:$BV$56,'Actual - 2026'!$A$5:$A$56,$D64)</f>
        <v>0</v>
      </c>
      <c r="G64" s="233">
        <f>SUMIFS('Budget - 2026'!$DV$5:$DV$56,'Budget - 2026'!$B$5:$B$56,$D64)</f>
        <v>306077.0598015876</v>
      </c>
      <c r="H64" s="247">
        <f t="shared" si="5"/>
        <v>-1</v>
      </c>
      <c r="I64" s="194"/>
      <c r="J64" s="239">
        <v>0</v>
      </c>
      <c r="K64" s="251">
        <f t="shared" si="1"/>
        <v>0</v>
      </c>
      <c r="L64" s="194"/>
      <c r="M64" s="239">
        <f>SUMIFS('Actual - 2026'!$BP$5:$BP$56,'Actual - 2026'!$A$5:$A$56,$D64)</f>
        <v>0</v>
      </c>
      <c r="N64" s="233">
        <f>SUMIFS('Budget - 2026'!$DP$5:$DP$56,'Budget - 2026'!$B$5:$B$56,$D64)</f>
        <v>255377.05980158757</v>
      </c>
      <c r="O64" s="240">
        <v>0</v>
      </c>
      <c r="P64" s="239">
        <f>SUMIFS('Actual - 2026'!$BS$5:$BS$56,'Actual - 2026'!$A$5:$A$56,$D64)</f>
        <v>0</v>
      </c>
      <c r="Q64" s="233">
        <f>SUMIFS('Budget - 2026'!$DS$5:$DS$56,'Budget - 2026'!$B$5:$B$56,$D64)</f>
        <v>50700</v>
      </c>
      <c r="R64" s="240">
        <v>0</v>
      </c>
    </row>
    <row r="65" spans="4:18" s="108" customFormat="1" ht="22.15" customHeight="1">
      <c r="D65" s="193" t="s">
        <v>190</v>
      </c>
      <c r="E65" s="194"/>
      <c r="F65" s="239">
        <f>SUMIFS('Actual - 2026'!$BV$5:$BV$56,'Actual - 2026'!$A$5:$A$56,$D65)</f>
        <v>0</v>
      </c>
      <c r="G65" s="233">
        <f>SUMIFS('Budget - 2026'!$DV$5:$DV$56,'Budget - 2026'!$B$5:$B$56,$D65)</f>
        <v>450995.32145336427</v>
      </c>
      <c r="H65" s="247">
        <f t="shared" si="5"/>
        <v>-1</v>
      </c>
      <c r="I65" s="194"/>
      <c r="J65" s="239">
        <v>0</v>
      </c>
      <c r="K65" s="251">
        <f t="shared" si="1"/>
        <v>0</v>
      </c>
      <c r="L65" s="194"/>
      <c r="M65" s="239">
        <f>SUMIFS('Actual - 2026'!$BP$5:$BP$56,'Actual - 2026'!$A$5:$A$56,$D65)</f>
        <v>0</v>
      </c>
      <c r="N65" s="233">
        <f>SUMIFS('Budget - 2026'!$DP$5:$DP$56,'Budget - 2026'!$B$5:$B$56,$D65)</f>
        <v>396395.32145336427</v>
      </c>
      <c r="O65" s="240">
        <v>0</v>
      </c>
      <c r="P65" s="239">
        <f>SUMIFS('Actual - 2026'!$BS$5:$BS$56,'Actual - 2026'!$A$5:$A$56,$D65)</f>
        <v>0</v>
      </c>
      <c r="Q65" s="233">
        <f>SUMIFS('Budget - 2026'!$DS$5:$DS$56,'Budget - 2026'!$B$5:$B$56,$D65)</f>
        <v>54600</v>
      </c>
      <c r="R65" s="240">
        <v>0</v>
      </c>
    </row>
    <row r="66" spans="4:18" s="108" customFormat="1" ht="22.15" customHeight="1">
      <c r="D66" s="193" t="s">
        <v>191</v>
      </c>
      <c r="E66" s="194"/>
      <c r="F66" s="239">
        <f>SUMIFS('Actual - 2026'!$BV$5:$BV$56,'Actual - 2026'!$A$5:$A$56,$D66)</f>
        <v>0</v>
      </c>
      <c r="G66" s="233">
        <f>SUMIFS('Budget - 2026'!$DV$5:$DV$56,'Budget - 2026'!$B$5:$B$56,$D66)</f>
        <v>306077.0598015876</v>
      </c>
      <c r="H66" s="247">
        <f t="shared" si="5"/>
        <v>-1</v>
      </c>
      <c r="I66" s="194"/>
      <c r="J66" s="239">
        <v>0</v>
      </c>
      <c r="K66" s="251">
        <f t="shared" si="1"/>
        <v>0</v>
      </c>
      <c r="L66" s="194"/>
      <c r="M66" s="239">
        <f>SUMIFS('Actual - 2026'!$BP$5:$BP$56,'Actual - 2026'!$A$5:$A$56,$D66)</f>
        <v>0</v>
      </c>
      <c r="N66" s="233">
        <f>SUMIFS('Budget - 2026'!$DP$5:$DP$56,'Budget - 2026'!$B$5:$B$56,$D66)</f>
        <v>255377.05980158757</v>
      </c>
      <c r="O66" s="240">
        <v>0</v>
      </c>
      <c r="P66" s="239">
        <f>SUMIFS('Actual - 2026'!$BS$5:$BS$56,'Actual - 2026'!$A$5:$A$56,$D66)</f>
        <v>0</v>
      </c>
      <c r="Q66" s="233">
        <f>SUMIFS('Budget - 2026'!$DS$5:$DS$56,'Budget - 2026'!$B$5:$B$56,$D66)</f>
        <v>50700</v>
      </c>
      <c r="R66" s="240">
        <v>0</v>
      </c>
    </row>
    <row r="67" spans="4:18" s="108" customFormat="1" ht="22.15" customHeight="1">
      <c r="D67" s="193" t="s">
        <v>192</v>
      </c>
      <c r="E67" s="194"/>
      <c r="F67" s="239">
        <f>SUMIFS('Actual - 2026'!$BV$5:$BV$56,'Actual - 2026'!$A$5:$A$56,$D67)</f>
        <v>0</v>
      </c>
      <c r="G67" s="233">
        <f>SUMIFS('Budget - 2026'!$DV$5:$DV$56,'Budget - 2026'!$B$5:$B$56,$D67)</f>
        <v>306077.0598015876</v>
      </c>
      <c r="H67" s="247">
        <f t="shared" si="5"/>
        <v>-1</v>
      </c>
      <c r="I67" s="194"/>
      <c r="J67" s="239">
        <v>0</v>
      </c>
      <c r="K67" s="251">
        <f t="shared" si="1"/>
        <v>0</v>
      </c>
      <c r="L67" s="194"/>
      <c r="M67" s="239">
        <f>SUMIFS('Actual - 2026'!$BP$5:$BP$56,'Actual - 2026'!$A$5:$A$56,$D67)</f>
        <v>0</v>
      </c>
      <c r="N67" s="233">
        <f>SUMIFS('Budget - 2026'!$DP$5:$DP$56,'Budget - 2026'!$B$5:$B$56,$D67)</f>
        <v>255377.05980158757</v>
      </c>
      <c r="O67" s="240">
        <v>0</v>
      </c>
      <c r="P67" s="239">
        <f>SUMIFS('Actual - 2026'!$BS$5:$BS$56,'Actual - 2026'!$A$5:$A$56,$D67)</f>
        <v>0</v>
      </c>
      <c r="Q67" s="233">
        <f>SUMIFS('Budget - 2026'!$DS$5:$DS$56,'Budget - 2026'!$B$5:$B$56,$D67)</f>
        <v>50700</v>
      </c>
      <c r="R67" s="240">
        <v>0</v>
      </c>
    </row>
    <row r="68" spans="4:18" s="108" customFormat="1" ht="22.15" customHeight="1">
      <c r="D68" s="193" t="s">
        <v>193</v>
      </c>
      <c r="E68" s="194"/>
      <c r="F68" s="239">
        <f>SUMIFS('Actual - 2026'!$BV$5:$BV$56,'Actual - 2026'!$A$5:$A$56,$D68)</f>
        <v>0</v>
      </c>
      <c r="G68" s="233">
        <f>SUMIFS('Budget - 2026'!$DV$5:$DV$56,'Budget - 2026'!$B$5:$B$56,$D68)</f>
        <v>306077.0598015876</v>
      </c>
      <c r="H68" s="247">
        <f t="shared" si="5"/>
        <v>-1</v>
      </c>
      <c r="I68" s="194"/>
      <c r="J68" s="239">
        <v>0</v>
      </c>
      <c r="K68" s="251">
        <f t="shared" si="1"/>
        <v>0</v>
      </c>
      <c r="L68" s="194"/>
      <c r="M68" s="239">
        <f>SUMIFS('Actual - 2026'!$BP$5:$BP$56,'Actual - 2026'!$A$5:$A$56,$D68)</f>
        <v>0</v>
      </c>
      <c r="N68" s="233">
        <f>SUMIFS('Budget - 2026'!$DP$5:$DP$56,'Budget - 2026'!$B$5:$B$56,$D68)</f>
        <v>255377.05980158757</v>
      </c>
      <c r="O68" s="240">
        <v>0</v>
      </c>
      <c r="P68" s="239">
        <f>SUMIFS('Actual - 2026'!$BS$5:$BS$56,'Actual - 2026'!$A$5:$A$56,$D68)</f>
        <v>0</v>
      </c>
      <c r="Q68" s="233">
        <f>SUMIFS('Budget - 2026'!$DS$5:$DS$56,'Budget - 2026'!$B$5:$B$56,$D68)</f>
        <v>50700</v>
      </c>
      <c r="R68" s="240">
        <v>0</v>
      </c>
    </row>
    <row r="69" spans="4:18" s="108" customFormat="1" ht="22.15" customHeight="1" thickBot="1">
      <c r="D69" s="227" t="s">
        <v>263</v>
      </c>
      <c r="E69" s="194"/>
      <c r="F69" s="243">
        <f>SUM(F64:F68)</f>
        <v>0</v>
      </c>
      <c r="G69" s="244">
        <f>SUM(G64:G68)</f>
        <v>1675303.5606597147</v>
      </c>
      <c r="H69" s="249">
        <f t="shared" si="5"/>
        <v>-1</v>
      </c>
      <c r="I69" s="194"/>
      <c r="J69" s="243">
        <f>SUM(J64:J68)</f>
        <v>0</v>
      </c>
      <c r="K69" s="249">
        <f t="shared" si="1"/>
        <v>0</v>
      </c>
      <c r="L69" s="194"/>
      <c r="M69" s="243">
        <f t="shared" ref="M69:Q69" si="15">SUM(M64:M68)</f>
        <v>0</v>
      </c>
      <c r="N69" s="244">
        <f t="shared" si="15"/>
        <v>1417903.5606597145</v>
      </c>
      <c r="O69" s="245">
        <f t="shared" si="15"/>
        <v>0</v>
      </c>
      <c r="P69" s="243">
        <f t="shared" si="15"/>
        <v>0</v>
      </c>
      <c r="Q69" s="244">
        <f t="shared" si="15"/>
        <v>257400</v>
      </c>
      <c r="R69" s="245">
        <f>SUM(R64:R68)</f>
        <v>0</v>
      </c>
    </row>
    <row r="70" spans="4:18" ht="22.15" customHeight="1"/>
  </sheetData>
  <mergeCells count="4">
    <mergeCell ref="D2:R2"/>
    <mergeCell ref="F4:K4"/>
    <mergeCell ref="M4:O4"/>
    <mergeCell ref="P4:R4"/>
  </mergeCells>
  <conditionalFormatting sqref="H1 K1">
    <cfRule type="cellIs" dxfId="239" priority="2" operator="lessThan">
      <formula>0.01</formula>
    </cfRule>
  </conditionalFormatting>
  <conditionalFormatting sqref="H4:H1048576 K4:K1048576">
    <cfRule type="cellIs" dxfId="238" priority="1" operator="lessThan">
      <formula>0.000001</formula>
    </cfRule>
  </conditionalFormatting>
  <pageMargins left="0.7" right="0.7" top="0.75" bottom="0.75" header="0.3" footer="0.3"/>
  <pageSetup scale="45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569D09-7573-43D4-B7E0-027AA7AC80E0}">
          <x14:formula1>
            <xm:f>'Budget - 2026'!$B$5:$B$56</xm:f>
          </x14:formula1>
          <xm:sqref>D1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0E24-A470-49F6-B6F5-4264AA52ECBB}">
  <sheetPr>
    <tabColor theme="2" tint="-9.9978637043366805E-2"/>
    <pageSetUpPr fitToPage="1"/>
  </sheetPr>
  <dimension ref="B1:T70"/>
  <sheetViews>
    <sheetView zoomScale="85" zoomScaleNormal="85" workbookViewId="0">
      <pane xSplit="5" ySplit="5" topLeftCell="F6" activePane="bottomRight" state="frozen"/>
      <selection pane="bottomRight" activeCell="R14" sqref="R14"/>
      <selection pane="bottomLeft" activeCell="R14" sqref="R14"/>
      <selection pane="topRight"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/>
    <col min="9" max="9" width="1.5703125" style="5" customWidth="1"/>
    <col min="10" max="11" width="14.5703125" style="5" customWidth="1"/>
    <col min="12" max="12" width="1.5703125" style="5" customWidth="1"/>
    <col min="13" max="18" width="14.7109375" style="5" customWidth="1"/>
    <col min="19" max="19" width="13.28515625" style="5" bestFit="1" customWidth="1"/>
    <col min="20" max="16384" width="10.7109375" style="5"/>
  </cols>
  <sheetData>
    <row r="1" spans="4:20" ht="18.75">
      <c r="D1" s="118" t="str">
        <f>'MILA 3F - Overview'!D1</f>
        <v>Week 34</v>
      </c>
      <c r="F1" s="5">
        <f>VLOOKUP(D1,Dates!$B$2:$E$53,4,FALSE)</f>
        <v>34</v>
      </c>
      <c r="G1" s="5" t="b">
        <v>1</v>
      </c>
    </row>
    <row r="2" spans="4:20" ht="28.5">
      <c r="D2" s="399" t="str">
        <f>CONCATENATE("CLAUDIE",)</f>
        <v>CLAUDIE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</row>
    <row r="4" spans="4:20">
      <c r="F4" s="431" t="s">
        <v>249</v>
      </c>
      <c r="G4" s="431"/>
      <c r="H4" s="431"/>
      <c r="I4" s="431"/>
      <c r="J4" s="431"/>
      <c r="K4" s="431"/>
      <c r="M4" s="432" t="s">
        <v>240</v>
      </c>
      <c r="N4" s="433"/>
      <c r="O4" s="433"/>
      <c r="P4" s="432" t="s">
        <v>241</v>
      </c>
      <c r="Q4" s="433"/>
      <c r="R4" s="433"/>
    </row>
    <row r="5" spans="4:20" ht="27" customHeight="1" thickBot="1">
      <c r="D5" s="229" t="s">
        <v>250</v>
      </c>
      <c r="E5" s="230"/>
      <c r="F5" s="234">
        <v>2026</v>
      </c>
      <c r="G5" s="235" t="s">
        <v>15</v>
      </c>
      <c r="H5" s="234" t="s">
        <v>251</v>
      </c>
      <c r="I5" s="230"/>
      <c r="J5" s="234">
        <v>2025</v>
      </c>
      <c r="K5" s="234" t="s">
        <v>251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</row>
    <row r="6" spans="4:20" s="108" customFormat="1" ht="22.15" customHeight="1">
      <c r="D6" s="193" t="s">
        <v>122</v>
      </c>
      <c r="E6" s="194"/>
      <c r="F6" s="236">
        <f>SUMIFS('Actual - 2026'!$BA$5:$BA$56,'Actual - 2026'!$A$5:$A$56,'CLAUDIE Overview'!D6)</f>
        <v>573886.34</v>
      </c>
      <c r="G6" s="237">
        <f>SUMIFS('Budget - 2026'!$DA$5:$DA$56,'Budget - 2026'!$B$5:$B$56,'CLAUDIE Overview'!D6)</f>
        <v>573593</v>
      </c>
      <c r="H6" s="246">
        <f t="shared" ref="H6:H9" si="0">IFERROR((F6-G6)/G6,0)</f>
        <v>5.1140791467114727E-4</v>
      </c>
      <c r="I6" s="194"/>
      <c r="J6" s="236">
        <f>SUMIFS('Budget - 2026'!$CR$5:$CR$56,'Budget - 2026'!$B$5:$B$56,D6)</f>
        <v>0</v>
      </c>
      <c r="K6" s="250">
        <f>IFERROR((F6-J6)/J6,0)</f>
        <v>0</v>
      </c>
      <c r="L6" s="194"/>
      <c r="M6" s="236">
        <f>SUMIFS('Actual - 2026'!$AX$5:$AX$56,'Actual - 2026'!$A$5:$A$56,'MILA 2F - Overview'!D6)</f>
        <v>573886.34</v>
      </c>
      <c r="N6" s="237">
        <f>SUMIFS('Budget - 2026'!$CX$5:$CX$56,'Budget - 2026'!$B$5:$B$56,'MILA 2F - Overview'!D6)</f>
        <v>573593</v>
      </c>
      <c r="O6" s="238">
        <f>SUMIFS('Budget - 2026'!$CO$5:$CO$56,'Budget - 2026'!$B$5:$B$56,D6)</f>
        <v>0</v>
      </c>
      <c r="P6" s="236">
        <f>SUMIFS('Actual - 2026'!$AU$5:$AU$56,'Actual - 2026'!$A$5:$A$56,D6)</f>
        <v>0</v>
      </c>
      <c r="Q6" s="237">
        <f>SUMIFS('Budget - 2026'!$CU$5:$CU$56,'Budget - 2026'!$B$5:$B$56,'MILA 2F - Overview'!D6)</f>
        <v>0</v>
      </c>
      <c r="R6" s="238">
        <v>0</v>
      </c>
    </row>
    <row r="7" spans="4:20" s="108" customFormat="1" ht="22.15" customHeight="1">
      <c r="D7" s="193" t="s">
        <v>123</v>
      </c>
      <c r="E7" s="194"/>
      <c r="F7" s="239">
        <f>SUMIFS('Actual - 2026'!$BA$5:$BA$56,'Actual - 2026'!$A$5:$A$56,'CLAUDIE Overview'!D7)</f>
        <v>302340.95</v>
      </c>
      <c r="G7" s="233">
        <f>SUMIFS('Budget - 2026'!$DA$5:$DA$56,'Budget - 2026'!$B$5:$B$56,'CLAUDIE Overview'!D7)</f>
        <v>300846</v>
      </c>
      <c r="H7" s="247">
        <f t="shared" si="0"/>
        <v>4.9691536533642182E-3</v>
      </c>
      <c r="I7" s="194"/>
      <c r="J7" s="239">
        <f>SUMIFS('Budget - 2026'!$CR$5:$CR$56,'Budget - 2026'!$B$5:$B$56,D7)</f>
        <v>0</v>
      </c>
      <c r="K7" s="251">
        <f t="shared" ref="K7:K68" si="1">IFERROR((F7-J7)/J7,0)</f>
        <v>0</v>
      </c>
      <c r="L7" s="194"/>
      <c r="M7" s="239">
        <f>SUMIFS('Actual - 2026'!$AX$5:$AX$56,'Actual - 2026'!$A$5:$A$56,'MILA 2F - Overview'!D7)</f>
        <v>302340.95</v>
      </c>
      <c r="N7" s="233">
        <f>SUMIFS('Budget - 2026'!$CX$5:$CX$56,'Budget - 2026'!$B$5:$B$56,'MILA 2F - Overview'!D7)</f>
        <v>300846</v>
      </c>
      <c r="O7" s="240">
        <f>SUMIFS('Budget - 2026'!$CO$5:$CO$56,'Budget - 2026'!$B$5:$B$56,D7)</f>
        <v>0</v>
      </c>
      <c r="P7" s="239">
        <f>SUMIFS('Actual - 2026'!$AU$5:$AU$56,'Actual - 2026'!$A$5:$A$56,'MILA 2F - Overview'!D7)</f>
        <v>0</v>
      </c>
      <c r="Q7" s="233">
        <f>SUMIFS('Budget - 2026'!$CU$5:$CU$56,'Budget - 2026'!$B$5:$B$56,'MILA 2F - Overview'!D7)</f>
        <v>0</v>
      </c>
      <c r="R7" s="240">
        <v>0</v>
      </c>
    </row>
    <row r="8" spans="4:20" s="108" customFormat="1" ht="22.15" customHeight="1">
      <c r="D8" s="193" t="s">
        <v>124</v>
      </c>
      <c r="E8" s="194"/>
      <c r="F8" s="239">
        <f>SUMIFS('Actual - 2026'!$BA$5:$BA$56,'Actual - 2026'!$A$5:$A$56,'CLAUDIE Overview'!D8)</f>
        <v>353742.5</v>
      </c>
      <c r="G8" s="233">
        <f>SUMIFS('Budget - 2026'!$DA$5:$DA$56,'Budget - 2026'!$B$5:$B$56,'CLAUDIE Overview'!D8)</f>
        <v>353744</v>
      </c>
      <c r="H8" s="247">
        <f t="shared" si="0"/>
        <v>-4.2403546067212451E-6</v>
      </c>
      <c r="I8" s="194"/>
      <c r="J8" s="239">
        <f>SUMIFS('Budget - 2026'!$CR$5:$CR$56,'Budget - 2026'!$B$5:$B$56,D8)</f>
        <v>0</v>
      </c>
      <c r="K8" s="251">
        <f t="shared" si="1"/>
        <v>0</v>
      </c>
      <c r="L8" s="194"/>
      <c r="M8" s="239">
        <f>SUMIFS('Actual - 2026'!$AX$5:$AX$56,'Actual - 2026'!$A$5:$A$56,'MILA 2F - Overview'!D8)</f>
        <v>353742.5</v>
      </c>
      <c r="N8" s="233">
        <f>SUMIFS('Budget - 2026'!$CX$5:$CX$56,'Budget - 2026'!$B$5:$B$56,'MILA 2F - Overview'!D8)</f>
        <v>353744</v>
      </c>
      <c r="O8" s="240">
        <f>SUMIFS('Budget - 2026'!$CO$5:$CO$56,'Budget - 2026'!$B$5:$B$56,D8)</f>
        <v>0</v>
      </c>
      <c r="P8" s="239">
        <f>SUMIFS('Actual - 2026'!$AU$5:$AU$56,'Actual - 2026'!$A$5:$A$56,'MILA 2F - Overview'!D8)</f>
        <v>0</v>
      </c>
      <c r="Q8" s="233">
        <f>SUMIFS('Budget - 2026'!$CU$5:$CU$56,'Budget - 2026'!$B$5:$B$56,'MILA 2F - Overview'!D8)</f>
        <v>0</v>
      </c>
      <c r="R8" s="240">
        <v>0</v>
      </c>
      <c r="T8" s="108">
        <f>SUM(S7:T7)</f>
        <v>0</v>
      </c>
    </row>
    <row r="9" spans="4:20" s="108" customFormat="1" ht="22.15" customHeight="1">
      <c r="D9" s="193" t="s">
        <v>125</v>
      </c>
      <c r="E9" s="194"/>
      <c r="F9" s="239">
        <f>SUMIFS('Actual - 2026'!$BA$5:$BA$56,'Actual - 2026'!$A$5:$A$56,'CLAUDIE Overview'!D9)</f>
        <v>356999.5</v>
      </c>
      <c r="G9" s="233">
        <f>SUMIFS('Budget - 2026'!$DA$5:$DA$56,'Budget - 2026'!$B$5:$B$56,'CLAUDIE Overview'!D9)</f>
        <v>356999</v>
      </c>
      <c r="H9" s="247">
        <f t="shared" si="0"/>
        <v>1.4005641472385076E-6</v>
      </c>
      <c r="I9" s="194"/>
      <c r="J9" s="239">
        <f>SUMIFS('Budget - 2026'!$CR$5:$CR$56,'Budget - 2026'!$B$5:$B$56,D9)</f>
        <v>0</v>
      </c>
      <c r="K9" s="251">
        <f t="shared" si="1"/>
        <v>0</v>
      </c>
      <c r="L9" s="194"/>
      <c r="M9" s="239">
        <f>SUMIFS('Actual - 2026'!$AX$5:$AX$56,'Actual - 2026'!$A$5:$A$56,'MILA 2F - Overview'!D9)</f>
        <v>356999.5</v>
      </c>
      <c r="N9" s="233">
        <f>SUMIFS('Budget - 2026'!$CX$5:$CX$56,'Budget - 2026'!$B$5:$B$56,'MILA 2F - Overview'!D9)</f>
        <v>356999</v>
      </c>
      <c r="O9" s="240">
        <f>SUMIFS('Budget - 2026'!$CO$5:$CO$56,'Budget - 2026'!$B$5:$B$56,D9)</f>
        <v>0</v>
      </c>
      <c r="P9" s="239">
        <f>SUMIFS('Actual - 2026'!$AU$5:$AU$56,'Actual - 2026'!$A$5:$A$56,'MILA 2F - Overview'!D9)</f>
        <v>0</v>
      </c>
      <c r="Q9" s="233">
        <f>SUMIFS('Budget - 2026'!$CU$5:$CU$56,'Budget - 2026'!$B$5:$B$56,'MILA 2F - Overview'!D9)</f>
        <v>0</v>
      </c>
      <c r="R9" s="240">
        <v>0</v>
      </c>
    </row>
    <row r="10" spans="4:20" s="108" customFormat="1" ht="22.15" customHeight="1">
      <c r="D10" s="227" t="s">
        <v>252</v>
      </c>
      <c r="E10" s="194"/>
      <c r="F10" s="241">
        <f>SUM(F6:F9)</f>
        <v>1586969.29</v>
      </c>
      <c r="G10" s="228">
        <f>SUM(G6:G9)</f>
        <v>1585182</v>
      </c>
      <c r="H10" s="248">
        <f>IFERROR((F10-G10)/G10,0)</f>
        <v>1.127498293571361E-3</v>
      </c>
      <c r="I10" s="194"/>
      <c r="J10" s="241">
        <f>SUM(J6:J9)</f>
        <v>0</v>
      </c>
      <c r="K10" s="248">
        <f>IFERROR((F10-J10)/J10,0)</f>
        <v>0</v>
      </c>
      <c r="L10" s="194"/>
      <c r="M10" s="241">
        <f t="shared" ref="M10:R10" si="2">SUM(M6:M9)</f>
        <v>1586969.29</v>
      </c>
      <c r="N10" s="228">
        <f t="shared" si="2"/>
        <v>1585182</v>
      </c>
      <c r="O10" s="242">
        <f t="shared" si="2"/>
        <v>0</v>
      </c>
      <c r="P10" s="241">
        <f t="shared" si="2"/>
        <v>0</v>
      </c>
      <c r="Q10" s="228">
        <f t="shared" si="2"/>
        <v>0</v>
      </c>
      <c r="R10" s="242">
        <f t="shared" si="2"/>
        <v>0</v>
      </c>
    </row>
    <row r="11" spans="4:20" s="108" customFormat="1" ht="22.15" customHeight="1">
      <c r="D11" s="193" t="s">
        <v>128</v>
      </c>
      <c r="E11" s="194"/>
      <c r="F11" s="239">
        <f>SUMIFS('Actual - 2026'!$BA$5:$BA$56,'Actual - 2026'!$A$5:$A$56,'CLAUDIE Overview'!D11)</f>
        <v>412156.02</v>
      </c>
      <c r="G11" s="233">
        <f>SUMIFS('Budget - 2026'!$DA$5:$DA$56,'Budget - 2026'!$B$5:$B$56,'CLAUDIE Overview'!D11)</f>
        <v>413330</v>
      </c>
      <c r="H11" s="247">
        <f>IFERROR((F11-G11)/G11,0)</f>
        <v>-2.8402970991701095E-3</v>
      </c>
      <c r="I11" s="194"/>
      <c r="J11" s="239">
        <f>SUMIFS('Budget - 2026'!$CR$5:$CR$56,'Budget - 2026'!$B$5:$B$56,D11)</f>
        <v>0</v>
      </c>
      <c r="K11" s="251">
        <f t="shared" si="1"/>
        <v>0</v>
      </c>
      <c r="L11" s="194"/>
      <c r="M11" s="239">
        <f>SUMIFS('Actual - 2026'!$AX$5:$AX$56,'Actual - 2026'!$A$5:$A$56,'MILA 2F - Overview'!D11)</f>
        <v>412156.02</v>
      </c>
      <c r="N11" s="233">
        <f>SUMIFS('Budget - 2026'!$CX$5:$CX$56,'Budget - 2026'!$B$5:$B$56,'MILA 2F - Overview'!D11)</f>
        <v>405671</v>
      </c>
      <c r="O11" s="240">
        <f>SUMIFS('Budget - 2026'!$CO$5:$CO$56,'Budget - 2026'!$B$5:$B$56,D11)</f>
        <v>0</v>
      </c>
      <c r="P11" s="239">
        <f>SUMIFS('Actual - 2026'!$AU$5:$AU$56,'Actual - 2026'!$A$5:$A$56,'MILA 2F - Overview'!D11)</f>
        <v>0</v>
      </c>
      <c r="Q11" s="233">
        <f>SUMIFS('Budget - 2026'!$CU$5:$CU$56,'Budget - 2026'!$B$5:$B$56,'MILA 2F - Overview'!D11)</f>
        <v>7659</v>
      </c>
      <c r="R11" s="240">
        <v>0</v>
      </c>
    </row>
    <row r="12" spans="4:20" s="108" customFormat="1" ht="22.15" customHeight="1">
      <c r="D12" s="193" t="s">
        <v>129</v>
      </c>
      <c r="E12" s="194"/>
      <c r="F12" s="239">
        <f>SUMIFS('Actual - 2026'!$BA$5:$BA$56,'Actual - 2026'!$A$5:$A$56,'CLAUDIE Overview'!D12)</f>
        <v>360058</v>
      </c>
      <c r="G12" s="233">
        <f>SUMIFS('Budget - 2026'!$DA$5:$DA$56,'Budget - 2026'!$B$5:$B$56,'CLAUDIE Overview'!D12)</f>
        <v>360060</v>
      </c>
      <c r="H12" s="247">
        <f t="shared" ref="H12:H69" si="3">(F12-G12)/G12</f>
        <v>-5.5546297839249018E-6</v>
      </c>
      <c r="I12" s="194"/>
      <c r="J12" s="239">
        <f>SUMIFS('Budget - 2026'!$CR$5:$CR$56,'Budget - 2026'!$B$5:$B$56,D12)</f>
        <v>115533</v>
      </c>
      <c r="K12" s="251">
        <f t="shared" si="1"/>
        <v>2.1164948542840571</v>
      </c>
      <c r="L12" s="194"/>
      <c r="M12" s="239">
        <f>SUMIFS('Actual - 2026'!$AX$5:$AX$56,'Actual - 2026'!$A$5:$A$56,'MILA 2F - Overview'!D12)</f>
        <v>360058</v>
      </c>
      <c r="N12" s="233">
        <f>SUMIFS('Budget - 2026'!$CX$5:$CX$56,'Budget - 2026'!$B$5:$B$56,'MILA 2F - Overview'!D12)</f>
        <v>360060</v>
      </c>
      <c r="O12" s="240">
        <f>SUMIFS('Budget - 2026'!$CO$5:$CO$56,'Budget - 2026'!$B$5:$B$56,D12)</f>
        <v>115533</v>
      </c>
      <c r="P12" s="239">
        <f>SUMIFS('Actual - 2026'!$AU$5:$AU$56,'Actual - 2026'!$A$5:$A$56,'MILA 2F - Overview'!D12)</f>
        <v>0</v>
      </c>
      <c r="Q12" s="233">
        <f>SUMIFS('Budget - 2026'!$CU$5:$CU$56,'Budget - 2026'!$B$5:$B$56,'MILA 2F - Overview'!D12)</f>
        <v>0</v>
      </c>
      <c r="R12" s="240">
        <v>0</v>
      </c>
    </row>
    <row r="13" spans="4:20" s="108" customFormat="1" ht="22.15" customHeight="1">
      <c r="D13" s="193" t="s">
        <v>130</v>
      </c>
      <c r="E13" s="194"/>
      <c r="F13" s="239">
        <f>SUMIFS('Actual - 2026'!$BA$5:$BA$56,'Actual - 2026'!$A$5:$A$56,'CLAUDIE Overview'!D13)</f>
        <v>435488.2</v>
      </c>
      <c r="G13" s="233">
        <f>SUMIFS('Budget - 2026'!$DA$5:$DA$56,'Budget - 2026'!$B$5:$B$56,'CLAUDIE Overview'!D13)</f>
        <v>435490</v>
      </c>
      <c r="H13" s="247">
        <f t="shared" si="3"/>
        <v>-4.1332751612858125E-6</v>
      </c>
      <c r="I13" s="194"/>
      <c r="J13" s="239">
        <f>SUMIFS('Budget - 2026'!$CR$5:$CR$56,'Budget - 2026'!$B$5:$B$56,D13)</f>
        <v>278796</v>
      </c>
      <c r="K13" s="251">
        <f t="shared" si="1"/>
        <v>0.56203173646680726</v>
      </c>
      <c r="L13" s="194"/>
      <c r="M13" s="239">
        <f>SUMIFS('Actual - 2026'!$AX$5:$AX$56,'Actual - 2026'!$A$5:$A$56,'MILA 2F - Overview'!D13)</f>
        <v>435488.2</v>
      </c>
      <c r="N13" s="233">
        <f>SUMIFS('Budget - 2026'!$CX$5:$CX$56,'Budget - 2026'!$B$5:$B$56,'MILA 2F - Overview'!D13)</f>
        <v>435490</v>
      </c>
      <c r="O13" s="240">
        <f>SUMIFS('Budget - 2026'!$CO$5:$CO$56,'Budget - 2026'!$B$5:$B$56,D13)</f>
        <v>278796</v>
      </c>
      <c r="P13" s="239">
        <f>SUMIFS('Actual - 2026'!$AU$5:$AU$56,'Actual - 2026'!$A$5:$A$56,'MILA 2F - Overview'!D13)</f>
        <v>0</v>
      </c>
      <c r="Q13" s="233">
        <f>SUMIFS('Budget - 2026'!$CU$5:$CU$56,'Budget - 2026'!$B$5:$B$56,'MILA 2F - Overview'!D13)</f>
        <v>0</v>
      </c>
      <c r="R13" s="240">
        <v>0</v>
      </c>
    </row>
    <row r="14" spans="4:20" s="108" customFormat="1" ht="22.15" customHeight="1">
      <c r="D14" s="193" t="s">
        <v>131</v>
      </c>
      <c r="E14" s="194"/>
      <c r="F14" s="239">
        <f>SUMIFS('Actual - 2026'!$BA$5:$BA$56,'Actual - 2026'!$A$5:$A$56,'CLAUDIE Overview'!D14)</f>
        <v>388063.14999999997</v>
      </c>
      <c r="G14" s="233">
        <f>SUMIFS('Budget - 2026'!$DA$5:$DA$56,'Budget - 2026'!$B$5:$B$56,'CLAUDIE Overview'!D14)</f>
        <v>388063</v>
      </c>
      <c r="H14" s="247">
        <f t="shared" si="3"/>
        <v>3.865351758994684E-7</v>
      </c>
      <c r="I14" s="194"/>
      <c r="J14" s="239">
        <f>SUMIFS('Budget - 2026'!$CR$5:$CR$56,'Budget - 2026'!$B$5:$B$56,D14)</f>
        <v>289042</v>
      </c>
      <c r="K14" s="251">
        <f t="shared" si="1"/>
        <v>0.3425839497374083</v>
      </c>
      <c r="L14" s="194"/>
      <c r="M14" s="239">
        <f>SUMIFS('Actual - 2026'!$AX$5:$AX$56,'Actual - 2026'!$A$5:$A$56,'MILA 2F - Overview'!D14)</f>
        <v>388063.14999999997</v>
      </c>
      <c r="N14" s="233">
        <f>SUMIFS('Budget - 2026'!$CX$5:$CX$56,'Budget - 2026'!$B$5:$B$56,'MILA 2F - Overview'!D14)</f>
        <v>388063</v>
      </c>
      <c r="O14" s="240">
        <f>SUMIFS('Budget - 2026'!$CO$5:$CO$56,'Budget - 2026'!$B$5:$B$56,D14)</f>
        <v>289042</v>
      </c>
      <c r="P14" s="239">
        <f>SUMIFS('Actual - 2026'!$AU$5:$AU$56,'Actual - 2026'!$A$5:$A$56,'MILA 2F - Overview'!D14)</f>
        <v>0</v>
      </c>
      <c r="Q14" s="233">
        <f>SUMIFS('Budget - 2026'!$CU$5:$CU$56,'Budget - 2026'!$B$5:$B$56,'MILA 2F - Overview'!D14)</f>
        <v>0</v>
      </c>
      <c r="R14" s="240">
        <v>0</v>
      </c>
    </row>
    <row r="15" spans="4:20" s="108" customFormat="1" ht="22.15" customHeight="1">
      <c r="D15" s="227" t="s">
        <v>253</v>
      </c>
      <c r="E15" s="194"/>
      <c r="F15" s="241">
        <f>SUM(F11:F14)</f>
        <v>1595765.3699999999</v>
      </c>
      <c r="G15" s="228">
        <f>SUM(G11:G14)</f>
        <v>1596943</v>
      </c>
      <c r="H15" s="248">
        <f t="shared" si="3"/>
        <v>-7.3742769779517562E-4</v>
      </c>
      <c r="I15" s="194"/>
      <c r="J15" s="241">
        <f>SUM(J11:J14)</f>
        <v>683371</v>
      </c>
      <c r="K15" s="248">
        <f>IFERROR((F15-J15)/J15,0)</f>
        <v>1.3351376777767858</v>
      </c>
      <c r="L15" s="194"/>
      <c r="M15" s="241">
        <f t="shared" ref="M15:R15" si="4">SUM(M11:M14)</f>
        <v>1595765.3699999999</v>
      </c>
      <c r="N15" s="228">
        <f t="shared" si="4"/>
        <v>1589284</v>
      </c>
      <c r="O15" s="242">
        <f t="shared" si="4"/>
        <v>683371</v>
      </c>
      <c r="P15" s="241">
        <f t="shared" si="4"/>
        <v>0</v>
      </c>
      <c r="Q15" s="228">
        <f t="shared" si="4"/>
        <v>7659</v>
      </c>
      <c r="R15" s="242">
        <f t="shared" si="4"/>
        <v>0</v>
      </c>
    </row>
    <row r="16" spans="4:20" s="108" customFormat="1" ht="22.15" customHeight="1">
      <c r="D16" s="193" t="s">
        <v>134</v>
      </c>
      <c r="E16" s="194"/>
      <c r="F16" s="239">
        <f>SUMIFS('Actual - 2026'!$BA$5:$BA$56,'Actual - 2026'!$A$5:$A$56,'CLAUDIE Overview'!D16)</f>
        <v>407096.61000000004</v>
      </c>
      <c r="G16" s="233">
        <f>SUMIFS('Budget - 2026'!$DA$5:$DA$56,'Budget - 2026'!$B$5:$B$56,'CLAUDIE Overview'!D16)</f>
        <v>407097</v>
      </c>
      <c r="H16" s="247">
        <f t="shared" si="3"/>
        <v>-9.5800263808321401E-7</v>
      </c>
      <c r="I16" s="194"/>
      <c r="J16" s="239">
        <f>SUMIFS('Budget - 2026'!$CR$5:$CR$56,'Budget - 2026'!$B$5:$B$56,D16)</f>
        <v>306374</v>
      </c>
      <c r="K16" s="251">
        <f t="shared" si="1"/>
        <v>0.32875704204664902</v>
      </c>
      <c r="L16" s="194"/>
      <c r="M16" s="239">
        <f>SUMIFS('Actual - 2026'!$AX$5:$AX$56,'Actual - 2026'!$A$5:$A$56,'MILA 2F - Overview'!D16)</f>
        <v>407096.61000000004</v>
      </c>
      <c r="N16" s="233">
        <f>SUMIFS('Budget - 2026'!$CX$5:$CX$56,'Budget - 2026'!$B$5:$B$56,'MILA 2F - Overview'!D16)</f>
        <v>407097</v>
      </c>
      <c r="O16" s="240">
        <f>SUMIFS('Budget - 2026'!$CO$5:$CO$56,'Budget - 2026'!$B$5:$B$56,D16)</f>
        <v>306374</v>
      </c>
      <c r="P16" s="239">
        <f>SUMIFS('Actual - 2026'!$AU$5:$AU$56,'Actual - 2026'!$A$5:$A$56,'MILA 2F - Overview'!D16)</f>
        <v>0</v>
      </c>
      <c r="Q16" s="233">
        <f>SUMIFS('Budget - 2026'!$CU$5:$CU$56,'Budget - 2026'!$B$5:$B$56,'MILA 2F - Overview'!D16)</f>
        <v>0</v>
      </c>
      <c r="R16" s="240">
        <v>0</v>
      </c>
      <c r="T16" s="108">
        <f>SUM(S14:T14)</f>
        <v>0</v>
      </c>
    </row>
    <row r="17" spans="2:20" s="108" customFormat="1" ht="22.15" customHeight="1">
      <c r="D17" s="193" t="s">
        <v>135</v>
      </c>
      <c r="E17" s="194"/>
      <c r="F17" s="239">
        <f>SUMIFS('Actual - 2026'!$BA$5:$BA$56,'Actual - 2026'!$A$5:$A$56,'CLAUDIE Overview'!D17)</f>
        <v>380097.80000000005</v>
      </c>
      <c r="G17" s="233">
        <f>SUMIFS('Budget - 2026'!$DA$5:$DA$56,'Budget - 2026'!$B$5:$B$56,'CLAUDIE Overview'!D17)</f>
        <v>381473</v>
      </c>
      <c r="H17" s="247">
        <f t="shared" si="3"/>
        <v>-3.6049733532909365E-3</v>
      </c>
      <c r="I17" s="194"/>
      <c r="J17" s="239">
        <f>SUMIFS('Budget - 2026'!$CR$5:$CR$56,'Budget - 2026'!$B$5:$B$56,D17)</f>
        <v>323932</v>
      </c>
      <c r="K17" s="251">
        <f t="shared" si="1"/>
        <v>0.17338762456318008</v>
      </c>
      <c r="L17" s="194"/>
      <c r="M17" s="239">
        <f>SUMIFS('Actual - 2026'!$AX$5:$AX$56,'Actual - 2026'!$A$5:$A$56,'MILA 2F - Overview'!D17)</f>
        <v>336635.50000000006</v>
      </c>
      <c r="N17" s="233">
        <f>SUMIFS('Budget - 2026'!$CX$5:$CX$56,'Budget - 2026'!$B$5:$B$56,'MILA 2F - Overview'!D17)</f>
        <v>335893</v>
      </c>
      <c r="O17" s="240">
        <f>SUMIFS('Budget - 2026'!$CO$5:$CO$56,'Budget - 2026'!$B$5:$B$56,D17)</f>
        <v>323932</v>
      </c>
      <c r="P17" s="239">
        <f>SUMIFS('Actual - 2026'!$AU$5:$AU$56,'Actual - 2026'!$A$5:$A$56,'MILA 2F - Overview'!D17)</f>
        <v>43462.3</v>
      </c>
      <c r="Q17" s="233">
        <f>SUMIFS('Budget - 2026'!$CU$5:$CU$56,'Budget - 2026'!$B$5:$B$56,'MILA 2F - Overview'!D17)</f>
        <v>45580</v>
      </c>
      <c r="R17" s="240">
        <v>0</v>
      </c>
    </row>
    <row r="18" spans="2:20" s="108" customFormat="1" ht="22.15" customHeight="1">
      <c r="D18" s="193" t="s">
        <v>136</v>
      </c>
      <c r="E18" s="194"/>
      <c r="F18" s="239">
        <f>SUMIFS('Actual - 2026'!$BA$5:$BA$56,'Actual - 2026'!$A$5:$A$56,'CLAUDIE Overview'!D18)</f>
        <v>347104</v>
      </c>
      <c r="G18" s="233">
        <f>SUMIFS('Budget - 2026'!$DA$5:$DA$56,'Budget - 2026'!$B$5:$B$56,'CLAUDIE Overview'!D18)</f>
        <v>347105</v>
      </c>
      <c r="H18" s="247">
        <f t="shared" si="3"/>
        <v>-2.8809726163552814E-6</v>
      </c>
      <c r="I18" s="194"/>
      <c r="J18" s="239">
        <f>SUMIFS('Budget - 2026'!$CR$5:$CR$56,'Budget - 2026'!$B$5:$B$56,D18)</f>
        <v>313517</v>
      </c>
      <c r="K18" s="251">
        <f t="shared" si="1"/>
        <v>0.10712975691908254</v>
      </c>
      <c r="L18" s="194"/>
      <c r="M18" s="239">
        <f>SUMIFS('Actual - 2026'!$AX$5:$AX$56,'Actual - 2026'!$A$5:$A$56,'MILA 2F - Overview'!D18)</f>
        <v>307576.71000000002</v>
      </c>
      <c r="N18" s="233">
        <f>SUMIFS('Budget - 2026'!$CX$5:$CX$56,'Budget - 2026'!$B$5:$B$56,'MILA 2F - Overview'!D18)</f>
        <v>313129</v>
      </c>
      <c r="O18" s="240">
        <f>SUMIFS('Budget - 2026'!$CO$5:$CO$56,'Budget - 2026'!$B$5:$B$56,D18)</f>
        <v>313517</v>
      </c>
      <c r="P18" s="239">
        <f>SUMIFS('Actual - 2026'!$AU$5:$AU$56,'Actual - 2026'!$A$5:$A$56,'MILA 2F - Overview'!D18)</f>
        <v>39527.29</v>
      </c>
      <c r="Q18" s="233">
        <f>SUMIFS('Budget - 2026'!$CU$5:$CU$56,'Budget - 2026'!$B$5:$B$56,'MILA 2F - Overview'!D18)</f>
        <v>33976</v>
      </c>
      <c r="R18" s="240">
        <v>0</v>
      </c>
    </row>
    <row r="19" spans="2:20" s="108" customFormat="1" ht="22.15" customHeight="1">
      <c r="D19" s="193" t="s">
        <v>137</v>
      </c>
      <c r="E19" s="194"/>
      <c r="F19" s="239">
        <f>SUMIFS('Actual - 2026'!$BA$5:$BA$56,'Actual - 2026'!$A$5:$A$56,'CLAUDIE Overview'!D19)</f>
        <v>390314.6</v>
      </c>
      <c r="G19" s="233">
        <f>SUMIFS('Budget - 2026'!$DA$5:$DA$56,'Budget - 2026'!$B$5:$B$56,'CLAUDIE Overview'!D19)</f>
        <v>390452</v>
      </c>
      <c r="H19" s="247">
        <f t="shared" si="3"/>
        <v>-3.5189984940536427E-4</v>
      </c>
      <c r="I19" s="194"/>
      <c r="J19" s="239">
        <f>SUMIFS('Budget - 2026'!$CR$5:$CR$56,'Budget - 2026'!$B$5:$B$56,D19)</f>
        <v>347807</v>
      </c>
      <c r="K19" s="251">
        <f t="shared" si="1"/>
        <v>0.1222160566061062</v>
      </c>
      <c r="L19" s="194"/>
      <c r="M19" s="239">
        <f>SUMIFS('Actual - 2026'!$AX$5:$AX$56,'Actual - 2026'!$A$5:$A$56,'MILA 2F - Overview'!D19)</f>
        <v>274053.83999999997</v>
      </c>
      <c r="N19" s="233">
        <f>SUMIFS('Budget - 2026'!$CX$5:$CX$56,'Budget - 2026'!$B$5:$B$56,'MILA 2F - Overview'!D19)</f>
        <v>362916</v>
      </c>
      <c r="O19" s="240">
        <f>SUMIFS('Budget - 2026'!$CO$5:$CO$56,'Budget - 2026'!$B$5:$B$56,D19)</f>
        <v>347807</v>
      </c>
      <c r="P19" s="239">
        <f>SUMIFS('Actual - 2026'!$AU$5:$AU$56,'Actual - 2026'!$A$5:$A$56,'MILA 2F - Overview'!D19)</f>
        <v>116260.76</v>
      </c>
      <c r="Q19" s="233">
        <f>SUMIFS('Budget - 2026'!$CU$5:$CU$56,'Budget - 2026'!$B$5:$B$56,'MILA 2F - Overview'!D19)</f>
        <v>27536</v>
      </c>
      <c r="R19" s="240">
        <v>0</v>
      </c>
    </row>
    <row r="20" spans="2:20" s="108" customFormat="1" ht="22.15" customHeight="1">
      <c r="D20" s="193" t="s">
        <v>138</v>
      </c>
      <c r="E20" s="194"/>
      <c r="F20" s="239">
        <f>SUMIFS('Actual - 2026'!$BA$5:$BA$56,'Actual - 2026'!$A$5:$A$56,'CLAUDIE Overview'!D20)</f>
        <v>365437.3</v>
      </c>
      <c r="G20" s="233">
        <f>SUMIFS('Budget - 2026'!$DA$5:$DA$56,'Budget - 2026'!$B$5:$B$56,'CLAUDIE Overview'!D20)</f>
        <v>365439</v>
      </c>
      <c r="H20" s="247">
        <f t="shared" si="3"/>
        <v>-4.6519391745589319E-6</v>
      </c>
      <c r="I20" s="194"/>
      <c r="J20" s="239">
        <f>SUMIFS('Budget - 2026'!$CR$5:$CR$56,'Budget - 2026'!$B$5:$B$56,D20)</f>
        <v>304162</v>
      </c>
      <c r="K20" s="251">
        <f t="shared" si="1"/>
        <v>0.20145613192969533</v>
      </c>
      <c r="L20" s="194"/>
      <c r="M20" s="239">
        <f>SUMIFS('Actual - 2026'!$AX$5:$AX$56,'Actual - 2026'!$A$5:$A$56,'MILA 2F - Overview'!D20)</f>
        <v>324313.55</v>
      </c>
      <c r="N20" s="233">
        <f>SUMIFS('Budget - 2026'!$CX$5:$CX$56,'Budget - 2026'!$B$5:$B$56,'MILA 2F - Overview'!D20)</f>
        <v>325035</v>
      </c>
      <c r="O20" s="240">
        <f>SUMIFS('Budget - 2026'!$CO$5:$CO$56,'Budget - 2026'!$B$5:$B$56,D20)</f>
        <v>304162</v>
      </c>
      <c r="P20" s="239">
        <f>SUMIFS('Actual - 2026'!$AU$5:$AU$56,'Actual - 2026'!$A$5:$A$56,'MILA 2F - Overview'!D20)</f>
        <v>41123.75</v>
      </c>
      <c r="Q20" s="233">
        <f>SUMIFS('Budget - 2026'!$CU$5:$CU$56,'Budget - 2026'!$B$5:$B$56,'MILA 2F - Overview'!D20)</f>
        <v>40404</v>
      </c>
      <c r="R20" s="240">
        <v>0</v>
      </c>
    </row>
    <row r="21" spans="2:20" s="108" customFormat="1" ht="22.15" customHeight="1">
      <c r="D21" s="227" t="s">
        <v>254</v>
      </c>
      <c r="E21" s="194"/>
      <c r="F21" s="241">
        <f>SUM(F16:F20)</f>
        <v>1890050.3100000003</v>
      </c>
      <c r="G21" s="228">
        <f>SUM(G16:G20)</f>
        <v>1891566</v>
      </c>
      <c r="H21" s="248">
        <f t="shared" si="3"/>
        <v>-8.0128845623135081E-4</v>
      </c>
      <c r="I21" s="194"/>
      <c r="J21" s="241">
        <f>SUM(J16:J20)</f>
        <v>1595792</v>
      </c>
      <c r="K21" s="248">
        <f>IFERROR((F21-J21)/J21,0)</f>
        <v>0.18439640629856541</v>
      </c>
      <c r="L21" s="194"/>
      <c r="M21" s="241">
        <f t="shared" ref="M21:R21" si="5">SUM(M16:M20)</f>
        <v>1649676.2100000002</v>
      </c>
      <c r="N21" s="228">
        <f t="shared" si="5"/>
        <v>1744070</v>
      </c>
      <c r="O21" s="242">
        <f t="shared" si="5"/>
        <v>1595792</v>
      </c>
      <c r="P21" s="241">
        <f t="shared" si="5"/>
        <v>240374.09999999998</v>
      </c>
      <c r="Q21" s="228">
        <f t="shared" si="5"/>
        <v>147496</v>
      </c>
      <c r="R21" s="242">
        <f t="shared" si="5"/>
        <v>0</v>
      </c>
      <c r="S21" s="342">
        <v>768000</v>
      </c>
    </row>
    <row r="22" spans="2:20" s="108" customFormat="1" ht="22.15" customHeight="1">
      <c r="D22" s="193" t="s">
        <v>141</v>
      </c>
      <c r="E22" s="194"/>
      <c r="F22" s="239">
        <f>SUMIFS('Actual - 2026'!$BA$5:$BA$56,'Actual - 2026'!$A$5:$A$56,'CLAUDIE Overview'!D22)</f>
        <v>364204.42</v>
      </c>
      <c r="G22" s="233">
        <f>SUMIFS('Budget - 2026'!$DA$5:$DA$56,'Budget - 2026'!$B$5:$B$56,'CLAUDIE Overview'!D22)</f>
        <v>363344</v>
      </c>
      <c r="H22" s="247">
        <f t="shared" si="3"/>
        <v>2.3680589193711297E-3</v>
      </c>
      <c r="I22" s="194"/>
      <c r="J22" s="239">
        <f>SUMIFS('Budget - 2026'!$CR$5:$CR$56,'Budget - 2026'!$B$5:$B$56,D22)</f>
        <v>354037</v>
      </c>
      <c r="K22" s="251">
        <f t="shared" si="1"/>
        <v>2.8718523770114378E-2</v>
      </c>
      <c r="L22" s="194"/>
      <c r="M22" s="239">
        <f>SUMIFS('Actual - 2026'!$AX$5:$AX$56,'Actual - 2026'!$A$5:$A$56,'MILA 2F - Overview'!D22)</f>
        <v>331571.11</v>
      </c>
      <c r="N22" s="233">
        <f>SUMIFS('Budget - 2026'!$CX$5:$CX$56,'Budget - 2026'!$B$5:$B$56,'MILA 2F - Overview'!D22)</f>
        <v>330710</v>
      </c>
      <c r="O22" s="240">
        <f>SUMIFS('Budget - 2026'!$CO$5:$CO$56,'Budget - 2026'!$B$5:$B$56,D22)</f>
        <v>354037</v>
      </c>
      <c r="P22" s="239">
        <f>SUMIFS('Actual - 2026'!$AU$5:$AU$56,'Actual - 2026'!$A$5:$A$56,'MILA 2F - Overview'!D22)</f>
        <v>32633.31</v>
      </c>
      <c r="Q22" s="233">
        <f>SUMIFS('Budget - 2026'!$CU$5:$CU$56,'Budget - 2026'!$B$5:$B$56,'MILA 2F - Overview'!D22)</f>
        <v>32634</v>
      </c>
      <c r="R22" s="240">
        <v>0</v>
      </c>
      <c r="S22" s="342">
        <f>F19</f>
        <v>390314.6</v>
      </c>
    </row>
    <row r="23" spans="2:20" s="108" customFormat="1" ht="22.15" customHeight="1">
      <c r="D23" s="193" t="s">
        <v>142</v>
      </c>
      <c r="E23" s="194"/>
      <c r="F23" s="239">
        <f>SUMIFS('Actual - 2026'!$BA$5:$BA$56,'Actual - 2026'!$A$5:$A$56,'CLAUDIE Overview'!D23)</f>
        <v>336266.11000000004</v>
      </c>
      <c r="G23" s="233">
        <f>SUMIFS('Budget - 2026'!$DA$5:$DA$56,'Budget - 2026'!$B$5:$B$56,'CLAUDIE Overview'!D23)</f>
        <v>335640</v>
      </c>
      <c r="H23" s="247">
        <f t="shared" si="3"/>
        <v>1.86542128470994E-3</v>
      </c>
      <c r="I23" s="194"/>
      <c r="J23" s="239">
        <f>SUMIFS('Budget - 2026'!$CR$5:$CR$56,'Budget - 2026'!$B$5:$B$56,D23)</f>
        <v>383383</v>
      </c>
      <c r="K23" s="251">
        <f t="shared" si="1"/>
        <v>-0.12289770281937372</v>
      </c>
      <c r="L23" s="194"/>
      <c r="M23" s="239">
        <f>SUMIFS('Actual - 2026'!$AX$5:$AX$56,'Actual - 2026'!$A$5:$A$56,'MILA 2F - Overview'!D23)</f>
        <v>291501.97000000003</v>
      </c>
      <c r="N23" s="233">
        <f>SUMIFS('Budget - 2026'!$CX$5:$CX$56,'Budget - 2026'!$B$5:$B$56,'MILA 2F - Overview'!D23)</f>
        <v>300787</v>
      </c>
      <c r="O23" s="240">
        <f>SUMIFS('Budget - 2026'!$CO$5:$CO$56,'Budget - 2026'!$B$5:$B$56,D23)</f>
        <v>383383</v>
      </c>
      <c r="P23" s="239">
        <f>SUMIFS('Actual - 2026'!$AU$5:$AU$56,'Actual - 2026'!$A$5:$A$56,'MILA 2F - Overview'!D23)</f>
        <v>44764.14</v>
      </c>
      <c r="Q23" s="233">
        <f>SUMIFS('Budget - 2026'!$CU$5:$CU$56,'Budget - 2026'!$B$5:$B$56,'MILA 2F - Overview'!D23)</f>
        <v>34853</v>
      </c>
      <c r="R23" s="240">
        <v>0</v>
      </c>
      <c r="S23" s="323">
        <f>SUM(S21:S22)</f>
        <v>1158314.6000000001</v>
      </c>
      <c r="T23" s="108">
        <f>SUM(S22:T22)</f>
        <v>390314.6</v>
      </c>
    </row>
    <row r="24" spans="2:20" s="108" customFormat="1" ht="22.15" customHeight="1">
      <c r="D24" s="193" t="s">
        <v>143</v>
      </c>
      <c r="E24" s="194"/>
      <c r="F24" s="239">
        <f>SUMIFS('Actual - 2026'!$BA$5:$BA$56,'Actual - 2026'!$A$5:$A$56,'CLAUDIE Overview'!D24)</f>
        <v>336516.25</v>
      </c>
      <c r="G24" s="233">
        <f>SUMIFS('Budget - 2026'!$DA$5:$DA$56,'Budget - 2026'!$B$5:$B$56,'CLAUDIE Overview'!D24)</f>
        <v>351202.77918634366</v>
      </c>
      <c r="H24" s="247">
        <f t="shared" si="3"/>
        <v>-4.1817804575376594E-2</v>
      </c>
      <c r="I24" s="194"/>
      <c r="J24" s="239">
        <f>SUMIFS('Budget - 2026'!$CR$5:$CR$56,'Budget - 2026'!$B$5:$B$56,D24)</f>
        <v>418048</v>
      </c>
      <c r="K24" s="251">
        <f t="shared" si="1"/>
        <v>-0.19502963774494794</v>
      </c>
      <c r="L24" s="194"/>
      <c r="M24" s="239">
        <f>SUMIFS('Actual - 2026'!$AX$5:$AX$56,'Actual - 2026'!$A$5:$A$56,'MILA 2F - Overview'!D24)</f>
        <v>291513.90000000002</v>
      </c>
      <c r="N24" s="233">
        <f>SUMIFS('Budget - 2026'!$CX$5:$CX$56,'Budget - 2026'!$B$5:$B$56,'MILA 2F - Overview'!D24)</f>
        <v>315660.21220526088</v>
      </c>
      <c r="O24" s="240">
        <f>SUMIFS('Budget - 2026'!$CO$5:$CO$56,'Budget - 2026'!$B$5:$B$56,D24)</f>
        <v>418048</v>
      </c>
      <c r="P24" s="239">
        <f>SUMIFS('Actual - 2026'!$AU$5:$AU$56,'Actual - 2026'!$A$5:$A$56,'MILA 2F - Overview'!D24)</f>
        <v>45002.35</v>
      </c>
      <c r="Q24" s="233">
        <f>SUMIFS('Budget - 2026'!$CU$5:$CU$56,'Budget - 2026'!$B$5:$B$56,'MILA 2F - Overview'!D24)</f>
        <v>35542.566981082782</v>
      </c>
      <c r="R24" s="240">
        <v>0</v>
      </c>
      <c r="S24" s="342">
        <v>1028594</v>
      </c>
    </row>
    <row r="25" spans="2:20" s="108" customFormat="1" ht="22.15" customHeight="1">
      <c r="D25" s="193" t="s">
        <v>144</v>
      </c>
      <c r="E25" s="194"/>
      <c r="F25" s="239">
        <f>SUMIFS('Actual - 2026'!$BA$5:$BA$56,'Actual - 2026'!$A$5:$A$56,'CLAUDIE Overview'!D25)</f>
        <v>387095.49000000005</v>
      </c>
      <c r="G25" s="233">
        <f>SUMIFS('Budget - 2026'!$DA$5:$DA$56,'Budget - 2026'!$B$5:$B$56,'CLAUDIE Overview'!D25)</f>
        <v>351202.77918634366</v>
      </c>
      <c r="H25" s="247">
        <f t="shared" si="3"/>
        <v>0.10219939288866556</v>
      </c>
      <c r="I25" s="194"/>
      <c r="J25" s="239">
        <f>SUMIFS('Budget - 2026'!$CR$5:$CR$56,'Budget - 2026'!$B$5:$B$56,D25)</f>
        <v>322224</v>
      </c>
      <c r="K25" s="251">
        <f t="shared" si="1"/>
        <v>0.20132420303887993</v>
      </c>
      <c r="L25" s="194"/>
      <c r="M25" s="239">
        <f>SUMIFS('Actual - 2026'!$AX$5:$AX$56,'Actual - 2026'!$A$5:$A$56,'MILA 2F - Overview'!D25)</f>
        <v>336429.59</v>
      </c>
      <c r="N25" s="233">
        <f>SUMIFS('Budget - 2026'!$CX$5:$CX$56,'Budget - 2026'!$B$5:$B$56,'MILA 2F - Overview'!D25)</f>
        <v>315660.21220526088</v>
      </c>
      <c r="O25" s="240">
        <f>SUMIFS('Budget - 2026'!$CO$5:$CO$56,'Budget - 2026'!$B$5:$B$56,D25)</f>
        <v>322224</v>
      </c>
      <c r="P25" s="239">
        <f>SUMIFS('Actual - 2026'!$AU$5:$AU$56,'Actual - 2026'!$A$5:$A$56,'MILA 2F - Overview'!D25)</f>
        <v>50665.9</v>
      </c>
      <c r="Q25" s="233">
        <f>SUMIFS('Budget - 2026'!$CU$5:$CU$56,'Budget - 2026'!$B$5:$B$56,'MILA 2F - Overview'!D25)</f>
        <v>35542.566981082782</v>
      </c>
      <c r="R25" s="240">
        <v>0</v>
      </c>
      <c r="S25" s="323">
        <f>S23-S24</f>
        <v>129720.60000000009</v>
      </c>
    </row>
    <row r="26" spans="2:20" s="108" customFormat="1" ht="22.15" customHeight="1">
      <c r="D26" s="227" t="s">
        <v>255</v>
      </c>
      <c r="E26" s="194"/>
      <c r="F26" s="241">
        <f>SUM(F22:F25)</f>
        <v>1424082.27</v>
      </c>
      <c r="G26" s="228">
        <f t="shared" ref="G26" si="6">SUM(G22:G25)</f>
        <v>1401389.5583726875</v>
      </c>
      <c r="H26" s="248">
        <f t="shared" si="3"/>
        <v>1.6193007498688339E-2</v>
      </c>
      <c r="I26" s="194"/>
      <c r="J26" s="241">
        <f>SUM(J22:J25)</f>
        <v>1477692</v>
      </c>
      <c r="K26" s="248">
        <f>IFERROR((F26-J26)/J26,0)</f>
        <v>-3.6279366742189838E-2</v>
      </c>
      <c r="L26" s="194"/>
      <c r="M26" s="241">
        <f t="shared" ref="M26:R26" si="7">SUM(M22:M25)</f>
        <v>1251016.57</v>
      </c>
      <c r="N26" s="228">
        <f t="shared" si="7"/>
        <v>1262817.4244105218</v>
      </c>
      <c r="O26" s="242">
        <f t="shared" si="7"/>
        <v>1477692</v>
      </c>
      <c r="P26" s="241">
        <f t="shared" si="7"/>
        <v>173065.69999999998</v>
      </c>
      <c r="Q26" s="228">
        <f t="shared" si="7"/>
        <v>138572.13396216556</v>
      </c>
      <c r="R26" s="242">
        <f t="shared" si="7"/>
        <v>0</v>
      </c>
    </row>
    <row r="27" spans="2:20" s="108" customFormat="1" ht="22.15" customHeight="1">
      <c r="D27" s="193" t="s">
        <v>147</v>
      </c>
      <c r="E27" s="194"/>
      <c r="F27" s="239">
        <f>SUMIFS('Actual - 2026'!$BA$5:$BA$56,'Actual - 2026'!$A$5:$A$56,'CLAUDIE Overview'!D27)</f>
        <v>380556.18</v>
      </c>
      <c r="G27" s="233">
        <f>SUMIFS('Budget - 2026'!$DA$5:$DA$56,'Budget - 2026'!$B$5:$B$56,'CLAUDIE Overview'!D27)</f>
        <v>351202.77918634366</v>
      </c>
      <c r="H27" s="247">
        <f t="shared" si="3"/>
        <v>8.3579637045189212E-2</v>
      </c>
      <c r="I27" s="194"/>
      <c r="J27" s="239">
        <f>SUMIFS('Budget - 2026'!$CR$5:$CR$56,'Budget - 2026'!$B$5:$B$56,D27)</f>
        <v>402046</v>
      </c>
      <c r="K27" s="251">
        <f t="shared" si="1"/>
        <v>-5.345114738114546E-2</v>
      </c>
      <c r="L27" s="194"/>
      <c r="M27" s="239">
        <f>SUMIFS('Actual - 2026'!$AX$5:$AX$56,'Actual - 2026'!$A$5:$A$56,'MILA 2F - Overview'!D27)</f>
        <v>349838.26</v>
      </c>
      <c r="N27" s="233">
        <f>SUMIFS('Budget - 2026'!$CX$5:$CX$56,'Budget - 2026'!$B$5:$B$56,'MILA 2F - Overview'!D27)</f>
        <v>315660.21220526088</v>
      </c>
      <c r="O27" s="240">
        <f>SUMIFS('Budget - 2026'!$CO$5:$CO$56,'Budget - 2026'!$B$5:$B$56,D27)</f>
        <v>402046</v>
      </c>
      <c r="P27" s="239">
        <f>SUMIFS('Actual - 2026'!$AU$5:$AU$56,'Actual - 2026'!$A$5:$A$56,'MILA 2F - Overview'!D27)</f>
        <v>30717.919999999998</v>
      </c>
      <c r="Q27" s="233">
        <f>SUMIFS('Budget - 2026'!$CU$5:$CU$56,'Budget - 2026'!$B$5:$B$56,'MILA 2F - Overview'!D27)</f>
        <v>35542.566981082782</v>
      </c>
      <c r="R27" s="240">
        <v>0</v>
      </c>
    </row>
    <row r="28" spans="2:20" s="108" customFormat="1" ht="22.15" customHeight="1">
      <c r="B28" s="108" t="s">
        <v>99</v>
      </c>
      <c r="D28" s="193" t="s">
        <v>148</v>
      </c>
      <c r="E28" s="194"/>
      <c r="F28" s="239">
        <f>SUMIFS('Actual - 2026'!$BA$5:$BA$56,'Actual - 2026'!$A$5:$A$56,'CLAUDIE Overview'!D28)</f>
        <v>386585.51</v>
      </c>
      <c r="G28" s="233">
        <f>SUMIFS('Budget - 2026'!$DA$5:$DA$56,'Budget - 2026'!$B$5:$B$56,'CLAUDIE Overview'!D28)</f>
        <v>351202.77918634366</v>
      </c>
      <c r="H28" s="247">
        <f t="shared" si="3"/>
        <v>0.10074729731817621</v>
      </c>
      <c r="I28" s="194"/>
      <c r="J28" s="239">
        <f>SUMIFS('Budget - 2026'!$CR$5:$CR$56,'Budget - 2026'!$B$5:$B$56,D28)</f>
        <v>367729</v>
      </c>
      <c r="K28" s="251">
        <f t="shared" si="1"/>
        <v>5.1278278297333113E-2</v>
      </c>
      <c r="L28" s="194"/>
      <c r="M28" s="239">
        <f>SUMIFS('Actual - 2026'!$AX$5:$AX$56,'Actual - 2026'!$A$5:$A$56,'MILA 2F - Overview'!D28)</f>
        <v>310371.41000000003</v>
      </c>
      <c r="N28" s="233">
        <f>SUMIFS('Budget - 2026'!$CX$5:$CX$56,'Budget - 2026'!$B$5:$B$56,'MILA 2F - Overview'!D28)</f>
        <v>315660.21220526088</v>
      </c>
      <c r="O28" s="240">
        <f>SUMIFS('Budget - 2026'!$CO$5:$CO$56,'Budget - 2026'!$B$5:$B$56,D28)</f>
        <v>367729</v>
      </c>
      <c r="P28" s="239">
        <f>SUMIFS('Actual - 2026'!$AU$5:$AU$56,'Actual - 2026'!$A$5:$A$56,'MILA 2F - Overview'!D28)</f>
        <v>76214.100000000006</v>
      </c>
      <c r="Q28" s="233">
        <f>SUMIFS('Budget - 2026'!$CU$5:$CU$56,'Budget - 2026'!$B$5:$B$56,'MILA 2F - Overview'!D28)</f>
        <v>35542.566981082782</v>
      </c>
      <c r="R28" s="240">
        <v>0</v>
      </c>
    </row>
    <row r="29" spans="2:20" s="108" customFormat="1" ht="22.15" customHeight="1">
      <c r="D29" s="193" t="s">
        <v>149</v>
      </c>
      <c r="E29" s="194"/>
      <c r="F29" s="239">
        <f>SUMIFS('Actual - 2026'!$BA$5:$BA$56,'Actual - 2026'!$A$5:$A$56,'CLAUDIE Overview'!D29)</f>
        <v>274388.75</v>
      </c>
      <c r="G29" s="233">
        <f>SUMIFS('Budget - 2026'!$DA$5:$DA$56,'Budget - 2026'!$B$5:$B$56,'CLAUDIE Overview'!D29)</f>
        <v>351202.77918634366</v>
      </c>
      <c r="H29" s="247">
        <f t="shared" si="3"/>
        <v>-0.21871703112459462</v>
      </c>
      <c r="I29" s="194"/>
      <c r="J29" s="239">
        <f>SUMIFS('Budget - 2026'!$CR$5:$CR$56,'Budget - 2026'!$B$5:$B$56,D29)</f>
        <v>320965</v>
      </c>
      <c r="K29" s="251">
        <f t="shared" si="1"/>
        <v>-0.14511317433365009</v>
      </c>
      <c r="L29" s="194"/>
      <c r="M29" s="239">
        <f>SUMIFS('Actual - 2026'!$AX$5:$AX$56,'Actual - 2026'!$A$5:$A$56,'MILA 2F - Overview'!D29)</f>
        <v>216371.04</v>
      </c>
      <c r="N29" s="233">
        <f>SUMIFS('Budget - 2026'!$CX$5:$CX$56,'Budget - 2026'!$B$5:$B$56,'MILA 2F - Overview'!D29)</f>
        <v>315660.21220526088</v>
      </c>
      <c r="O29" s="240">
        <f>SUMIFS('Budget - 2026'!$CO$5:$CO$56,'Budget - 2026'!$B$5:$B$56,D29)</f>
        <v>320965</v>
      </c>
      <c r="P29" s="239">
        <f>SUMIFS('Actual - 2026'!$AU$5:$AU$56,'Actual - 2026'!$A$5:$A$56,'MILA 2F - Overview'!D29)</f>
        <v>58017.71</v>
      </c>
      <c r="Q29" s="233">
        <f>SUMIFS('Budget - 2026'!$CU$5:$CU$56,'Budget - 2026'!$B$5:$B$56,'MILA 2F - Overview'!D29)</f>
        <v>35542.566981082782</v>
      </c>
      <c r="R29" s="240">
        <v>0</v>
      </c>
    </row>
    <row r="30" spans="2:20" s="108" customFormat="1" ht="22.15" customHeight="1">
      <c r="D30" s="193" t="s">
        <v>150</v>
      </c>
      <c r="E30" s="194"/>
      <c r="F30" s="239">
        <f>SUMIFS('Actual - 2026'!$BA$5:$BA$56,'Actual - 2026'!$A$5:$A$56,'CLAUDIE Overview'!D30)</f>
        <v>325093.76000000001</v>
      </c>
      <c r="G30" s="233">
        <f>SUMIFS('Budget - 2026'!$DA$5:$DA$56,'Budget - 2026'!$B$5:$B$56,'CLAUDIE Overview'!D30)</f>
        <v>351202.77918634366</v>
      </c>
      <c r="H30" s="247">
        <f t="shared" si="3"/>
        <v>-7.4341721460269364E-2</v>
      </c>
      <c r="I30" s="194"/>
      <c r="J30" s="239">
        <f>SUMIFS('Budget - 2026'!$CR$5:$CR$56,'Budget - 2026'!$B$5:$B$56,D30)</f>
        <v>340810</v>
      </c>
      <c r="K30" s="251">
        <f t="shared" si="1"/>
        <v>-4.6114374578210708E-2</v>
      </c>
      <c r="L30" s="194"/>
      <c r="M30" s="239">
        <f>SUMIFS('Actual - 2026'!$AX$5:$AX$56,'Actual - 2026'!$A$5:$A$56,'MILA 2F - Overview'!D30)</f>
        <v>262581.5</v>
      </c>
      <c r="N30" s="233">
        <f>SUMIFS('Budget - 2026'!$CX$5:$CX$56,'Budget - 2026'!$B$5:$B$56,'MILA 2F - Overview'!D30)</f>
        <v>315660.21220526088</v>
      </c>
      <c r="O30" s="240">
        <f>SUMIFS('Budget - 2026'!$CO$5:$CO$56,'Budget - 2026'!$B$5:$B$56,D30)</f>
        <v>340810</v>
      </c>
      <c r="P30" s="239">
        <f>SUMIFS('Actual - 2026'!$AU$5:$AU$56,'Actual - 2026'!$A$5:$A$56,'MILA 2F - Overview'!D30)</f>
        <v>62512.26</v>
      </c>
      <c r="Q30" s="233">
        <f>SUMIFS('Budget - 2026'!$CU$5:$CU$56,'Budget - 2026'!$B$5:$B$56,'MILA 2F - Overview'!D30)</f>
        <v>35542.566981082782</v>
      </c>
      <c r="R30" s="240">
        <v>0</v>
      </c>
    </row>
    <row r="31" spans="2:20" s="108" customFormat="1" ht="22.15" customHeight="1">
      <c r="D31" s="227" t="s">
        <v>256</v>
      </c>
      <c r="E31" s="194"/>
      <c r="F31" s="241">
        <f>SUM(F27:F30)</f>
        <v>1366624.2</v>
      </c>
      <c r="G31" s="228">
        <f>SUM(G27:G30)</f>
        <v>1404811.1167453746</v>
      </c>
      <c r="H31" s="248">
        <f t="shared" si="3"/>
        <v>-2.7182954555374682E-2</v>
      </c>
      <c r="I31" s="194"/>
      <c r="J31" s="241">
        <f>SUM(J27:J30)</f>
        <v>1431550</v>
      </c>
      <c r="K31" s="248">
        <f>IFERROR((F31-J31)/J31,0)</f>
        <v>-4.5353497956760185E-2</v>
      </c>
      <c r="L31" s="194"/>
      <c r="M31" s="241">
        <f t="shared" ref="M31:R31" si="8">SUM(M27:M30)</f>
        <v>1139162.21</v>
      </c>
      <c r="N31" s="228">
        <f t="shared" si="8"/>
        <v>1262640.8488210435</v>
      </c>
      <c r="O31" s="242">
        <f t="shared" si="8"/>
        <v>1431550</v>
      </c>
      <c r="P31" s="241">
        <f t="shared" si="8"/>
        <v>227461.99000000002</v>
      </c>
      <c r="Q31" s="228">
        <f t="shared" si="8"/>
        <v>142170.26792433113</v>
      </c>
      <c r="R31" s="242">
        <f t="shared" si="8"/>
        <v>0</v>
      </c>
    </row>
    <row r="32" spans="2:20" s="108" customFormat="1" ht="22.15" customHeight="1">
      <c r="D32" s="193" t="s">
        <v>153</v>
      </c>
      <c r="E32" s="194"/>
      <c r="F32" s="239">
        <f>SUMIFS('Actual - 2026'!$BA$5:$BA$56,'Actual - 2026'!$A$5:$A$56,'CLAUDIE Overview'!D32)</f>
        <v>273610.65000000002</v>
      </c>
      <c r="G32" s="233">
        <f>SUMIFS('Budget - 2026'!$DA$5:$DA$56,'Budget - 2026'!$B$5:$B$56,'CLAUDIE Overview'!D32)</f>
        <v>310543.53382239875</v>
      </c>
      <c r="H32" s="247">
        <f t="shared" si="3"/>
        <v>-0.11892981112117057</v>
      </c>
      <c r="I32" s="194"/>
      <c r="J32" s="239">
        <f>SUMIFS('Budget - 2026'!$CR$5:$CR$56,'Budget - 2026'!$B$5:$B$56,D32)</f>
        <v>276779</v>
      </c>
      <c r="K32" s="251">
        <f t="shared" si="1"/>
        <v>-1.1447219622875929E-2</v>
      </c>
      <c r="L32" s="194"/>
      <c r="M32" s="239">
        <f>SUMIFS('Actual - 2026'!$AX$5:$AX$56,'Actual - 2026'!$A$5:$A$56,'MILA 2F - Overview'!D32)</f>
        <v>226416.99</v>
      </c>
      <c r="N32" s="233">
        <f>SUMIFS('Budget - 2026'!$CX$5:$CX$56,'Budget - 2026'!$B$5:$B$56,'MILA 2F - Overview'!D32)</f>
        <v>275000.96684131597</v>
      </c>
      <c r="O32" s="240">
        <f>SUMIFS('Budget - 2026'!$CO$5:$CO$56,'Budget - 2026'!$B$5:$B$56,D32)</f>
        <v>276779</v>
      </c>
      <c r="P32" s="239">
        <f>SUMIFS('Actual - 2026'!$AU$5:$AU$56,'Actual - 2026'!$A$5:$A$56,'MILA 2F - Overview'!D32)</f>
        <v>47193.66</v>
      </c>
      <c r="Q32" s="233">
        <f>SUMIFS('Budget - 2026'!$CU$5:$CU$56,'Budget - 2026'!$B$5:$B$56,'MILA 2F - Overview'!D32)</f>
        <v>35542.566981082782</v>
      </c>
      <c r="R32" s="240">
        <v>0</v>
      </c>
    </row>
    <row r="33" spans="4:18" s="108" customFormat="1" ht="22.15" customHeight="1">
      <c r="D33" s="193" t="s">
        <v>154</v>
      </c>
      <c r="E33" s="194"/>
      <c r="F33" s="239">
        <f>SUMIFS('Actual - 2026'!$BA$5:$BA$56,'Actual - 2026'!$A$5:$A$56,'CLAUDIE Overview'!D33)</f>
        <v>227131.25</v>
      </c>
      <c r="G33" s="233">
        <f>SUMIFS('Budget - 2026'!$DA$5:$DA$56,'Budget - 2026'!$B$5:$B$56,'CLAUDIE Overview'!D33)</f>
        <v>323674.67873165454</v>
      </c>
      <c r="H33" s="247">
        <f t="shared" si="3"/>
        <v>-0.29827303485699835</v>
      </c>
      <c r="I33" s="194"/>
      <c r="J33" s="239">
        <f>SUMIFS('Budget - 2026'!$CR$5:$CR$56,'Budget - 2026'!$B$5:$B$56,D33)</f>
        <v>313099</v>
      </c>
      <c r="K33" s="251">
        <f t="shared" si="1"/>
        <v>-0.27457050325935245</v>
      </c>
      <c r="L33" s="194"/>
      <c r="M33" s="239">
        <f>SUMIFS('Actual - 2026'!$AX$5:$AX$56,'Actual - 2026'!$A$5:$A$56,'MILA 2F - Overview'!D33)</f>
        <v>196591.75</v>
      </c>
      <c r="N33" s="233">
        <f>SUMIFS('Budget - 2026'!$CX$5:$CX$56,'Budget - 2026'!$B$5:$B$56,'MILA 2F - Overview'!D33)</f>
        <v>288132.11175057176</v>
      </c>
      <c r="O33" s="240">
        <f>SUMIFS('Budget - 2026'!$CO$5:$CO$56,'Budget - 2026'!$B$5:$B$56,D33)</f>
        <v>313099</v>
      </c>
      <c r="P33" s="239">
        <f>SUMIFS('Actual - 2026'!$AU$5:$AU$56,'Actual - 2026'!$A$5:$A$56,'MILA 2F - Overview'!D33)</f>
        <v>30539.5</v>
      </c>
      <c r="Q33" s="233">
        <f>SUMIFS('Budget - 2026'!$CU$5:$CU$56,'Budget - 2026'!$B$5:$B$56,'MILA 2F - Overview'!D33)</f>
        <v>35542.566981082782</v>
      </c>
      <c r="R33" s="240">
        <v>0</v>
      </c>
    </row>
    <row r="34" spans="4:18" s="108" customFormat="1" ht="22.15" customHeight="1">
      <c r="D34" s="193" t="s">
        <v>155</v>
      </c>
      <c r="E34" s="194"/>
      <c r="F34" s="239">
        <f>SUMIFS('Actual - 2026'!$BA$5:$BA$56,'Actual - 2026'!$A$5:$A$56,'CLAUDIE Overview'!D34)</f>
        <v>210210.7</v>
      </c>
      <c r="G34" s="233">
        <f>SUMIFS('Budget - 2026'!$DA$5:$DA$56,'Budget - 2026'!$B$5:$B$56,'CLAUDIE Overview'!D34)</f>
        <v>330933.50043528172</v>
      </c>
      <c r="H34" s="247">
        <f t="shared" si="3"/>
        <v>-0.36479474056417144</v>
      </c>
      <c r="I34" s="194"/>
      <c r="J34" s="239">
        <f>SUMIFS('Budget - 2026'!$CR$5:$CR$56,'Budget - 2026'!$B$5:$B$56,D34)</f>
        <v>310110</v>
      </c>
      <c r="K34" s="251">
        <f t="shared" si="1"/>
        <v>-0.32214149817806581</v>
      </c>
      <c r="L34" s="194"/>
      <c r="M34" s="239">
        <f>SUMIFS('Actual - 2026'!$AX$5:$AX$56,'Actual - 2026'!$A$5:$A$56,'MILA 2F - Overview'!D34)</f>
        <v>193599.75</v>
      </c>
      <c r="N34" s="233">
        <f>SUMIFS('Budget - 2026'!$CX$5:$CX$56,'Budget - 2026'!$B$5:$B$56,'MILA 2F - Overview'!D34)</f>
        <v>295390.93345419894</v>
      </c>
      <c r="O34" s="240">
        <f>SUMIFS('Budget - 2026'!$CO$5:$CO$56,'Budget - 2026'!$B$5:$B$56,D34)</f>
        <v>310110</v>
      </c>
      <c r="P34" s="239">
        <f>SUMIFS('Actual - 2026'!$AU$5:$AU$56,'Actual - 2026'!$A$5:$A$56,'MILA 2F - Overview'!D34)</f>
        <v>16610.95</v>
      </c>
      <c r="Q34" s="233">
        <f>SUMIFS('Budget - 2026'!$CU$5:$CU$56,'Budget - 2026'!$B$5:$B$56,'MILA 2F - Overview'!D34)</f>
        <v>35542.566981082782</v>
      </c>
      <c r="R34" s="240">
        <v>0</v>
      </c>
    </row>
    <row r="35" spans="4:18" s="108" customFormat="1" ht="22.15" customHeight="1">
      <c r="D35" s="193" t="s">
        <v>156</v>
      </c>
      <c r="E35" s="194"/>
      <c r="F35" s="239">
        <f>SUMIFS('Actual - 2026'!$BA$5:$BA$56,'Actual - 2026'!$A$5:$A$56,'CLAUDIE Overview'!D35)</f>
        <v>195511.72000000003</v>
      </c>
      <c r="G35" s="233">
        <f>SUMIFS('Budget - 2026'!$DA$5:$DA$56,'Budget - 2026'!$B$5:$B$56,'CLAUDIE Overview'!D35)</f>
        <v>312331.46367177775</v>
      </c>
      <c r="H35" s="247">
        <f t="shared" si="3"/>
        <v>-0.37402489745490713</v>
      </c>
      <c r="I35" s="194"/>
      <c r="J35" s="239">
        <f>SUMIFS('Budget - 2026'!$CR$5:$CR$56,'Budget - 2026'!$B$5:$B$56,D35)</f>
        <v>290195</v>
      </c>
      <c r="K35" s="251">
        <f t="shared" si="1"/>
        <v>-0.32627467737211174</v>
      </c>
      <c r="L35" s="194"/>
      <c r="M35" s="239">
        <f>SUMIFS('Actual - 2026'!$AX$5:$AX$56,'Actual - 2026'!$A$5:$A$56,'MILA 2F - Overview'!D35)</f>
        <v>158162.67000000001</v>
      </c>
      <c r="N35" s="233">
        <f>SUMIFS('Budget - 2026'!$CX$5:$CX$56,'Budget - 2026'!$B$5:$B$56,'MILA 2F - Overview'!D35)</f>
        <v>276788.89669069496</v>
      </c>
      <c r="O35" s="240">
        <f>SUMIFS('Budget - 2026'!$CO$5:$CO$56,'Budget - 2026'!$B$5:$B$56,D35)</f>
        <v>290195</v>
      </c>
      <c r="P35" s="239">
        <f>SUMIFS('Actual - 2026'!$AU$5:$AU$56,'Actual - 2026'!$A$5:$A$56,'MILA 2F - Overview'!D35)</f>
        <v>37349.050000000003</v>
      </c>
      <c r="Q35" s="233">
        <f>SUMIFS('Budget - 2026'!$CU$5:$CU$56,'Budget - 2026'!$B$5:$B$56,'MILA 2F - Overview'!D35)</f>
        <v>35542.566981082782</v>
      </c>
      <c r="R35" s="240">
        <v>0</v>
      </c>
    </row>
    <row r="36" spans="4:18" s="108" customFormat="1" ht="22.15" customHeight="1">
      <c r="D36" s="193" t="s">
        <v>157</v>
      </c>
      <c r="E36" s="194"/>
      <c r="F36" s="239">
        <f>SUMIFS('Actual - 2026'!$BA$5:$BA$56,'Actual - 2026'!$A$5:$A$56,'CLAUDIE Overview'!D36)</f>
        <v>255339.51</v>
      </c>
      <c r="G36" s="233">
        <f>SUMIFS('Budget - 2026'!$DA$5:$DA$56,'Budget - 2026'!$B$5:$B$56,'CLAUDIE Overview'!D36)</f>
        <v>287453.07232144556</v>
      </c>
      <c r="H36" s="247">
        <f t="shared" si="3"/>
        <v>-0.11171758249824665</v>
      </c>
      <c r="I36" s="194"/>
      <c r="J36" s="239">
        <f>SUMIFS('Budget - 2026'!$CR$5:$CR$56,'Budget - 2026'!$B$5:$B$56,D36)</f>
        <v>270671.75</v>
      </c>
      <c r="K36" s="251">
        <f t="shared" si="1"/>
        <v>-5.6645143056118681E-2</v>
      </c>
      <c r="L36" s="194"/>
      <c r="M36" s="239">
        <f>SUMIFS('Actual - 2026'!$AX$5:$AX$56,'Actual - 2026'!$A$5:$A$56,'MILA 2F - Overview'!D36)</f>
        <v>232390.55000000002</v>
      </c>
      <c r="N36" s="233">
        <f>SUMIFS('Budget - 2026'!$CX$5:$CX$56,'Budget - 2026'!$B$5:$B$56,'MILA 2F - Overview'!D36)</f>
        <v>251910.50534036281</v>
      </c>
      <c r="O36" s="240">
        <f>SUMIFS('Budget - 2026'!$CO$5:$CO$56,'Budget - 2026'!$B$5:$B$56,D36)</f>
        <v>270671.75</v>
      </c>
      <c r="P36" s="239">
        <f>SUMIFS('Actual - 2026'!$AU$5:$AU$56,'Actual - 2026'!$A$5:$A$56,'MILA 2F - Overview'!D36)</f>
        <v>22948.959999999999</v>
      </c>
      <c r="Q36" s="233">
        <f>SUMIFS('Budget - 2026'!$CU$5:$CU$56,'Budget - 2026'!$B$5:$B$56,'MILA 2F - Overview'!D36)</f>
        <v>35542.566981082782</v>
      </c>
      <c r="R36" s="240">
        <v>0</v>
      </c>
    </row>
    <row r="37" spans="4:18" s="108" customFormat="1" ht="22.15" customHeight="1">
      <c r="D37" s="227" t="s">
        <v>257</v>
      </c>
      <c r="E37" s="194"/>
      <c r="F37" s="241">
        <f>SUM(F32:F36)</f>
        <v>1161803.83</v>
      </c>
      <c r="G37" s="228">
        <f>SUM(G32:G36)</f>
        <v>1564936.2489825585</v>
      </c>
      <c r="H37" s="248">
        <f t="shared" si="3"/>
        <v>-0.25760309357307976</v>
      </c>
      <c r="I37" s="194"/>
      <c r="J37" s="241">
        <f>SUM(J32:J36)</f>
        <v>1460854.75</v>
      </c>
      <c r="K37" s="248">
        <f>IFERROR((F37-J37)/J37,0)</f>
        <v>-0.20470955103510458</v>
      </c>
      <c r="L37" s="194"/>
      <c r="M37" s="241">
        <f t="shared" ref="M37:R37" si="9">SUM(M32:M36)</f>
        <v>1007161.7100000001</v>
      </c>
      <c r="N37" s="228">
        <f t="shared" si="9"/>
        <v>1387223.4140771446</v>
      </c>
      <c r="O37" s="242">
        <f t="shared" si="9"/>
        <v>1460854.75</v>
      </c>
      <c r="P37" s="241">
        <f t="shared" si="9"/>
        <v>154642.12</v>
      </c>
      <c r="Q37" s="228">
        <f t="shared" si="9"/>
        <v>177712.83490541391</v>
      </c>
      <c r="R37" s="242">
        <f t="shared" si="9"/>
        <v>0</v>
      </c>
    </row>
    <row r="38" spans="4:18" s="108" customFormat="1" ht="22.15" customHeight="1">
      <c r="D38" s="193" t="s">
        <v>160</v>
      </c>
      <c r="E38" s="194"/>
      <c r="F38" s="239">
        <f>SUMIFS('Actual - 2026'!$BA$5:$BA$56,'Actual - 2026'!$A$5:$A$56,'CLAUDIE Overview'!D38)</f>
        <v>194003.46</v>
      </c>
      <c r="G38" s="233">
        <f>SUMIFS('Budget - 2026'!$DA$5:$DA$56,'Budget - 2026'!$B$5:$B$56,'CLAUDIE Overview'!D38)</f>
        <v>250807.77947614819</v>
      </c>
      <c r="H38" s="247">
        <f t="shared" si="3"/>
        <v>-0.22648547662593652</v>
      </c>
      <c r="I38" s="194"/>
      <c r="J38" s="239">
        <f>SUMIFS('Budget - 2026'!$CR$5:$CR$56,'Budget - 2026'!$B$5:$B$56,D38)</f>
        <v>218718.25999999998</v>
      </c>
      <c r="K38" s="251">
        <f t="shared" si="1"/>
        <v>-0.1129983385932203</v>
      </c>
      <c r="L38" s="194"/>
      <c r="M38" s="239">
        <f>SUMIFS('Actual - 2026'!$AX$5:$AX$56,'Actual - 2026'!$A$5:$A$56,'MILA 2F - Overview'!D38)</f>
        <v>170590.50999999998</v>
      </c>
      <c r="N38" s="233">
        <f>SUMIFS('Budget - 2026'!$CX$5:$CX$56,'Budget - 2026'!$B$5:$B$56,'MILA 2F - Overview'!D38)</f>
        <v>215265.21249506541</v>
      </c>
      <c r="O38" s="240">
        <f>SUMIFS('Budget - 2026'!$CO$5:$CO$56,'Budget - 2026'!$B$5:$B$56,D38)</f>
        <v>218718.25999999998</v>
      </c>
      <c r="P38" s="239">
        <f>SUMIFS('Actual - 2026'!$AU$5:$AU$56,'Actual - 2026'!$A$5:$A$56,'MILA 2F - Overview'!D38)</f>
        <v>23412.95</v>
      </c>
      <c r="Q38" s="233">
        <f>SUMIFS('Budget - 2026'!$CU$5:$CU$56,'Budget - 2026'!$B$5:$B$56,'MILA 2F - Overview'!D38)</f>
        <v>35542.566981082782</v>
      </c>
      <c r="R38" s="240">
        <v>0</v>
      </c>
    </row>
    <row r="39" spans="4:18" s="108" customFormat="1" ht="22.15" customHeight="1">
      <c r="D39" s="193" t="s">
        <v>161</v>
      </c>
      <c r="E39" s="194"/>
      <c r="F39" s="239">
        <f>SUMIFS('Actual - 2026'!$BA$5:$BA$56,'Actual - 2026'!$A$5:$A$56,'CLAUDIE Overview'!D39)</f>
        <v>228037.41999999998</v>
      </c>
      <c r="G39" s="233">
        <f>SUMIFS('Budget - 2026'!$DA$5:$DA$56,'Budget - 2026'!$B$5:$B$56,'CLAUDIE Overview'!D39)</f>
        <v>286318.04975478677</v>
      </c>
      <c r="H39" s="247">
        <f t="shared" si="3"/>
        <v>-0.2035520631853299</v>
      </c>
      <c r="I39" s="194"/>
      <c r="J39" s="239">
        <f>SUMIFS('Budget - 2026'!$CR$5:$CR$56,'Budget - 2026'!$B$5:$B$56,D39)</f>
        <v>250144.25</v>
      </c>
      <c r="K39" s="251">
        <f t="shared" si="1"/>
        <v>-8.8376326859402193E-2</v>
      </c>
      <c r="L39" s="194"/>
      <c r="M39" s="239">
        <f>SUMIFS('Actual - 2026'!$AX$5:$AX$56,'Actual - 2026'!$A$5:$A$56,'MILA 2F - Overview'!D39)</f>
        <v>204186.41999999998</v>
      </c>
      <c r="N39" s="233">
        <f>SUMIFS('Budget - 2026'!$CX$5:$CX$56,'Budget - 2026'!$B$5:$B$56,'MILA 2F - Overview'!D39)</f>
        <v>250775.48277370399</v>
      </c>
      <c r="O39" s="240">
        <f>SUMIFS('Budget - 2026'!$CO$5:$CO$56,'Budget - 2026'!$B$5:$B$56,D39)</f>
        <v>250144.25</v>
      </c>
      <c r="P39" s="239">
        <f>SUMIFS('Actual - 2026'!$AU$5:$AU$56,'Actual - 2026'!$A$5:$A$56,'MILA 2F - Overview'!D39)</f>
        <v>23851</v>
      </c>
      <c r="Q39" s="233">
        <f>SUMIFS('Budget - 2026'!$CU$5:$CU$56,'Budget - 2026'!$B$5:$B$56,'MILA 2F - Overview'!D39)</f>
        <v>35542.566981082782</v>
      </c>
      <c r="R39" s="240">
        <v>0</v>
      </c>
    </row>
    <row r="40" spans="4:18" s="108" customFormat="1" ht="22.15" customHeight="1">
      <c r="D40" s="193" t="s">
        <v>162</v>
      </c>
      <c r="E40" s="194"/>
      <c r="F40" s="239">
        <f>SUMIFS('Actual - 2026'!$BA$5:$BA$56,'Actual - 2026'!$A$5:$A$56,'CLAUDIE Overview'!D40)</f>
        <v>242135.79</v>
      </c>
      <c r="G40" s="233">
        <f>SUMIFS('Budget - 2026'!$DA$5:$DA$56,'Budget - 2026'!$B$5:$B$56,'CLAUDIE Overview'!D40)</f>
        <v>292915.72926662664</v>
      </c>
      <c r="H40" s="247">
        <f t="shared" si="3"/>
        <v>-0.17336023365411074</v>
      </c>
      <c r="I40" s="194"/>
      <c r="J40" s="239">
        <f>SUMIFS('Budget - 2026'!$CR$5:$CR$56,'Budget - 2026'!$B$5:$B$56,D40)</f>
        <v>268938.75</v>
      </c>
      <c r="K40" s="251">
        <f t="shared" si="1"/>
        <v>-9.9661949049737131E-2</v>
      </c>
      <c r="L40" s="194"/>
      <c r="M40" s="239">
        <f>SUMIFS('Actual - 2026'!$AX$5:$AX$56,'Actual - 2026'!$A$5:$A$56,'MILA 2F - Overview'!D40)</f>
        <v>216653.86000000002</v>
      </c>
      <c r="N40" s="233">
        <f>SUMIFS('Budget - 2026'!$CX$5:$CX$56,'Budget - 2026'!$B$5:$B$56,'MILA 2F - Overview'!D40)</f>
        <v>257373.16228554386</v>
      </c>
      <c r="O40" s="240">
        <f>SUMIFS('Budget - 2026'!$CO$5:$CO$56,'Budget - 2026'!$B$5:$B$56,D40)</f>
        <v>268938.75</v>
      </c>
      <c r="P40" s="239">
        <f>SUMIFS('Actual - 2026'!$AU$5:$AU$56,'Actual - 2026'!$A$5:$A$56,'MILA 2F - Overview'!D40)</f>
        <v>25481.93</v>
      </c>
      <c r="Q40" s="233">
        <f>SUMIFS('Budget - 2026'!$CU$5:$CU$56,'Budget - 2026'!$B$5:$B$56,'MILA 2F - Overview'!D40)</f>
        <v>35542.566981082782</v>
      </c>
      <c r="R40" s="240">
        <v>0</v>
      </c>
    </row>
    <row r="41" spans="4:18" s="108" customFormat="1" ht="22.15" customHeight="1">
      <c r="D41" s="193" t="s">
        <v>163</v>
      </c>
      <c r="E41" s="194"/>
      <c r="F41" s="239">
        <f>SUMIFS('Actual - 2026'!$BA$5:$BA$56,'Actual - 2026'!$A$5:$A$56,'CLAUDIE Overview'!D41)</f>
        <v>246122.5</v>
      </c>
      <c r="G41" s="233">
        <f>SUMIFS('Budget - 2026'!$DA$5:$DA$56,'Budget - 2026'!$B$5:$B$56,'CLAUDIE Overview'!D41)</f>
        <v>299292.13355101977</v>
      </c>
      <c r="H41" s="247">
        <f t="shared" si="3"/>
        <v>-0.17765128979561381</v>
      </c>
      <c r="I41" s="194"/>
      <c r="J41" s="239">
        <f>SUMIFS('Budget - 2026'!$CR$5:$CR$56,'Budget - 2026'!$B$5:$B$56,D41)</f>
        <v>288134.59999999998</v>
      </c>
      <c r="K41" s="251">
        <f t="shared" si="1"/>
        <v>-0.14580720260600422</v>
      </c>
      <c r="L41" s="194"/>
      <c r="M41" s="239">
        <f>SUMIFS('Actual - 2026'!$AX$5:$AX$56,'Actual - 2026'!$A$5:$A$56,'MILA 2F - Overview'!D41)</f>
        <v>225208.5</v>
      </c>
      <c r="N41" s="233">
        <f>SUMIFS('Budget - 2026'!$CX$5:$CX$56,'Budget - 2026'!$B$5:$B$56,'MILA 2F - Overview'!D41)</f>
        <v>263749.56656993699</v>
      </c>
      <c r="O41" s="240">
        <f>SUMIFS('Budget - 2026'!$CO$5:$CO$56,'Budget - 2026'!$B$5:$B$56,D41)</f>
        <v>288134.59999999998</v>
      </c>
      <c r="P41" s="239">
        <f>SUMIFS('Actual - 2026'!$AU$5:$AU$56,'Actual - 2026'!$A$5:$A$56,'MILA 2F - Overview'!D41)</f>
        <v>20914</v>
      </c>
      <c r="Q41" s="233">
        <f>SUMIFS('Budget - 2026'!$CU$5:$CU$56,'Budget - 2026'!$B$5:$B$56,'MILA 2F - Overview'!D41)</f>
        <v>35542.566981082782</v>
      </c>
      <c r="R41" s="240">
        <v>0</v>
      </c>
    </row>
    <row r="42" spans="4:18" s="108" customFormat="1" ht="22.15" customHeight="1">
      <c r="D42" s="227" t="s">
        <v>258</v>
      </c>
      <c r="E42" s="194"/>
      <c r="F42" s="241">
        <f>SUM(F38:F41)</f>
        <v>910299.17</v>
      </c>
      <c r="G42" s="228">
        <f>SUM(G38:G41)</f>
        <v>1129333.6920485813</v>
      </c>
      <c r="H42" s="248">
        <f t="shared" si="3"/>
        <v>-0.193950223561699</v>
      </c>
      <c r="I42" s="194"/>
      <c r="J42" s="241">
        <f>SUM(J38:J41)</f>
        <v>1025935.86</v>
      </c>
      <c r="K42" s="248">
        <f>IFERROR((F42-J42)/J42,0)</f>
        <v>-0.11271337176965424</v>
      </c>
      <c r="L42" s="194"/>
      <c r="M42" s="241">
        <f t="shared" ref="M42:R42" si="10">SUM(M38:M41)</f>
        <v>816639.28999999992</v>
      </c>
      <c r="N42" s="228">
        <f t="shared" si="10"/>
        <v>987163.42412425019</v>
      </c>
      <c r="O42" s="242">
        <f t="shared" si="10"/>
        <v>1025935.86</v>
      </c>
      <c r="P42" s="241">
        <f t="shared" si="10"/>
        <v>93659.88</v>
      </c>
      <c r="Q42" s="228">
        <f t="shared" si="10"/>
        <v>142170.26792433113</v>
      </c>
      <c r="R42" s="242">
        <f t="shared" si="10"/>
        <v>0</v>
      </c>
    </row>
    <row r="43" spans="4:18" s="108" customFormat="1" ht="22.15" customHeight="1">
      <c r="D43" s="193" t="s">
        <v>166</v>
      </c>
      <c r="E43" s="194"/>
      <c r="F43" s="239">
        <f>SUMIFS('Actual - 2026'!$BA$5:$BA$56,'Actual - 2026'!$A$5:$A$56,'CLAUDIE Overview'!D43)</f>
        <v>220859.23</v>
      </c>
      <c r="G43" s="205">
        <f>SUMIFS('Budget - 2026'!$DA$5:$DA$56,'Budget - 2026'!$B$5:$B$56,'CLAUDIE Overview'!D43)</f>
        <v>280598.93953931739</v>
      </c>
      <c r="H43" s="247">
        <f t="shared" si="3"/>
        <v>-0.21290069605179915</v>
      </c>
      <c r="I43" s="194"/>
      <c r="J43" s="239">
        <f>SUMIFS('Budget - 2026'!$CR$5:$CR$56,'Budget - 2026'!$B$5:$B$56,D43)</f>
        <v>249542.15</v>
      </c>
      <c r="K43" s="305">
        <f t="shared" si="1"/>
        <v>-0.11494218511782472</v>
      </c>
      <c r="L43" s="194"/>
      <c r="M43" s="239">
        <f>SUMIFS('Actual - 2026'!$AX$5:$AX$56,'Actual - 2026'!$A$5:$A$56,'MILA 2F - Overview'!D43)</f>
        <v>192945.94</v>
      </c>
      <c r="N43" s="233">
        <f>SUMIFS('Budget - 2026'!$CX$5:$CX$56,'Budget - 2026'!$B$5:$B$56,'MILA 2F - Overview'!D43)</f>
        <v>250387.75760539706</v>
      </c>
      <c r="O43" s="306">
        <f>SUMIFS('Budget - 2026'!$CO$5:$CO$56,'Budget - 2026'!$B$5:$B$56,D43)</f>
        <v>249542.15</v>
      </c>
      <c r="P43" s="239">
        <f>SUMIFS('Actual - 2026'!$AU$5:$AU$56,'Actual - 2026'!$A$5:$A$56,'MILA 2F - Overview'!D43)</f>
        <v>27913.29</v>
      </c>
      <c r="Q43" s="233">
        <f>SUMIFS('Budget - 2026'!$CU$5:$CU$56,'Budget - 2026'!$B$5:$B$56,'MILA 2F - Overview'!D43)</f>
        <v>30211.181933920358</v>
      </c>
      <c r="R43" s="240">
        <v>0</v>
      </c>
    </row>
    <row r="44" spans="4:18" s="108" customFormat="1" ht="22.15" customHeight="1">
      <c r="D44" s="193" t="s">
        <v>167</v>
      </c>
      <c r="E44" s="194"/>
      <c r="F44" s="239">
        <f>SUMIFS('Actual - 2026'!$BA$5:$BA$56,'Actual - 2026'!$A$5:$A$56,'CLAUDIE Overview'!D44)</f>
        <v>259994.25</v>
      </c>
      <c r="G44" s="205">
        <f>SUMIFS('Budget - 2026'!$DA$5:$DA$56,'Budget - 2026'!$B$5:$B$56,'CLAUDIE Overview'!D44)</f>
        <v>309806.69193392037</v>
      </c>
      <c r="H44" s="247">
        <f t="shared" si="3"/>
        <v>-0.16078555832017025</v>
      </c>
      <c r="I44" s="194"/>
      <c r="J44" s="239">
        <f>SUMIFS('Budget - 2026'!$CR$5:$CR$56,'Budget - 2026'!$B$5:$B$56,D44)</f>
        <v>275012.25</v>
      </c>
      <c r="K44" s="305">
        <f t="shared" si="1"/>
        <v>-5.4608476531499958E-2</v>
      </c>
      <c r="L44" s="194"/>
      <c r="M44" s="239">
        <f>SUMIFS('Actual - 2026'!$AX$5:$AX$56,'Actual - 2026'!$A$5:$A$56,'MILA 2F - Overview'!D44)</f>
        <v>222304.41</v>
      </c>
      <c r="N44" s="233">
        <f>SUMIFS('Budget - 2026'!$CX$5:$CX$56,'Budget - 2026'!$B$5:$B$56,'MILA 2F - Overview'!D44)</f>
        <v>279595.51</v>
      </c>
      <c r="O44" s="306">
        <f>SUMIFS('Budget - 2026'!$CO$5:$CO$56,'Budget - 2026'!$B$5:$B$56,D44)</f>
        <v>275012.25</v>
      </c>
      <c r="P44" s="239">
        <f>SUMIFS('Actual - 2026'!$AU$5:$AU$56,'Actual - 2026'!$A$5:$A$56,'MILA 2F - Overview'!D44)</f>
        <v>37689.839999999997</v>
      </c>
      <c r="Q44" s="233">
        <f>SUMIFS('Budget - 2026'!$CU$5:$CU$56,'Budget - 2026'!$B$5:$B$56,'MILA 2F - Overview'!D44)</f>
        <v>30211.181933920358</v>
      </c>
      <c r="R44" s="240">
        <v>0</v>
      </c>
    </row>
    <row r="45" spans="4:18" s="108" customFormat="1" ht="22.15" customHeight="1">
      <c r="D45" s="193" t="s">
        <v>168</v>
      </c>
      <c r="E45" s="194"/>
      <c r="F45" s="239">
        <f>SUMIFS('Actual - 2026'!$BA$5:$BA$56,'Actual - 2026'!$A$5:$A$56,'CLAUDIE Overview'!D45)</f>
        <v>288374.75</v>
      </c>
      <c r="G45" s="233">
        <f>SUMIFS('Budget - 2026'!$DA$5:$DA$56,'Budget - 2026'!$B$5:$B$56,'CLAUDIE Overview'!D45)</f>
        <v>344419.05517908861</v>
      </c>
      <c r="H45" s="247">
        <f t="shared" si="3"/>
        <v>-0.16272126741055917</v>
      </c>
      <c r="I45" s="194"/>
      <c r="J45" s="239">
        <f>SUMIFS('Budget - 2026'!$CR$5:$CR$56,'Budget - 2026'!$B$5:$B$56,D45)</f>
        <v>304632.65999999997</v>
      </c>
      <c r="K45" s="251">
        <f t="shared" si="1"/>
        <v>-5.3368900104145023E-2</v>
      </c>
      <c r="L45" s="194"/>
      <c r="M45" s="239">
        <f>SUMIFS('Actual - 2026'!$AX$5:$AX$56,'Actual - 2026'!$A$5:$A$56,'MILA 2F - Overview'!D45)</f>
        <v>257214.5</v>
      </c>
      <c r="N45" s="233">
        <f>SUMIFS('Budget - 2026'!$CX$5:$CX$56,'Budget - 2026'!$B$5:$B$56,'MILA 2F - Overview'!D45)</f>
        <v>314207.87324516824</v>
      </c>
      <c r="O45" s="240">
        <f>SUMIFS('Budget - 2026'!$CO$5:$CO$56,'Budget - 2026'!$B$5:$B$56,D45)</f>
        <v>304632.65999999997</v>
      </c>
      <c r="P45" s="239">
        <f>SUMIFS('Actual - 2026'!$AU$5:$AU$56,'Actual - 2026'!$A$5:$A$56,'MILA 2F - Overview'!D45)</f>
        <v>31160.25</v>
      </c>
      <c r="Q45" s="233">
        <f>SUMIFS('Budget - 2026'!$CU$5:$CU$56,'Budget - 2026'!$B$5:$B$56,'MILA 2F - Overview'!D45)</f>
        <v>30211.181933920358</v>
      </c>
      <c r="R45" s="240">
        <v>0</v>
      </c>
    </row>
    <row r="46" spans="4:18" s="108" customFormat="1" ht="22.15" customHeight="1">
      <c r="D46" s="193" t="s">
        <v>101</v>
      </c>
      <c r="E46" s="194"/>
      <c r="F46" s="239">
        <f>SUMIFS('Actual - 2026'!$BA$5:$BA$56,'Actual - 2026'!$A$5:$A$56,'CLAUDIE Overview'!D46)</f>
        <v>282014.92000000004</v>
      </c>
      <c r="G46" s="233">
        <f>SUMIFS('Budget - 2026'!$DA$5:$DA$56,'Budget - 2026'!$B$5:$B$56,'CLAUDIE Overview'!D46)</f>
        <v>329876.03193392034</v>
      </c>
      <c r="H46" s="247">
        <f t="shared" si="3"/>
        <v>-0.1450881764683882</v>
      </c>
      <c r="I46" s="194"/>
      <c r="J46" s="239">
        <f>SUMIFS('Budget - 2026'!$CR$5:$CR$56,'Budget - 2026'!$B$5:$B$56,D46)</f>
        <v>304876.25</v>
      </c>
      <c r="K46" s="251">
        <f t="shared" si="1"/>
        <v>-7.4985604815068274E-2</v>
      </c>
      <c r="L46" s="194"/>
      <c r="M46" s="239">
        <f>SUMIFS('Actual - 2026'!$AX$5:$AX$56,'Actual - 2026'!$A$5:$A$56,'MILA 2F - Overview'!D46)</f>
        <v>243338.46000000002</v>
      </c>
      <c r="N46" s="233">
        <f>SUMIFS('Budget - 2026'!$CX$5:$CX$56,'Budget - 2026'!$B$5:$B$56,'MILA 2F - Overview'!D46)</f>
        <v>299664.84999999998</v>
      </c>
      <c r="O46" s="240">
        <f>SUMIFS('Budget - 2026'!$CO$5:$CO$56,'Budget - 2026'!$B$5:$B$56,D46)</f>
        <v>304876.25</v>
      </c>
      <c r="P46" s="239">
        <f>SUMIFS('Actual - 2026'!$AU$5:$AU$56,'Actual - 2026'!$A$5:$A$56,'MILA 2F - Overview'!D46)</f>
        <v>38676.46</v>
      </c>
      <c r="Q46" s="233">
        <f>SUMIFS('Budget - 2026'!$CU$5:$CU$56,'Budget - 2026'!$B$5:$B$56,'MILA 2F - Overview'!D46)</f>
        <v>30211.181933920358</v>
      </c>
      <c r="R46" s="240">
        <v>0</v>
      </c>
    </row>
    <row r="47" spans="4:18" s="108" customFormat="1" ht="22.15" customHeight="1">
      <c r="D47" s="227" t="s">
        <v>259</v>
      </c>
      <c r="E47" s="194"/>
      <c r="F47" s="241">
        <f>SUM(F43:F46)</f>
        <v>1051243.1499999999</v>
      </c>
      <c r="G47" s="228">
        <f>SUM(G43:G46)</f>
        <v>1264700.7185862467</v>
      </c>
      <c r="H47" s="248">
        <f t="shared" si="3"/>
        <v>-0.16878109219773485</v>
      </c>
      <c r="I47" s="194"/>
      <c r="J47" s="241">
        <f>SUM(J43:J46)</f>
        <v>1134063.31</v>
      </c>
      <c r="K47" s="248">
        <f>IFERROR((F47-J47)/J47,0)</f>
        <v>-7.3029573631123071E-2</v>
      </c>
      <c r="L47" s="194"/>
      <c r="M47" s="241">
        <f t="shared" ref="M47:R47" si="11">SUM(M43:M46)</f>
        <v>915803.31</v>
      </c>
      <c r="N47" s="228">
        <f t="shared" si="11"/>
        <v>1143855.9908505653</v>
      </c>
      <c r="O47" s="242">
        <f t="shared" si="11"/>
        <v>1134063.31</v>
      </c>
      <c r="P47" s="241">
        <f t="shared" si="11"/>
        <v>135439.84</v>
      </c>
      <c r="Q47" s="228">
        <f t="shared" si="11"/>
        <v>120844.72773568143</v>
      </c>
      <c r="R47" s="242">
        <f t="shared" si="11"/>
        <v>0</v>
      </c>
    </row>
    <row r="48" spans="4:18" s="108" customFormat="1" ht="22.15" customHeight="1">
      <c r="D48" s="193" t="s">
        <v>171</v>
      </c>
      <c r="E48" s="194"/>
      <c r="F48" s="239">
        <f>SUMIFS('Actual - 2026'!$BA$5:$BA$56,'Actual - 2026'!$A$5:$A$56,'CLAUDIE Overview'!D48)</f>
        <v>0</v>
      </c>
      <c r="G48" s="233">
        <f>SUMIFS('Budget - 2026'!$DA$5:$DA$56,'Budget - 2026'!$B$5:$B$56,'CLAUDIE Overview'!D48)</f>
        <v>323010.69193392037</v>
      </c>
      <c r="H48" s="247">
        <f t="shared" si="3"/>
        <v>-1</v>
      </c>
      <c r="I48" s="194"/>
      <c r="J48" s="239">
        <f>SUMIFS('Budget - 2026'!$CR$5:$CR$56,'Budget - 2026'!$B$5:$B$56,D48)</f>
        <v>327920.39999999997</v>
      </c>
      <c r="K48" s="251">
        <f t="shared" si="1"/>
        <v>-1</v>
      </c>
      <c r="L48" s="194"/>
      <c r="M48" s="239">
        <f>SUMIFS('Actual - 2026'!$AX$5:$AX$56,'Actual - 2026'!$A$5:$A$56,'MILA 2F - Overview'!D48)</f>
        <v>0</v>
      </c>
      <c r="N48" s="233">
        <f>SUMIFS('Budget - 2026'!$CX$5:$CX$56,'Budget - 2026'!$B$5:$B$56,'MILA 2F - Overview'!D48)</f>
        <v>292799.51</v>
      </c>
      <c r="O48" s="240">
        <f>SUMIFS('Budget - 2026'!$CO$5:$CO$56,'Budget - 2026'!$B$5:$B$56,D48)</f>
        <v>327920.39999999997</v>
      </c>
      <c r="P48" s="239">
        <f>SUMIFS('Actual - 2026'!$AU$5:$AU$56,'Actual - 2026'!$A$5:$A$56,'MILA 2F - Overview'!D48)</f>
        <v>0</v>
      </c>
      <c r="Q48" s="233">
        <f>SUMIFS('Budget - 2026'!$CU$5:$CU$56,'Budget - 2026'!$B$5:$B$56,'MILA 2F - Overview'!D48)</f>
        <v>30211.181933920358</v>
      </c>
      <c r="R48" s="240">
        <v>0</v>
      </c>
    </row>
    <row r="49" spans="4:18" s="108" customFormat="1" ht="22.15" customHeight="1">
      <c r="D49" s="193" t="s">
        <v>172</v>
      </c>
      <c r="E49" s="194"/>
      <c r="F49" s="239">
        <f>SUMIFS('Actual - 2026'!$BA$5:$BA$56,'Actual - 2026'!$A$5:$A$56,'CLAUDIE Overview'!D49)</f>
        <v>0</v>
      </c>
      <c r="G49" s="233">
        <f>SUMIFS('Budget - 2026'!$DA$5:$DA$56,'Budget - 2026'!$B$5:$B$56,'CLAUDIE Overview'!D49)</f>
        <v>278903.18193392036</v>
      </c>
      <c r="H49" s="247">
        <f t="shared" si="3"/>
        <v>-1</v>
      </c>
      <c r="I49" s="194"/>
      <c r="J49" s="239">
        <f>SUMIFS('Budget - 2026'!$CR$5:$CR$56,'Budget - 2026'!$B$5:$B$56,D49)</f>
        <v>256608.77</v>
      </c>
      <c r="K49" s="251">
        <f t="shared" si="1"/>
        <v>-1</v>
      </c>
      <c r="L49" s="194"/>
      <c r="M49" s="239">
        <f>SUMIFS('Actual - 2026'!$AX$5:$AX$56,'Actual - 2026'!$A$5:$A$56,'MILA 2F - Overview'!D49)</f>
        <v>0</v>
      </c>
      <c r="N49" s="233">
        <f>SUMIFS('Budget - 2026'!$CX$5:$CX$56,'Budget - 2026'!$B$5:$B$56,'MILA 2F - Overview'!D49)</f>
        <v>248692</v>
      </c>
      <c r="O49" s="240">
        <f>SUMIFS('Budget - 2026'!$CO$5:$CO$56,'Budget - 2026'!$B$5:$B$56,D49)</f>
        <v>256608.77</v>
      </c>
      <c r="P49" s="239">
        <f>SUMIFS('Actual - 2026'!$AU$5:$AU$56,'Actual - 2026'!$A$5:$A$56,'MILA 2F - Overview'!D49)</f>
        <v>0</v>
      </c>
      <c r="Q49" s="233">
        <f>SUMIFS('Budget - 2026'!$CU$5:$CU$56,'Budget - 2026'!$B$5:$B$56,'MILA 2F - Overview'!D49)</f>
        <v>30211.181933920358</v>
      </c>
      <c r="R49" s="240">
        <v>0</v>
      </c>
    </row>
    <row r="50" spans="4:18" s="108" customFormat="1" ht="22.15" customHeight="1">
      <c r="D50" s="193" t="s">
        <v>173</v>
      </c>
      <c r="E50" s="194"/>
      <c r="F50" s="239">
        <f>SUMIFS('Actual - 2026'!$BA$5:$BA$56,'Actual - 2026'!$A$5:$A$56,'CLAUDIE Overview'!D50)</f>
        <v>0</v>
      </c>
      <c r="G50" s="233">
        <f>SUMIFS('Budget - 2026'!$DA$5:$DA$56,'Budget - 2026'!$B$5:$B$56,'CLAUDIE Overview'!D50)</f>
        <v>285509.30193392036</v>
      </c>
      <c r="H50" s="247">
        <f t="shared" si="3"/>
        <v>-1</v>
      </c>
      <c r="I50" s="194"/>
      <c r="J50" s="239">
        <f>SUMIFS('Budget - 2026'!$CR$5:$CR$56,'Budget - 2026'!$B$5:$B$56,D50)</f>
        <v>267323.02</v>
      </c>
      <c r="K50" s="251">
        <f t="shared" si="1"/>
        <v>-1</v>
      </c>
      <c r="L50" s="194"/>
      <c r="M50" s="239">
        <f>SUMIFS('Actual - 2026'!$AX$5:$AX$56,'Actual - 2026'!$A$5:$A$56,'MILA 2F - Overview'!D50)</f>
        <v>0</v>
      </c>
      <c r="N50" s="233">
        <f>SUMIFS('Budget - 2026'!$CX$5:$CX$56,'Budget - 2026'!$B$5:$B$56,'MILA 2F - Overview'!D50)</f>
        <v>255298.12</v>
      </c>
      <c r="O50" s="240">
        <f>SUMIFS('Budget - 2026'!$CO$5:$CO$56,'Budget - 2026'!$B$5:$B$56,D50)</f>
        <v>267323.02</v>
      </c>
      <c r="P50" s="239">
        <f>SUMIFS('Actual - 2026'!$AU$5:$AU$56,'Actual - 2026'!$A$5:$A$56,'MILA 2F - Overview'!D50)</f>
        <v>0</v>
      </c>
      <c r="Q50" s="233">
        <f>SUMIFS('Budget - 2026'!$CU$5:$CU$56,'Budget - 2026'!$B$5:$B$56,'MILA 2F - Overview'!D50)</f>
        <v>30211.181933920358</v>
      </c>
      <c r="R50" s="240">
        <v>0</v>
      </c>
    </row>
    <row r="51" spans="4:18" s="108" customFormat="1" ht="22.15" customHeight="1">
      <c r="D51" s="193" t="s">
        <v>174</v>
      </c>
      <c r="E51" s="194"/>
      <c r="F51" s="239">
        <f>SUMIFS('Actual - 2026'!$BA$5:$BA$56,'Actual - 2026'!$A$5:$A$56,'CLAUDIE Overview'!D51)</f>
        <v>0</v>
      </c>
      <c r="G51" s="233">
        <f>SUMIFS('Budget - 2026'!$DA$5:$DA$56,'Budget - 2026'!$B$5:$B$56,'CLAUDIE Overview'!D51)</f>
        <v>323315.56193392037</v>
      </c>
      <c r="H51" s="247">
        <f t="shared" si="3"/>
        <v>-1</v>
      </c>
      <c r="I51" s="194"/>
      <c r="J51" s="239">
        <f>SUMIFS('Budget - 2026'!$CR$5:$CR$56,'Budget - 2026'!$B$5:$B$56,D51)</f>
        <v>306426</v>
      </c>
      <c r="K51" s="251">
        <f t="shared" si="1"/>
        <v>-1</v>
      </c>
      <c r="L51" s="194"/>
      <c r="M51" s="239">
        <f>SUMIFS('Actual - 2026'!$AX$5:$AX$56,'Actual - 2026'!$A$5:$A$56,'MILA 2F - Overview'!D51)</f>
        <v>0</v>
      </c>
      <c r="N51" s="233">
        <f>SUMIFS('Budget - 2026'!$CX$5:$CX$56,'Budget - 2026'!$B$5:$B$56,'MILA 2F - Overview'!D51)</f>
        <v>293104.38</v>
      </c>
      <c r="O51" s="240">
        <f>SUMIFS('Budget - 2026'!$CO$5:$CO$56,'Budget - 2026'!$B$5:$B$56,D51)</f>
        <v>306426</v>
      </c>
      <c r="P51" s="239">
        <f>SUMIFS('Actual - 2026'!$AU$5:$AU$56,'Actual - 2026'!$A$5:$A$56,'MILA 2F - Overview'!D51)</f>
        <v>0</v>
      </c>
      <c r="Q51" s="233">
        <f>SUMIFS('Budget - 2026'!$CU$5:$CU$56,'Budget - 2026'!$B$5:$B$56,'MILA 2F - Overview'!D51)</f>
        <v>30211.181933920358</v>
      </c>
      <c r="R51" s="240">
        <v>0</v>
      </c>
    </row>
    <row r="52" spans="4:18" s="108" customFormat="1" ht="22.15" customHeight="1">
      <c r="D52" s="193" t="s">
        <v>175</v>
      </c>
      <c r="E52" s="194"/>
      <c r="F52" s="239">
        <f>SUMIFS('Actual - 2026'!$BA$5:$BA$56,'Actual - 2026'!$A$5:$A$56,'CLAUDIE Overview'!D52)</f>
        <v>0</v>
      </c>
      <c r="G52" s="233">
        <f>SUMIFS('Budget - 2026'!$DA$5:$DA$56,'Budget - 2026'!$B$5:$B$56,'CLAUDIE Overview'!D52)</f>
        <v>337147.7819339204</v>
      </c>
      <c r="H52" s="247">
        <f t="shared" si="3"/>
        <v>-1</v>
      </c>
      <c r="I52" s="194"/>
      <c r="J52" s="239">
        <f>SUMIFS('Budget - 2026'!$CR$5:$CR$56,'Budget - 2026'!$B$5:$B$56,D52)</f>
        <v>308881.95</v>
      </c>
      <c r="K52" s="251">
        <f t="shared" si="1"/>
        <v>-1</v>
      </c>
      <c r="L52" s="194"/>
      <c r="M52" s="239">
        <f>SUMIFS('Actual - 2026'!$AX$5:$AX$56,'Actual - 2026'!$A$5:$A$56,'MILA 2F - Overview'!D52)</f>
        <v>0</v>
      </c>
      <c r="N52" s="233">
        <f>SUMIFS('Budget - 2026'!$CX$5:$CX$56,'Budget - 2026'!$B$5:$B$56,'MILA 2F - Overview'!D52)</f>
        <v>306936.60000000003</v>
      </c>
      <c r="O52" s="240">
        <f>SUMIFS('Budget - 2026'!$CO$5:$CO$56,'Budget - 2026'!$B$5:$B$56,D52)</f>
        <v>308881.95</v>
      </c>
      <c r="P52" s="239">
        <f>SUMIFS('Actual - 2026'!$AU$5:$AU$56,'Actual - 2026'!$A$5:$A$56,'MILA 2F - Overview'!D52)</f>
        <v>0</v>
      </c>
      <c r="Q52" s="233">
        <f>SUMIFS('Budget - 2026'!$CU$5:$CU$56,'Budget - 2026'!$B$5:$B$56,'MILA 2F - Overview'!D52)</f>
        <v>30211.181933920358</v>
      </c>
      <c r="R52" s="240">
        <v>0</v>
      </c>
    </row>
    <row r="53" spans="4:18" s="108" customFormat="1" ht="22.15" customHeight="1">
      <c r="D53" s="227" t="s">
        <v>260</v>
      </c>
      <c r="E53" s="194"/>
      <c r="F53" s="241">
        <f>SUM(F48:F52)</f>
        <v>0</v>
      </c>
      <c r="G53" s="228">
        <f>SUM(G48:G52)</f>
        <v>1547886.5196696019</v>
      </c>
      <c r="H53" s="248">
        <f t="shared" si="3"/>
        <v>-1</v>
      </c>
      <c r="I53" s="194"/>
      <c r="J53" s="241">
        <f>SUM(J48:J52)</f>
        <v>1467160.14</v>
      </c>
      <c r="K53" s="248">
        <f>IFERROR((F53-J53)/J53,0)</f>
        <v>-1</v>
      </c>
      <c r="L53" s="194"/>
      <c r="M53" s="241">
        <f t="shared" ref="M53:R53" si="12">SUM(M48:M52)</f>
        <v>0</v>
      </c>
      <c r="N53" s="228">
        <f t="shared" si="12"/>
        <v>1396830.61</v>
      </c>
      <c r="O53" s="242">
        <f t="shared" si="12"/>
        <v>1467160.14</v>
      </c>
      <c r="P53" s="241">
        <f t="shared" si="12"/>
        <v>0</v>
      </c>
      <c r="Q53" s="228">
        <f t="shared" si="12"/>
        <v>151055.9096696018</v>
      </c>
      <c r="R53" s="242">
        <f t="shared" si="12"/>
        <v>0</v>
      </c>
    </row>
    <row r="54" spans="4:18" s="108" customFormat="1" ht="22.15" customHeight="1">
      <c r="D54" s="193" t="s">
        <v>177</v>
      </c>
      <c r="E54" s="194"/>
      <c r="F54" s="239">
        <f>SUMIFS('Actual - 2026'!$BA$5:$BA$56,'Actual - 2026'!$A$5:$A$56,'CLAUDIE Overview'!D54)</f>
        <v>0</v>
      </c>
      <c r="G54" s="233">
        <f>SUMIFS('Budget - 2026'!$DA$5:$DA$56,'Budget - 2026'!$B$5:$B$56,'CLAUDIE Overview'!D54)</f>
        <v>288683.14193392039</v>
      </c>
      <c r="H54" s="247">
        <f t="shared" si="3"/>
        <v>-1</v>
      </c>
      <c r="I54" s="194"/>
      <c r="J54" s="239">
        <f>SUMIFS('Budget - 2026'!$CR$5:$CR$56,'Budget - 2026'!$B$5:$B$56,D54)</f>
        <v>281717.33</v>
      </c>
      <c r="K54" s="251">
        <f t="shared" si="1"/>
        <v>-1</v>
      </c>
      <c r="L54" s="194"/>
      <c r="M54" s="239">
        <f>SUMIFS('Actual - 2026'!$AX$5:$AX$56,'Actual - 2026'!$A$5:$A$56,'MILA 2F - Overview'!D54)</f>
        <v>0</v>
      </c>
      <c r="N54" s="233">
        <f>SUMIFS('Budget - 2026'!$CX$5:$CX$56,'Budget - 2026'!$B$5:$B$56,'MILA 2F - Overview'!D54)</f>
        <v>258471.96000000002</v>
      </c>
      <c r="O54" s="240">
        <f>SUMIFS('Budget - 2026'!$CO$5:$CO$56,'Budget - 2026'!$B$5:$B$56,D54)</f>
        <v>281717.33</v>
      </c>
      <c r="P54" s="239">
        <f>SUMIFS('Actual - 2026'!$AU$5:$AU$56,'Actual - 2026'!$A$5:$A$56,'MILA 2F - Overview'!D54)</f>
        <v>0</v>
      </c>
      <c r="Q54" s="233">
        <f>SUMIFS('Budget - 2026'!$CU$5:$CU$56,'Budget - 2026'!$B$5:$B$56,'MILA 2F - Overview'!D54)</f>
        <v>30211.181933920358</v>
      </c>
      <c r="R54" s="240">
        <v>0</v>
      </c>
    </row>
    <row r="55" spans="4:18" s="108" customFormat="1" ht="22.15" customHeight="1">
      <c r="D55" s="193" t="s">
        <v>178</v>
      </c>
      <c r="E55" s="194"/>
      <c r="F55" s="239">
        <f>SUMIFS('Actual - 2026'!$BA$5:$BA$56,'Actual - 2026'!$A$5:$A$56,'CLAUDIE Overview'!D55)</f>
        <v>0</v>
      </c>
      <c r="G55" s="233">
        <f>SUMIFS('Budget - 2026'!$DA$5:$DA$56,'Budget - 2026'!$B$5:$B$56,'CLAUDIE Overview'!D55)</f>
        <v>293784.61193392042</v>
      </c>
      <c r="H55" s="247">
        <f t="shared" si="3"/>
        <v>-1</v>
      </c>
      <c r="I55" s="194"/>
      <c r="J55" s="239">
        <f>SUMIFS('Budget - 2026'!$CR$5:$CR$56,'Budget - 2026'!$B$5:$B$56,D55)</f>
        <v>322209.40000000002</v>
      </c>
      <c r="K55" s="251">
        <f t="shared" si="1"/>
        <v>-1</v>
      </c>
      <c r="L55" s="194"/>
      <c r="M55" s="239">
        <f>SUMIFS('Actual - 2026'!$AX$5:$AX$56,'Actual - 2026'!$A$5:$A$56,'MILA 2F - Overview'!D55)</f>
        <v>0</v>
      </c>
      <c r="N55" s="233">
        <f>SUMIFS('Budget - 2026'!$CX$5:$CX$56,'Budget - 2026'!$B$5:$B$56,'MILA 2F - Overview'!D55)</f>
        <v>263573.43000000005</v>
      </c>
      <c r="O55" s="240">
        <f>SUMIFS('Budget - 2026'!$CO$5:$CO$56,'Budget - 2026'!$B$5:$B$56,D55)</f>
        <v>322209.40000000002</v>
      </c>
      <c r="P55" s="239">
        <f>SUMIFS('Actual - 2026'!$AU$5:$AU$56,'Actual - 2026'!$A$5:$A$56,'MILA 2F - Overview'!D55)</f>
        <v>0</v>
      </c>
      <c r="Q55" s="233">
        <f>SUMIFS('Budget - 2026'!$CU$5:$CU$56,'Budget - 2026'!$B$5:$B$56,'MILA 2F - Overview'!D55)</f>
        <v>30211.181933920358</v>
      </c>
      <c r="R55" s="240">
        <v>0</v>
      </c>
    </row>
    <row r="56" spans="4:18" s="108" customFormat="1" ht="22.15" customHeight="1">
      <c r="D56" s="193" t="s">
        <v>179</v>
      </c>
      <c r="E56" s="194"/>
      <c r="F56" s="239">
        <f>SUMIFS('Actual - 2026'!$BA$5:$BA$56,'Actual - 2026'!$A$5:$A$56,'CLAUDIE Overview'!D56)</f>
        <v>0</v>
      </c>
      <c r="G56" s="233">
        <f>SUMIFS('Budget - 2026'!$DA$5:$DA$56,'Budget - 2026'!$B$5:$B$56,'CLAUDIE Overview'!D56)</f>
        <v>306347.89193392039</v>
      </c>
      <c r="H56" s="247">
        <f t="shared" si="3"/>
        <v>-1</v>
      </c>
      <c r="I56" s="194"/>
      <c r="J56" s="239">
        <f>SUMIFS('Budget - 2026'!$CR$5:$CR$56,'Budget - 2026'!$B$5:$B$56,D56)</f>
        <v>296641</v>
      </c>
      <c r="K56" s="251">
        <f t="shared" si="1"/>
        <v>-1</v>
      </c>
      <c r="L56" s="194"/>
      <c r="M56" s="239">
        <f>SUMIFS('Actual - 2026'!$AX$5:$AX$56,'Actual - 2026'!$A$5:$A$56,'MILA 2F - Overview'!D56)</f>
        <v>0</v>
      </c>
      <c r="N56" s="233">
        <f>SUMIFS('Budget - 2026'!$CX$5:$CX$56,'Budget - 2026'!$B$5:$B$56,'MILA 2F - Overview'!D56)</f>
        <v>276136.71000000002</v>
      </c>
      <c r="O56" s="240">
        <f>SUMIFS('Budget - 2026'!$CO$5:$CO$56,'Budget - 2026'!$B$5:$B$56,D56)</f>
        <v>296641</v>
      </c>
      <c r="P56" s="239">
        <f>SUMIFS('Actual - 2026'!$AU$5:$AU$56,'Actual - 2026'!$A$5:$A$56,'MILA 2F - Overview'!D56)</f>
        <v>0</v>
      </c>
      <c r="Q56" s="233">
        <f>SUMIFS('Budget - 2026'!$CU$5:$CU$56,'Budget - 2026'!$B$5:$B$56,'MILA 2F - Overview'!D56)</f>
        <v>30211.181933920358</v>
      </c>
      <c r="R56" s="240">
        <v>0</v>
      </c>
    </row>
    <row r="57" spans="4:18" s="108" customFormat="1" ht="22.15" customHeight="1">
      <c r="D57" s="193" t="s">
        <v>180</v>
      </c>
      <c r="E57" s="194"/>
      <c r="F57" s="239">
        <f>SUMIFS('Actual - 2026'!$BA$5:$BA$56,'Actual - 2026'!$A$5:$A$56,'CLAUDIE Overview'!D57)</f>
        <v>0</v>
      </c>
      <c r="G57" s="233">
        <f>SUMIFS('Budget - 2026'!$DA$5:$DA$56,'Budget - 2026'!$B$5:$B$56,'CLAUDIE Overview'!D57)</f>
        <v>344270.5919339204</v>
      </c>
      <c r="H57" s="247">
        <f t="shared" si="3"/>
        <v>-1</v>
      </c>
      <c r="I57" s="194"/>
      <c r="J57" s="239">
        <f>SUMIFS('Budget - 2026'!$CR$5:$CR$56,'Budget - 2026'!$B$5:$B$56,D57)</f>
        <v>376871.89</v>
      </c>
      <c r="K57" s="251">
        <f t="shared" si="1"/>
        <v>-1</v>
      </c>
      <c r="L57" s="194"/>
      <c r="M57" s="239">
        <f>SUMIFS('Actual - 2026'!$AX$5:$AX$56,'Actual - 2026'!$A$5:$A$56,'MILA 2F - Overview'!D57)</f>
        <v>0</v>
      </c>
      <c r="N57" s="233">
        <f>SUMIFS('Budget - 2026'!$CX$5:$CX$56,'Budget - 2026'!$B$5:$B$56,'MILA 2F - Overview'!D57)</f>
        <v>314059.41000000003</v>
      </c>
      <c r="O57" s="240">
        <f>SUMIFS('Budget - 2026'!$CO$5:$CO$56,'Budget - 2026'!$B$5:$B$56,D57)</f>
        <v>376871.89</v>
      </c>
      <c r="P57" s="239">
        <f>SUMIFS('Actual - 2026'!$AU$5:$AU$56,'Actual - 2026'!$A$5:$A$56,'MILA 2F - Overview'!D57)</f>
        <v>0</v>
      </c>
      <c r="Q57" s="233">
        <f>SUMIFS('Budget - 2026'!$CU$5:$CU$56,'Budget - 2026'!$B$5:$B$56,'MILA 2F - Overview'!D57)</f>
        <v>30211.181933920358</v>
      </c>
      <c r="R57" s="240">
        <v>0</v>
      </c>
    </row>
    <row r="58" spans="4:18" s="108" customFormat="1" ht="22.15" customHeight="1">
      <c r="D58" s="227" t="s">
        <v>261</v>
      </c>
      <c r="E58" s="194"/>
      <c r="F58" s="241">
        <f>SUM(F54:F57)</f>
        <v>0</v>
      </c>
      <c r="G58" s="228">
        <f>SUM(G54:G57)</f>
        <v>1233086.2377356817</v>
      </c>
      <c r="H58" s="248">
        <f t="shared" si="3"/>
        <v>-1</v>
      </c>
      <c r="I58" s="194"/>
      <c r="J58" s="241">
        <f>SUM(J54:J57)</f>
        <v>1277439.6200000001</v>
      </c>
      <c r="K58" s="248">
        <f>IFERROR((F58-J58)/J58,0)</f>
        <v>-1</v>
      </c>
      <c r="L58" s="194"/>
      <c r="M58" s="241">
        <f t="shared" ref="M58:R58" si="13">SUM(M54:M57)</f>
        <v>0</v>
      </c>
      <c r="N58" s="228">
        <f t="shared" si="13"/>
        <v>1112241.5100000002</v>
      </c>
      <c r="O58" s="242">
        <f t="shared" si="13"/>
        <v>1277439.6200000001</v>
      </c>
      <c r="P58" s="241">
        <f t="shared" si="13"/>
        <v>0</v>
      </c>
      <c r="Q58" s="228">
        <f t="shared" si="13"/>
        <v>120844.72773568143</v>
      </c>
      <c r="R58" s="242">
        <f t="shared" si="13"/>
        <v>0</v>
      </c>
    </row>
    <row r="59" spans="4:18" s="108" customFormat="1" ht="22.15" customHeight="1">
      <c r="D59" s="193" t="s">
        <v>183</v>
      </c>
      <c r="E59" s="194"/>
      <c r="F59" s="239">
        <f>SUMIFS('Actual - 2026'!$BA$5:$BA$56,'Actual - 2026'!$A$5:$A$56,'CLAUDIE Overview'!D59)</f>
        <v>0</v>
      </c>
      <c r="G59" s="233">
        <f>SUMIFS('Budget - 2026'!$DA$5:$DA$56,'Budget - 2026'!$B$5:$B$56,'CLAUDIE Overview'!D59)</f>
        <v>316128.4892240084</v>
      </c>
      <c r="H59" s="247">
        <f t="shared" si="3"/>
        <v>-1</v>
      </c>
      <c r="I59" s="194"/>
      <c r="J59" s="239">
        <f>SUMIFS('Budget - 2026'!$CR$5:$CR$56,'Budget - 2026'!$B$5:$B$56,D59)</f>
        <v>289384.73</v>
      </c>
      <c r="K59" s="251">
        <f t="shared" si="1"/>
        <v>-1</v>
      </c>
      <c r="L59" s="194"/>
      <c r="M59" s="239">
        <f>SUMIFS('Actual - 2026'!$AX$5:$AX$56,'Actual - 2026'!$A$5:$A$56,'MILA 2F - Overview'!D59)</f>
        <v>0</v>
      </c>
      <c r="N59" s="233">
        <f>SUMIFS('Budget - 2026'!$CX$5:$CX$56,'Budget - 2026'!$B$5:$B$56,'MILA 2F - Overview'!D59)</f>
        <v>281385.63</v>
      </c>
      <c r="O59" s="240">
        <f>SUMIFS('Budget - 2026'!$CO$5:$CO$56,'Budget - 2026'!$B$5:$B$56,D59)</f>
        <v>289384.73</v>
      </c>
      <c r="P59" s="239">
        <f>SUMIFS('Actual - 2026'!$AU$5:$AU$56,'Actual - 2026'!$A$5:$A$56,'MILA 2F - Overview'!D59)</f>
        <v>0</v>
      </c>
      <c r="Q59" s="233">
        <f>SUMIFS('Budget - 2026'!$CU$5:$CU$56,'Budget - 2026'!$B$5:$B$56,'MILA 2F - Overview'!D59)</f>
        <v>34742.859224008411</v>
      </c>
      <c r="R59" s="240">
        <v>0</v>
      </c>
    </row>
    <row r="60" spans="4:18" s="108" customFormat="1" ht="22.15" customHeight="1">
      <c r="D60" s="193" t="s">
        <v>184</v>
      </c>
      <c r="E60" s="194"/>
      <c r="F60" s="239">
        <f>SUMIFS('Actual - 2026'!$BA$5:$BA$56,'Actual - 2026'!$A$5:$A$56,'CLAUDIE Overview'!D60)</f>
        <v>0</v>
      </c>
      <c r="G60" s="233">
        <f>SUMIFS('Budget - 2026'!$DA$5:$DA$56,'Budget - 2026'!$B$5:$B$56,'CLAUDIE Overview'!D60)</f>
        <v>366586.03922400839</v>
      </c>
      <c r="H60" s="247">
        <f t="shared" si="3"/>
        <v>-1</v>
      </c>
      <c r="I60" s="194"/>
      <c r="J60" s="239">
        <f>SUMIFS('Budget - 2026'!$CR$5:$CR$56,'Budget - 2026'!$B$5:$B$56,D60)</f>
        <v>342445.43</v>
      </c>
      <c r="K60" s="251">
        <f t="shared" si="1"/>
        <v>-1</v>
      </c>
      <c r="L60" s="194"/>
      <c r="M60" s="239">
        <f>SUMIFS('Actual - 2026'!$AX$5:$AX$56,'Actual - 2026'!$A$5:$A$56,'MILA 2F - Overview'!D60)</f>
        <v>0</v>
      </c>
      <c r="N60" s="233">
        <f>SUMIFS('Budget - 2026'!$CX$5:$CX$56,'Budget - 2026'!$B$5:$B$56,'MILA 2F - Overview'!D60)</f>
        <v>331843.18</v>
      </c>
      <c r="O60" s="240">
        <f>SUMIFS('Budget - 2026'!$CO$5:$CO$56,'Budget - 2026'!$B$5:$B$56,D60)</f>
        <v>342445.43</v>
      </c>
      <c r="P60" s="239">
        <f>SUMIFS('Actual - 2026'!$AU$5:$AU$56,'Actual - 2026'!$A$5:$A$56,'MILA 2F - Overview'!D60)</f>
        <v>0</v>
      </c>
      <c r="Q60" s="233">
        <f>SUMIFS('Budget - 2026'!$CU$5:$CU$56,'Budget - 2026'!$B$5:$B$56,'MILA 2F - Overview'!D60)</f>
        <v>34742.859224008411</v>
      </c>
      <c r="R60" s="240">
        <v>0</v>
      </c>
    </row>
    <row r="61" spans="4:18" s="108" customFormat="1" ht="22.15" customHeight="1">
      <c r="D61" s="193" t="s">
        <v>185</v>
      </c>
      <c r="E61" s="194"/>
      <c r="F61" s="239">
        <f>SUMIFS('Actual - 2026'!$BA$5:$BA$56,'Actual - 2026'!$A$5:$A$56,'CLAUDIE Overview'!D61)</f>
        <v>0</v>
      </c>
      <c r="G61" s="233">
        <f>SUMIFS('Budget - 2026'!$DA$5:$DA$56,'Budget - 2026'!$B$5:$B$56,'CLAUDIE Overview'!D61)</f>
        <v>415588.41922400839</v>
      </c>
      <c r="H61" s="247">
        <f t="shared" si="3"/>
        <v>-1</v>
      </c>
      <c r="I61" s="194"/>
      <c r="J61" s="239">
        <f>SUMIFS('Budget - 2026'!$CR$5:$CR$56,'Budget - 2026'!$B$5:$B$56,D61)</f>
        <v>397941.77</v>
      </c>
      <c r="K61" s="251">
        <f t="shared" si="1"/>
        <v>-1</v>
      </c>
      <c r="L61" s="194"/>
      <c r="M61" s="239">
        <f>SUMIFS('Actual - 2026'!$AX$5:$AX$56,'Actual - 2026'!$A$5:$A$56,'MILA 2F - Overview'!D61)</f>
        <v>0</v>
      </c>
      <c r="N61" s="233">
        <f>SUMIFS('Budget - 2026'!$CX$5:$CX$56,'Budget - 2026'!$B$5:$B$56,'MILA 2F - Overview'!D61)</f>
        <v>380845.56</v>
      </c>
      <c r="O61" s="240">
        <f>SUMIFS('Budget - 2026'!$CO$5:$CO$56,'Budget - 2026'!$B$5:$B$56,D61)</f>
        <v>397941.77</v>
      </c>
      <c r="P61" s="239">
        <f>SUMIFS('Actual - 2026'!$AU$5:$AU$56,'Actual - 2026'!$A$5:$A$56,'MILA 2F - Overview'!D61)</f>
        <v>0</v>
      </c>
      <c r="Q61" s="233">
        <f>SUMIFS('Budget - 2026'!$CU$5:$CU$56,'Budget - 2026'!$B$5:$B$56,'MILA 2F - Overview'!D61)</f>
        <v>34742.859224008411</v>
      </c>
      <c r="R61" s="240">
        <v>0</v>
      </c>
    </row>
    <row r="62" spans="4:18" s="108" customFormat="1" ht="22.15" customHeight="1">
      <c r="D62" s="193" t="s">
        <v>186</v>
      </c>
      <c r="E62" s="194"/>
      <c r="F62" s="239">
        <f>SUMIFS('Actual - 2026'!$BA$5:$BA$56,'Actual - 2026'!$A$5:$A$56,'CLAUDIE Overview'!D62)</f>
        <v>0</v>
      </c>
      <c r="G62" s="233">
        <f>SUMIFS('Budget - 2026'!$DA$5:$DA$56,'Budget - 2026'!$B$5:$B$56,'CLAUDIE Overview'!D62)</f>
        <v>360489.27922400838</v>
      </c>
      <c r="H62" s="247">
        <f t="shared" si="3"/>
        <v>-1</v>
      </c>
      <c r="I62" s="194"/>
      <c r="J62" s="239">
        <f>SUMIFS('Budget - 2026'!$CR$5:$CR$56,'Budget - 2026'!$B$5:$B$56,D62)</f>
        <v>324281.10000000003</v>
      </c>
      <c r="K62" s="251">
        <f t="shared" si="1"/>
        <v>-1</v>
      </c>
      <c r="L62" s="194"/>
      <c r="M62" s="239">
        <f>SUMIFS('Actual - 2026'!$AX$5:$AX$56,'Actual - 2026'!$A$5:$A$56,'MILA 2F - Overview'!D62)</f>
        <v>0</v>
      </c>
      <c r="N62" s="233">
        <f>SUMIFS('Budget - 2026'!$CX$5:$CX$56,'Budget - 2026'!$B$5:$B$56,'MILA 2F - Overview'!D62)</f>
        <v>325746.42</v>
      </c>
      <c r="O62" s="240">
        <f>SUMIFS('Budget - 2026'!$CO$5:$CO$56,'Budget - 2026'!$B$5:$B$56,D62)</f>
        <v>324281.10000000003</v>
      </c>
      <c r="P62" s="239">
        <f>SUMIFS('Actual - 2026'!$AU$5:$AU$56,'Actual - 2026'!$A$5:$A$56,'MILA 2F - Overview'!D62)</f>
        <v>0</v>
      </c>
      <c r="Q62" s="233">
        <f>SUMIFS('Budget - 2026'!$CU$5:$CU$56,'Budget - 2026'!$B$5:$B$56,'MILA 2F - Overview'!D62)</f>
        <v>34742.859224008411</v>
      </c>
      <c r="R62" s="240">
        <v>0</v>
      </c>
    </row>
    <row r="63" spans="4:18" s="108" customFormat="1" ht="22.15" customHeight="1">
      <c r="D63" s="227" t="s">
        <v>262</v>
      </c>
      <c r="E63" s="194"/>
      <c r="F63" s="241">
        <f>SUM(F59:F62)</f>
        <v>0</v>
      </c>
      <c r="G63" s="228">
        <f>SUM(G59:G62)</f>
        <v>1458792.2268960336</v>
      </c>
      <c r="H63" s="248">
        <f t="shared" si="3"/>
        <v>-1</v>
      </c>
      <c r="I63" s="194"/>
      <c r="J63" s="241">
        <f>SUM(J59:J62)</f>
        <v>1354053.03</v>
      </c>
      <c r="K63" s="248">
        <f>IFERROR((F63-J63)/J63,0)</f>
        <v>-1</v>
      </c>
      <c r="L63" s="194"/>
      <c r="M63" s="241">
        <f t="shared" ref="M63:R63" si="14">SUM(M59:M62)</f>
        <v>0</v>
      </c>
      <c r="N63" s="228">
        <f t="shared" si="14"/>
        <v>1319820.79</v>
      </c>
      <c r="O63" s="242">
        <f t="shared" si="14"/>
        <v>1354053.03</v>
      </c>
      <c r="P63" s="241">
        <f t="shared" si="14"/>
        <v>0</v>
      </c>
      <c r="Q63" s="228">
        <f t="shared" si="14"/>
        <v>138971.43689603364</v>
      </c>
      <c r="R63" s="242">
        <f t="shared" si="14"/>
        <v>0</v>
      </c>
    </row>
    <row r="64" spans="4:18" s="108" customFormat="1" ht="22.15" customHeight="1">
      <c r="D64" s="193" t="s">
        <v>189</v>
      </c>
      <c r="E64" s="194"/>
      <c r="F64" s="239">
        <f>SUMIFS('Actual - 2026'!$BA$5:$BA$56,'Actual - 2026'!$A$5:$A$56,'CLAUDIE Overview'!D64)</f>
        <v>0</v>
      </c>
      <c r="G64" s="233">
        <f>SUMIFS('Budget - 2026'!$DA$5:$DA$56,'Budget - 2026'!$B$5:$B$56,'CLAUDIE Overview'!D64)</f>
        <v>347852.88498889265</v>
      </c>
      <c r="H64" s="247">
        <f t="shared" si="3"/>
        <v>-1</v>
      </c>
      <c r="I64" s="194"/>
      <c r="J64" s="239">
        <f>SUMIFS('Budget - 2026'!$CR$5:$CR$56,'Budget - 2026'!$B$5:$B$56,D64)</f>
        <v>276949.84999999998</v>
      </c>
      <c r="K64" s="251">
        <f t="shared" si="1"/>
        <v>-1</v>
      </c>
      <c r="L64" s="194"/>
      <c r="M64" s="239">
        <f>SUMIFS('Actual - 2026'!$AX$5:$AX$56,'Actual - 2026'!$A$5:$A$56,'MILA 2F - Overview'!D64)</f>
        <v>0</v>
      </c>
      <c r="N64" s="233">
        <f>SUMIFS('Budget - 2026'!$CX$5:$CX$56,'Budget - 2026'!$B$5:$B$56,'MILA 2F - Overview'!D64)</f>
        <v>305251.41000000003</v>
      </c>
      <c r="O64" s="240">
        <f>SUMIFS('Budget - 2026'!$CO$5:$CO$56,'Budget - 2026'!$B$5:$B$56,D64)</f>
        <v>276949.84999999998</v>
      </c>
      <c r="P64" s="239">
        <f>SUMIFS('Actual - 2026'!$AU$5:$AU$56,'Actual - 2026'!$A$5:$A$56,'MILA 2F - Overview'!D64)</f>
        <v>0</v>
      </c>
      <c r="Q64" s="233">
        <f>SUMIFS('Budget - 2026'!$CU$5:$CU$56,'Budget - 2026'!$B$5:$B$56,'MILA 2F - Overview'!D64)</f>
        <v>42601.474988892609</v>
      </c>
      <c r="R64" s="240">
        <v>0</v>
      </c>
    </row>
    <row r="65" spans="4:18" s="108" customFormat="1" ht="22.15" customHeight="1">
      <c r="D65" s="193" t="s">
        <v>190</v>
      </c>
      <c r="E65" s="194"/>
      <c r="F65" s="239">
        <f>SUMIFS('Actual - 2026'!$BA$5:$BA$56,'Actual - 2026'!$A$5:$A$56,'CLAUDIE Overview'!D65)</f>
        <v>0</v>
      </c>
      <c r="G65" s="233">
        <f>SUMIFS('Budget - 2026'!$DA$5:$DA$56,'Budget - 2026'!$B$5:$B$56,'CLAUDIE Overview'!D65)</f>
        <v>497073.6150270002</v>
      </c>
      <c r="H65" s="247">
        <f t="shared" si="3"/>
        <v>-1</v>
      </c>
      <c r="I65" s="194"/>
      <c r="J65" s="239">
        <f>SUMIFS('Budget - 2026'!$CR$5:$CR$56,'Budget - 2026'!$B$5:$B$56,D65)</f>
        <v>453410.6</v>
      </c>
      <c r="K65" s="251">
        <f t="shared" si="1"/>
        <v>-1</v>
      </c>
      <c r="L65" s="194"/>
      <c r="M65" s="239">
        <f>SUMIFS('Actual - 2026'!$AX$5:$AX$56,'Actual - 2026'!$A$5:$A$56,'MILA 2F - Overview'!D65)</f>
        <v>0</v>
      </c>
      <c r="N65" s="233">
        <f>SUMIFS('Budget - 2026'!$CX$5:$CX$56,'Budget - 2026'!$B$5:$B$56,'MILA 2F - Overview'!D65)</f>
        <v>395360.9746488778</v>
      </c>
      <c r="O65" s="240">
        <f>SUMIFS('Budget - 2026'!$CO$5:$CO$56,'Budget - 2026'!$B$5:$B$56,D65)</f>
        <v>453410.6</v>
      </c>
      <c r="P65" s="239">
        <f>SUMIFS('Actual - 2026'!$AU$5:$AU$56,'Actual - 2026'!$A$5:$A$56,'MILA 2F - Overview'!D65)</f>
        <v>0</v>
      </c>
      <c r="Q65" s="233">
        <f>SUMIFS('Budget - 2026'!$CU$5:$CU$56,'Budget - 2026'!$B$5:$B$56,'MILA 2F - Overview'!D65)</f>
        <v>101712.64037812236</v>
      </c>
      <c r="R65" s="240">
        <v>0</v>
      </c>
    </row>
    <row r="66" spans="4:18" s="108" customFormat="1" ht="22.15" customHeight="1">
      <c r="D66" s="193" t="s">
        <v>191</v>
      </c>
      <c r="E66" s="194"/>
      <c r="F66" s="239">
        <f>SUMIFS('Actual - 2026'!$BA$5:$BA$56,'Actual - 2026'!$A$5:$A$56,'CLAUDIE Overview'!D66)</f>
        <v>0</v>
      </c>
      <c r="G66" s="233">
        <f>SUMIFS('Budget - 2026'!$DA$5:$DA$56,'Budget - 2026'!$B$5:$B$56,'CLAUDIE Overview'!D66)</f>
        <v>395712.56605389324</v>
      </c>
      <c r="H66" s="247">
        <f t="shared" si="3"/>
        <v>-1</v>
      </c>
      <c r="I66" s="194"/>
      <c r="J66" s="239">
        <f>SUMIFS('Budget - 2026'!$CR$5:$CR$56,'Budget - 2026'!$B$5:$B$56,D66)</f>
        <v>408340.5</v>
      </c>
      <c r="K66" s="251">
        <f t="shared" si="1"/>
        <v>-1</v>
      </c>
      <c r="L66" s="194"/>
      <c r="M66" s="239">
        <f>SUMIFS('Actual - 2026'!$AX$5:$AX$56,'Actual - 2026'!$A$5:$A$56,'MILA 2F - Overview'!D66)</f>
        <v>0</v>
      </c>
      <c r="N66" s="233">
        <f>SUMIFS('Budget - 2026'!$CX$5:$CX$56,'Budget - 2026'!$B$5:$B$56,'MILA 2F - Overview'!D66)</f>
        <v>312491.86</v>
      </c>
      <c r="O66" s="240">
        <f>SUMIFS('Budget - 2026'!$CO$5:$CO$56,'Budget - 2026'!$B$5:$B$56,D66)</f>
        <v>408340.5</v>
      </c>
      <c r="P66" s="239">
        <f>SUMIFS('Actual - 2026'!$AU$5:$AU$56,'Actual - 2026'!$A$5:$A$56,'MILA 2F - Overview'!D66)</f>
        <v>0</v>
      </c>
      <c r="Q66" s="233">
        <f>SUMIFS('Budget - 2026'!$CU$5:$CU$56,'Budget - 2026'!$B$5:$B$56,'MILA 2F - Overview'!D66)</f>
        <v>83220.706053893256</v>
      </c>
      <c r="R66" s="240">
        <v>0</v>
      </c>
    </row>
    <row r="67" spans="4:18" s="108" customFormat="1" ht="22.15" customHeight="1">
      <c r="D67" s="193" t="s">
        <v>192</v>
      </c>
      <c r="E67" s="194"/>
      <c r="F67" s="239">
        <f>SUMIFS('Actual - 2026'!$BA$5:$BA$56,'Actual - 2026'!$A$5:$A$56,'CLAUDIE Overview'!D67)</f>
        <v>0</v>
      </c>
      <c r="G67" s="233">
        <f>SUMIFS('Budget - 2026'!$DA$5:$DA$56,'Budget - 2026'!$B$5:$B$56,'CLAUDIE Overview'!D67)</f>
        <v>327421.83405389328</v>
      </c>
      <c r="H67" s="247">
        <f t="shared" si="3"/>
        <v>-1</v>
      </c>
      <c r="I67" s="194"/>
      <c r="J67" s="239">
        <f>SUMIFS('Budget - 2026'!$CR$5:$CR$56,'Budget - 2026'!$B$5:$B$56,D67)</f>
        <v>356618.71</v>
      </c>
      <c r="K67" s="251">
        <f t="shared" si="1"/>
        <v>-1</v>
      </c>
      <c r="L67" s="194"/>
      <c r="M67" s="239">
        <f>SUMIFS('Actual - 2026'!$AX$5:$AX$56,'Actual - 2026'!$A$5:$A$56,'MILA 2F - Overview'!D67)</f>
        <v>0</v>
      </c>
      <c r="N67" s="233">
        <f>SUMIFS('Budget - 2026'!$CX$5:$CX$56,'Budget - 2026'!$B$5:$B$56,'MILA 2F - Overview'!D67)</f>
        <v>244201.12800000003</v>
      </c>
      <c r="O67" s="240">
        <f>SUMIFS('Budget - 2026'!$CO$5:$CO$56,'Budget - 2026'!$B$5:$B$56,D67)</f>
        <v>356618.71</v>
      </c>
      <c r="P67" s="239">
        <f>SUMIFS('Actual - 2026'!$AU$5:$AU$56,'Actual - 2026'!$A$5:$A$56,'MILA 2F - Overview'!D67)</f>
        <v>0</v>
      </c>
      <c r="Q67" s="233">
        <f>SUMIFS('Budget - 2026'!$CU$5:$CU$56,'Budget - 2026'!$B$5:$B$56,'MILA 2F - Overview'!D67)</f>
        <v>83220.706053893256</v>
      </c>
      <c r="R67" s="240">
        <v>0</v>
      </c>
    </row>
    <row r="68" spans="4:18" s="108" customFormat="1" ht="22.15" customHeight="1">
      <c r="D68" s="193" t="s">
        <v>193</v>
      </c>
      <c r="E68" s="194"/>
      <c r="F68" s="239">
        <f>SUMIFS('Actual - 2026'!$BA$5:$BA$56,'Actual - 2026'!$A$5:$A$56,'CLAUDIE Overview'!D68)</f>
        <v>0</v>
      </c>
      <c r="G68" s="233">
        <f>SUMIFS('Budget - 2026'!$DA$5:$DA$56,'Budget - 2026'!$B$5:$B$56,'CLAUDIE Overview'!D68)</f>
        <v>361223.18805389327</v>
      </c>
      <c r="H68" s="247">
        <f t="shared" si="3"/>
        <v>-1</v>
      </c>
      <c r="I68" s="194"/>
      <c r="J68" s="239">
        <f>SUMIFS('Budget - 2026'!$CR$5:$CR$56,'Budget - 2026'!$B$5:$B$56,D68)</f>
        <v>377468</v>
      </c>
      <c r="K68" s="251">
        <f t="shared" si="1"/>
        <v>-1</v>
      </c>
      <c r="L68" s="194"/>
      <c r="M68" s="239">
        <f>SUMIFS('Actual - 2026'!$AX$5:$AX$56,'Actual - 2026'!$A$5:$A$56,'MILA 2F - Overview'!D68)</f>
        <v>0</v>
      </c>
      <c r="N68" s="233">
        <f>SUMIFS('Budget - 2026'!$CX$5:$CX$56,'Budget - 2026'!$B$5:$B$56,'MILA 2F - Overview'!D68)</f>
        <v>278002.48200000002</v>
      </c>
      <c r="O68" s="240">
        <f>SUMIFS('Budget - 2026'!$CO$5:$CO$56,'Budget - 2026'!$B$5:$B$56,D68)</f>
        <v>377468</v>
      </c>
      <c r="P68" s="239">
        <f>SUMIFS('Actual - 2026'!$AU$5:$AU$56,'Actual - 2026'!$A$5:$A$56,'MILA 2F - Overview'!D68)</f>
        <v>0</v>
      </c>
      <c r="Q68" s="233">
        <f>SUMIFS('Budget - 2026'!$CU$5:$CU$56,'Budget - 2026'!$B$5:$B$56,'MILA 2F - Overview'!D68)</f>
        <v>83220.706053893256</v>
      </c>
      <c r="R68" s="240">
        <v>0</v>
      </c>
    </row>
    <row r="69" spans="4:18" s="108" customFormat="1" ht="22.15" customHeight="1" thickBot="1">
      <c r="D69" s="227" t="s">
        <v>263</v>
      </c>
      <c r="E69" s="194"/>
      <c r="F69" s="243">
        <f>SUM(F64:F68)</f>
        <v>0</v>
      </c>
      <c r="G69" s="244">
        <f>SUM(G64:G68)</f>
        <v>1929284.0881775725</v>
      </c>
      <c r="H69" s="249">
        <f t="shared" si="3"/>
        <v>-1</v>
      </c>
      <c r="I69" s="194"/>
      <c r="J69" s="243">
        <f>SUM(J64:J68)</f>
        <v>1872787.66</v>
      </c>
      <c r="K69" s="249">
        <f>IFERROR((F69-J69)/J69,0)</f>
        <v>-1</v>
      </c>
      <c r="L69" s="194"/>
      <c r="M69" s="243">
        <f t="shared" ref="M69:Q69" si="15">SUM(M64:M68)</f>
        <v>0</v>
      </c>
      <c r="N69" s="244">
        <f t="shared" si="15"/>
        <v>1535307.8546488781</v>
      </c>
      <c r="O69" s="245">
        <f t="shared" si="15"/>
        <v>1872787.66</v>
      </c>
      <c r="P69" s="243">
        <f t="shared" si="15"/>
        <v>0</v>
      </c>
      <c r="Q69" s="244">
        <f t="shared" si="15"/>
        <v>393976.23352869478</v>
      </c>
      <c r="R69" s="245">
        <f>SUM(R64:R68)</f>
        <v>0</v>
      </c>
    </row>
    <row r="70" spans="4:18" ht="22.15" customHeight="1"/>
  </sheetData>
  <mergeCells count="4">
    <mergeCell ref="M4:O4"/>
    <mergeCell ref="P4:R4"/>
    <mergeCell ref="D2:R2"/>
    <mergeCell ref="F4:K4"/>
  </mergeCells>
  <conditionalFormatting sqref="H1 K1">
    <cfRule type="cellIs" dxfId="237" priority="3" operator="lessThan">
      <formula>0.01</formula>
    </cfRule>
  </conditionalFormatting>
  <conditionalFormatting sqref="H3:H1048576 K3:K1048576">
    <cfRule type="cellIs" dxfId="236" priority="1" operator="lessThan">
      <formula>0.01</formula>
    </cfRule>
  </conditionalFormatting>
  <pageMargins left="0.7" right="0.7" top="0.75" bottom="0.75" header="0.3" footer="0.3"/>
  <pageSetup scale="45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902F49-FEDD-4E1E-84E1-08843566035C}">
          <x14:formula1>
            <xm:f>'Budget - 2026'!$B$5:$B$56</xm:f>
          </x14:formula1>
          <xm:sqref>D1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CF72-2B3C-4CFD-AFE1-74F16C2F1A24}">
  <sheetPr>
    <tabColor theme="2" tint="-9.9978637043366805E-2"/>
    <pageSetUpPr fitToPage="1"/>
  </sheetPr>
  <dimension ref="B1:Y70"/>
  <sheetViews>
    <sheetView zoomScale="85" zoomScaleNormal="85" workbookViewId="0">
      <pane xSplit="5" ySplit="5" topLeftCell="F6" activePane="bottomRight" state="frozen"/>
      <selection pane="bottomRight" activeCell="R14" sqref="R14"/>
      <selection pane="bottomLeft" activeCell="R14" sqref="R14"/>
      <selection pane="topRight" activeCell="R14" sqref="R14"/>
    </sheetView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/>
    <col min="9" max="9" width="1.5703125" style="5" customWidth="1"/>
    <col min="10" max="11" width="14.5703125" style="5" customWidth="1"/>
    <col min="12" max="12" width="1.5703125" style="5" customWidth="1"/>
    <col min="13" max="18" width="14.7109375" style="5" customWidth="1"/>
    <col min="19" max="19" width="17" style="5" bestFit="1" customWidth="1"/>
    <col min="20" max="21" width="14.7109375" style="5" customWidth="1"/>
    <col min="22" max="16384" width="10.7109375" style="5"/>
  </cols>
  <sheetData>
    <row r="1" spans="4:25" ht="18.75">
      <c r="D1" s="118" t="str">
        <f>'MILA 3F - Overview'!D1</f>
        <v>Week 34</v>
      </c>
      <c r="F1" s="5">
        <f>VLOOKUP(D1,Dates!$B$2:$E$53,4,FALSE)</f>
        <v>34</v>
      </c>
      <c r="G1" s="5" t="b">
        <v>1</v>
      </c>
    </row>
    <row r="2" spans="4:25" ht="28.5">
      <c r="D2" s="399" t="str">
        <f>CONCATENATE("AVA - Coconut Grove",)</f>
        <v>AVA - Coconut Grove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</row>
    <row r="4" spans="4:25">
      <c r="F4" s="431" t="s">
        <v>249</v>
      </c>
      <c r="G4" s="431"/>
      <c r="H4" s="431"/>
      <c r="I4" s="431"/>
      <c r="J4" s="431"/>
      <c r="K4" s="431"/>
      <c r="M4" s="432" t="s">
        <v>264</v>
      </c>
      <c r="N4" s="433"/>
      <c r="O4" s="433"/>
      <c r="P4" s="432" t="s">
        <v>240</v>
      </c>
      <c r="Q4" s="433"/>
      <c r="R4" s="433"/>
      <c r="S4" s="432" t="s">
        <v>265</v>
      </c>
      <c r="T4" s="433"/>
      <c r="U4" s="433"/>
    </row>
    <row r="5" spans="4:25" ht="27" customHeight="1" thickBot="1">
      <c r="D5" s="229" t="s">
        <v>250</v>
      </c>
      <c r="E5" s="230"/>
      <c r="F5" s="234">
        <v>2026</v>
      </c>
      <c r="G5" s="235" t="s">
        <v>15</v>
      </c>
      <c r="H5" s="234" t="s">
        <v>251</v>
      </c>
      <c r="I5" s="230"/>
      <c r="J5" s="234">
        <v>2025</v>
      </c>
      <c r="K5" s="234" t="s">
        <v>251</v>
      </c>
      <c r="L5" s="141"/>
      <c r="M5" s="234">
        <v>2026</v>
      </c>
      <c r="N5" s="235" t="s">
        <v>15</v>
      </c>
      <c r="O5" s="234">
        <v>2025</v>
      </c>
      <c r="P5" s="234">
        <v>2026</v>
      </c>
      <c r="Q5" s="235" t="s">
        <v>15</v>
      </c>
      <c r="R5" s="234">
        <v>2025</v>
      </c>
      <c r="S5" s="234">
        <v>2026</v>
      </c>
      <c r="T5" s="235" t="s">
        <v>15</v>
      </c>
      <c r="U5" s="234">
        <v>2025</v>
      </c>
    </row>
    <row r="6" spans="4:25" s="108" customFormat="1" ht="18.75" customHeight="1">
      <c r="D6" s="193" t="s">
        <v>122</v>
      </c>
      <c r="E6" s="194"/>
      <c r="F6" s="236">
        <f>SUMIFS('Actual - 2026'!$BM$5:$BM$56,'Actual - 2026'!$A$5:$A$56,'AVA CG - Overview'!D6)</f>
        <v>258232.41</v>
      </c>
      <c r="G6" s="237">
        <f>SUMIFS('Budget - 2026'!$DM$5:$DM$56,'Budget - 2026'!$B$5:$B$56,'AVA CG - Overview'!D6)</f>
        <v>225795.80000000002</v>
      </c>
      <c r="H6" s="246">
        <f t="shared" ref="H6:H9" si="0">IFERROR((F6-G6)/G6,0)</f>
        <v>0.14365462067939255</v>
      </c>
      <c r="I6" s="194"/>
      <c r="J6" s="236">
        <f>SUMIFS('Budget - 2026'!$EH$5:$EH$56,'Budget - 2026'!$B$5:$B$56,'AVA CG - Overview'!D6)</f>
        <v>0</v>
      </c>
      <c r="K6" s="250">
        <f>IFERROR((F6-J6)/J6,0)</f>
        <v>0</v>
      </c>
      <c r="L6" s="194"/>
      <c r="M6" s="236">
        <f>SUMIFS('Actual - 2026'!$BG$5:$BG$56,'Actual - 2026'!$A$5:$A$56,'AVA CG - Overview'!D6)</f>
        <v>12464.52</v>
      </c>
      <c r="N6" s="237">
        <f>SUMIFS('Budget - 2026'!$DG$5:$DG$56,'Budget - 2026'!$B$5:$B$56,'AVA CG - Overview'!D6)</f>
        <v>18000</v>
      </c>
      <c r="O6" s="238">
        <f>SUMIFS('Budget - 2026'!$EB$5:$EB$56,'Budget - 2026'!$B$5:$B$56,'AVA CG - Overview'!D6)</f>
        <v>0</v>
      </c>
      <c r="P6" s="236">
        <f>SUMIFS('Actual - 2026'!$BD$5:$BD$56,'Actual - 2026'!$A$5:$A$56,'AVA CG - Overview'!D6)</f>
        <v>245767.89</v>
      </c>
      <c r="Q6" s="237">
        <f>SUMIFS('Budget - 2026'!$DD$5:$DD$56,'Budget - 2026'!$B$5:$B$56,D6)</f>
        <v>207795.80000000002</v>
      </c>
      <c r="R6" s="238">
        <f>SUMIFS('Budget - 2026'!$DY$5:$DY$56,'Budget - 2026'!$B$5:$B$56,'AVA CG - Overview'!D6)</f>
        <v>0</v>
      </c>
      <c r="S6" s="236">
        <v>0</v>
      </c>
      <c r="T6" s="237">
        <f>SUMIFS('Budget - 2026'!$DJ$5:$DJ$56,'Budget - 2026'!$B$5:$B$56,D6)</f>
        <v>0</v>
      </c>
      <c r="U6" s="238">
        <f>SUMIFS('Budget - 2026'!$EE$5:$EE$56,'Budget - 2026'!$B$5:$B$56,'AVA CG - Overview'!G6)</f>
        <v>0</v>
      </c>
    </row>
    <row r="7" spans="4:25" s="108" customFormat="1" ht="22.15" customHeight="1">
      <c r="D7" s="193" t="s">
        <v>123</v>
      </c>
      <c r="E7" s="194"/>
      <c r="F7" s="239">
        <f>SUMIFS('Actual - 2026'!$BM$5:$BM$56,'Actual - 2026'!$A$5:$A$56,'AVA CG - Overview'!D7)</f>
        <v>198068.65999999997</v>
      </c>
      <c r="G7" s="233">
        <f>SUMIFS('Budget - 2026'!$DM$5:$DM$56,'Budget - 2026'!$B$5:$B$56,'AVA CG - Overview'!D7)</f>
        <v>225795.80000000002</v>
      </c>
      <c r="H7" s="247">
        <f t="shared" si="0"/>
        <v>-0.12279741252937407</v>
      </c>
      <c r="I7" s="194"/>
      <c r="J7" s="239">
        <f>SUMIFS('Budget - 2026'!$EH$5:$EH$56,'Budget - 2026'!$B$5:$B$56,'AVA CG - Overview'!D7)</f>
        <v>0</v>
      </c>
      <c r="K7" s="251">
        <f t="shared" ref="K7:K68" si="1">IFERROR((F7-J7)/J7,0)</f>
        <v>0</v>
      </c>
      <c r="L7" s="194"/>
      <c r="M7" s="239">
        <f>SUMIFS('Actual - 2026'!$BG$5:$BG$56,'Actual - 2026'!$A$5:$A$56,'AVA CG - Overview'!D7)</f>
        <v>13219.59</v>
      </c>
      <c r="N7" s="233">
        <f>SUMIFS('Budget - 2026'!$DG$5:$DG$56,'Budget - 2026'!$B$5:$B$56,'AVA CG - Overview'!D7)</f>
        <v>18000</v>
      </c>
      <c r="O7" s="240">
        <f>SUMIFS('Budget - 2026'!$EB$5:$EB$56,'Budget - 2026'!$B$5:$B$56,'AVA CG - Overview'!D7)</f>
        <v>0</v>
      </c>
      <c r="P7" s="239">
        <f>SUMIFS('Actual - 2026'!$BD$5:$BD$56,'Actual - 2026'!$A$5:$A$56,'AVA CG - Overview'!D7)</f>
        <v>184849.06999999998</v>
      </c>
      <c r="Q7" s="233">
        <f>SUMIFS('Budget - 2026'!$DD$5:$DD$56,'Budget - 2026'!$B$5:$B$56,D7)</f>
        <v>207795.80000000002</v>
      </c>
      <c r="R7" s="240">
        <f>SUMIFS('Budget - 2026'!$DY$5:$DY$56,'Budget - 2026'!$B$5:$B$56,'AVA CG - Overview'!D7)</f>
        <v>0</v>
      </c>
      <c r="S7" s="239">
        <v>0</v>
      </c>
      <c r="T7" s="233">
        <f>SUMIFS('Budget - 2026'!$DJ$5:$DJ$56,'Budget - 2026'!$B$5:$B$56,D7)</f>
        <v>0</v>
      </c>
      <c r="U7" s="240">
        <f>SUMIFS('Budget - 2026'!$EE$5:$EE$56,'Budget - 2026'!$B$5:$B$56,'AVA CG - Overview'!G7)</f>
        <v>0</v>
      </c>
    </row>
    <row r="8" spans="4:25" s="108" customFormat="1" ht="22.15" customHeight="1">
      <c r="D8" s="193" t="s">
        <v>124</v>
      </c>
      <c r="E8" s="194"/>
      <c r="F8" s="239">
        <f>SUMIFS('Actual - 2026'!$BM$5:$BM$56,'Actual - 2026'!$A$5:$A$56,'AVA CG - Overview'!D8)</f>
        <v>235791.07</v>
      </c>
      <c r="G8" s="233">
        <f>SUMIFS('Budget - 2026'!$DM$5:$DM$56,'Budget - 2026'!$B$5:$B$56,'AVA CG - Overview'!D8)</f>
        <v>225795.80000000002</v>
      </c>
      <c r="H8" s="247">
        <f t="shared" si="0"/>
        <v>4.4266855273658715E-2</v>
      </c>
      <c r="I8" s="194"/>
      <c r="J8" s="239">
        <f>SUMIFS('Budget - 2026'!$EH$5:$EH$56,'Budget - 2026'!$B$5:$B$56,'AVA CG - Overview'!D8)</f>
        <v>0</v>
      </c>
      <c r="K8" s="251">
        <f t="shared" si="1"/>
        <v>0</v>
      </c>
      <c r="L8" s="194"/>
      <c r="M8" s="239">
        <f>SUMIFS('Actual - 2026'!$BG$5:$BG$56,'Actual - 2026'!$A$5:$A$56,'AVA CG - Overview'!D8)</f>
        <v>23845.1</v>
      </c>
      <c r="N8" s="233">
        <f>SUMIFS('Budget - 2026'!$DG$5:$DG$56,'Budget - 2026'!$B$5:$B$56,'AVA CG - Overview'!D8)</f>
        <v>18000</v>
      </c>
      <c r="O8" s="240">
        <f>SUMIFS('Budget - 2026'!$EB$5:$EB$56,'Budget - 2026'!$B$5:$B$56,'AVA CG - Overview'!D8)</f>
        <v>0</v>
      </c>
      <c r="P8" s="239">
        <f>SUMIFS('Actual - 2026'!$BD$5:$BD$56,'Actual - 2026'!$A$5:$A$56,'AVA CG - Overview'!D8)</f>
        <v>211945.97</v>
      </c>
      <c r="Q8" s="233">
        <f>SUMIFS('Budget - 2026'!$DD$5:$DD$56,'Budget - 2026'!$B$5:$B$56,D8)</f>
        <v>207795.80000000002</v>
      </c>
      <c r="R8" s="240">
        <f>SUMIFS('Budget - 2026'!$DY$5:$DY$56,'Budget - 2026'!$B$5:$B$56,'AVA CG - Overview'!D8)</f>
        <v>0</v>
      </c>
      <c r="S8" s="239">
        <v>0</v>
      </c>
      <c r="T8" s="233">
        <f>SUMIFS('Budget - 2026'!$DJ$5:$DJ$56,'Budget - 2026'!$B$5:$B$56,D8)</f>
        <v>0</v>
      </c>
      <c r="U8" s="240">
        <f>SUMIFS('Budget - 2026'!$EE$5:$EE$56,'Budget - 2026'!$B$5:$B$56,'AVA CG - Overview'!G8)</f>
        <v>0</v>
      </c>
    </row>
    <row r="9" spans="4:25" s="108" customFormat="1" ht="22.15" customHeight="1">
      <c r="D9" s="193" t="s">
        <v>125</v>
      </c>
      <c r="E9" s="194"/>
      <c r="F9" s="239">
        <f>SUMIFS('Actual - 2026'!$BM$5:$BM$56,'Actual - 2026'!$A$5:$A$56,'AVA CG - Overview'!D9)</f>
        <v>228347.79</v>
      </c>
      <c r="G9" s="233">
        <f>SUMIFS('Budget - 2026'!$DM$5:$DM$56,'Budget - 2026'!$B$5:$B$56,'AVA CG - Overview'!D9)</f>
        <v>225795.80000000002</v>
      </c>
      <c r="H9" s="247">
        <f t="shared" si="0"/>
        <v>1.1302203141068126E-2</v>
      </c>
      <c r="I9" s="194"/>
      <c r="J9" s="239">
        <f>SUMIFS('Budget - 2026'!$EH$5:$EH$56,'Budget - 2026'!$B$5:$B$56,'AVA CG - Overview'!D9)</f>
        <v>0</v>
      </c>
      <c r="K9" s="251">
        <f t="shared" si="1"/>
        <v>0</v>
      </c>
      <c r="L9" s="194"/>
      <c r="M9" s="239">
        <f>SUMIFS('Actual - 2026'!$BG$5:$BG$56,'Actual - 2026'!$A$5:$A$56,'AVA CG - Overview'!D9)</f>
        <v>19360.72</v>
      </c>
      <c r="N9" s="233">
        <f>SUMIFS('Budget - 2026'!$DG$5:$DG$56,'Budget - 2026'!$B$5:$B$56,'AVA CG - Overview'!D9)</f>
        <v>18000</v>
      </c>
      <c r="O9" s="240">
        <f>SUMIFS('Budget - 2026'!$EB$5:$EB$56,'Budget - 2026'!$B$5:$B$56,'AVA CG - Overview'!D9)</f>
        <v>0</v>
      </c>
      <c r="P9" s="239">
        <f>SUMIFS('Actual - 2026'!$BD$5:$BD$56,'Actual - 2026'!$A$5:$A$56,'AVA CG - Overview'!D9)</f>
        <v>208987.07</v>
      </c>
      <c r="Q9" s="233">
        <f>SUMIFS('Budget - 2026'!$DD$5:$DD$56,'Budget - 2026'!$B$5:$B$56,D9)</f>
        <v>207795.80000000002</v>
      </c>
      <c r="R9" s="240">
        <f>SUMIFS('Budget - 2026'!$DY$5:$DY$56,'Budget - 2026'!$B$5:$B$56,'AVA CG - Overview'!D9)</f>
        <v>0</v>
      </c>
      <c r="S9" s="239">
        <v>0</v>
      </c>
      <c r="T9" s="233">
        <f>SUMIFS('Budget - 2026'!$DJ$5:$DJ$56,'Budget - 2026'!$B$5:$B$56,D9)</f>
        <v>0</v>
      </c>
      <c r="U9" s="240">
        <f>SUMIFS('Budget - 2026'!$EE$5:$EE$56,'Budget - 2026'!$B$5:$B$56,'AVA CG - Overview'!G9)</f>
        <v>0</v>
      </c>
    </row>
    <row r="10" spans="4:25" s="108" customFormat="1" ht="22.15" customHeight="1">
      <c r="D10" s="227" t="s">
        <v>252</v>
      </c>
      <c r="E10" s="194"/>
      <c r="F10" s="241">
        <f>SUM(F6:F9)</f>
        <v>920439.92999999993</v>
      </c>
      <c r="G10" s="228">
        <f>SUM(G6:G9)</f>
        <v>903183.20000000007</v>
      </c>
      <c r="H10" s="248">
        <f>IFERROR((F10-G10)/G10,0)</f>
        <v>1.9106566641186266E-2</v>
      </c>
      <c r="I10" s="194"/>
      <c r="J10" s="241">
        <f>SUM(J6:J9)</f>
        <v>0</v>
      </c>
      <c r="K10" s="248">
        <f>IFERROR((F10-J10)/J10,0)</f>
        <v>0</v>
      </c>
      <c r="L10" s="194"/>
      <c r="M10" s="241">
        <f t="shared" ref="M10:R10" si="2">SUM(M6:M9)</f>
        <v>68889.929999999993</v>
      </c>
      <c r="N10" s="228">
        <f t="shared" si="2"/>
        <v>72000</v>
      </c>
      <c r="O10" s="242">
        <f t="shared" si="2"/>
        <v>0</v>
      </c>
      <c r="P10" s="241">
        <f t="shared" si="2"/>
        <v>851550</v>
      </c>
      <c r="Q10" s="228">
        <f t="shared" si="2"/>
        <v>831183.20000000007</v>
      </c>
      <c r="R10" s="242">
        <f t="shared" si="2"/>
        <v>0</v>
      </c>
      <c r="S10" s="241">
        <v>0</v>
      </c>
      <c r="T10" s="228">
        <f>SUM(T6:T9)</f>
        <v>0</v>
      </c>
      <c r="U10" s="242">
        <f>SUM(U6:U9)</f>
        <v>0</v>
      </c>
    </row>
    <row r="11" spans="4:25" s="108" customFormat="1" ht="22.15" customHeight="1">
      <c r="D11" s="193" t="s">
        <v>128</v>
      </c>
      <c r="E11" s="194"/>
      <c r="F11" s="239">
        <f>SUMIFS('Actual - 2026'!$BM$5:$BM$56,'Actual - 2026'!$A$5:$A$56,'AVA CG - Overview'!D11)</f>
        <v>270128.22000000003</v>
      </c>
      <c r="G11" s="233">
        <f>SUMIFS('Budget - 2026'!$DM$5:$DM$56,'Budget - 2026'!$B$5:$B$56,'AVA CG - Overview'!D11)</f>
        <v>225795.80000000002</v>
      </c>
      <c r="H11" s="247">
        <f>IFERROR((F11-G11)/G11,0)</f>
        <v>0.19633855014132243</v>
      </c>
      <c r="I11" s="194"/>
      <c r="J11" s="239">
        <f>SUMIFS('Budget - 2026'!$EH$5:$EH$56,'Budget - 2026'!$B$5:$B$56,'AVA CG - Overview'!D11)</f>
        <v>0</v>
      </c>
      <c r="K11" s="251">
        <f t="shared" si="1"/>
        <v>0</v>
      </c>
      <c r="L11" s="194"/>
      <c r="M11" s="239">
        <f>SUMIFS('Actual - 2026'!$BG$5:$BG$56,'Actual - 2026'!$A$5:$A$56,'AVA CG - Overview'!D11)</f>
        <v>70423.81</v>
      </c>
      <c r="N11" s="233">
        <f>SUMIFS('Budget - 2026'!$DG$5:$DG$56,'Budget - 2026'!$B$5:$B$56,'AVA CG - Overview'!D11)</f>
        <v>18000</v>
      </c>
      <c r="O11" s="240">
        <f>SUMIFS('Budget - 2026'!$EB$5:$EB$56,'Budget - 2026'!$B$5:$B$56,'AVA CG - Overview'!D11)</f>
        <v>0</v>
      </c>
      <c r="P11" s="239">
        <f>SUMIFS('Actual - 2026'!$BD$5:$BD$56,'Actual - 2026'!$A$5:$A$56,'AVA CG - Overview'!D11)</f>
        <v>199704.41000000003</v>
      </c>
      <c r="Q11" s="233">
        <f>SUMIFS('Budget - 2026'!$DD$5:$DD$56,'Budget - 2026'!$B$5:$B$56,D11)</f>
        <v>207795.80000000002</v>
      </c>
      <c r="R11" s="240">
        <f>SUMIFS('Budget - 2026'!$DY$5:$DY$56,'Budget - 2026'!$B$5:$B$56,'AVA CG - Overview'!D11)</f>
        <v>0</v>
      </c>
      <c r="S11" s="239">
        <v>0</v>
      </c>
      <c r="T11" s="233">
        <f>SUMIFS('Budget - 2026'!$DJ$5:$DJ$56,'Budget - 2026'!$B$5:$B$56,D11)</f>
        <v>0</v>
      </c>
      <c r="U11" s="240">
        <f>SUMIFS('Budget - 2026'!$EE$5:$EE$56,'Budget - 2026'!$B$5:$B$56,'AVA CG - Overview'!G11)</f>
        <v>0</v>
      </c>
    </row>
    <row r="12" spans="4:25" s="108" customFormat="1" ht="22.15" customHeight="1">
      <c r="D12" s="193" t="s">
        <v>129</v>
      </c>
      <c r="E12" s="194"/>
      <c r="F12" s="239">
        <f>SUMIFS('Actual - 2026'!$BM$5:$BM$56,'Actual - 2026'!$A$5:$A$56,'AVA CG - Overview'!D12)</f>
        <v>268842.71999999997</v>
      </c>
      <c r="G12" s="233">
        <f>SUMIFS('Budget - 2026'!$DM$5:$DM$56,'Budget - 2026'!$B$5:$B$56,'AVA CG - Overview'!D12)</f>
        <v>225795.80000000002</v>
      </c>
      <c r="H12" s="247">
        <f t="shared" ref="H12:H69" si="3">(F12-G12)/G12</f>
        <v>0.19064535301365193</v>
      </c>
      <c r="I12" s="194"/>
      <c r="J12" s="239">
        <f>SUMIFS('Budget - 2026'!$EH$5:$EH$56,'Budget - 2026'!$B$5:$B$56,'AVA CG - Overview'!D12)</f>
        <v>0</v>
      </c>
      <c r="K12" s="251">
        <f t="shared" si="1"/>
        <v>0</v>
      </c>
      <c r="L12" s="194"/>
      <c r="M12" s="239">
        <f>SUMIFS('Actual - 2026'!$BG$5:$BG$56,'Actual - 2026'!$A$5:$A$56,'AVA CG - Overview'!D12)</f>
        <v>66668.66</v>
      </c>
      <c r="N12" s="233">
        <f>SUMIFS('Budget - 2026'!$DG$5:$DG$56,'Budget - 2026'!$B$5:$B$56,'AVA CG - Overview'!D12)</f>
        <v>18000</v>
      </c>
      <c r="O12" s="240">
        <f>SUMIFS('Budget - 2026'!$EB$5:$EB$56,'Budget - 2026'!$B$5:$B$56,'AVA CG - Overview'!D12)</f>
        <v>0</v>
      </c>
      <c r="P12" s="239">
        <f>SUMIFS('Actual - 2026'!$BD$5:$BD$56,'Actual - 2026'!$A$5:$A$56,'AVA CG - Overview'!D12)</f>
        <v>202174.05999999997</v>
      </c>
      <c r="Q12" s="233">
        <f>SUMIFS('Budget - 2026'!$DD$5:$DD$56,'Budget - 2026'!$B$5:$B$56,D12)</f>
        <v>207795.80000000002</v>
      </c>
      <c r="R12" s="240">
        <f>SUMIFS('Budget - 2026'!$DY$5:$DY$56,'Budget - 2026'!$B$5:$B$56,'AVA CG - Overview'!D12)</f>
        <v>0</v>
      </c>
      <c r="S12" s="239">
        <v>0</v>
      </c>
      <c r="T12" s="233">
        <f>SUMIFS('Budget - 2026'!$DJ$5:$DJ$56,'Budget - 2026'!$B$5:$B$56,D12)</f>
        <v>0</v>
      </c>
      <c r="U12" s="240">
        <f>SUMIFS('Budget - 2026'!$EE$5:$EE$56,'Budget - 2026'!$B$5:$B$56,'AVA CG - Overview'!G12)</f>
        <v>0</v>
      </c>
    </row>
    <row r="13" spans="4:25" s="108" customFormat="1" ht="22.15" customHeight="1">
      <c r="D13" s="193" t="s">
        <v>130</v>
      </c>
      <c r="E13" s="194"/>
      <c r="F13" s="239">
        <f>SUMIFS('Actual - 2026'!$BM$5:$BM$56,'Actual - 2026'!$A$5:$A$56,'AVA CG - Overview'!D13)</f>
        <v>296747.28999999998</v>
      </c>
      <c r="G13" s="233">
        <f>SUMIFS('Budget - 2026'!$DM$5:$DM$56,'Budget - 2026'!$B$5:$B$56,'AVA CG - Overview'!D13)</f>
        <v>225795.80000000002</v>
      </c>
      <c r="H13" s="247">
        <f t="shared" si="3"/>
        <v>0.31422856403883487</v>
      </c>
      <c r="I13" s="194"/>
      <c r="J13" s="239">
        <f>SUMIFS('Budget - 2026'!$EH$5:$EH$56,'Budget - 2026'!$B$5:$B$56,'AVA CG - Overview'!D13)</f>
        <v>0</v>
      </c>
      <c r="K13" s="251">
        <f t="shared" si="1"/>
        <v>0</v>
      </c>
      <c r="L13" s="194"/>
      <c r="M13" s="239">
        <f>SUMIFS('Actual - 2026'!$BG$5:$BG$56,'Actual - 2026'!$A$5:$A$56,'AVA CG - Overview'!D13)</f>
        <v>58549.67</v>
      </c>
      <c r="N13" s="233">
        <f>SUMIFS('Budget - 2026'!$DG$5:$DG$56,'Budget - 2026'!$B$5:$B$56,'AVA CG - Overview'!D13)</f>
        <v>18000</v>
      </c>
      <c r="O13" s="240">
        <f>SUMIFS('Budget - 2026'!$EB$5:$EB$56,'Budget - 2026'!$B$5:$B$56,'AVA CG - Overview'!D13)</f>
        <v>0</v>
      </c>
      <c r="P13" s="239">
        <f>SUMIFS('Actual - 2026'!$BD$5:$BD$56,'Actual - 2026'!$A$5:$A$56,'AVA CG - Overview'!D13)</f>
        <v>238197.62</v>
      </c>
      <c r="Q13" s="233">
        <f>SUMIFS('Budget - 2026'!$DD$5:$DD$56,'Budget - 2026'!$B$5:$B$56,D13)</f>
        <v>207795.80000000002</v>
      </c>
      <c r="R13" s="240">
        <f>SUMIFS('Budget - 2026'!$DY$5:$DY$56,'Budget - 2026'!$B$5:$B$56,'AVA CG - Overview'!D13)</f>
        <v>0</v>
      </c>
      <c r="S13" s="239">
        <v>0</v>
      </c>
      <c r="T13" s="233">
        <f>SUMIFS('Budget - 2026'!$DJ$5:$DJ$56,'Budget - 2026'!$B$5:$B$56,D13)</f>
        <v>0</v>
      </c>
      <c r="U13" s="240">
        <f>SUMIFS('Budget - 2026'!$EE$5:$EE$56,'Budget - 2026'!$B$5:$B$56,'AVA CG - Overview'!G13)</f>
        <v>0</v>
      </c>
    </row>
    <row r="14" spans="4:25" s="108" customFormat="1" ht="22.15" customHeight="1">
      <c r="D14" s="193" t="s">
        <v>131</v>
      </c>
      <c r="E14" s="194"/>
      <c r="F14" s="239">
        <f>SUMIFS('Actual - 2026'!$BM$5:$BM$56,'Actual - 2026'!$A$5:$A$56,'AVA CG - Overview'!D14)</f>
        <v>239840.43000000005</v>
      </c>
      <c r="G14" s="233">
        <f>SUMIFS('Budget - 2026'!$DM$5:$DM$56,'Budget - 2026'!$B$5:$B$56,'AVA CG - Overview'!D14)</f>
        <v>225795.80000000002</v>
      </c>
      <c r="H14" s="247">
        <f t="shared" si="3"/>
        <v>6.2200581233132025E-2</v>
      </c>
      <c r="I14" s="194"/>
      <c r="J14" s="239">
        <f>SUMIFS('Budget - 2026'!$EH$5:$EH$56,'Budget - 2026'!$B$5:$B$56,'AVA CG - Overview'!D14)</f>
        <v>0</v>
      </c>
      <c r="K14" s="251">
        <f t="shared" si="1"/>
        <v>0</v>
      </c>
      <c r="L14" s="194"/>
      <c r="M14" s="239">
        <f>SUMIFS('Actual - 2026'!$BG$5:$BG$56,'Actual - 2026'!$A$5:$A$56,'AVA CG - Overview'!D14)</f>
        <v>56466.83</v>
      </c>
      <c r="N14" s="233">
        <f>SUMIFS('Budget - 2026'!$DG$5:$DG$56,'Budget - 2026'!$B$5:$B$56,'AVA CG - Overview'!D14)</f>
        <v>18000</v>
      </c>
      <c r="O14" s="240">
        <f>SUMIFS('Budget - 2026'!$EB$5:$EB$56,'Budget - 2026'!$B$5:$B$56,'AVA CG - Overview'!D14)</f>
        <v>0</v>
      </c>
      <c r="P14" s="239">
        <f>SUMIFS('Actual - 2026'!$BD$5:$BD$56,'Actual - 2026'!$A$5:$A$56,'AVA CG - Overview'!D14)</f>
        <v>183373.60000000003</v>
      </c>
      <c r="Q14" s="233">
        <f>SUMIFS('Budget - 2026'!$DD$5:$DD$56,'Budget - 2026'!$B$5:$B$56,D14)</f>
        <v>207795.80000000002</v>
      </c>
      <c r="R14" s="240">
        <f>SUMIFS('Budget - 2026'!$DY$5:$DY$56,'Budget - 2026'!$B$5:$B$56,'AVA CG - Overview'!D14)</f>
        <v>0</v>
      </c>
      <c r="S14" s="239">
        <v>0</v>
      </c>
      <c r="T14" s="233">
        <f>SUMIFS('Budget - 2026'!$DJ$5:$DJ$56,'Budget - 2026'!$B$5:$B$56,D14)</f>
        <v>0</v>
      </c>
      <c r="U14" s="240">
        <f>SUMIFS('Budget - 2026'!$EE$5:$EE$56,'Budget - 2026'!$B$5:$B$56,'AVA CG - Overview'!G14)</f>
        <v>0</v>
      </c>
      <c r="Y14" s="387"/>
    </row>
    <row r="15" spans="4:25" s="108" customFormat="1" ht="22.15" customHeight="1">
      <c r="D15" s="227" t="s">
        <v>253</v>
      </c>
      <c r="E15" s="194"/>
      <c r="F15" s="241">
        <f>SUM(F11:F14)</f>
        <v>1075558.6600000001</v>
      </c>
      <c r="G15" s="228">
        <f>SUM(G11:G14)</f>
        <v>903183.20000000007</v>
      </c>
      <c r="H15" s="248">
        <f t="shared" si="3"/>
        <v>0.19085326210673545</v>
      </c>
      <c r="I15" s="194"/>
      <c r="J15" s="241">
        <f>SUM(J11:J14)</f>
        <v>0</v>
      </c>
      <c r="K15" s="248">
        <f>IFERROR((F15-J15)/J15,0)</f>
        <v>0</v>
      </c>
      <c r="L15" s="194"/>
      <c r="M15" s="241">
        <f t="shared" ref="M15:R15" si="4">SUM(M11:M14)</f>
        <v>252108.97000000003</v>
      </c>
      <c r="N15" s="228">
        <f t="shared" si="4"/>
        <v>72000</v>
      </c>
      <c r="O15" s="242">
        <f t="shared" si="4"/>
        <v>0</v>
      </c>
      <c r="P15" s="241">
        <f t="shared" si="4"/>
        <v>823449.69</v>
      </c>
      <c r="Q15" s="228">
        <f t="shared" si="4"/>
        <v>831183.20000000007</v>
      </c>
      <c r="R15" s="242">
        <f t="shared" si="4"/>
        <v>0</v>
      </c>
      <c r="S15" s="241">
        <v>0</v>
      </c>
      <c r="T15" s="228">
        <f>SUM(T11:T14)</f>
        <v>0</v>
      </c>
      <c r="U15" s="242">
        <v>0</v>
      </c>
    </row>
    <row r="16" spans="4:25" s="108" customFormat="1" ht="22.15" customHeight="1">
      <c r="D16" s="193" t="s">
        <v>134</v>
      </c>
      <c r="E16" s="194"/>
      <c r="F16" s="239">
        <f>SUMIFS('Actual - 2026'!$BM$5:$BM$56,'Actual - 2026'!$A$5:$A$56,'AVA CG - Overview'!D16)</f>
        <v>270537.21000000002</v>
      </c>
      <c r="G16" s="233">
        <f>SUMIFS('Budget - 2026'!$DM$5:$DM$56,'Budget - 2026'!$B$5:$B$56,'AVA CG - Overview'!D16)</f>
        <v>229795.80000000002</v>
      </c>
      <c r="H16" s="247">
        <f t="shared" si="3"/>
        <v>0.17729397143028724</v>
      </c>
      <c r="I16" s="194"/>
      <c r="J16" s="239">
        <f>SUMIFS('Budget - 2026'!$EH$5:$EH$56,'Budget - 2026'!$B$5:$B$56,'AVA CG - Overview'!D16)</f>
        <v>0</v>
      </c>
      <c r="K16" s="251">
        <f t="shared" si="1"/>
        <v>0</v>
      </c>
      <c r="L16" s="194"/>
      <c r="M16" s="239">
        <f>SUMIFS('Actual - 2026'!$BG$5:$BG$56,'Actual - 2026'!$A$5:$A$56,'AVA CG - Overview'!D16)</f>
        <v>53848.75</v>
      </c>
      <c r="N16" s="233">
        <f>SUMIFS('Budget - 2026'!$DG$5:$DG$56,'Budget - 2026'!$B$5:$B$56,'AVA CG - Overview'!D16)</f>
        <v>22000</v>
      </c>
      <c r="O16" s="240">
        <f>SUMIFS('Budget - 2026'!$EB$5:$EB$56,'Budget - 2026'!$B$5:$B$56,'AVA CG - Overview'!D16)</f>
        <v>0</v>
      </c>
      <c r="P16" s="239">
        <f>SUMIFS('Actual - 2026'!$BD$5:$BD$56,'Actual - 2026'!$A$5:$A$56,'AVA CG - Overview'!D16)</f>
        <v>216688.46000000002</v>
      </c>
      <c r="Q16" s="233">
        <f>SUMIFS('Budget - 2026'!$DD$5:$DD$56,'Budget - 2026'!$B$5:$B$56,D16)</f>
        <v>207795.80000000002</v>
      </c>
      <c r="R16" s="240">
        <f>SUMIFS('Budget - 2026'!$DY$5:$DY$56,'Budget - 2026'!$B$5:$B$56,'AVA CG - Overview'!D16)</f>
        <v>0</v>
      </c>
      <c r="S16" s="239">
        <v>0</v>
      </c>
      <c r="T16" s="233">
        <f>SUMIFS('Budget - 2026'!$DJ$5:$DJ$56,'Budget - 2026'!$B$5:$B$56,D16)</f>
        <v>0</v>
      </c>
      <c r="U16" s="240">
        <f>SUMIFS('Budget - 2026'!$EE$5:$EE$56,'Budget - 2026'!$B$5:$B$56,'AVA CG - Overview'!G16)</f>
        <v>0</v>
      </c>
    </row>
    <row r="17" spans="2:21" s="108" customFormat="1" ht="22.15" customHeight="1">
      <c r="D17" s="193" t="s">
        <v>135</v>
      </c>
      <c r="E17" s="194"/>
      <c r="F17" s="239">
        <f>SUMIFS('Actual - 2026'!$BM$5:$BM$56,'Actual - 2026'!$A$5:$A$56,'AVA CG - Overview'!D17)</f>
        <v>251981.66</v>
      </c>
      <c r="G17" s="233">
        <f>SUMIFS('Budget - 2026'!$DM$5:$DM$56,'Budget - 2026'!$B$5:$B$56,'AVA CG - Overview'!D17)</f>
        <v>229795.80000000002</v>
      </c>
      <c r="H17" s="247">
        <f t="shared" si="3"/>
        <v>9.6545976906453404E-2</v>
      </c>
      <c r="I17" s="194"/>
      <c r="J17" s="239">
        <f>SUMIFS('Budget - 2026'!$EH$5:$EH$56,'Budget - 2026'!$B$5:$B$56,'AVA CG - Overview'!D17)</f>
        <v>0</v>
      </c>
      <c r="K17" s="251">
        <f t="shared" si="1"/>
        <v>0</v>
      </c>
      <c r="L17" s="194"/>
      <c r="M17" s="239">
        <f>SUMIFS('Actual - 2026'!$BG$5:$BG$56,'Actual - 2026'!$A$5:$A$56,'AVA CG - Overview'!D17)</f>
        <v>43713.62</v>
      </c>
      <c r="N17" s="233">
        <f>SUMIFS('Budget - 2026'!$DG$5:$DG$56,'Budget - 2026'!$B$5:$B$56,'AVA CG - Overview'!D17)</f>
        <v>22000</v>
      </c>
      <c r="O17" s="240">
        <f>SUMIFS('Budget - 2026'!$EB$5:$EB$56,'Budget - 2026'!$B$5:$B$56,'AVA CG - Overview'!D17)</f>
        <v>0</v>
      </c>
      <c r="P17" s="239">
        <f>SUMIFS('Actual - 2026'!$BD$5:$BD$56,'Actual - 2026'!$A$5:$A$56,'AVA CG - Overview'!D17)</f>
        <v>208268.04</v>
      </c>
      <c r="Q17" s="233">
        <f>SUMIFS('Budget - 2026'!$DD$5:$DD$56,'Budget - 2026'!$B$5:$B$56,D17)</f>
        <v>207795.80000000002</v>
      </c>
      <c r="R17" s="240">
        <f>SUMIFS('Budget - 2026'!$DY$5:$DY$56,'Budget - 2026'!$B$5:$B$56,'AVA CG - Overview'!D17)</f>
        <v>0</v>
      </c>
      <c r="S17" s="239">
        <v>0</v>
      </c>
      <c r="T17" s="233">
        <f>SUMIFS('Budget - 2026'!$DJ$5:$DJ$56,'Budget - 2026'!$B$5:$B$56,D17)</f>
        <v>0</v>
      </c>
      <c r="U17" s="240">
        <f>SUMIFS('Budget - 2026'!$EE$5:$EE$56,'Budget - 2026'!$B$5:$B$56,'AVA CG - Overview'!G17)</f>
        <v>0</v>
      </c>
    </row>
    <row r="18" spans="2:21" s="108" customFormat="1" ht="22.15" customHeight="1">
      <c r="D18" s="193" t="s">
        <v>136</v>
      </c>
      <c r="E18" s="194"/>
      <c r="F18" s="239">
        <f>SUMIFS('Actual - 2026'!$BM$5:$BM$56,'Actual - 2026'!$A$5:$A$56,'AVA CG - Overview'!D18)</f>
        <v>239103.25</v>
      </c>
      <c r="G18" s="233">
        <f>SUMIFS('Budget - 2026'!$DM$5:$DM$56,'Budget - 2026'!$B$5:$B$56,'AVA CG - Overview'!D18)</f>
        <v>229795.80000000002</v>
      </c>
      <c r="H18" s="247">
        <f t="shared" si="3"/>
        <v>4.0503133651702869E-2</v>
      </c>
      <c r="I18" s="194"/>
      <c r="J18" s="239">
        <f>SUMIFS('Budget - 2026'!$EH$5:$EH$56,'Budget - 2026'!$B$5:$B$56,'AVA CG - Overview'!D18)</f>
        <v>0</v>
      </c>
      <c r="K18" s="251">
        <f t="shared" si="1"/>
        <v>0</v>
      </c>
      <c r="L18" s="194"/>
      <c r="M18" s="239">
        <f>SUMIFS('Actual - 2026'!$BG$5:$BG$56,'Actual - 2026'!$A$5:$A$56,'AVA CG - Overview'!D18)</f>
        <v>46009.33</v>
      </c>
      <c r="N18" s="233">
        <f>SUMIFS('Budget - 2026'!$DG$5:$DG$56,'Budget - 2026'!$B$5:$B$56,'AVA CG - Overview'!D18)</f>
        <v>22000</v>
      </c>
      <c r="O18" s="240">
        <f>SUMIFS('Budget - 2026'!$EB$5:$EB$56,'Budget - 2026'!$B$5:$B$56,'AVA CG - Overview'!D18)</f>
        <v>0</v>
      </c>
      <c r="P18" s="239">
        <f>SUMIFS('Actual - 2026'!$BD$5:$BD$56,'Actual - 2026'!$A$5:$A$56,'AVA CG - Overview'!D18)</f>
        <v>193093.92</v>
      </c>
      <c r="Q18" s="233">
        <f>SUMIFS('Budget - 2026'!$DD$5:$DD$56,'Budget - 2026'!$B$5:$B$56,D18)</f>
        <v>207795.80000000002</v>
      </c>
      <c r="R18" s="240">
        <f>SUMIFS('Budget - 2026'!$DY$5:$DY$56,'Budget - 2026'!$B$5:$B$56,'AVA CG - Overview'!D18)</f>
        <v>0</v>
      </c>
      <c r="S18" s="239">
        <v>0</v>
      </c>
      <c r="T18" s="233">
        <f>SUMIFS('Budget - 2026'!$DJ$5:$DJ$56,'Budget - 2026'!$B$5:$B$56,D18)</f>
        <v>0</v>
      </c>
      <c r="U18" s="240">
        <f>SUMIFS('Budget - 2026'!$EE$5:$EE$56,'Budget - 2026'!$B$5:$B$56,'AVA CG - Overview'!G18)</f>
        <v>0</v>
      </c>
    </row>
    <row r="19" spans="2:21" s="108" customFormat="1" ht="22.15" customHeight="1">
      <c r="D19" s="193" t="s">
        <v>137</v>
      </c>
      <c r="E19" s="194"/>
      <c r="F19" s="239">
        <f>SUMIFS('Actual - 2026'!$BM$5:$BM$56,'Actual - 2026'!$A$5:$A$56,'AVA CG - Overview'!D19)</f>
        <v>247752.54</v>
      </c>
      <c r="G19" s="233">
        <f>SUMIFS('Budget - 2026'!$DM$5:$DM$56,'Budget - 2026'!$B$5:$B$56,'AVA CG - Overview'!D19)</f>
        <v>229795.80000000002</v>
      </c>
      <c r="H19" s="247">
        <f t="shared" si="3"/>
        <v>7.8142159256174348E-2</v>
      </c>
      <c r="I19" s="194"/>
      <c r="J19" s="239">
        <f>SUMIFS('Budget - 2026'!$EH$5:$EH$56,'Budget - 2026'!$B$5:$B$56,'AVA CG - Overview'!D19)</f>
        <v>0</v>
      </c>
      <c r="K19" s="251">
        <f t="shared" si="1"/>
        <v>0</v>
      </c>
      <c r="L19" s="194"/>
      <c r="M19" s="239">
        <f>SUMIFS('Actual - 2026'!$BG$5:$BG$56,'Actual - 2026'!$A$5:$A$56,'AVA CG - Overview'!D19)</f>
        <v>47473.72</v>
      </c>
      <c r="N19" s="233">
        <f>SUMIFS('Budget - 2026'!$DG$5:$DG$56,'Budget - 2026'!$B$5:$B$56,'AVA CG - Overview'!D19)</f>
        <v>22000</v>
      </c>
      <c r="O19" s="240">
        <f>SUMIFS('Budget - 2026'!$EB$5:$EB$56,'Budget - 2026'!$B$5:$B$56,'AVA CG - Overview'!D19)</f>
        <v>0</v>
      </c>
      <c r="P19" s="239">
        <f>SUMIFS('Actual - 2026'!$BD$5:$BD$56,'Actual - 2026'!$A$5:$A$56,'AVA CG - Overview'!D19)</f>
        <v>200278.82</v>
      </c>
      <c r="Q19" s="233">
        <f>SUMIFS('Budget - 2026'!$DD$5:$DD$56,'Budget - 2026'!$B$5:$B$56,D19)</f>
        <v>207795.80000000002</v>
      </c>
      <c r="R19" s="240">
        <f>SUMIFS('Budget - 2026'!$DY$5:$DY$56,'Budget - 2026'!$B$5:$B$56,'AVA CG - Overview'!D19)</f>
        <v>0</v>
      </c>
      <c r="S19" s="239">
        <v>0</v>
      </c>
      <c r="T19" s="233">
        <f>SUMIFS('Budget - 2026'!$DJ$5:$DJ$56,'Budget - 2026'!$B$5:$B$56,D19)</f>
        <v>0</v>
      </c>
      <c r="U19" s="240">
        <f>SUMIFS('Budget - 2026'!$EE$5:$EE$56,'Budget - 2026'!$B$5:$B$56,'AVA CG - Overview'!G19)</f>
        <v>0</v>
      </c>
    </row>
    <row r="20" spans="2:21" s="108" customFormat="1" ht="22.15" customHeight="1">
      <c r="D20" s="193" t="s">
        <v>138</v>
      </c>
      <c r="E20" s="194"/>
      <c r="F20" s="239">
        <f>SUMIFS('Actual - 2026'!$BM$5:$BM$56,'Actual - 2026'!$A$5:$A$56,'AVA CG - Overview'!D20)</f>
        <v>233669.40999999997</v>
      </c>
      <c r="G20" s="233">
        <f>SUMIFS('Budget - 2026'!$DM$5:$DM$56,'Budget - 2026'!$B$5:$B$56,'AVA CG - Overview'!D20)</f>
        <v>229795.80000000002</v>
      </c>
      <c r="H20" s="247">
        <f t="shared" si="3"/>
        <v>1.6856748469728153E-2</v>
      </c>
      <c r="I20" s="194"/>
      <c r="J20" s="239">
        <f>SUMIFS('Budget - 2026'!$EH$5:$EH$56,'Budget - 2026'!$B$5:$B$56,'AVA CG - Overview'!D20)</f>
        <v>0</v>
      </c>
      <c r="K20" s="251">
        <f t="shared" si="1"/>
        <v>0</v>
      </c>
      <c r="L20" s="194"/>
      <c r="M20" s="239">
        <f>SUMIFS('Actual - 2026'!$BG$5:$BG$56,'Actual - 2026'!$A$5:$A$56,'AVA CG - Overview'!D20)</f>
        <v>44812.36</v>
      </c>
      <c r="N20" s="233">
        <f>SUMIFS('Budget - 2026'!$DG$5:$DG$56,'Budget - 2026'!$B$5:$B$56,'AVA CG - Overview'!D20)</f>
        <v>22000</v>
      </c>
      <c r="O20" s="240">
        <f>SUMIFS('Budget - 2026'!$EB$5:$EB$56,'Budget - 2026'!$B$5:$B$56,'AVA CG - Overview'!D20)</f>
        <v>0</v>
      </c>
      <c r="P20" s="239">
        <f>SUMIFS('Actual - 2026'!$BD$5:$BD$56,'Actual - 2026'!$A$5:$A$56,'AVA CG - Overview'!D20)</f>
        <v>188857.05</v>
      </c>
      <c r="Q20" s="233">
        <f>SUMIFS('Budget - 2026'!$DD$5:$DD$56,'Budget - 2026'!$B$5:$B$56,D20)</f>
        <v>207795.80000000002</v>
      </c>
      <c r="R20" s="240">
        <f>SUMIFS('Budget - 2026'!$DY$5:$DY$56,'Budget - 2026'!$B$5:$B$56,'AVA CG - Overview'!D20)</f>
        <v>0</v>
      </c>
      <c r="S20" s="239">
        <v>0</v>
      </c>
      <c r="T20" s="233">
        <f>SUMIFS('Budget - 2026'!$DJ$5:$DJ$56,'Budget - 2026'!$B$5:$B$56,D20)</f>
        <v>0</v>
      </c>
      <c r="U20" s="240">
        <f>SUMIFS('Budget - 2026'!$EE$5:$EE$56,'Budget - 2026'!$B$5:$B$56,'AVA CG - Overview'!G20)</f>
        <v>0</v>
      </c>
    </row>
    <row r="21" spans="2:21" s="108" customFormat="1" ht="22.15" customHeight="1">
      <c r="D21" s="227" t="s">
        <v>254</v>
      </c>
      <c r="E21" s="194"/>
      <c r="F21" s="241">
        <f>SUM(F16:F20)</f>
        <v>1243044.07</v>
      </c>
      <c r="G21" s="228">
        <f>SUM(G16:G20)</f>
        <v>1148979</v>
      </c>
      <c r="H21" s="248">
        <f t="shared" si="3"/>
        <v>8.1868397942869334E-2</v>
      </c>
      <c r="I21" s="194"/>
      <c r="J21" s="241">
        <f>SUM(J16:J20)</f>
        <v>0</v>
      </c>
      <c r="K21" s="248">
        <f>IFERROR((F21-J21)/J21,0)</f>
        <v>0</v>
      </c>
      <c r="L21" s="194"/>
      <c r="M21" s="241">
        <f t="shared" ref="M21:R21" si="5">SUM(M16:M20)</f>
        <v>235857.78000000003</v>
      </c>
      <c r="N21" s="228">
        <f t="shared" si="5"/>
        <v>110000</v>
      </c>
      <c r="O21" s="242">
        <f t="shared" si="5"/>
        <v>0</v>
      </c>
      <c r="P21" s="241">
        <f t="shared" si="5"/>
        <v>1007186.29</v>
      </c>
      <c r="Q21" s="228">
        <f t="shared" si="5"/>
        <v>1038979.0000000001</v>
      </c>
      <c r="R21" s="242">
        <f t="shared" si="5"/>
        <v>0</v>
      </c>
      <c r="S21" s="318">
        <v>0</v>
      </c>
      <c r="T21" s="228">
        <f>SUM(T16:T20)</f>
        <v>0</v>
      </c>
      <c r="U21" s="242">
        <f>SUM(U16:U20)</f>
        <v>0</v>
      </c>
    </row>
    <row r="22" spans="2:21" s="108" customFormat="1" ht="22.15" customHeight="1">
      <c r="D22" s="193" t="s">
        <v>141</v>
      </c>
      <c r="E22" s="194"/>
      <c r="F22" s="239">
        <f>SUMIFS('Actual - 2026'!$BM$5:$BM$56,'Actual - 2026'!$A$5:$A$56,'AVA CG - Overview'!D22)</f>
        <v>224764.76</v>
      </c>
      <c r="G22" s="233">
        <f>SUMIFS('Budget - 2026'!$DM$5:$DM$56,'Budget - 2026'!$B$5:$B$56,'AVA CG - Overview'!D22)</f>
        <v>252408.4</v>
      </c>
      <c r="H22" s="247">
        <f t="shared" si="3"/>
        <v>-0.1095194930121184</v>
      </c>
      <c r="I22" s="194"/>
      <c r="J22" s="239">
        <f>SUMIFS('Budget - 2026'!$EH$5:$EH$56,'Budget - 2026'!$B$5:$B$56,'AVA CG - Overview'!D22)</f>
        <v>0</v>
      </c>
      <c r="K22" s="251">
        <f t="shared" si="1"/>
        <v>0</v>
      </c>
      <c r="L22" s="194"/>
      <c r="M22" s="239">
        <f>SUMIFS('Actual - 2026'!$BG$5:$BG$56,'Actual - 2026'!$A$5:$A$56,'AVA CG - Overview'!D22)</f>
        <v>64366.879999999997</v>
      </c>
      <c r="N22" s="233">
        <f>SUMIFS('Budget - 2026'!$DG$5:$DG$56,'Budget - 2026'!$B$5:$B$56,'AVA CG - Overview'!D22)</f>
        <v>54690</v>
      </c>
      <c r="O22" s="240">
        <f>SUMIFS('Budget - 2026'!$EB$5:$EB$56,'Budget - 2026'!$B$5:$B$56,'AVA CG - Overview'!D22)</f>
        <v>0</v>
      </c>
      <c r="P22" s="239">
        <f>SUMIFS('Actual - 2026'!$BD$5:$BD$56,'Actual - 2026'!$A$5:$A$56,'AVA CG - Overview'!D22)</f>
        <v>160397.88</v>
      </c>
      <c r="Q22" s="233">
        <f>SUMIFS('Budget - 2026'!$DD$5:$DD$56,'Budget - 2026'!$B$5:$B$56,D22)</f>
        <v>197718.39999999999</v>
      </c>
      <c r="R22" s="240">
        <f>SUMIFS('Budget - 2026'!$DY$5:$DY$56,'Budget - 2026'!$B$5:$B$56,'AVA CG - Overview'!D22)</f>
        <v>0</v>
      </c>
      <c r="S22" s="319">
        <v>0</v>
      </c>
      <c r="T22" s="233">
        <f>SUMIFS('Budget - 2026'!$DJ$5:$DJ$56,'Budget - 2026'!$B$5:$B$56,D22)</f>
        <v>0</v>
      </c>
      <c r="U22" s="240">
        <f>SUMIFS('Budget - 2026'!$EE$5:$EE$56,'Budget - 2026'!$B$5:$B$56,'AVA CG - Overview'!G22)</f>
        <v>0</v>
      </c>
    </row>
    <row r="23" spans="2:21" s="108" customFormat="1" ht="22.15" customHeight="1">
      <c r="D23" s="193" t="s">
        <v>142</v>
      </c>
      <c r="E23" s="194"/>
      <c r="F23" s="239">
        <f>SUMIFS('Actual - 2026'!$BM$5:$BM$56,'Actual - 2026'!$A$5:$A$56,'AVA CG - Overview'!D23)</f>
        <v>216822.25999999995</v>
      </c>
      <c r="G23" s="233">
        <f>SUMIFS('Budget - 2026'!$DM$5:$DM$56,'Budget - 2026'!$B$5:$B$56,'AVA CG - Overview'!D23)</f>
        <v>252408.4</v>
      </c>
      <c r="H23" s="247">
        <f t="shared" si="3"/>
        <v>-0.14098635386144059</v>
      </c>
      <c r="I23" s="194"/>
      <c r="J23" s="239">
        <f>SUMIFS('Budget - 2026'!$EH$5:$EH$56,'Budget - 2026'!$B$5:$B$56,'AVA CG - Overview'!D23)</f>
        <v>0</v>
      </c>
      <c r="K23" s="251">
        <f t="shared" si="1"/>
        <v>0</v>
      </c>
      <c r="L23" s="194"/>
      <c r="M23" s="239">
        <f>SUMIFS('Actual - 2026'!$BG$5:$BG$56,'Actual - 2026'!$A$5:$A$56,'AVA CG - Overview'!D23)</f>
        <v>40925.58</v>
      </c>
      <c r="N23" s="233">
        <f>SUMIFS('Budget - 2026'!$DG$5:$DG$56,'Budget - 2026'!$B$5:$B$56,'AVA CG - Overview'!D23)</f>
        <v>54690</v>
      </c>
      <c r="O23" s="240">
        <f>SUMIFS('Budget - 2026'!$EB$5:$EB$56,'Budget - 2026'!$B$5:$B$56,'AVA CG - Overview'!D23)</f>
        <v>0</v>
      </c>
      <c r="P23" s="239">
        <f>SUMIFS('Actual - 2026'!$BD$5:$BD$56,'Actual - 2026'!$A$5:$A$56,'AVA CG - Overview'!D23)</f>
        <v>175896.67999999996</v>
      </c>
      <c r="Q23" s="233">
        <f>SUMIFS('Budget - 2026'!$DD$5:$DD$56,'Budget - 2026'!$B$5:$B$56,D23)</f>
        <v>197718.39999999999</v>
      </c>
      <c r="R23" s="240">
        <f>SUMIFS('Budget - 2026'!$DY$5:$DY$56,'Budget - 2026'!$B$5:$B$56,'AVA CG - Overview'!D23)</f>
        <v>0</v>
      </c>
      <c r="S23" s="322">
        <v>0</v>
      </c>
      <c r="T23" s="233">
        <f>SUMIFS('Budget - 2026'!$DJ$5:$DJ$56,'Budget - 2026'!$B$5:$B$56,D23)</f>
        <v>0</v>
      </c>
      <c r="U23" s="240">
        <f>SUMIFS('Budget - 2026'!$EE$5:$EE$56,'Budget - 2026'!$B$5:$B$56,'AVA CG - Overview'!G23)</f>
        <v>0</v>
      </c>
    </row>
    <row r="24" spans="2:21" s="108" customFormat="1" ht="22.15" customHeight="1">
      <c r="D24" s="193" t="s">
        <v>143</v>
      </c>
      <c r="E24" s="194"/>
      <c r="F24" s="239">
        <f>SUMIFS('Actual - 2026'!$BM$5:$BM$56,'Actual - 2026'!$A$5:$A$56,'AVA CG - Overview'!D24)</f>
        <v>231117.85</v>
      </c>
      <c r="G24" s="233">
        <f>SUMIFS('Budget - 2026'!$DM$5:$DM$56,'Budget - 2026'!$B$5:$B$56,'AVA CG - Overview'!D24)</f>
        <v>252408.4</v>
      </c>
      <c r="H24" s="247">
        <f t="shared" si="3"/>
        <v>-8.4349609600948255E-2</v>
      </c>
      <c r="I24" s="194"/>
      <c r="J24" s="239">
        <f>SUMIFS('Budget - 2026'!$EH$5:$EH$56,'Budget - 2026'!$B$5:$B$56,'AVA CG - Overview'!D24)</f>
        <v>0</v>
      </c>
      <c r="K24" s="251">
        <f t="shared" si="1"/>
        <v>0</v>
      </c>
      <c r="L24" s="194"/>
      <c r="M24" s="239">
        <f>SUMIFS('Actual - 2026'!$BG$5:$BG$56,'Actual - 2026'!$A$5:$A$56,'AVA CG - Overview'!D24)</f>
        <v>55746.49</v>
      </c>
      <c r="N24" s="233">
        <f>SUMIFS('Budget - 2026'!$DG$5:$DG$56,'Budget - 2026'!$B$5:$B$56,'AVA CG - Overview'!D24)</f>
        <v>54690</v>
      </c>
      <c r="O24" s="240">
        <f>SUMIFS('Budget - 2026'!$EB$5:$EB$56,'Budget - 2026'!$B$5:$B$56,'AVA CG - Overview'!D24)</f>
        <v>0</v>
      </c>
      <c r="P24" s="239">
        <f>SUMIFS('Actual - 2026'!$BD$5:$BD$56,'Actual - 2026'!$A$5:$A$56,'AVA CG - Overview'!D24)</f>
        <v>175371.36000000002</v>
      </c>
      <c r="Q24" s="233">
        <f>SUMIFS('Budget - 2026'!$DD$5:$DD$56,'Budget - 2026'!$B$5:$B$56,D24)</f>
        <v>197718.39999999999</v>
      </c>
      <c r="R24" s="240">
        <f>SUMIFS('Budget - 2026'!$DY$5:$DY$56,'Budget - 2026'!$B$5:$B$56,'AVA CG - Overview'!D24)</f>
        <v>0</v>
      </c>
      <c r="S24" s="319">
        <v>0</v>
      </c>
      <c r="T24" s="233">
        <f>SUMIFS('Budget - 2026'!$DJ$5:$DJ$56,'Budget - 2026'!$B$5:$B$56,D24)</f>
        <v>0</v>
      </c>
      <c r="U24" s="240">
        <f>SUMIFS('Budget - 2026'!$EE$5:$EE$56,'Budget - 2026'!$B$5:$B$56,'AVA CG - Overview'!G24)</f>
        <v>0</v>
      </c>
    </row>
    <row r="25" spans="2:21" s="108" customFormat="1" ht="22.15" customHeight="1">
      <c r="D25" s="193" t="s">
        <v>144</v>
      </c>
      <c r="E25" s="194"/>
      <c r="F25" s="239">
        <f>SUMIFS('Actual - 2026'!$BM$5:$BM$56,'Actual - 2026'!$A$5:$A$56,'AVA CG - Overview'!D25)</f>
        <v>245360.7</v>
      </c>
      <c r="G25" s="233">
        <f>SUMIFS('Budget - 2026'!$DM$5:$DM$56,'Budget - 2026'!$B$5:$B$56,'AVA CG - Overview'!D25)</f>
        <v>252408.4</v>
      </c>
      <c r="H25" s="247">
        <f t="shared" si="3"/>
        <v>-2.7921812427795518E-2</v>
      </c>
      <c r="I25" s="194"/>
      <c r="J25" s="239">
        <f>SUMIFS('Budget - 2026'!$EH$5:$EH$56,'Budget - 2026'!$B$5:$B$56,'AVA CG - Overview'!D25)</f>
        <v>0</v>
      </c>
      <c r="K25" s="251">
        <f t="shared" si="1"/>
        <v>0</v>
      </c>
      <c r="L25" s="194"/>
      <c r="M25" s="239">
        <f>SUMIFS('Actual - 2026'!$BG$5:$BG$56,'Actual - 2026'!$A$5:$A$56,'AVA CG - Overview'!D25)</f>
        <v>55143.77</v>
      </c>
      <c r="N25" s="233">
        <f>SUMIFS('Budget - 2026'!$DG$5:$DG$56,'Budget - 2026'!$B$5:$B$56,'AVA CG - Overview'!D25)</f>
        <v>54690</v>
      </c>
      <c r="O25" s="240">
        <f>SUMIFS('Budget - 2026'!$EB$5:$EB$56,'Budget - 2026'!$B$5:$B$56,'AVA CG - Overview'!D25)</f>
        <v>0</v>
      </c>
      <c r="P25" s="239">
        <f>SUMIFS('Actual - 2026'!$BD$5:$BD$56,'Actual - 2026'!$A$5:$A$56,'AVA CG - Overview'!D25)</f>
        <v>190216.93000000002</v>
      </c>
      <c r="Q25" s="233">
        <f>SUMIFS('Budget - 2026'!$DD$5:$DD$56,'Budget - 2026'!$B$5:$B$56,D25)</f>
        <v>197718.39999999999</v>
      </c>
      <c r="R25" s="240">
        <f>SUMIFS('Budget - 2026'!$DY$5:$DY$56,'Budget - 2026'!$B$5:$B$56,'AVA CG - Overview'!D25)</f>
        <v>0</v>
      </c>
      <c r="S25" s="322">
        <v>0</v>
      </c>
      <c r="T25" s="233">
        <f>SUMIFS('Budget - 2026'!$DJ$5:$DJ$56,'Budget - 2026'!$B$5:$B$56,D25)</f>
        <v>0</v>
      </c>
      <c r="U25" s="240">
        <f>SUMIFS('Budget - 2026'!$EE$5:$EE$56,'Budget - 2026'!$B$5:$B$56,'AVA CG - Overview'!G25)</f>
        <v>0</v>
      </c>
    </row>
    <row r="26" spans="2:21" s="108" customFormat="1" ht="22.15" customHeight="1">
      <c r="D26" s="227" t="s">
        <v>255</v>
      </c>
      <c r="E26" s="194"/>
      <c r="F26" s="241">
        <f>SUM(F22:F25)</f>
        <v>918065.57000000007</v>
      </c>
      <c r="G26" s="228">
        <f>SUM(G22:G25)</f>
        <v>1009633.6</v>
      </c>
      <c r="H26" s="248">
        <f t="shared" si="3"/>
        <v>-9.069431722557561E-2</v>
      </c>
      <c r="I26" s="194"/>
      <c r="J26" s="241">
        <f>SUM(J22:J25)</f>
        <v>0</v>
      </c>
      <c r="K26" s="248">
        <f>IFERROR((F26-J26)/J26,0)</f>
        <v>0</v>
      </c>
      <c r="L26" s="194"/>
      <c r="M26" s="241">
        <f t="shared" ref="M26:R26" si="6">SUM(M22:M25)</f>
        <v>216182.71999999997</v>
      </c>
      <c r="N26" s="228">
        <f t="shared" si="6"/>
        <v>218760</v>
      </c>
      <c r="O26" s="242">
        <f t="shared" si="6"/>
        <v>0</v>
      </c>
      <c r="P26" s="241">
        <f t="shared" si="6"/>
        <v>701882.85</v>
      </c>
      <c r="Q26" s="228">
        <f t="shared" si="6"/>
        <v>790873.59999999998</v>
      </c>
      <c r="R26" s="242">
        <f t="shared" si="6"/>
        <v>0</v>
      </c>
      <c r="S26" s="241">
        <v>0</v>
      </c>
      <c r="T26" s="228">
        <f>SUM(T22:T25)</f>
        <v>0</v>
      </c>
      <c r="U26" s="242">
        <f>SUM(U22:U25)</f>
        <v>0</v>
      </c>
    </row>
    <row r="27" spans="2:21" s="108" customFormat="1" ht="22.15" customHeight="1">
      <c r="D27" s="193" t="s">
        <v>147</v>
      </c>
      <c r="E27" s="194"/>
      <c r="F27" s="239">
        <f>SUMIFS('Actual - 2026'!$BM$5:$BM$56,'Actual - 2026'!$A$5:$A$56,'AVA CG - Overview'!D27)</f>
        <v>283110.81000000006</v>
      </c>
      <c r="G27" s="233">
        <f>SUMIFS('Budget - 2026'!$DM$5:$DM$56,'Budget - 2026'!$B$5:$B$56,'AVA CG - Overview'!D27)</f>
        <v>252408.4</v>
      </c>
      <c r="H27" s="247">
        <f t="shared" si="3"/>
        <v>0.12163782980281188</v>
      </c>
      <c r="I27" s="194"/>
      <c r="J27" s="239">
        <f>SUMIFS('Budget - 2026'!$EH$5:$EH$56,'Budget - 2026'!$B$5:$B$56,'AVA CG - Overview'!D27)</f>
        <v>0</v>
      </c>
      <c r="K27" s="251">
        <f t="shared" si="1"/>
        <v>0</v>
      </c>
      <c r="L27" s="194"/>
      <c r="M27" s="239">
        <f>SUMIFS('Actual - 2026'!$BG$5:$BG$56,'Actual - 2026'!$A$5:$A$56,'AVA CG - Overview'!D27)</f>
        <v>39440.43</v>
      </c>
      <c r="N27" s="233">
        <f>SUMIFS('Budget - 2026'!$DG$5:$DG$56,'Budget - 2026'!$B$5:$B$56,'AVA CG - Overview'!D27)</f>
        <v>54690</v>
      </c>
      <c r="O27" s="240">
        <f>SUMIFS('Budget - 2026'!$EB$5:$EB$56,'Budget - 2026'!$B$5:$B$56,'AVA CG - Overview'!D27)</f>
        <v>0</v>
      </c>
      <c r="P27" s="239">
        <f>SUMIFS('Actual - 2026'!$BD$5:$BD$56,'Actual - 2026'!$A$5:$A$56,'AVA CG - Overview'!D27)</f>
        <v>243670.38000000003</v>
      </c>
      <c r="Q27" s="233">
        <f>SUMIFS('Budget - 2026'!$DD$5:$DD$56,'Budget - 2026'!$B$5:$B$56,D27)</f>
        <v>197718.39999999999</v>
      </c>
      <c r="R27" s="240">
        <f>SUMIFS('Budget - 2026'!$DY$5:$DY$56,'Budget - 2026'!$B$5:$B$56,'AVA CG - Overview'!D27)</f>
        <v>0</v>
      </c>
      <c r="S27" s="239">
        <v>0</v>
      </c>
      <c r="T27" s="233">
        <f>SUMIFS('Budget - 2026'!$DJ$5:$DJ$56,'Budget - 2026'!$B$5:$B$56,D27)</f>
        <v>0</v>
      </c>
      <c r="U27" s="240">
        <f>SUMIFS('Budget - 2026'!$EE$5:$EE$56,'Budget - 2026'!$B$5:$B$56,'AVA CG - Overview'!G27)</f>
        <v>0</v>
      </c>
    </row>
    <row r="28" spans="2:21" s="108" customFormat="1" ht="22.15" customHeight="1">
      <c r="B28" s="108" t="s">
        <v>99</v>
      </c>
      <c r="D28" s="193" t="s">
        <v>148</v>
      </c>
      <c r="E28" s="194"/>
      <c r="F28" s="239">
        <f>SUMIFS('Actual - 2026'!$BM$5:$BM$56,'Actual - 2026'!$A$5:$A$56,'AVA CG - Overview'!D28)</f>
        <v>325695</v>
      </c>
      <c r="G28" s="233">
        <f>SUMIFS('Budget - 2026'!$DM$5:$DM$56,'Budget - 2026'!$B$5:$B$56,'AVA CG - Overview'!D28)</f>
        <v>252408.4</v>
      </c>
      <c r="H28" s="247">
        <f t="shared" si="3"/>
        <v>0.29034929106955237</v>
      </c>
      <c r="I28" s="194"/>
      <c r="J28" s="239">
        <f>SUMIFS('Budget - 2026'!$EH$5:$EH$56,'Budget - 2026'!$B$5:$B$56,'AVA CG - Overview'!D28)</f>
        <v>0</v>
      </c>
      <c r="K28" s="251">
        <f t="shared" si="1"/>
        <v>0</v>
      </c>
      <c r="L28" s="194"/>
      <c r="M28" s="239">
        <f>SUMIFS('Actual - 2026'!$BG$5:$BG$56,'Actual - 2026'!$A$5:$A$56,'AVA CG - Overview'!D28)</f>
        <v>79916.710000000006</v>
      </c>
      <c r="N28" s="233">
        <f>SUMIFS('Budget - 2026'!$DG$5:$DG$56,'Budget - 2026'!$B$5:$B$56,'AVA CG - Overview'!D28)</f>
        <v>54690</v>
      </c>
      <c r="O28" s="240">
        <f>SUMIFS('Budget - 2026'!$EB$5:$EB$56,'Budget - 2026'!$B$5:$B$56,'AVA CG - Overview'!D28)</f>
        <v>0</v>
      </c>
      <c r="P28" s="239">
        <f>SUMIFS('Actual - 2026'!$BD$5:$BD$56,'Actual - 2026'!$A$5:$A$56,'AVA CG - Overview'!D28)</f>
        <v>245778.28999999998</v>
      </c>
      <c r="Q28" s="233">
        <f>SUMIFS('Budget - 2026'!$DD$5:$DD$56,'Budget - 2026'!$B$5:$B$56,D28)</f>
        <v>197718.39999999999</v>
      </c>
      <c r="R28" s="240">
        <f>SUMIFS('Budget - 2026'!$DY$5:$DY$56,'Budget - 2026'!$B$5:$B$56,'AVA CG - Overview'!D28)</f>
        <v>0</v>
      </c>
      <c r="S28" s="239">
        <v>0</v>
      </c>
      <c r="T28" s="233">
        <f>SUMIFS('Budget - 2026'!$DJ$5:$DJ$56,'Budget - 2026'!$B$5:$B$56,D28)</f>
        <v>0</v>
      </c>
      <c r="U28" s="240">
        <f>SUMIFS('Budget - 2026'!$EE$5:$EE$56,'Budget - 2026'!$B$5:$B$56,'AVA CG - Overview'!G28)</f>
        <v>0</v>
      </c>
    </row>
    <row r="29" spans="2:21" s="108" customFormat="1" ht="22.15" customHeight="1">
      <c r="D29" s="193" t="s">
        <v>149</v>
      </c>
      <c r="E29" s="194"/>
      <c r="F29" s="239">
        <f>SUMIFS('Actual - 2026'!$BM$5:$BM$56,'Actual - 2026'!$A$5:$A$56,'AVA CG - Overview'!D29)</f>
        <v>217405.92000000004</v>
      </c>
      <c r="G29" s="233">
        <f>SUMIFS('Budget - 2026'!$DM$5:$DM$56,'Budget - 2026'!$B$5:$B$56,'AVA CG - Overview'!D29)</f>
        <v>252408.4</v>
      </c>
      <c r="H29" s="247">
        <f t="shared" si="3"/>
        <v>-0.138673990247551</v>
      </c>
      <c r="I29" s="194"/>
      <c r="J29" s="239">
        <f>SUMIFS('Budget - 2026'!$EH$5:$EH$56,'Budget - 2026'!$B$5:$B$56,'AVA CG - Overview'!D29)</f>
        <v>0</v>
      </c>
      <c r="K29" s="251">
        <f t="shared" si="1"/>
        <v>0</v>
      </c>
      <c r="L29" s="194"/>
      <c r="M29" s="239">
        <f>SUMIFS('Actual - 2026'!$BG$5:$BG$56,'Actual - 2026'!$A$5:$A$56,'AVA CG - Overview'!D29)</f>
        <v>54691.39</v>
      </c>
      <c r="N29" s="233">
        <f>SUMIFS('Budget - 2026'!$DG$5:$DG$56,'Budget - 2026'!$B$5:$B$56,'AVA CG - Overview'!D29)</f>
        <v>54690</v>
      </c>
      <c r="O29" s="240">
        <f>SUMIFS('Budget - 2026'!$EB$5:$EB$56,'Budget - 2026'!$B$5:$B$56,'AVA CG - Overview'!D29)</f>
        <v>0</v>
      </c>
      <c r="P29" s="239">
        <f>SUMIFS('Actual - 2026'!$BD$5:$BD$56,'Actual - 2026'!$A$5:$A$56,'AVA CG - Overview'!D29)</f>
        <v>162714.53000000003</v>
      </c>
      <c r="Q29" s="233">
        <f>SUMIFS('Budget - 2026'!$DD$5:$DD$56,'Budget - 2026'!$B$5:$B$56,D29)</f>
        <v>197718.39999999999</v>
      </c>
      <c r="R29" s="240">
        <f>SUMIFS('Budget - 2026'!$DY$5:$DY$56,'Budget - 2026'!$B$5:$B$56,'AVA CG - Overview'!D29)</f>
        <v>0</v>
      </c>
      <c r="S29" s="239">
        <v>0</v>
      </c>
      <c r="T29" s="233">
        <f>SUMIFS('Budget - 2026'!$DJ$5:$DJ$56,'Budget - 2026'!$B$5:$B$56,D29)</f>
        <v>0</v>
      </c>
      <c r="U29" s="240">
        <f>SUMIFS('Budget - 2026'!$EE$5:$EE$56,'Budget - 2026'!$B$5:$B$56,'AVA CG - Overview'!G29)</f>
        <v>0</v>
      </c>
    </row>
    <row r="30" spans="2:21" s="108" customFormat="1" ht="22.15" customHeight="1">
      <c r="D30" s="193" t="s">
        <v>150</v>
      </c>
      <c r="E30" s="194"/>
      <c r="F30" s="239">
        <f>SUMIFS('Actual - 2026'!$BM$5:$BM$56,'Actual - 2026'!$A$5:$A$56,'AVA CG - Overview'!D30)</f>
        <v>212301.68</v>
      </c>
      <c r="G30" s="233">
        <f>SUMIFS('Budget - 2026'!$DM$5:$DM$56,'Budget - 2026'!$B$5:$B$56,'AVA CG - Overview'!D30)</f>
        <v>252408.4</v>
      </c>
      <c r="H30" s="247">
        <f t="shared" si="3"/>
        <v>-0.15889613816338918</v>
      </c>
      <c r="I30" s="194"/>
      <c r="J30" s="239">
        <f>SUMIFS('Budget - 2026'!$EH$5:$EH$56,'Budget - 2026'!$B$5:$B$56,'AVA CG - Overview'!D30)</f>
        <v>0</v>
      </c>
      <c r="K30" s="251">
        <f t="shared" si="1"/>
        <v>0</v>
      </c>
      <c r="L30" s="194"/>
      <c r="M30" s="239">
        <f>SUMIFS('Actual - 2026'!$BG$5:$BG$56,'Actual - 2026'!$A$5:$A$56,'AVA CG - Overview'!D30)</f>
        <v>32852.199999999997</v>
      </c>
      <c r="N30" s="233">
        <f>SUMIFS('Budget - 2026'!$DG$5:$DG$56,'Budget - 2026'!$B$5:$B$56,'AVA CG - Overview'!D30)</f>
        <v>54690</v>
      </c>
      <c r="O30" s="240">
        <f>SUMIFS('Budget - 2026'!$EB$5:$EB$56,'Budget - 2026'!$B$5:$B$56,'AVA CG - Overview'!D30)</f>
        <v>0</v>
      </c>
      <c r="P30" s="239">
        <f>SUMIFS('Actual - 2026'!$BD$5:$BD$56,'Actual - 2026'!$A$5:$A$56,'AVA CG - Overview'!D30)</f>
        <v>179449.48</v>
      </c>
      <c r="Q30" s="233">
        <f>SUMIFS('Budget - 2026'!$DD$5:$DD$56,'Budget - 2026'!$B$5:$B$56,D30)</f>
        <v>197718.39999999999</v>
      </c>
      <c r="R30" s="240">
        <f>SUMIFS('Budget - 2026'!$DY$5:$DY$56,'Budget - 2026'!$B$5:$B$56,'AVA CG - Overview'!D30)</f>
        <v>0</v>
      </c>
      <c r="S30" s="239">
        <v>0</v>
      </c>
      <c r="T30" s="233">
        <f>SUMIFS('Budget - 2026'!$DJ$5:$DJ$56,'Budget - 2026'!$B$5:$B$56,D30)</f>
        <v>0</v>
      </c>
      <c r="U30" s="240">
        <f>SUMIFS('Budget - 2026'!$EE$5:$EE$56,'Budget - 2026'!$B$5:$B$56,'AVA CG - Overview'!G30)</f>
        <v>0</v>
      </c>
    </row>
    <row r="31" spans="2:21" s="108" customFormat="1" ht="22.15" customHeight="1">
      <c r="D31" s="227" t="s">
        <v>256</v>
      </c>
      <c r="E31" s="194"/>
      <c r="F31" s="241">
        <f>SUM(F27:F30)</f>
        <v>1038513.4100000001</v>
      </c>
      <c r="G31" s="228">
        <f>SUM(G27:G30)</f>
        <v>1009633.6</v>
      </c>
      <c r="H31" s="248">
        <f t="shared" si="3"/>
        <v>2.8604248115356078E-2</v>
      </c>
      <c r="I31" s="194"/>
      <c r="J31" s="241">
        <f>SUM(J27:J30)</f>
        <v>0</v>
      </c>
      <c r="K31" s="248">
        <f>IFERROR((F31-J31)/J31,0)</f>
        <v>0</v>
      </c>
      <c r="L31" s="194"/>
      <c r="M31" s="241">
        <f t="shared" ref="M31:R31" si="7">SUM(M27:M30)</f>
        <v>206900.73000000004</v>
      </c>
      <c r="N31" s="228">
        <f t="shared" si="7"/>
        <v>218760</v>
      </c>
      <c r="O31" s="242">
        <f t="shared" si="7"/>
        <v>0</v>
      </c>
      <c r="P31" s="241">
        <f t="shared" si="7"/>
        <v>831612.68</v>
      </c>
      <c r="Q31" s="228">
        <f t="shared" si="7"/>
        <v>790873.59999999998</v>
      </c>
      <c r="R31" s="242">
        <f t="shared" si="7"/>
        <v>0</v>
      </c>
      <c r="S31" s="241">
        <v>0</v>
      </c>
      <c r="T31" s="228">
        <f>SUM(T27:T30)</f>
        <v>0</v>
      </c>
      <c r="U31" s="242">
        <f>SUM(U27:U30)</f>
        <v>0</v>
      </c>
    </row>
    <row r="32" spans="2:21" s="108" customFormat="1" ht="22.15" customHeight="1">
      <c r="D32" s="193" t="s">
        <v>153</v>
      </c>
      <c r="E32" s="194"/>
      <c r="F32" s="239">
        <f>SUMIFS('Actual - 2026'!$BM$5:$BM$56,'Actual - 2026'!$A$5:$A$56,'AVA CG - Overview'!D32)</f>
        <v>202967.18</v>
      </c>
      <c r="G32" s="233">
        <f>SUMIFS('Budget - 2026'!$DM$5:$DM$56,'Budget - 2026'!$B$5:$B$56,'AVA CG - Overview'!D32)</f>
        <v>244123.17799999999</v>
      </c>
      <c r="H32" s="247">
        <f t="shared" si="3"/>
        <v>-0.16858701552705493</v>
      </c>
      <c r="I32" s="194"/>
      <c r="J32" s="239">
        <f>SUMIFS('Budget - 2026'!$EH$5:$EH$56,'Budget - 2026'!$B$5:$B$56,'AVA CG - Overview'!D32)</f>
        <v>0</v>
      </c>
      <c r="K32" s="251">
        <f t="shared" si="1"/>
        <v>0</v>
      </c>
      <c r="L32" s="194"/>
      <c r="M32" s="239">
        <f>SUMIFS('Actual - 2026'!$BG$5:$BG$56,'Actual - 2026'!$A$5:$A$56,'AVA CG - Overview'!D32)</f>
        <v>50328.350000000006</v>
      </c>
      <c r="N32" s="233">
        <f>SUMIFS('Budget - 2026'!$DG$5:$DG$56,'Budget - 2026'!$B$5:$B$56,'AVA CG - Overview'!D32)</f>
        <v>64700</v>
      </c>
      <c r="O32" s="240">
        <f>SUMIFS('Budget - 2026'!$EB$5:$EB$56,'Budget - 2026'!$B$5:$B$56,'AVA CG - Overview'!D32)</f>
        <v>0</v>
      </c>
      <c r="P32" s="239">
        <f>SUMIFS('Actual - 2026'!$BD$5:$BD$56,'Actual - 2026'!$A$5:$A$56,'AVA CG - Overview'!D32)</f>
        <v>152638.82999999999</v>
      </c>
      <c r="Q32" s="233">
        <f>SUMIFS('Budget - 2026'!$DD$5:$DD$56,'Budget - 2026'!$B$5:$B$56,D32)</f>
        <v>179423.17799999999</v>
      </c>
      <c r="R32" s="240">
        <f>SUMIFS('Budget - 2026'!$DY$5:$DY$56,'Budget - 2026'!$B$5:$B$56,'AVA CG - Overview'!D32)</f>
        <v>0</v>
      </c>
      <c r="S32" s="239">
        <v>0</v>
      </c>
      <c r="T32" s="233">
        <f>SUMIFS('Budget - 2026'!$DJ$5:$DJ$56,'Budget - 2026'!$B$5:$B$56,D32)</f>
        <v>0</v>
      </c>
      <c r="U32" s="240">
        <f>SUMIFS('Budget - 2026'!$EE$5:$EE$56,'Budget - 2026'!$B$5:$B$56,'AVA CG - Overview'!G32)</f>
        <v>0</v>
      </c>
    </row>
    <row r="33" spans="4:21" s="108" customFormat="1" ht="22.15" customHeight="1">
      <c r="D33" s="193" t="s">
        <v>154</v>
      </c>
      <c r="E33" s="194"/>
      <c r="F33" s="239">
        <f>SUMIFS('Actual - 2026'!$BM$5:$BM$56,'Actual - 2026'!$A$5:$A$56,'AVA CG - Overview'!D33)</f>
        <v>185190.92</v>
      </c>
      <c r="G33" s="233">
        <f>SUMIFS('Budget - 2026'!$DM$5:$DM$56,'Budget - 2026'!$B$5:$B$56,'AVA CG - Overview'!D33)</f>
        <v>244123.17799999999</v>
      </c>
      <c r="H33" s="247">
        <f t="shared" si="3"/>
        <v>-0.24140378018509973</v>
      </c>
      <c r="I33" s="194"/>
      <c r="J33" s="239">
        <f>SUMIFS('Budget - 2026'!$EH$5:$EH$56,'Budget - 2026'!$B$5:$B$56,'AVA CG - Overview'!D33)</f>
        <v>0</v>
      </c>
      <c r="K33" s="251">
        <f t="shared" si="1"/>
        <v>0</v>
      </c>
      <c r="L33" s="194"/>
      <c r="M33" s="239">
        <f>SUMIFS('Actual - 2026'!$BG$5:$BG$56,'Actual - 2026'!$A$5:$A$56,'AVA CG - Overview'!D33)</f>
        <v>37719.93</v>
      </c>
      <c r="N33" s="233">
        <f>SUMIFS('Budget - 2026'!$DG$5:$DG$56,'Budget - 2026'!$B$5:$B$56,'AVA CG - Overview'!D33)</f>
        <v>64700</v>
      </c>
      <c r="O33" s="240">
        <f>SUMIFS('Budget - 2026'!$EB$5:$EB$56,'Budget - 2026'!$B$5:$B$56,'AVA CG - Overview'!D33)</f>
        <v>0</v>
      </c>
      <c r="P33" s="239">
        <f>SUMIFS('Actual - 2026'!$BD$5:$BD$56,'Actual - 2026'!$A$5:$A$56,'AVA CG - Overview'!D33)</f>
        <v>147470.99000000002</v>
      </c>
      <c r="Q33" s="233">
        <f>SUMIFS('Budget - 2026'!$DD$5:$DD$56,'Budget - 2026'!$B$5:$B$56,D33)</f>
        <v>179423.17799999999</v>
      </c>
      <c r="R33" s="240">
        <f>SUMIFS('Budget - 2026'!$DY$5:$DY$56,'Budget - 2026'!$B$5:$B$56,'AVA CG - Overview'!D33)</f>
        <v>0</v>
      </c>
      <c r="S33" s="239">
        <v>0</v>
      </c>
      <c r="T33" s="233">
        <f>SUMIFS('Budget - 2026'!$DJ$5:$DJ$56,'Budget - 2026'!$B$5:$B$56,D33)</f>
        <v>0</v>
      </c>
      <c r="U33" s="240">
        <f>SUMIFS('Budget - 2026'!$EE$5:$EE$56,'Budget - 2026'!$B$5:$B$56,'AVA CG - Overview'!G33)</f>
        <v>0</v>
      </c>
    </row>
    <row r="34" spans="4:21" s="108" customFormat="1" ht="22.15" customHeight="1">
      <c r="D34" s="193" t="s">
        <v>155</v>
      </c>
      <c r="E34" s="194"/>
      <c r="F34" s="239">
        <f>SUMIFS('Actual - 2026'!$BM$5:$BM$56,'Actual - 2026'!$A$5:$A$56,'AVA CG - Overview'!D34)</f>
        <v>172429.36000000002</v>
      </c>
      <c r="G34" s="233">
        <f>SUMIFS('Budget - 2026'!$DM$5:$DM$56,'Budget - 2026'!$B$5:$B$56,'AVA CG - Overview'!D34)</f>
        <v>244123.17799999999</v>
      </c>
      <c r="H34" s="247">
        <f t="shared" si="3"/>
        <v>-0.2936788656749339</v>
      </c>
      <c r="I34" s="194"/>
      <c r="J34" s="239">
        <f>SUMIFS('Budget - 2026'!$EH$5:$EH$56,'Budget - 2026'!$B$5:$B$56,'AVA CG - Overview'!D34)</f>
        <v>0</v>
      </c>
      <c r="K34" s="251">
        <f t="shared" si="1"/>
        <v>0</v>
      </c>
      <c r="L34" s="194"/>
      <c r="M34" s="239">
        <f>SUMIFS('Actual - 2026'!$BG$5:$BG$56,'Actual - 2026'!$A$5:$A$56,'AVA CG - Overview'!D34)</f>
        <v>36384.720000000001</v>
      </c>
      <c r="N34" s="233">
        <f>SUMIFS('Budget - 2026'!$DG$5:$DG$56,'Budget - 2026'!$B$5:$B$56,'AVA CG - Overview'!D34)</f>
        <v>64700</v>
      </c>
      <c r="O34" s="240">
        <f>SUMIFS('Budget - 2026'!$EB$5:$EB$56,'Budget - 2026'!$B$5:$B$56,'AVA CG - Overview'!D34)</f>
        <v>0</v>
      </c>
      <c r="P34" s="239">
        <f>SUMIFS('Actual - 2026'!$BD$5:$BD$56,'Actual - 2026'!$A$5:$A$56,'AVA CG - Overview'!D34)</f>
        <v>136044.64000000001</v>
      </c>
      <c r="Q34" s="233">
        <f>SUMIFS('Budget - 2026'!$DD$5:$DD$56,'Budget - 2026'!$B$5:$B$56,D34)</f>
        <v>179423.17799999999</v>
      </c>
      <c r="R34" s="240">
        <f>SUMIFS('Budget - 2026'!$DY$5:$DY$56,'Budget - 2026'!$B$5:$B$56,'AVA CG - Overview'!D34)</f>
        <v>0</v>
      </c>
      <c r="S34" s="239">
        <v>0</v>
      </c>
      <c r="T34" s="233">
        <f>SUMIFS('Budget - 2026'!$DJ$5:$DJ$56,'Budget - 2026'!$B$5:$B$56,D34)</f>
        <v>0</v>
      </c>
      <c r="U34" s="240">
        <f>SUMIFS('Budget - 2026'!$EE$5:$EE$56,'Budget - 2026'!$B$5:$B$56,'AVA CG - Overview'!G34)</f>
        <v>0</v>
      </c>
    </row>
    <row r="35" spans="4:21" s="108" customFormat="1" ht="22.15" customHeight="1">
      <c r="D35" s="193" t="s">
        <v>156</v>
      </c>
      <c r="E35" s="194"/>
      <c r="F35" s="239">
        <f>SUMIFS('Actual - 2026'!$BM$5:$BM$56,'Actual - 2026'!$A$5:$A$56,'AVA CG - Overview'!D35)</f>
        <v>166277.49</v>
      </c>
      <c r="G35" s="233">
        <f>SUMIFS('Budget - 2026'!$DM$5:$DM$56,'Budget - 2026'!$B$5:$B$56,'AVA CG - Overview'!D35)</f>
        <v>244123.17799999999</v>
      </c>
      <c r="H35" s="247">
        <f t="shared" si="3"/>
        <v>-0.3188787260503384</v>
      </c>
      <c r="I35" s="194"/>
      <c r="J35" s="239">
        <f>SUMIFS('Budget - 2026'!$EH$5:$EH$56,'Budget - 2026'!$B$5:$B$56,'AVA CG - Overview'!D35)</f>
        <v>0</v>
      </c>
      <c r="K35" s="251">
        <f t="shared" si="1"/>
        <v>0</v>
      </c>
      <c r="L35" s="194"/>
      <c r="M35" s="239">
        <f>SUMIFS('Actual - 2026'!$BG$5:$BG$56,'Actual - 2026'!$A$5:$A$56,'AVA CG - Overview'!D35)</f>
        <v>39225.5</v>
      </c>
      <c r="N35" s="233">
        <f>SUMIFS('Budget - 2026'!$DG$5:$DG$56,'Budget - 2026'!$B$5:$B$56,'AVA CG - Overview'!D35)</f>
        <v>64700</v>
      </c>
      <c r="O35" s="240">
        <f>SUMIFS('Budget - 2026'!$EB$5:$EB$56,'Budget - 2026'!$B$5:$B$56,'AVA CG - Overview'!D35)</f>
        <v>0</v>
      </c>
      <c r="P35" s="239">
        <f>SUMIFS('Actual - 2026'!$BD$5:$BD$56,'Actual - 2026'!$A$5:$A$56,'AVA CG - Overview'!D35)</f>
        <v>127051.98999999999</v>
      </c>
      <c r="Q35" s="233">
        <f>SUMIFS('Budget - 2026'!$DD$5:$DD$56,'Budget - 2026'!$B$5:$B$56,D35)</f>
        <v>179423.17799999999</v>
      </c>
      <c r="R35" s="240">
        <f>SUMIFS('Budget - 2026'!$DY$5:$DY$56,'Budget - 2026'!$B$5:$B$56,'AVA CG - Overview'!D35)</f>
        <v>0</v>
      </c>
      <c r="S35" s="239">
        <v>0</v>
      </c>
      <c r="T35" s="233">
        <f>SUMIFS('Budget - 2026'!$DJ$5:$DJ$56,'Budget - 2026'!$B$5:$B$56,D35)</f>
        <v>0</v>
      </c>
      <c r="U35" s="240">
        <f>SUMIFS('Budget - 2026'!$EE$5:$EE$56,'Budget - 2026'!$B$5:$B$56,'AVA CG - Overview'!G35)</f>
        <v>0</v>
      </c>
    </row>
    <row r="36" spans="4:21" s="108" customFormat="1" ht="22.15" customHeight="1">
      <c r="D36" s="193" t="s">
        <v>157</v>
      </c>
      <c r="E36" s="194"/>
      <c r="F36" s="239">
        <f>SUMIFS('Actual - 2026'!$BM$5:$BM$56,'Actual - 2026'!$A$5:$A$56,'AVA CG - Overview'!D36)</f>
        <v>155504.13</v>
      </c>
      <c r="G36" s="233">
        <f>SUMIFS('Budget - 2026'!$DM$5:$DM$56,'Budget - 2026'!$B$5:$B$56,'AVA CG - Overview'!D36)</f>
        <v>244123.17799999999</v>
      </c>
      <c r="H36" s="247">
        <f t="shared" si="3"/>
        <v>-0.36300956232840775</v>
      </c>
      <c r="I36" s="194"/>
      <c r="J36" s="239">
        <f>SUMIFS('Budget - 2026'!$EH$5:$EH$56,'Budget - 2026'!$B$5:$B$56,'AVA CG - Overview'!D36)</f>
        <v>0</v>
      </c>
      <c r="K36" s="251">
        <f t="shared" si="1"/>
        <v>0</v>
      </c>
      <c r="L36" s="194"/>
      <c r="M36" s="239">
        <f>SUMIFS('Actual - 2026'!$BG$5:$BG$56,'Actual - 2026'!$A$5:$A$56,'AVA CG - Overview'!D36)</f>
        <v>31372.370000000003</v>
      </c>
      <c r="N36" s="233">
        <f>SUMIFS('Budget - 2026'!$DG$5:$DG$56,'Budget - 2026'!$B$5:$B$56,'AVA CG - Overview'!D36)</f>
        <v>64700</v>
      </c>
      <c r="O36" s="240">
        <f>SUMIFS('Budget - 2026'!$EB$5:$EB$56,'Budget - 2026'!$B$5:$B$56,'AVA CG - Overview'!D36)</f>
        <v>0</v>
      </c>
      <c r="P36" s="239">
        <f>SUMIFS('Actual - 2026'!$BD$5:$BD$56,'Actual - 2026'!$A$5:$A$56,'AVA CG - Overview'!D36)</f>
        <v>124131.76</v>
      </c>
      <c r="Q36" s="233">
        <f>SUMIFS('Budget - 2026'!$DD$5:$DD$56,'Budget - 2026'!$B$5:$B$56,D36)</f>
        <v>179423.17799999999</v>
      </c>
      <c r="R36" s="240">
        <f>SUMIFS('Budget - 2026'!$DY$5:$DY$56,'Budget - 2026'!$B$5:$B$56,'AVA CG - Overview'!D36)</f>
        <v>0</v>
      </c>
      <c r="S36" s="239">
        <v>0</v>
      </c>
      <c r="T36" s="233">
        <f>SUMIFS('Budget - 2026'!$DJ$5:$DJ$56,'Budget - 2026'!$B$5:$B$56,D36)</f>
        <v>0</v>
      </c>
      <c r="U36" s="240">
        <f>SUMIFS('Budget - 2026'!$EE$5:$EE$56,'Budget - 2026'!$B$5:$B$56,'AVA CG - Overview'!G36)</f>
        <v>0</v>
      </c>
    </row>
    <row r="37" spans="4:21" s="108" customFormat="1" ht="22.15" customHeight="1">
      <c r="D37" s="227" t="s">
        <v>257</v>
      </c>
      <c r="E37" s="194"/>
      <c r="F37" s="241">
        <f>SUM(F32:F36)</f>
        <v>882369.08</v>
      </c>
      <c r="G37" s="228">
        <f>SUM(G32:G36)</f>
        <v>1220615.8899999999</v>
      </c>
      <c r="H37" s="248">
        <f t="shared" si="3"/>
        <v>-0.27711158995316698</v>
      </c>
      <c r="I37" s="194"/>
      <c r="J37" s="241">
        <f>SUM(J32:J36)</f>
        <v>0</v>
      </c>
      <c r="K37" s="248">
        <f>IFERROR((F37-J37)/J37,0)</f>
        <v>0</v>
      </c>
      <c r="L37" s="194"/>
      <c r="M37" s="241">
        <f t="shared" ref="M37:R37" si="8">SUM(M32:M36)</f>
        <v>195030.87</v>
      </c>
      <c r="N37" s="228">
        <f t="shared" si="8"/>
        <v>323500</v>
      </c>
      <c r="O37" s="242">
        <f t="shared" si="8"/>
        <v>0</v>
      </c>
      <c r="P37" s="241">
        <f t="shared" si="8"/>
        <v>687338.21</v>
      </c>
      <c r="Q37" s="228">
        <f t="shared" si="8"/>
        <v>897115.8899999999</v>
      </c>
      <c r="R37" s="242">
        <f t="shared" si="8"/>
        <v>0</v>
      </c>
      <c r="S37" s="241">
        <v>0</v>
      </c>
      <c r="T37" s="228">
        <f>SUM(T32:T36)</f>
        <v>0</v>
      </c>
      <c r="U37" s="242">
        <f>SUM(U32:U36)</f>
        <v>0</v>
      </c>
    </row>
    <row r="38" spans="4:21" s="108" customFormat="1" ht="22.15" customHeight="1">
      <c r="D38" s="193" t="s">
        <v>160</v>
      </c>
      <c r="E38" s="194"/>
      <c r="F38" s="239">
        <f>SUMIFS('Actual - 2026'!$BM$5:$BM$56,'Actual - 2026'!$A$5:$A$56,'AVA CG - Overview'!D38)</f>
        <v>95036.06</v>
      </c>
      <c r="G38" s="233">
        <f>SUMIFS('Budget - 2026'!$DM$5:$DM$56,'Budget - 2026'!$B$5:$B$56,'AVA CG - Overview'!D38)</f>
        <v>243921.14799999999</v>
      </c>
      <c r="H38" s="247">
        <f t="shared" si="3"/>
        <v>-0.61038204034690746</v>
      </c>
      <c r="I38" s="194"/>
      <c r="J38" s="239">
        <f>SUMIFS('Budget - 2026'!$EH$5:$EH$56,'Budget - 2026'!$B$5:$B$56,'AVA CG - Overview'!D38)</f>
        <v>0</v>
      </c>
      <c r="K38" s="251">
        <f t="shared" si="1"/>
        <v>0</v>
      </c>
      <c r="L38" s="194"/>
      <c r="M38" s="239">
        <f>SUMIFS('Actual - 2026'!$BG$5:$BG$56,'Actual - 2026'!$A$5:$A$56,'AVA CG - Overview'!D38)</f>
        <v>17334.120000000003</v>
      </c>
      <c r="N38" s="233">
        <f>SUMIFS('Budget - 2026'!$DG$5:$DG$56,'Budget - 2026'!$B$5:$B$56,'AVA CG - Overview'!D38)</f>
        <v>64700</v>
      </c>
      <c r="O38" s="240">
        <f>SUMIFS('Budget - 2026'!$EB$5:$EB$56,'Budget - 2026'!$B$5:$B$56,'AVA CG - Overview'!D38)</f>
        <v>0</v>
      </c>
      <c r="P38" s="239">
        <f>SUMIFS('Actual - 2026'!$BD$5:$BD$56,'Actual - 2026'!$A$5:$A$56,'AVA CG - Overview'!D38)</f>
        <v>77701.939999999988</v>
      </c>
      <c r="Q38" s="233">
        <f>SUMIFS('Budget - 2026'!$DD$5:$DD$56,'Budget - 2026'!$B$5:$B$56,D38)</f>
        <v>179221.14799999999</v>
      </c>
      <c r="R38" s="240">
        <f>SUMIFS('Budget - 2026'!$DY$5:$DY$56,'Budget - 2026'!$B$5:$B$56,'AVA CG - Overview'!D38)</f>
        <v>0</v>
      </c>
      <c r="S38" s="239">
        <v>0</v>
      </c>
      <c r="T38" s="233">
        <f>SUMIFS('Budget - 2026'!$DJ$5:$DJ$56,'Budget - 2026'!$B$5:$B$56,D38)</f>
        <v>0</v>
      </c>
      <c r="U38" s="240">
        <f>SUMIFS('Budget - 2026'!$EE$5:$EE$56,'Budget - 2026'!$B$5:$B$56,'AVA CG - Overview'!G38)</f>
        <v>0</v>
      </c>
    </row>
    <row r="39" spans="4:21" s="108" customFormat="1" ht="22.15" customHeight="1">
      <c r="D39" s="193" t="s">
        <v>161</v>
      </c>
      <c r="E39" s="194"/>
      <c r="F39" s="239">
        <f>SUMIFS('Actual - 2026'!$BM$5:$BM$56,'Actual - 2026'!$A$5:$A$56,'AVA CG - Overview'!D39)</f>
        <v>127035.7</v>
      </c>
      <c r="G39" s="233">
        <f>SUMIFS('Budget - 2026'!$DM$5:$DM$56,'Budget - 2026'!$B$5:$B$56,'AVA CG - Overview'!D39)</f>
        <v>243921.14799999999</v>
      </c>
      <c r="H39" s="247">
        <f t="shared" si="3"/>
        <v>-0.47919357939394414</v>
      </c>
      <c r="I39" s="194"/>
      <c r="J39" s="239">
        <f>SUMIFS('Budget - 2026'!$EH$5:$EH$56,'Budget - 2026'!$B$5:$B$56,'AVA CG - Overview'!D39)</f>
        <v>0</v>
      </c>
      <c r="K39" s="251">
        <f t="shared" si="1"/>
        <v>0</v>
      </c>
      <c r="L39" s="194"/>
      <c r="M39" s="239">
        <f>SUMIFS('Actual - 2026'!$BG$5:$BG$56,'Actual - 2026'!$A$5:$A$56,'AVA CG - Overview'!D39)</f>
        <v>28025.03</v>
      </c>
      <c r="N39" s="233">
        <f>SUMIFS('Budget - 2026'!$DG$5:$DG$56,'Budget - 2026'!$B$5:$B$56,'AVA CG - Overview'!D39)</f>
        <v>64700</v>
      </c>
      <c r="O39" s="240">
        <f>SUMIFS('Budget - 2026'!$EB$5:$EB$56,'Budget - 2026'!$B$5:$B$56,'AVA CG - Overview'!D39)</f>
        <v>0</v>
      </c>
      <c r="P39" s="239">
        <f>SUMIFS('Actual - 2026'!$BD$5:$BD$56,'Actual - 2026'!$A$5:$A$56,'AVA CG - Overview'!D39)</f>
        <v>99010.67</v>
      </c>
      <c r="Q39" s="233">
        <f>SUMIFS('Budget - 2026'!$DD$5:$DD$56,'Budget - 2026'!$B$5:$B$56,D39)</f>
        <v>179221.14799999999</v>
      </c>
      <c r="R39" s="240">
        <f>SUMIFS('Budget - 2026'!$DY$5:$DY$56,'Budget - 2026'!$B$5:$B$56,'AVA CG - Overview'!D39)</f>
        <v>0</v>
      </c>
      <c r="S39" s="239">
        <v>0</v>
      </c>
      <c r="T39" s="233">
        <f>SUMIFS('Budget - 2026'!$DJ$5:$DJ$56,'Budget - 2026'!$B$5:$B$56,D39)</f>
        <v>0</v>
      </c>
      <c r="U39" s="240">
        <f>SUMIFS('Budget - 2026'!$EE$5:$EE$56,'Budget - 2026'!$B$5:$B$56,'AVA CG - Overview'!G39)</f>
        <v>0</v>
      </c>
    </row>
    <row r="40" spans="4:21" s="108" customFormat="1" ht="22.15" customHeight="1">
      <c r="D40" s="193" t="s">
        <v>162</v>
      </c>
      <c r="E40" s="194"/>
      <c r="F40" s="239">
        <f>SUMIFS('Actual - 2026'!$BM$5:$BM$56,'Actual - 2026'!$A$5:$A$56,'AVA CG - Overview'!D40)</f>
        <v>147662.00999999998</v>
      </c>
      <c r="G40" s="233">
        <f>SUMIFS('Budget - 2026'!$DM$5:$DM$56,'Budget - 2026'!$B$5:$B$56,'AVA CG - Overview'!D40)</f>
        <v>243921.14799999999</v>
      </c>
      <c r="H40" s="247">
        <f t="shared" si="3"/>
        <v>-0.39463219482715789</v>
      </c>
      <c r="I40" s="194"/>
      <c r="J40" s="239">
        <f>SUMIFS('Budget - 2026'!$EH$5:$EH$56,'Budget - 2026'!$B$5:$B$56,'AVA CG - Overview'!D40)</f>
        <v>0</v>
      </c>
      <c r="K40" s="251">
        <f t="shared" si="1"/>
        <v>0</v>
      </c>
      <c r="L40" s="194"/>
      <c r="M40" s="239">
        <f>SUMIFS('Actual - 2026'!$BG$5:$BG$56,'Actual - 2026'!$A$5:$A$56,'AVA CG - Overview'!D40)</f>
        <v>24678.02</v>
      </c>
      <c r="N40" s="233">
        <f>SUMIFS('Budget - 2026'!$DG$5:$DG$56,'Budget - 2026'!$B$5:$B$56,'AVA CG - Overview'!D40)</f>
        <v>64700</v>
      </c>
      <c r="O40" s="240">
        <f>SUMIFS('Budget - 2026'!$EB$5:$EB$56,'Budget - 2026'!$B$5:$B$56,'AVA CG - Overview'!D40)</f>
        <v>0</v>
      </c>
      <c r="P40" s="239">
        <f>SUMIFS('Actual - 2026'!$BD$5:$BD$56,'Actual - 2026'!$A$5:$A$56,'AVA CG - Overview'!D40)</f>
        <v>122983.98999999999</v>
      </c>
      <c r="Q40" s="233">
        <f>SUMIFS('Budget - 2026'!$DD$5:$DD$56,'Budget - 2026'!$B$5:$B$56,D40)</f>
        <v>179221.14799999999</v>
      </c>
      <c r="R40" s="240">
        <f>SUMIFS('Budget - 2026'!$DY$5:$DY$56,'Budget - 2026'!$B$5:$B$56,'AVA CG - Overview'!D40)</f>
        <v>0</v>
      </c>
      <c r="S40" s="239">
        <v>0</v>
      </c>
      <c r="T40" s="233">
        <f>SUMIFS('Budget - 2026'!$DJ$5:$DJ$56,'Budget - 2026'!$B$5:$B$56,D40)</f>
        <v>0</v>
      </c>
      <c r="U40" s="240">
        <f>SUMIFS('Budget - 2026'!$EE$5:$EE$56,'Budget - 2026'!$B$5:$B$56,'AVA CG - Overview'!G40)</f>
        <v>0</v>
      </c>
    </row>
    <row r="41" spans="4:21" s="108" customFormat="1" ht="22.15" customHeight="1">
      <c r="D41" s="193" t="s">
        <v>163</v>
      </c>
      <c r="E41" s="194"/>
      <c r="F41" s="239">
        <f>SUMIFS('Actual - 2026'!$BM$5:$BM$56,'Actual - 2026'!$A$5:$A$56,'AVA CG - Overview'!D41)</f>
        <v>168139.07</v>
      </c>
      <c r="G41" s="233">
        <f>SUMIFS('Budget - 2026'!$DM$5:$DM$56,'Budget - 2026'!$B$5:$B$56,'AVA CG - Overview'!D41)</f>
        <v>243921.14799999999</v>
      </c>
      <c r="H41" s="247">
        <f t="shared" si="3"/>
        <v>-0.3106826883251631</v>
      </c>
      <c r="I41" s="194"/>
      <c r="J41" s="239">
        <f>SUMIFS('Budget - 2026'!$EH$5:$EH$56,'Budget - 2026'!$B$5:$B$56,'AVA CG - Overview'!D41)</f>
        <v>0</v>
      </c>
      <c r="K41" s="251">
        <f t="shared" si="1"/>
        <v>0</v>
      </c>
      <c r="L41" s="194"/>
      <c r="M41" s="239">
        <f>SUMIFS('Actual - 2026'!$BG$5:$BG$56,'Actual - 2026'!$A$5:$A$56,'AVA CG - Overview'!D41)</f>
        <v>31353.91</v>
      </c>
      <c r="N41" s="233">
        <f>SUMIFS('Budget - 2026'!$DG$5:$DG$56,'Budget - 2026'!$B$5:$B$56,'AVA CG - Overview'!D41)</f>
        <v>64700</v>
      </c>
      <c r="O41" s="240">
        <f>SUMIFS('Budget - 2026'!$EB$5:$EB$56,'Budget - 2026'!$B$5:$B$56,'AVA CG - Overview'!D41)</f>
        <v>0</v>
      </c>
      <c r="P41" s="239">
        <f>SUMIFS('Actual - 2026'!$BD$5:$BD$56,'Actual - 2026'!$A$5:$A$56,'AVA CG - Overview'!D41)</f>
        <v>136785.16</v>
      </c>
      <c r="Q41" s="233">
        <f>SUMIFS('Budget - 2026'!$DD$5:$DD$56,'Budget - 2026'!$B$5:$B$56,D41)</f>
        <v>179221.14799999999</v>
      </c>
      <c r="R41" s="240">
        <f>SUMIFS('Budget - 2026'!$DY$5:$DY$56,'Budget - 2026'!$B$5:$B$56,'AVA CG - Overview'!D41)</f>
        <v>0</v>
      </c>
      <c r="S41" s="239">
        <v>0</v>
      </c>
      <c r="T41" s="233">
        <f>SUMIFS('Budget - 2026'!$DJ$5:$DJ$56,'Budget - 2026'!$B$5:$B$56,D41)</f>
        <v>0</v>
      </c>
      <c r="U41" s="240">
        <f>SUMIFS('Budget - 2026'!$EE$5:$EE$56,'Budget - 2026'!$B$5:$B$56,'AVA CG - Overview'!G41)</f>
        <v>0</v>
      </c>
    </row>
    <row r="42" spans="4:21" s="108" customFormat="1" ht="22.15" customHeight="1">
      <c r="D42" s="227" t="s">
        <v>258</v>
      </c>
      <c r="E42" s="194"/>
      <c r="F42" s="241">
        <f>SUM(F38:F41)</f>
        <v>537872.84000000008</v>
      </c>
      <c r="G42" s="228">
        <f>SUM(G38:G41)</f>
        <v>975684.59199999995</v>
      </c>
      <c r="H42" s="248">
        <f t="shared" si="3"/>
        <v>-0.44872262572329308</v>
      </c>
      <c r="I42" s="194"/>
      <c r="J42" s="241">
        <f>SUM(J38:J41)</f>
        <v>0</v>
      </c>
      <c r="K42" s="248">
        <f>IFERROR((F42-J42)/J42,0)</f>
        <v>0</v>
      </c>
      <c r="L42" s="194"/>
      <c r="M42" s="241">
        <f t="shared" ref="M42:R42" si="9">SUM(M38:M41)</f>
        <v>101391.08</v>
      </c>
      <c r="N42" s="228">
        <f t="shared" si="9"/>
        <v>258800</v>
      </c>
      <c r="O42" s="242">
        <f t="shared" si="9"/>
        <v>0</v>
      </c>
      <c r="P42" s="241">
        <f t="shared" si="9"/>
        <v>436481.76</v>
      </c>
      <c r="Q42" s="228">
        <f t="shared" si="9"/>
        <v>716884.59199999995</v>
      </c>
      <c r="R42" s="242">
        <f t="shared" si="9"/>
        <v>0</v>
      </c>
      <c r="S42" s="241">
        <v>0</v>
      </c>
      <c r="T42" s="228">
        <f>SUM(T38:T41)</f>
        <v>0</v>
      </c>
      <c r="U42" s="242">
        <f>SUM(U38:U41)</f>
        <v>0</v>
      </c>
    </row>
    <row r="43" spans="4:21" s="108" customFormat="1" ht="22.15" customHeight="1">
      <c r="D43" s="193" t="s">
        <v>166</v>
      </c>
      <c r="E43" s="194"/>
      <c r="F43" s="239">
        <f>SUMIFS('Actual - 2026'!$BM$5:$BM$56,'Actual - 2026'!$A$5:$A$56,'AVA CG - Overview'!D43)</f>
        <v>148723.38999999998</v>
      </c>
      <c r="G43" s="205">
        <f>SUMIFS('Budget - 2026'!$DM$5:$DM$56,'Budget - 2026'!$B$5:$B$56,'AVA CG - Overview'!D43)</f>
        <v>230673.492</v>
      </c>
      <c r="H43" s="247">
        <f t="shared" si="3"/>
        <v>-0.35526449653781639</v>
      </c>
      <c r="I43" s="194"/>
      <c r="J43" s="239">
        <f>SUMIFS('Budget - 2026'!$EH$5:$EH$56,'Budget - 2026'!$B$5:$B$56,'AVA CG - Overview'!D43)</f>
        <v>0</v>
      </c>
      <c r="K43" s="305">
        <f t="shared" si="1"/>
        <v>0</v>
      </c>
      <c r="L43" s="194"/>
      <c r="M43" s="239">
        <f>SUMIFS('Actual - 2026'!$BG$5:$BG$56,'Actual - 2026'!$A$5:$A$56,'AVA CG - Overview'!D43)</f>
        <v>25906.870000000003</v>
      </c>
      <c r="N43" s="233">
        <f>SUMIFS('Budget - 2026'!$DG$5:$DG$56,'Budget - 2026'!$B$5:$B$56,'AVA CG - Overview'!D43)</f>
        <v>58152.200000000004</v>
      </c>
      <c r="O43" s="306">
        <f>SUMIFS('Budget - 2026'!$EB$5:$EB$56,'Budget - 2026'!$B$5:$B$56,'AVA CG - Overview'!D43)</f>
        <v>0</v>
      </c>
      <c r="P43" s="239">
        <f>SUMIFS('Actual - 2026'!$BD$5:$BD$56,'Actual - 2026'!$A$5:$A$56,'AVA CG - Overview'!D43)</f>
        <v>122816.51999999999</v>
      </c>
      <c r="Q43" s="233">
        <f>SUMIFS('Budget - 2026'!$DD$5:$DD$56,'Budget - 2026'!$B$5:$B$56,D43)</f>
        <v>172521.29199999999</v>
      </c>
      <c r="R43" s="240">
        <f>SUMIFS('Budget - 2026'!$DY$5:$DY$56,'Budget - 2026'!$B$5:$B$56,'AVA CG - Overview'!D43)</f>
        <v>0</v>
      </c>
      <c r="S43" s="239">
        <v>0</v>
      </c>
      <c r="T43" s="233">
        <f>SUMIFS('Budget - 2026'!$DJ$5:$DJ$56,'Budget - 2026'!$B$5:$B$56,D43)</f>
        <v>0</v>
      </c>
      <c r="U43" s="240">
        <f>SUMIFS('Budget - 2026'!$EE$5:$EE$56,'Budget - 2026'!$B$5:$B$56,'AVA CG - Overview'!G43)</f>
        <v>0</v>
      </c>
    </row>
    <row r="44" spans="4:21" s="108" customFormat="1" ht="22.15" customHeight="1">
      <c r="D44" s="193" t="s">
        <v>167</v>
      </c>
      <c r="E44" s="194"/>
      <c r="F44" s="239">
        <f>SUMIFS('Actual - 2026'!$BM$5:$BM$56,'Actual - 2026'!$A$5:$A$56,'AVA CG - Overview'!D44)</f>
        <v>199558.58</v>
      </c>
      <c r="G44" s="205">
        <f>SUMIFS('Budget - 2026'!$DM$5:$DM$56,'Budget - 2026'!$B$5:$B$56,'AVA CG - Overview'!D44)</f>
        <v>230673.492</v>
      </c>
      <c r="H44" s="247">
        <f t="shared" si="3"/>
        <v>-0.13488724573519706</v>
      </c>
      <c r="I44" s="194"/>
      <c r="J44" s="239">
        <f>SUMIFS('Budget - 2026'!$EH$5:$EH$56,'Budget - 2026'!$B$5:$B$56,'AVA CG - Overview'!D44)</f>
        <v>0</v>
      </c>
      <c r="K44" s="305">
        <f t="shared" si="1"/>
        <v>0</v>
      </c>
      <c r="L44" s="194"/>
      <c r="M44" s="239">
        <f>SUMIFS('Actual - 2026'!$BG$5:$BG$56,'Actual - 2026'!$A$5:$A$56,'AVA CG - Overview'!D44)</f>
        <v>40742.559999999998</v>
      </c>
      <c r="N44" s="233">
        <f>SUMIFS('Budget - 2026'!$DG$5:$DG$56,'Budget - 2026'!$B$5:$B$56,'AVA CG - Overview'!D44)</f>
        <v>58152.200000000004</v>
      </c>
      <c r="O44" s="306">
        <f>SUMIFS('Budget - 2026'!$EB$5:$EB$56,'Budget - 2026'!$B$5:$B$56,'AVA CG - Overview'!D44)</f>
        <v>0</v>
      </c>
      <c r="P44" s="239">
        <f>SUMIFS('Actual - 2026'!$BD$5:$BD$56,'Actual - 2026'!$A$5:$A$56,'AVA CG - Overview'!D44)</f>
        <v>158816.01999999999</v>
      </c>
      <c r="Q44" s="233">
        <f>SUMIFS('Budget - 2026'!$DD$5:$DD$56,'Budget - 2026'!$B$5:$B$56,D44)</f>
        <v>172521.29199999999</v>
      </c>
      <c r="R44" s="240">
        <f>SUMIFS('Budget - 2026'!$DY$5:$DY$56,'Budget - 2026'!$B$5:$B$56,'AVA CG - Overview'!D44)</f>
        <v>0</v>
      </c>
      <c r="S44" s="239">
        <v>0</v>
      </c>
      <c r="T44" s="233">
        <f>SUMIFS('Budget - 2026'!$DJ$5:$DJ$56,'Budget - 2026'!$B$5:$B$56,D44)</f>
        <v>0</v>
      </c>
      <c r="U44" s="240">
        <f>SUMIFS('Budget - 2026'!$EE$5:$EE$56,'Budget - 2026'!$B$5:$B$56,'AVA CG - Overview'!G44)</f>
        <v>0</v>
      </c>
    </row>
    <row r="45" spans="4:21" s="108" customFormat="1" ht="22.15" customHeight="1">
      <c r="D45" s="193" t="s">
        <v>168</v>
      </c>
      <c r="E45" s="194"/>
      <c r="F45" s="239">
        <f>SUMIFS('Actual - 2026'!$BM$5:$BM$56,'Actual - 2026'!$A$5:$A$56,'AVA CG - Overview'!D45)</f>
        <v>201807.3</v>
      </c>
      <c r="G45" s="233">
        <f>SUMIFS('Budget - 2026'!$DM$5:$DM$56,'Budget - 2026'!$B$5:$B$56,'AVA CG - Overview'!D45)</f>
        <v>230673.492</v>
      </c>
      <c r="H45" s="247">
        <f t="shared" si="3"/>
        <v>-0.12513874806213107</v>
      </c>
      <c r="I45" s="194"/>
      <c r="J45" s="239">
        <f>SUMIFS('Budget - 2026'!$EH$5:$EH$56,'Budget - 2026'!$B$5:$B$56,'AVA CG - Overview'!D45)</f>
        <v>0</v>
      </c>
      <c r="K45" s="251">
        <f t="shared" si="1"/>
        <v>0</v>
      </c>
      <c r="L45" s="194"/>
      <c r="M45" s="239">
        <f>SUMIFS('Actual - 2026'!$BG$5:$BG$56,'Actual - 2026'!$A$5:$A$56,'AVA CG - Overview'!D45)</f>
        <v>32543.32</v>
      </c>
      <c r="N45" s="233">
        <f>SUMIFS('Budget - 2026'!$DG$5:$DG$56,'Budget - 2026'!$B$5:$B$56,'AVA CG - Overview'!D45)</f>
        <v>58152.200000000004</v>
      </c>
      <c r="O45" s="240">
        <f>SUMIFS('Budget - 2026'!$EB$5:$EB$56,'Budget - 2026'!$B$5:$B$56,'AVA CG - Overview'!D45)</f>
        <v>0</v>
      </c>
      <c r="P45" s="239">
        <f>SUMIFS('Actual - 2026'!$BD$5:$BD$56,'Actual - 2026'!$A$5:$A$56,'AVA CG - Overview'!D45)</f>
        <v>169263.97999999998</v>
      </c>
      <c r="Q45" s="233">
        <f>SUMIFS('Budget - 2026'!$DD$5:$DD$56,'Budget - 2026'!$B$5:$B$56,D45)</f>
        <v>172521.29199999999</v>
      </c>
      <c r="R45" s="240">
        <f>SUMIFS('Budget - 2026'!$DY$5:$DY$56,'Budget - 2026'!$B$5:$B$56,'AVA CG - Overview'!D45)</f>
        <v>0</v>
      </c>
      <c r="S45" s="239">
        <v>0</v>
      </c>
      <c r="T45" s="233">
        <f>SUMIFS('Budget - 2026'!$DJ$5:$DJ$56,'Budget - 2026'!$B$5:$B$56,D45)</f>
        <v>0</v>
      </c>
      <c r="U45" s="240">
        <f>SUMIFS('Budget - 2026'!$EE$5:$EE$56,'Budget - 2026'!$B$5:$B$56,'AVA CG - Overview'!G45)</f>
        <v>0</v>
      </c>
    </row>
    <row r="46" spans="4:21" s="108" customFormat="1" ht="22.15" customHeight="1">
      <c r="D46" s="193" t="s">
        <v>101</v>
      </c>
      <c r="E46" s="194"/>
      <c r="F46" s="239">
        <f>SUMIFS('Actual - 2026'!$BM$5:$BM$56,'Actual - 2026'!$A$5:$A$56,'AVA CG - Overview'!D46)</f>
        <v>216522.02</v>
      </c>
      <c r="G46" s="233">
        <f>SUMIFS('Budget - 2026'!$DM$5:$DM$56,'Budget - 2026'!$B$5:$B$56,'AVA CG - Overview'!D46)</f>
        <v>230673.492</v>
      </c>
      <c r="H46" s="247">
        <f t="shared" si="3"/>
        <v>-6.1348496861529322E-2</v>
      </c>
      <c r="I46" s="194"/>
      <c r="J46" s="239">
        <f>SUMIFS('Budget - 2026'!$EH$5:$EH$56,'Budget - 2026'!$B$5:$B$56,'AVA CG - Overview'!D46)</f>
        <v>0</v>
      </c>
      <c r="K46" s="251">
        <f t="shared" si="1"/>
        <v>0</v>
      </c>
      <c r="L46" s="194"/>
      <c r="M46" s="239">
        <f>SUMIFS('Actual - 2026'!$BG$5:$BG$56,'Actual - 2026'!$A$5:$A$56,'AVA CG - Overview'!D46)</f>
        <v>31587.200000000001</v>
      </c>
      <c r="N46" s="233">
        <f>SUMIFS('Budget - 2026'!$DG$5:$DG$56,'Budget - 2026'!$B$5:$B$56,'AVA CG - Overview'!D46)</f>
        <v>58152.200000000004</v>
      </c>
      <c r="O46" s="240">
        <f>SUMIFS('Budget - 2026'!$EB$5:$EB$56,'Budget - 2026'!$B$5:$B$56,'AVA CG - Overview'!D46)</f>
        <v>0</v>
      </c>
      <c r="P46" s="239">
        <f>SUMIFS('Actual - 2026'!$BD$5:$BD$56,'Actual - 2026'!$A$5:$A$56,'AVA CG - Overview'!D46)</f>
        <v>184934.81999999998</v>
      </c>
      <c r="Q46" s="233">
        <f>SUMIFS('Budget - 2026'!$DD$5:$DD$56,'Budget - 2026'!$B$5:$B$56,D46)</f>
        <v>172521.29199999999</v>
      </c>
      <c r="R46" s="240">
        <f>SUMIFS('Budget - 2026'!$DY$5:$DY$56,'Budget - 2026'!$B$5:$B$56,'AVA CG - Overview'!D46)</f>
        <v>0</v>
      </c>
      <c r="S46" s="239">
        <v>0</v>
      </c>
      <c r="T46" s="233">
        <f>SUMIFS('Budget - 2026'!$DJ$5:$DJ$56,'Budget - 2026'!$B$5:$B$56,D46)</f>
        <v>0</v>
      </c>
      <c r="U46" s="240">
        <f>SUMIFS('Budget - 2026'!$EE$5:$EE$56,'Budget - 2026'!$B$5:$B$56,'AVA CG - Overview'!G46)</f>
        <v>0</v>
      </c>
    </row>
    <row r="47" spans="4:21" s="108" customFormat="1" ht="22.15" customHeight="1">
      <c r="D47" s="227" t="s">
        <v>259</v>
      </c>
      <c r="E47" s="194"/>
      <c r="F47" s="241">
        <f>SUM(F43:F46)</f>
        <v>766611.29</v>
      </c>
      <c r="G47" s="228">
        <f>SUM(G43:G46)</f>
        <v>922693.96799999999</v>
      </c>
      <c r="H47" s="248">
        <f t="shared" si="3"/>
        <v>-0.16915974679916837</v>
      </c>
      <c r="I47" s="194"/>
      <c r="J47" s="241">
        <f>SUM(J43:J46)</f>
        <v>0</v>
      </c>
      <c r="K47" s="248">
        <f>IFERROR((F47-J47)/J47,0)</f>
        <v>0</v>
      </c>
      <c r="L47" s="194"/>
      <c r="M47" s="241">
        <f t="shared" ref="M47:R47" si="10">SUM(M43:M46)</f>
        <v>130779.95</v>
      </c>
      <c r="N47" s="228">
        <f t="shared" si="10"/>
        <v>232608.80000000002</v>
      </c>
      <c r="O47" s="242">
        <f t="shared" si="10"/>
        <v>0</v>
      </c>
      <c r="P47" s="241">
        <f t="shared" si="10"/>
        <v>635831.34</v>
      </c>
      <c r="Q47" s="228">
        <f t="shared" si="10"/>
        <v>690085.16799999995</v>
      </c>
      <c r="R47" s="242">
        <f t="shared" si="10"/>
        <v>0</v>
      </c>
      <c r="S47" s="241">
        <v>0</v>
      </c>
      <c r="T47" s="228">
        <f>SUM(T43:T46)</f>
        <v>0</v>
      </c>
      <c r="U47" s="242">
        <f>SUM(U43:U46)</f>
        <v>0</v>
      </c>
    </row>
    <row r="48" spans="4:21" s="108" customFormat="1" ht="22.15" customHeight="1">
      <c r="D48" s="193" t="s">
        <v>171</v>
      </c>
      <c r="E48" s="194"/>
      <c r="F48" s="239">
        <f>SUMIFS('Actual - 2026'!$BM$5:$BM$56,'Actual - 2026'!$A$5:$A$56,'AVA CG - Overview'!D48)</f>
        <v>0</v>
      </c>
      <c r="G48" s="233">
        <f>SUMIFS('Budget - 2026'!$DM$5:$DM$56,'Budget - 2026'!$B$5:$B$56,'AVA CG - Overview'!D48)</f>
        <v>230673.492</v>
      </c>
      <c r="H48" s="247">
        <f t="shared" si="3"/>
        <v>-1</v>
      </c>
      <c r="I48" s="194"/>
      <c r="J48" s="239">
        <f>SUMIFS('Budget - 2026'!$EH$5:$EH$56,'Budget - 2026'!$B$5:$B$56,'AVA CG - Overview'!D48)</f>
        <v>0</v>
      </c>
      <c r="K48" s="251">
        <f t="shared" si="1"/>
        <v>0</v>
      </c>
      <c r="L48" s="194"/>
      <c r="M48" s="239">
        <f>SUMIFS('Actual - 2026'!$BG$5:$BG$56,'Actual - 2026'!$A$5:$A$56,'AVA CG - Overview'!D48)</f>
        <v>0</v>
      </c>
      <c r="N48" s="233">
        <f>SUMIFS('Budget - 2026'!$DG$5:$DG$56,'Budget - 2026'!$B$5:$B$56,'AVA CG - Overview'!D48)</f>
        <v>58152.200000000004</v>
      </c>
      <c r="O48" s="240">
        <f>SUMIFS('Budget - 2026'!$EB$5:$EB$56,'Budget - 2026'!$B$5:$B$56,'AVA CG - Overview'!D48)</f>
        <v>0</v>
      </c>
      <c r="P48" s="239">
        <f>SUMIFS('Actual - 2026'!$BD$5:$BD$56,'Actual - 2026'!$A$5:$A$56,'AVA CG - Overview'!D48)</f>
        <v>0</v>
      </c>
      <c r="Q48" s="233">
        <f>SUMIFS('Budget - 2026'!$DD$5:$DD$56,'Budget - 2026'!$B$5:$B$56,D48)</f>
        <v>172521.29199999999</v>
      </c>
      <c r="R48" s="240">
        <f>SUMIFS('Budget - 2026'!$DY$5:$DY$56,'Budget - 2026'!$B$5:$B$56,'AVA CG - Overview'!D48)</f>
        <v>0</v>
      </c>
      <c r="S48" s="239">
        <v>0</v>
      </c>
      <c r="T48" s="233">
        <f>SUMIFS('Budget - 2026'!$DJ$5:$DJ$56,'Budget - 2026'!$B$5:$B$56,D48)</f>
        <v>0</v>
      </c>
      <c r="U48" s="240">
        <f>SUMIFS('Budget - 2026'!$EE$5:$EE$56,'Budget - 2026'!$B$5:$B$56,'AVA CG - Overview'!G48)</f>
        <v>0</v>
      </c>
    </row>
    <row r="49" spans="4:21" s="108" customFormat="1" ht="22.15" customHeight="1">
      <c r="D49" s="193" t="s">
        <v>172</v>
      </c>
      <c r="E49" s="194"/>
      <c r="F49" s="239">
        <f>SUMIFS('Actual - 2026'!$BM$5:$BM$56,'Actual - 2026'!$A$5:$A$56,'AVA CG - Overview'!D49)</f>
        <v>0</v>
      </c>
      <c r="G49" s="233">
        <f>SUMIFS('Budget - 2026'!$DM$5:$DM$56,'Budget - 2026'!$B$5:$B$56,'AVA CG - Overview'!D49)</f>
        <v>230673.492</v>
      </c>
      <c r="H49" s="247">
        <f t="shared" si="3"/>
        <v>-1</v>
      </c>
      <c r="I49" s="194"/>
      <c r="J49" s="239">
        <f>SUMIFS('Budget - 2026'!$EH$5:$EH$56,'Budget - 2026'!$B$5:$B$56,'AVA CG - Overview'!D49)</f>
        <v>0</v>
      </c>
      <c r="K49" s="251">
        <f t="shared" si="1"/>
        <v>0</v>
      </c>
      <c r="L49" s="194"/>
      <c r="M49" s="239">
        <f>SUMIFS('Actual - 2026'!$BG$5:$BG$56,'Actual - 2026'!$A$5:$A$56,'AVA CG - Overview'!D49)</f>
        <v>0</v>
      </c>
      <c r="N49" s="233">
        <f>SUMIFS('Budget - 2026'!$DG$5:$DG$56,'Budget - 2026'!$B$5:$B$56,'AVA CG - Overview'!D49)</f>
        <v>58152.200000000004</v>
      </c>
      <c r="O49" s="240">
        <f>SUMIFS('Budget - 2026'!$EB$5:$EB$56,'Budget - 2026'!$B$5:$B$56,'AVA CG - Overview'!D49)</f>
        <v>0</v>
      </c>
      <c r="P49" s="239">
        <f>SUMIFS('Actual - 2026'!$BD$5:$BD$56,'Actual - 2026'!$A$5:$A$56,'AVA CG - Overview'!D49)</f>
        <v>0</v>
      </c>
      <c r="Q49" s="233">
        <f>SUMIFS('Budget - 2026'!$DD$5:$DD$56,'Budget - 2026'!$B$5:$B$56,D49)</f>
        <v>172521.29199999999</v>
      </c>
      <c r="R49" s="240">
        <f>SUMIFS('Budget - 2026'!$DY$5:$DY$56,'Budget - 2026'!$B$5:$B$56,'AVA CG - Overview'!D49)</f>
        <v>0</v>
      </c>
      <c r="S49" s="239">
        <v>0</v>
      </c>
      <c r="T49" s="233">
        <f>SUMIFS('Budget - 2026'!$DJ$5:$DJ$56,'Budget - 2026'!$B$5:$B$56,D49)</f>
        <v>0</v>
      </c>
      <c r="U49" s="240">
        <f>SUMIFS('Budget - 2026'!$EE$5:$EE$56,'Budget - 2026'!$B$5:$B$56,'AVA CG - Overview'!G49)</f>
        <v>0</v>
      </c>
    </row>
    <row r="50" spans="4:21" s="108" customFormat="1" ht="22.15" customHeight="1">
      <c r="D50" s="193" t="s">
        <v>173</v>
      </c>
      <c r="E50" s="194"/>
      <c r="F50" s="239">
        <f>SUMIFS('Actual - 2026'!$BM$5:$BM$56,'Actual - 2026'!$A$5:$A$56,'AVA CG - Overview'!D50)</f>
        <v>0</v>
      </c>
      <c r="G50" s="233">
        <f>SUMIFS('Budget - 2026'!$DM$5:$DM$56,'Budget - 2026'!$B$5:$B$56,'AVA CG - Overview'!D50)</f>
        <v>230673.492</v>
      </c>
      <c r="H50" s="247">
        <f t="shared" si="3"/>
        <v>-1</v>
      </c>
      <c r="I50" s="194"/>
      <c r="J50" s="239">
        <f>SUMIFS('Budget - 2026'!$EH$5:$EH$56,'Budget - 2026'!$B$5:$B$56,'AVA CG - Overview'!D50)</f>
        <v>0</v>
      </c>
      <c r="K50" s="251">
        <f t="shared" si="1"/>
        <v>0</v>
      </c>
      <c r="L50" s="194"/>
      <c r="M50" s="239">
        <f>SUMIFS('Actual - 2026'!$BG$5:$BG$56,'Actual - 2026'!$A$5:$A$56,'AVA CG - Overview'!D50)</f>
        <v>0</v>
      </c>
      <c r="N50" s="233">
        <f>SUMIFS('Budget - 2026'!$DG$5:$DG$56,'Budget - 2026'!$B$5:$B$56,'AVA CG - Overview'!D50)</f>
        <v>58152.200000000004</v>
      </c>
      <c r="O50" s="240">
        <f>SUMIFS('Budget - 2026'!$EB$5:$EB$56,'Budget - 2026'!$B$5:$B$56,'AVA CG - Overview'!D50)</f>
        <v>0</v>
      </c>
      <c r="P50" s="239">
        <f>SUMIFS('Actual - 2026'!$BD$5:$BD$56,'Actual - 2026'!$A$5:$A$56,'AVA CG - Overview'!D50)</f>
        <v>0</v>
      </c>
      <c r="Q50" s="233">
        <f>SUMIFS('Budget - 2026'!$DD$5:$DD$56,'Budget - 2026'!$B$5:$B$56,D50)</f>
        <v>172521.29199999999</v>
      </c>
      <c r="R50" s="240">
        <f>SUMIFS('Budget - 2026'!$DY$5:$DY$56,'Budget - 2026'!$B$5:$B$56,'AVA CG - Overview'!D50)</f>
        <v>0</v>
      </c>
      <c r="S50" s="239">
        <v>0</v>
      </c>
      <c r="T50" s="233">
        <f>SUMIFS('Budget - 2026'!$DJ$5:$DJ$56,'Budget - 2026'!$B$5:$B$56,D50)</f>
        <v>0</v>
      </c>
      <c r="U50" s="240">
        <f>SUMIFS('Budget - 2026'!$EE$5:$EE$56,'Budget - 2026'!$B$5:$B$56,'AVA CG - Overview'!G50)</f>
        <v>0</v>
      </c>
    </row>
    <row r="51" spans="4:21" s="108" customFormat="1" ht="22.15" customHeight="1">
      <c r="D51" s="193" t="s">
        <v>174</v>
      </c>
      <c r="E51" s="194"/>
      <c r="F51" s="239">
        <f>SUMIFS('Actual - 2026'!$BM$5:$BM$56,'Actual - 2026'!$A$5:$A$56,'AVA CG - Overview'!D51)</f>
        <v>0</v>
      </c>
      <c r="G51" s="233">
        <f>SUMIFS('Budget - 2026'!$DM$5:$DM$56,'Budget - 2026'!$B$5:$B$56,'AVA CG - Overview'!D51)</f>
        <v>230673.492</v>
      </c>
      <c r="H51" s="247">
        <f t="shared" si="3"/>
        <v>-1</v>
      </c>
      <c r="I51" s="194"/>
      <c r="J51" s="239">
        <f>SUMIFS('Budget - 2026'!$EH$5:$EH$56,'Budget - 2026'!$B$5:$B$56,'AVA CG - Overview'!D51)</f>
        <v>0</v>
      </c>
      <c r="K51" s="251">
        <f t="shared" si="1"/>
        <v>0</v>
      </c>
      <c r="L51" s="194"/>
      <c r="M51" s="239">
        <f>SUMIFS('Actual - 2026'!$BG$5:$BG$56,'Actual - 2026'!$A$5:$A$56,'AVA CG - Overview'!D51)</f>
        <v>0</v>
      </c>
      <c r="N51" s="233">
        <f>SUMIFS('Budget - 2026'!$DG$5:$DG$56,'Budget - 2026'!$B$5:$B$56,'AVA CG - Overview'!D51)</f>
        <v>58152.200000000004</v>
      </c>
      <c r="O51" s="240">
        <f>SUMIFS('Budget - 2026'!$EB$5:$EB$56,'Budget - 2026'!$B$5:$B$56,'AVA CG - Overview'!D51)</f>
        <v>0</v>
      </c>
      <c r="P51" s="239">
        <f>SUMIFS('Actual - 2026'!$BD$5:$BD$56,'Actual - 2026'!$A$5:$A$56,'AVA CG - Overview'!D51)</f>
        <v>0</v>
      </c>
      <c r="Q51" s="233">
        <f>SUMIFS('Budget - 2026'!$DD$5:$DD$56,'Budget - 2026'!$B$5:$B$56,D51)</f>
        <v>172521.29199999999</v>
      </c>
      <c r="R51" s="240">
        <f>SUMIFS('Budget - 2026'!$DY$5:$DY$56,'Budget - 2026'!$B$5:$B$56,'AVA CG - Overview'!D51)</f>
        <v>0</v>
      </c>
      <c r="S51" s="239">
        <v>0</v>
      </c>
      <c r="T51" s="233">
        <f>SUMIFS('Budget - 2026'!$DJ$5:$DJ$56,'Budget - 2026'!$B$5:$B$56,D51)</f>
        <v>0</v>
      </c>
      <c r="U51" s="240">
        <f>SUMIFS('Budget - 2026'!$EE$5:$EE$56,'Budget - 2026'!$B$5:$B$56,'AVA CG - Overview'!G51)</f>
        <v>0</v>
      </c>
    </row>
    <row r="52" spans="4:21" s="108" customFormat="1" ht="22.15" customHeight="1">
      <c r="D52" s="193" t="s">
        <v>175</v>
      </c>
      <c r="E52" s="194"/>
      <c r="F52" s="239">
        <f>SUMIFS('Actual - 2026'!$BM$5:$BM$56,'Actual - 2026'!$A$5:$A$56,'AVA CG - Overview'!D52)</f>
        <v>0</v>
      </c>
      <c r="G52" s="233">
        <f>SUMIFS('Budget - 2026'!$DM$5:$DM$56,'Budget - 2026'!$B$5:$B$56,'AVA CG - Overview'!D52)</f>
        <v>230673.492</v>
      </c>
      <c r="H52" s="247">
        <f t="shared" si="3"/>
        <v>-1</v>
      </c>
      <c r="I52" s="194"/>
      <c r="J52" s="239">
        <f>SUMIFS('Budget - 2026'!$EH$5:$EH$56,'Budget - 2026'!$B$5:$B$56,'AVA CG - Overview'!D52)</f>
        <v>0</v>
      </c>
      <c r="K52" s="251">
        <f t="shared" si="1"/>
        <v>0</v>
      </c>
      <c r="L52" s="194"/>
      <c r="M52" s="239">
        <f>SUMIFS('Actual - 2026'!$BG$5:$BG$56,'Actual - 2026'!$A$5:$A$56,'AVA CG - Overview'!D52)</f>
        <v>0</v>
      </c>
      <c r="N52" s="233">
        <f>SUMIFS('Budget - 2026'!$DG$5:$DG$56,'Budget - 2026'!$B$5:$B$56,'AVA CG - Overview'!D52)</f>
        <v>58152.200000000004</v>
      </c>
      <c r="O52" s="240">
        <f>SUMIFS('Budget - 2026'!$EB$5:$EB$56,'Budget - 2026'!$B$5:$B$56,'AVA CG - Overview'!D52)</f>
        <v>0</v>
      </c>
      <c r="P52" s="239">
        <f>SUMIFS('Actual - 2026'!$BD$5:$BD$56,'Actual - 2026'!$A$5:$A$56,'AVA CG - Overview'!D52)</f>
        <v>0</v>
      </c>
      <c r="Q52" s="233">
        <f>SUMIFS('Budget - 2026'!$DD$5:$DD$56,'Budget - 2026'!$B$5:$B$56,D52)</f>
        <v>172521.29199999999</v>
      </c>
      <c r="R52" s="240">
        <f>SUMIFS('Budget - 2026'!$DY$5:$DY$56,'Budget - 2026'!$B$5:$B$56,'AVA CG - Overview'!D52)</f>
        <v>0</v>
      </c>
      <c r="S52" s="239">
        <v>0</v>
      </c>
      <c r="T52" s="233">
        <f>SUMIFS('Budget - 2026'!$DJ$5:$DJ$56,'Budget - 2026'!$B$5:$B$56,D52)</f>
        <v>0</v>
      </c>
      <c r="U52" s="240">
        <f>SUMIFS('Budget - 2026'!$EE$5:$EE$56,'Budget - 2026'!$B$5:$B$56,'AVA CG - Overview'!G52)</f>
        <v>0</v>
      </c>
    </row>
    <row r="53" spans="4:21" s="108" customFormat="1" ht="22.15" customHeight="1">
      <c r="D53" s="227" t="s">
        <v>260</v>
      </c>
      <c r="E53" s="194"/>
      <c r="F53" s="241">
        <f>SUM(F48:F52)</f>
        <v>0</v>
      </c>
      <c r="G53" s="228">
        <f>SUM(G48:G52)</f>
        <v>1153367.46</v>
      </c>
      <c r="H53" s="248">
        <f t="shared" si="3"/>
        <v>-1</v>
      </c>
      <c r="I53" s="194"/>
      <c r="J53" s="241">
        <f>SUM(J48:J52)</f>
        <v>0</v>
      </c>
      <c r="K53" s="248">
        <f>IFERROR((F53-J53)/J53,0)</f>
        <v>0</v>
      </c>
      <c r="L53" s="194"/>
      <c r="M53" s="241">
        <f t="shared" ref="M53:R53" si="11">SUM(M48:M52)</f>
        <v>0</v>
      </c>
      <c r="N53" s="228">
        <f t="shared" si="11"/>
        <v>290761</v>
      </c>
      <c r="O53" s="242">
        <f t="shared" si="11"/>
        <v>0</v>
      </c>
      <c r="P53" s="241">
        <f t="shared" si="11"/>
        <v>0</v>
      </c>
      <c r="Q53" s="228">
        <f t="shared" si="11"/>
        <v>862606.46</v>
      </c>
      <c r="R53" s="242">
        <f t="shared" si="11"/>
        <v>0</v>
      </c>
      <c r="S53" s="241">
        <v>0</v>
      </c>
      <c r="T53" s="228">
        <f>SUM(T48:T52)</f>
        <v>0</v>
      </c>
      <c r="U53" s="242">
        <f>SUM(U48:U52)</f>
        <v>0</v>
      </c>
    </row>
    <row r="54" spans="4:21" s="108" customFormat="1" ht="22.15" customHeight="1">
      <c r="D54" s="193" t="s">
        <v>177</v>
      </c>
      <c r="E54" s="194"/>
      <c r="F54" s="239">
        <f>SUMIFS('Actual - 2026'!$BM$5:$BM$56,'Actual - 2026'!$A$5:$A$56,'AVA CG - Overview'!D54)</f>
        <v>0</v>
      </c>
      <c r="G54" s="233">
        <f>SUMIFS('Budget - 2026'!$DM$5:$DM$56,'Budget - 2026'!$B$5:$B$56,'AVA CG - Overview'!D54)</f>
        <v>233123.3</v>
      </c>
      <c r="H54" s="247">
        <f t="shared" si="3"/>
        <v>-1</v>
      </c>
      <c r="I54" s="194"/>
      <c r="J54" s="239">
        <f>SUMIFS('Budget - 2026'!$EH$5:$EH$56,'Budget - 2026'!$B$5:$B$56,'AVA CG - Overview'!D54)</f>
        <v>0</v>
      </c>
      <c r="K54" s="251">
        <f t="shared" si="1"/>
        <v>0</v>
      </c>
      <c r="L54" s="194"/>
      <c r="M54" s="239">
        <f>SUMIFS('Actual - 2026'!$BG$5:$BG$56,'Actual - 2026'!$A$5:$A$56,'AVA CG - Overview'!D54)</f>
        <v>0</v>
      </c>
      <c r="N54" s="233">
        <f>SUMIFS('Budget - 2026'!$DG$5:$DG$56,'Budget - 2026'!$B$5:$B$56,'AVA CG - Overview'!D54)</f>
        <v>45364.5</v>
      </c>
      <c r="O54" s="240">
        <f>SUMIFS('Budget - 2026'!$EB$5:$EB$56,'Budget - 2026'!$B$5:$B$56,'AVA CG - Overview'!D54)</f>
        <v>0</v>
      </c>
      <c r="P54" s="239">
        <f>SUMIFS('Actual - 2026'!$BD$5:$BD$56,'Actual - 2026'!$A$5:$A$56,'AVA CG - Overview'!D54)</f>
        <v>0</v>
      </c>
      <c r="Q54" s="233">
        <f>SUMIFS('Budget - 2026'!$DD$5:$DD$56,'Budget - 2026'!$B$5:$B$56,D54)</f>
        <v>187758.8</v>
      </c>
      <c r="R54" s="240">
        <f>SUMIFS('Budget - 2026'!$DY$5:$DY$56,'Budget - 2026'!$B$5:$B$56,'AVA CG - Overview'!D54)</f>
        <v>0</v>
      </c>
      <c r="S54" s="239">
        <v>0</v>
      </c>
      <c r="T54" s="233">
        <f>SUMIFS('Budget - 2026'!$DJ$5:$DJ$56,'Budget - 2026'!$B$5:$B$56,D54)</f>
        <v>0</v>
      </c>
      <c r="U54" s="240">
        <f>SUMIFS('Budget - 2026'!$EE$5:$EE$56,'Budget - 2026'!$B$5:$B$56,'AVA CG - Overview'!G54)</f>
        <v>0</v>
      </c>
    </row>
    <row r="55" spans="4:21" s="108" customFormat="1" ht="22.15" customHeight="1">
      <c r="D55" s="193" t="s">
        <v>178</v>
      </c>
      <c r="E55" s="194"/>
      <c r="F55" s="239">
        <f>SUMIFS('Actual - 2026'!$BM$5:$BM$56,'Actual - 2026'!$A$5:$A$56,'AVA CG - Overview'!D55)</f>
        <v>0</v>
      </c>
      <c r="G55" s="233">
        <f>SUMIFS('Budget - 2026'!$DM$5:$DM$56,'Budget - 2026'!$B$5:$B$56,'AVA CG - Overview'!D55)</f>
        <v>233123.3</v>
      </c>
      <c r="H55" s="247">
        <f t="shared" si="3"/>
        <v>-1</v>
      </c>
      <c r="I55" s="194"/>
      <c r="J55" s="239">
        <f>SUMIFS('Budget - 2026'!$EH$5:$EH$56,'Budget - 2026'!$B$5:$B$56,'AVA CG - Overview'!D55)</f>
        <v>0</v>
      </c>
      <c r="K55" s="251">
        <f t="shared" si="1"/>
        <v>0</v>
      </c>
      <c r="L55" s="194"/>
      <c r="M55" s="239">
        <f>SUMIFS('Actual - 2026'!$BG$5:$BG$56,'Actual - 2026'!$A$5:$A$56,'AVA CG - Overview'!D55)</f>
        <v>0</v>
      </c>
      <c r="N55" s="233">
        <f>SUMIFS('Budget - 2026'!$DG$5:$DG$56,'Budget - 2026'!$B$5:$B$56,'AVA CG - Overview'!D55)</f>
        <v>45364.5</v>
      </c>
      <c r="O55" s="240">
        <f>SUMIFS('Budget - 2026'!$EB$5:$EB$56,'Budget - 2026'!$B$5:$B$56,'AVA CG - Overview'!D55)</f>
        <v>0</v>
      </c>
      <c r="P55" s="239">
        <f>SUMIFS('Actual - 2026'!$BD$5:$BD$56,'Actual - 2026'!$A$5:$A$56,'AVA CG - Overview'!D55)</f>
        <v>0</v>
      </c>
      <c r="Q55" s="233">
        <f>SUMIFS('Budget - 2026'!$DD$5:$DD$56,'Budget - 2026'!$B$5:$B$56,D55)</f>
        <v>187758.8</v>
      </c>
      <c r="R55" s="240">
        <f>SUMIFS('Budget - 2026'!$DY$5:$DY$56,'Budget - 2026'!$B$5:$B$56,'AVA CG - Overview'!D55)</f>
        <v>0</v>
      </c>
      <c r="S55" s="239">
        <v>0</v>
      </c>
      <c r="T55" s="233">
        <f>SUMIFS('Budget - 2026'!$DJ$5:$DJ$56,'Budget - 2026'!$B$5:$B$56,D55)</f>
        <v>0</v>
      </c>
      <c r="U55" s="240">
        <f>SUMIFS('Budget - 2026'!$EE$5:$EE$56,'Budget - 2026'!$B$5:$B$56,'AVA CG - Overview'!G55)</f>
        <v>0</v>
      </c>
    </row>
    <row r="56" spans="4:21" s="108" customFormat="1" ht="22.15" customHeight="1">
      <c r="D56" s="193" t="s">
        <v>179</v>
      </c>
      <c r="E56" s="194"/>
      <c r="F56" s="239">
        <f>SUMIFS('Actual - 2026'!$BM$5:$BM$56,'Actual - 2026'!$A$5:$A$56,'AVA CG - Overview'!D56)</f>
        <v>0</v>
      </c>
      <c r="G56" s="233">
        <f>SUMIFS('Budget - 2026'!$DM$5:$DM$56,'Budget - 2026'!$B$5:$B$56,'AVA CG - Overview'!D56)</f>
        <v>233123.3</v>
      </c>
      <c r="H56" s="247">
        <f t="shared" si="3"/>
        <v>-1</v>
      </c>
      <c r="I56" s="194"/>
      <c r="J56" s="239">
        <f>SUMIFS('Budget - 2026'!$EH$5:$EH$56,'Budget - 2026'!$B$5:$B$56,'AVA CG - Overview'!D56)</f>
        <v>0</v>
      </c>
      <c r="K56" s="251">
        <f t="shared" si="1"/>
        <v>0</v>
      </c>
      <c r="L56" s="194"/>
      <c r="M56" s="239">
        <f>SUMIFS('Actual - 2026'!$BG$5:$BG$56,'Actual - 2026'!$A$5:$A$56,'AVA CG - Overview'!D56)</f>
        <v>0</v>
      </c>
      <c r="N56" s="233">
        <f>SUMIFS('Budget - 2026'!$DG$5:$DG$56,'Budget - 2026'!$B$5:$B$56,'AVA CG - Overview'!D56)</f>
        <v>45364.5</v>
      </c>
      <c r="O56" s="240">
        <f>SUMIFS('Budget - 2026'!$EB$5:$EB$56,'Budget - 2026'!$B$5:$B$56,'AVA CG - Overview'!D56)</f>
        <v>0</v>
      </c>
      <c r="P56" s="239">
        <f>SUMIFS('Actual - 2026'!$BD$5:$BD$56,'Actual - 2026'!$A$5:$A$56,'AVA CG - Overview'!D56)</f>
        <v>0</v>
      </c>
      <c r="Q56" s="233">
        <f>SUMIFS('Budget - 2026'!$DD$5:$DD$56,'Budget - 2026'!$B$5:$B$56,D56)</f>
        <v>187758.8</v>
      </c>
      <c r="R56" s="240">
        <f>SUMIFS('Budget - 2026'!$DY$5:$DY$56,'Budget - 2026'!$B$5:$B$56,'AVA CG - Overview'!D56)</f>
        <v>0</v>
      </c>
      <c r="S56" s="239">
        <v>0</v>
      </c>
      <c r="T56" s="233">
        <f>SUMIFS('Budget - 2026'!$DJ$5:$DJ$56,'Budget - 2026'!$B$5:$B$56,D56)</f>
        <v>0</v>
      </c>
      <c r="U56" s="240">
        <f>SUMIFS('Budget - 2026'!$EE$5:$EE$56,'Budget - 2026'!$B$5:$B$56,'AVA CG - Overview'!G56)</f>
        <v>0</v>
      </c>
    </row>
    <row r="57" spans="4:21" s="108" customFormat="1" ht="22.15" customHeight="1">
      <c r="D57" s="193" t="s">
        <v>180</v>
      </c>
      <c r="E57" s="194"/>
      <c r="F57" s="239">
        <f>SUMIFS('Actual - 2026'!$BM$5:$BM$56,'Actual - 2026'!$A$5:$A$56,'AVA CG - Overview'!D57)</f>
        <v>0</v>
      </c>
      <c r="G57" s="233">
        <f>SUMIFS('Budget - 2026'!$DM$5:$DM$56,'Budget - 2026'!$B$5:$B$56,'AVA CG - Overview'!D57)</f>
        <v>233123.3</v>
      </c>
      <c r="H57" s="247">
        <f t="shared" si="3"/>
        <v>-1</v>
      </c>
      <c r="I57" s="194"/>
      <c r="J57" s="239">
        <f>SUMIFS('Budget - 2026'!$EH$5:$EH$56,'Budget - 2026'!$B$5:$B$56,'AVA CG - Overview'!D57)</f>
        <v>0</v>
      </c>
      <c r="K57" s="251">
        <f t="shared" si="1"/>
        <v>0</v>
      </c>
      <c r="L57" s="194"/>
      <c r="M57" s="239">
        <f>SUMIFS('Actual - 2026'!$BG$5:$BG$56,'Actual - 2026'!$A$5:$A$56,'AVA CG - Overview'!D57)</f>
        <v>0</v>
      </c>
      <c r="N57" s="233">
        <f>SUMIFS('Budget - 2026'!$DG$5:$DG$56,'Budget - 2026'!$B$5:$B$56,'AVA CG - Overview'!D57)</f>
        <v>45364.5</v>
      </c>
      <c r="O57" s="240">
        <f>SUMIFS('Budget - 2026'!$EB$5:$EB$56,'Budget - 2026'!$B$5:$B$56,'AVA CG - Overview'!D57)</f>
        <v>0</v>
      </c>
      <c r="P57" s="239">
        <f>SUMIFS('Actual - 2026'!$BD$5:$BD$56,'Actual - 2026'!$A$5:$A$56,'AVA CG - Overview'!D57)</f>
        <v>0</v>
      </c>
      <c r="Q57" s="233">
        <f>SUMIFS('Budget - 2026'!$DD$5:$DD$56,'Budget - 2026'!$B$5:$B$56,D57)</f>
        <v>187758.8</v>
      </c>
      <c r="R57" s="240">
        <f>SUMIFS('Budget - 2026'!$DY$5:$DY$56,'Budget - 2026'!$B$5:$B$56,'AVA CG - Overview'!D57)</f>
        <v>0</v>
      </c>
      <c r="S57" s="239">
        <v>0</v>
      </c>
      <c r="T57" s="233">
        <f>SUMIFS('Budget - 2026'!$DJ$5:$DJ$56,'Budget - 2026'!$B$5:$B$56,D57)</f>
        <v>0</v>
      </c>
      <c r="U57" s="240">
        <f>SUMIFS('Budget - 2026'!$EE$5:$EE$56,'Budget - 2026'!$B$5:$B$56,'AVA CG - Overview'!G57)</f>
        <v>0</v>
      </c>
    </row>
    <row r="58" spans="4:21" s="108" customFormat="1" ht="22.15" customHeight="1">
      <c r="D58" s="227" t="s">
        <v>261</v>
      </c>
      <c r="E58" s="194"/>
      <c r="F58" s="241">
        <f>SUM(F54:F57)</f>
        <v>0</v>
      </c>
      <c r="G58" s="228">
        <f>SUM(G54:G57)</f>
        <v>932493.2</v>
      </c>
      <c r="H58" s="248">
        <f t="shared" si="3"/>
        <v>-1</v>
      </c>
      <c r="I58" s="194"/>
      <c r="J58" s="241">
        <f>SUM(J54:J57)</f>
        <v>0</v>
      </c>
      <c r="K58" s="248">
        <f>IFERROR((F58-J58)/J58,0)</f>
        <v>0</v>
      </c>
      <c r="L58" s="194"/>
      <c r="M58" s="241">
        <f t="shared" ref="M58:R58" si="12">SUM(M54:M57)</f>
        <v>0</v>
      </c>
      <c r="N58" s="228">
        <f t="shared" si="12"/>
        <v>181458</v>
      </c>
      <c r="O58" s="242">
        <f t="shared" si="12"/>
        <v>0</v>
      </c>
      <c r="P58" s="241">
        <f t="shared" si="12"/>
        <v>0</v>
      </c>
      <c r="Q58" s="228">
        <f t="shared" si="12"/>
        <v>751035.2</v>
      </c>
      <c r="R58" s="242">
        <f t="shared" si="12"/>
        <v>0</v>
      </c>
      <c r="S58" s="241">
        <v>0</v>
      </c>
      <c r="T58" s="228">
        <f>SUM(T54:T57)</f>
        <v>0</v>
      </c>
      <c r="U58" s="242">
        <f>SUM(U54:U57)</f>
        <v>0</v>
      </c>
    </row>
    <row r="59" spans="4:21" s="108" customFormat="1" ht="22.15" customHeight="1">
      <c r="D59" s="193" t="s">
        <v>183</v>
      </c>
      <c r="E59" s="194"/>
      <c r="F59" s="239">
        <f>SUMIFS('Actual - 2026'!$BM$5:$BM$56,'Actual - 2026'!$A$5:$A$56,'AVA CG - Overview'!D59)</f>
        <v>0</v>
      </c>
      <c r="G59" s="233">
        <f>SUMIFS('Budget - 2026'!$DM$5:$DM$56,'Budget - 2026'!$B$5:$B$56,'AVA CG - Overview'!D59)</f>
        <v>321902.7</v>
      </c>
      <c r="H59" s="247">
        <f t="shared" si="3"/>
        <v>-1</v>
      </c>
      <c r="I59" s="194"/>
      <c r="J59" s="239">
        <f>SUMIFS('Budget - 2026'!$EH$5:$EH$56,'Budget - 2026'!$B$5:$B$56,'AVA CG - Overview'!D59)</f>
        <v>227630</v>
      </c>
      <c r="K59" s="251">
        <f t="shared" si="1"/>
        <v>-1</v>
      </c>
      <c r="L59" s="194"/>
      <c r="M59" s="239">
        <f>SUMIFS('Actual - 2026'!$BG$5:$BG$56,'Actual - 2026'!$A$5:$A$56,'AVA CG - Overview'!D59)</f>
        <v>0</v>
      </c>
      <c r="N59" s="233">
        <f>SUMIFS('Budget - 2026'!$DG$5:$DG$56,'Budget - 2026'!$B$5:$B$56,'AVA CG - Overview'!D59)</f>
        <v>52204</v>
      </c>
      <c r="O59" s="240">
        <f>SUMIFS('Budget - 2026'!$EB$5:$EB$56,'Budget - 2026'!$B$5:$B$56,'AVA CG - Overview'!D59)</f>
        <v>0</v>
      </c>
      <c r="P59" s="239">
        <f>SUMIFS('Actual - 2026'!$BD$5:$BD$56,'Actual - 2026'!$A$5:$A$56,'AVA CG - Overview'!D59)</f>
        <v>0</v>
      </c>
      <c r="Q59" s="233">
        <f>SUMIFS('Budget - 2026'!$DD$5:$DD$56,'Budget - 2026'!$B$5:$B$56,D59)</f>
        <v>269698.7</v>
      </c>
      <c r="R59" s="240">
        <f>SUMIFS('Budget - 2026'!$DY$5:$DY$56,'Budget - 2026'!$B$5:$B$56,'AVA CG - Overview'!D59)</f>
        <v>227630</v>
      </c>
      <c r="S59" s="239">
        <v>0</v>
      </c>
      <c r="T59" s="233">
        <f>SUMIFS('Budget - 2026'!$DJ$5:$DJ$56,'Budget - 2026'!$B$5:$B$56,D59)</f>
        <v>0</v>
      </c>
      <c r="U59" s="240">
        <f>SUMIFS('Budget - 2026'!$EE$5:$EE$56,'Budget - 2026'!$B$5:$B$56,'AVA CG - Overview'!G59)</f>
        <v>0</v>
      </c>
    </row>
    <row r="60" spans="4:21" s="108" customFormat="1" ht="22.15" customHeight="1">
      <c r="D60" s="193" t="s">
        <v>184</v>
      </c>
      <c r="E60" s="194"/>
      <c r="F60" s="239">
        <f>SUMIFS('Actual - 2026'!$BM$5:$BM$56,'Actual - 2026'!$A$5:$A$56,'AVA CG - Overview'!D60)</f>
        <v>0</v>
      </c>
      <c r="G60" s="233">
        <f>SUMIFS('Budget - 2026'!$DM$5:$DM$56,'Budget - 2026'!$B$5:$B$56,'AVA CG - Overview'!D60)</f>
        <v>321902.7</v>
      </c>
      <c r="H60" s="247">
        <f t="shared" si="3"/>
        <v>-1</v>
      </c>
      <c r="I60" s="194"/>
      <c r="J60" s="239">
        <f>SUMIFS('Budget - 2026'!$EH$5:$EH$56,'Budget - 2026'!$B$5:$B$56,'AVA CG - Overview'!D60)</f>
        <v>227630</v>
      </c>
      <c r="K60" s="251">
        <f t="shared" si="1"/>
        <v>-1</v>
      </c>
      <c r="L60" s="194"/>
      <c r="M60" s="239">
        <f>SUMIFS('Actual - 2026'!$BG$5:$BG$56,'Actual - 2026'!$A$5:$A$56,'AVA CG - Overview'!D60)</f>
        <v>0</v>
      </c>
      <c r="N60" s="233">
        <f>SUMIFS('Budget - 2026'!$DG$5:$DG$56,'Budget - 2026'!$B$5:$B$56,'AVA CG - Overview'!D60)</f>
        <v>52204</v>
      </c>
      <c r="O60" s="240">
        <f>SUMIFS('Budget - 2026'!$EB$5:$EB$56,'Budget - 2026'!$B$5:$B$56,'AVA CG - Overview'!D60)</f>
        <v>0</v>
      </c>
      <c r="P60" s="239">
        <f>SUMIFS('Actual - 2026'!$BD$5:$BD$56,'Actual - 2026'!$A$5:$A$56,'AVA CG - Overview'!D60)</f>
        <v>0</v>
      </c>
      <c r="Q60" s="233">
        <f>SUMIFS('Budget - 2026'!$DD$5:$DD$56,'Budget - 2026'!$B$5:$B$56,D60)</f>
        <v>269698.7</v>
      </c>
      <c r="R60" s="240">
        <f>SUMIFS('Budget - 2026'!$DY$5:$DY$56,'Budget - 2026'!$B$5:$B$56,'AVA CG - Overview'!D60)</f>
        <v>227630</v>
      </c>
      <c r="S60" s="239">
        <v>0</v>
      </c>
      <c r="T60" s="233">
        <f>SUMIFS('Budget - 2026'!$DJ$5:$DJ$56,'Budget - 2026'!$B$5:$B$56,D60)</f>
        <v>0</v>
      </c>
      <c r="U60" s="240">
        <f>SUMIFS('Budget - 2026'!$EE$5:$EE$56,'Budget - 2026'!$B$5:$B$56,'AVA CG - Overview'!G60)</f>
        <v>0</v>
      </c>
    </row>
    <row r="61" spans="4:21" s="108" customFormat="1" ht="22.15" customHeight="1">
      <c r="D61" s="193" t="s">
        <v>185</v>
      </c>
      <c r="E61" s="194"/>
      <c r="F61" s="239">
        <f>SUMIFS('Actual - 2026'!$BM$5:$BM$56,'Actual - 2026'!$A$5:$A$56,'AVA CG - Overview'!D61)</f>
        <v>0</v>
      </c>
      <c r="G61" s="233">
        <f>SUMIFS('Budget - 2026'!$DM$5:$DM$56,'Budget - 2026'!$B$5:$B$56,'AVA CG - Overview'!D61)</f>
        <v>321902.7</v>
      </c>
      <c r="H61" s="247">
        <f t="shared" si="3"/>
        <v>-1</v>
      </c>
      <c r="I61" s="194"/>
      <c r="J61" s="239">
        <f>SUMIFS('Budget - 2026'!$EH$5:$EH$56,'Budget - 2026'!$B$5:$B$56,'AVA CG - Overview'!D61)</f>
        <v>227630</v>
      </c>
      <c r="K61" s="251">
        <f t="shared" si="1"/>
        <v>-1</v>
      </c>
      <c r="L61" s="194"/>
      <c r="M61" s="239">
        <f>SUMIFS('Actual - 2026'!$BG$5:$BG$56,'Actual - 2026'!$A$5:$A$56,'AVA CG - Overview'!D61)</f>
        <v>0</v>
      </c>
      <c r="N61" s="233">
        <f>SUMIFS('Budget - 2026'!$DG$5:$DG$56,'Budget - 2026'!$B$5:$B$56,'AVA CG - Overview'!D61)</f>
        <v>52204</v>
      </c>
      <c r="O61" s="240">
        <f>SUMIFS('Budget - 2026'!$EB$5:$EB$56,'Budget - 2026'!$B$5:$B$56,'AVA CG - Overview'!D61)</f>
        <v>0</v>
      </c>
      <c r="P61" s="239">
        <f>SUMIFS('Actual - 2026'!$BD$5:$BD$56,'Actual - 2026'!$A$5:$A$56,'AVA CG - Overview'!D61)</f>
        <v>0</v>
      </c>
      <c r="Q61" s="233">
        <f>SUMIFS('Budget - 2026'!$DD$5:$DD$56,'Budget - 2026'!$B$5:$B$56,D61)</f>
        <v>269698.7</v>
      </c>
      <c r="R61" s="240">
        <f>SUMIFS('Budget - 2026'!$DY$5:$DY$56,'Budget - 2026'!$B$5:$B$56,'AVA CG - Overview'!D61)</f>
        <v>227630</v>
      </c>
      <c r="S61" s="239">
        <v>0</v>
      </c>
      <c r="T61" s="233">
        <f>SUMIFS('Budget - 2026'!$DJ$5:$DJ$56,'Budget - 2026'!$B$5:$B$56,D61)</f>
        <v>0</v>
      </c>
      <c r="U61" s="240">
        <f>SUMIFS('Budget - 2026'!$EE$5:$EE$56,'Budget - 2026'!$B$5:$B$56,'AVA CG - Overview'!G61)</f>
        <v>0</v>
      </c>
    </row>
    <row r="62" spans="4:21" s="108" customFormat="1" ht="22.15" customHeight="1">
      <c r="D62" s="193" t="s">
        <v>186</v>
      </c>
      <c r="E62" s="194"/>
      <c r="F62" s="239">
        <f>SUMIFS('Actual - 2026'!$BM$5:$BM$56,'Actual - 2026'!$A$5:$A$56,'AVA CG - Overview'!D62)</f>
        <v>0</v>
      </c>
      <c r="G62" s="233">
        <f>SUMIFS('Budget - 2026'!$DM$5:$DM$56,'Budget - 2026'!$B$5:$B$56,'AVA CG - Overview'!D62)</f>
        <v>321902.7</v>
      </c>
      <c r="H62" s="247">
        <f t="shared" si="3"/>
        <v>-1</v>
      </c>
      <c r="I62" s="194"/>
      <c r="J62" s="239">
        <f>SUMIFS('Budget - 2026'!$EH$5:$EH$56,'Budget - 2026'!$B$5:$B$56,'AVA CG - Overview'!D62)</f>
        <v>227630</v>
      </c>
      <c r="K62" s="251">
        <f t="shared" si="1"/>
        <v>-1</v>
      </c>
      <c r="L62" s="194"/>
      <c r="M62" s="239">
        <f>SUMIFS('Actual - 2026'!$BG$5:$BG$56,'Actual - 2026'!$A$5:$A$56,'AVA CG - Overview'!D62)</f>
        <v>0</v>
      </c>
      <c r="N62" s="233">
        <f>SUMIFS('Budget - 2026'!$DG$5:$DG$56,'Budget - 2026'!$B$5:$B$56,'AVA CG - Overview'!D62)</f>
        <v>52204</v>
      </c>
      <c r="O62" s="240">
        <f>SUMIFS('Budget - 2026'!$EB$5:$EB$56,'Budget - 2026'!$B$5:$B$56,'AVA CG - Overview'!D62)</f>
        <v>0</v>
      </c>
      <c r="P62" s="239">
        <f>SUMIFS('Actual - 2026'!$BD$5:$BD$56,'Actual - 2026'!$A$5:$A$56,'AVA CG - Overview'!D62)</f>
        <v>0</v>
      </c>
      <c r="Q62" s="233">
        <f>SUMIFS('Budget - 2026'!$DD$5:$DD$56,'Budget - 2026'!$B$5:$B$56,D62)</f>
        <v>269698.7</v>
      </c>
      <c r="R62" s="240">
        <f>SUMIFS('Budget - 2026'!$DY$5:$DY$56,'Budget - 2026'!$B$5:$B$56,'AVA CG - Overview'!D62)</f>
        <v>227630</v>
      </c>
      <c r="S62" s="239">
        <v>0</v>
      </c>
      <c r="T62" s="233">
        <f>SUMIFS('Budget - 2026'!$DJ$5:$DJ$56,'Budget - 2026'!$B$5:$B$56,D62)</f>
        <v>0</v>
      </c>
      <c r="U62" s="240">
        <f>SUMIFS('Budget - 2026'!$EE$5:$EE$56,'Budget - 2026'!$B$5:$B$56,'AVA CG - Overview'!G62)</f>
        <v>0</v>
      </c>
    </row>
    <row r="63" spans="4:21" s="108" customFormat="1" ht="22.15" customHeight="1">
      <c r="D63" s="227" t="s">
        <v>262</v>
      </c>
      <c r="E63" s="194"/>
      <c r="F63" s="241">
        <f>SUM(F59:F62)</f>
        <v>0</v>
      </c>
      <c r="G63" s="228">
        <f>SUM(G59:G62)</f>
        <v>1287610.8</v>
      </c>
      <c r="H63" s="248">
        <f t="shared" si="3"/>
        <v>-1</v>
      </c>
      <c r="I63" s="194"/>
      <c r="J63" s="241">
        <f>SUM(J59:J62)</f>
        <v>910520</v>
      </c>
      <c r="K63" s="248">
        <f>IFERROR((F63-J63)/J63,0)</f>
        <v>-1</v>
      </c>
      <c r="L63" s="194"/>
      <c r="M63" s="241">
        <f t="shared" ref="M63:R63" si="13">SUM(M59:M62)</f>
        <v>0</v>
      </c>
      <c r="N63" s="228">
        <f t="shared" si="13"/>
        <v>208816</v>
      </c>
      <c r="O63" s="242">
        <f t="shared" si="13"/>
        <v>0</v>
      </c>
      <c r="P63" s="241">
        <f t="shared" si="13"/>
        <v>0</v>
      </c>
      <c r="Q63" s="228">
        <f t="shared" si="13"/>
        <v>1078794.8</v>
      </c>
      <c r="R63" s="242">
        <f t="shared" si="13"/>
        <v>910520</v>
      </c>
      <c r="S63" s="241">
        <v>0</v>
      </c>
      <c r="T63" s="228">
        <f>SUM(T59:T62)</f>
        <v>0</v>
      </c>
      <c r="U63" s="242">
        <f>SUM(U59:U62)</f>
        <v>0</v>
      </c>
    </row>
    <row r="64" spans="4:21" s="108" customFormat="1" ht="22.15" customHeight="1">
      <c r="D64" s="193" t="s">
        <v>189</v>
      </c>
      <c r="E64" s="194"/>
      <c r="F64" s="239">
        <f>SUMIFS('Actual - 2026'!$BM$5:$BM$56,'Actual - 2026'!$A$5:$A$56,'AVA CG - Overview'!D64)</f>
        <v>0</v>
      </c>
      <c r="G64" s="233">
        <f>SUMIFS('Budget - 2026'!$DM$5:$DM$56,'Budget - 2026'!$B$5:$B$56,'AVA CG - Overview'!D64)</f>
        <v>321902.7</v>
      </c>
      <c r="H64" s="247">
        <f t="shared" si="3"/>
        <v>-1</v>
      </c>
      <c r="I64" s="194"/>
      <c r="J64" s="239">
        <f>SUMIFS('Budget - 2026'!$EH$5:$EH$56,'Budget - 2026'!$B$5:$B$56,'AVA CG - Overview'!D64)</f>
        <v>321730</v>
      </c>
      <c r="K64" s="251">
        <f t="shared" si="1"/>
        <v>-1</v>
      </c>
      <c r="L64" s="194"/>
      <c r="M64" s="239">
        <f>SUMIFS('Actual - 2026'!$BG$5:$BG$56,'Actual - 2026'!$A$5:$A$56,'AVA CG - Overview'!D64)</f>
        <v>0</v>
      </c>
      <c r="N64" s="233">
        <f>SUMIFS('Budget - 2026'!$DG$5:$DG$56,'Budget - 2026'!$B$5:$B$56,'AVA CG - Overview'!D64)</f>
        <v>52204</v>
      </c>
      <c r="O64" s="240">
        <f>SUMIFS('Budget - 2026'!$EB$5:$EB$56,'Budget - 2026'!$B$5:$B$56,'AVA CG - Overview'!D64)</f>
        <v>33000</v>
      </c>
      <c r="P64" s="239">
        <f>SUMIFS('Actual - 2026'!$BD$5:$BD$56,'Actual - 2026'!$A$5:$A$56,'AVA CG - Overview'!D64)</f>
        <v>0</v>
      </c>
      <c r="Q64" s="233">
        <f>SUMIFS('Budget - 2026'!$DD$5:$DD$56,'Budget - 2026'!$B$5:$B$56,D64)</f>
        <v>269698.7</v>
      </c>
      <c r="R64" s="240">
        <f>SUMIFS('Budget - 2026'!$DY$5:$DY$56,'Budget - 2026'!$B$5:$B$56,'AVA CG - Overview'!D64)</f>
        <v>288730</v>
      </c>
      <c r="S64" s="239">
        <v>0</v>
      </c>
      <c r="T64" s="233">
        <f>SUMIFS('Budget - 2026'!$DJ$5:$DJ$56,'Budget - 2026'!$B$5:$B$56,D64)</f>
        <v>0</v>
      </c>
      <c r="U64" s="240">
        <f>SUMIFS('Budget - 2026'!$EE$5:$EE$56,'Budget - 2026'!$B$5:$B$56,'AVA CG - Overview'!G64)</f>
        <v>0</v>
      </c>
    </row>
    <row r="65" spans="4:21" s="108" customFormat="1" ht="22.15" customHeight="1">
      <c r="D65" s="193" t="s">
        <v>190</v>
      </c>
      <c r="E65" s="194"/>
      <c r="F65" s="239">
        <f>SUMIFS('Actual - 2026'!$BM$5:$BM$56,'Actual - 2026'!$A$5:$A$56,'AVA CG - Overview'!D65)</f>
        <v>0</v>
      </c>
      <c r="G65" s="233">
        <f>SUMIFS('Budget - 2026'!$DM$5:$DM$56,'Budget - 2026'!$B$5:$B$56,'AVA CG - Overview'!D65)</f>
        <v>321902.7</v>
      </c>
      <c r="H65" s="247">
        <f t="shared" si="3"/>
        <v>-1</v>
      </c>
      <c r="I65" s="194"/>
      <c r="J65" s="239">
        <f>SUMIFS('Budget - 2026'!$EH$5:$EH$56,'Budget - 2026'!$B$5:$B$56,'AVA CG - Overview'!D65)</f>
        <v>327730</v>
      </c>
      <c r="K65" s="251">
        <f t="shared" si="1"/>
        <v>-1</v>
      </c>
      <c r="L65" s="194"/>
      <c r="M65" s="239">
        <f>SUMIFS('Actual - 2026'!$BG$5:$BG$56,'Actual - 2026'!$A$5:$A$56,'AVA CG - Overview'!D65)</f>
        <v>0</v>
      </c>
      <c r="N65" s="233">
        <f>SUMIFS('Budget - 2026'!$DG$5:$DG$56,'Budget - 2026'!$B$5:$B$56,'AVA CG - Overview'!D65)</f>
        <v>52204</v>
      </c>
      <c r="O65" s="240">
        <f>SUMIFS('Budget - 2026'!$EB$5:$EB$56,'Budget - 2026'!$B$5:$B$56,'AVA CG - Overview'!D65)</f>
        <v>39000</v>
      </c>
      <c r="P65" s="239">
        <f>SUMIFS('Actual - 2026'!$BD$5:$BD$56,'Actual - 2026'!$A$5:$A$56,'AVA CG - Overview'!D65)</f>
        <v>0</v>
      </c>
      <c r="Q65" s="233">
        <f>SUMIFS('Budget - 2026'!$DD$5:$DD$56,'Budget - 2026'!$B$5:$B$56,D65)</f>
        <v>269698.7</v>
      </c>
      <c r="R65" s="240">
        <f>SUMIFS('Budget - 2026'!$DY$5:$DY$56,'Budget - 2026'!$B$5:$B$56,'AVA CG - Overview'!D65)</f>
        <v>288730</v>
      </c>
      <c r="S65" s="239">
        <v>0</v>
      </c>
      <c r="T65" s="233">
        <f>SUMIFS('Budget - 2026'!$DJ$5:$DJ$56,'Budget - 2026'!$B$5:$B$56,D65)</f>
        <v>0</v>
      </c>
      <c r="U65" s="240">
        <f>SUMIFS('Budget - 2026'!$EE$5:$EE$56,'Budget - 2026'!$B$5:$B$56,'AVA CG - Overview'!G65)</f>
        <v>0</v>
      </c>
    </row>
    <row r="66" spans="4:21" s="108" customFormat="1" ht="22.15" customHeight="1">
      <c r="D66" s="193" t="s">
        <v>191</v>
      </c>
      <c r="E66" s="194"/>
      <c r="F66" s="239">
        <f>SUMIFS('Actual - 2026'!$BM$5:$BM$56,'Actual - 2026'!$A$5:$A$56,'AVA CG - Overview'!D66)</f>
        <v>0</v>
      </c>
      <c r="G66" s="233">
        <f>SUMIFS('Budget - 2026'!$DM$5:$DM$56,'Budget - 2026'!$B$5:$B$56,'AVA CG - Overview'!D66)</f>
        <v>321902.7</v>
      </c>
      <c r="H66" s="247">
        <f t="shared" si="3"/>
        <v>-1</v>
      </c>
      <c r="I66" s="194"/>
      <c r="J66" s="239">
        <f>SUMIFS('Budget - 2026'!$EH$5:$EH$56,'Budget - 2026'!$B$5:$B$56,'AVA CG - Overview'!D66)</f>
        <v>321730</v>
      </c>
      <c r="K66" s="251">
        <f t="shared" si="1"/>
        <v>-1</v>
      </c>
      <c r="L66" s="194"/>
      <c r="M66" s="239">
        <f>SUMIFS('Actual - 2026'!$BG$5:$BG$56,'Actual - 2026'!$A$5:$A$56,'AVA CG - Overview'!D66)</f>
        <v>0</v>
      </c>
      <c r="N66" s="233">
        <f>SUMIFS('Budget - 2026'!$DG$5:$DG$56,'Budget - 2026'!$B$5:$B$56,'AVA CG - Overview'!D66)</f>
        <v>52204</v>
      </c>
      <c r="O66" s="240">
        <f>SUMIFS('Budget - 2026'!$EB$5:$EB$56,'Budget - 2026'!$B$5:$B$56,'AVA CG - Overview'!D66)</f>
        <v>33000</v>
      </c>
      <c r="P66" s="239">
        <f>SUMIFS('Actual - 2026'!$BD$5:$BD$56,'Actual - 2026'!$A$5:$A$56,'AVA CG - Overview'!D66)</f>
        <v>0</v>
      </c>
      <c r="Q66" s="233">
        <f>SUMIFS('Budget - 2026'!$DD$5:$DD$56,'Budget - 2026'!$B$5:$B$56,D66)</f>
        <v>269698.7</v>
      </c>
      <c r="R66" s="240">
        <f>SUMIFS('Budget - 2026'!$DY$5:$DY$56,'Budget - 2026'!$B$5:$B$56,'AVA CG - Overview'!D66)</f>
        <v>288730</v>
      </c>
      <c r="S66" s="239">
        <v>0</v>
      </c>
      <c r="T66" s="233">
        <f>SUMIFS('Budget - 2026'!$DJ$5:$DJ$56,'Budget - 2026'!$B$5:$B$56,D66)</f>
        <v>0</v>
      </c>
      <c r="U66" s="240">
        <f>SUMIFS('Budget - 2026'!$EE$5:$EE$56,'Budget - 2026'!$B$5:$B$56,'AVA CG - Overview'!G66)</f>
        <v>0</v>
      </c>
    </row>
    <row r="67" spans="4:21" s="108" customFormat="1" ht="22.15" customHeight="1">
      <c r="D67" s="193" t="s">
        <v>192</v>
      </c>
      <c r="E67" s="194"/>
      <c r="F67" s="239">
        <f>SUMIFS('Actual - 2026'!$BM$5:$BM$56,'Actual - 2026'!$A$5:$A$56,'AVA CG - Overview'!D67)</f>
        <v>0</v>
      </c>
      <c r="G67" s="233">
        <f>SUMIFS('Budget - 2026'!$DM$5:$DM$56,'Budget - 2026'!$B$5:$B$56,'AVA CG - Overview'!D67)</f>
        <v>321902.7</v>
      </c>
      <c r="H67" s="247">
        <f t="shared" si="3"/>
        <v>-1</v>
      </c>
      <c r="I67" s="194"/>
      <c r="J67" s="239">
        <f>SUMIFS('Budget - 2026'!$EH$5:$EH$56,'Budget - 2026'!$B$5:$B$56,'AVA CG - Overview'!D67)</f>
        <v>321730</v>
      </c>
      <c r="K67" s="251">
        <f t="shared" si="1"/>
        <v>-1</v>
      </c>
      <c r="L67" s="194"/>
      <c r="M67" s="239">
        <f>SUMIFS('Actual - 2026'!$BG$5:$BG$56,'Actual - 2026'!$A$5:$A$56,'AVA CG - Overview'!D67)</f>
        <v>0</v>
      </c>
      <c r="N67" s="233">
        <f>SUMIFS('Budget - 2026'!$DG$5:$DG$56,'Budget - 2026'!$B$5:$B$56,'AVA CG - Overview'!D67)</f>
        <v>52204</v>
      </c>
      <c r="O67" s="240">
        <f>SUMIFS('Budget - 2026'!$EB$5:$EB$56,'Budget - 2026'!$B$5:$B$56,'AVA CG - Overview'!D67)</f>
        <v>33000</v>
      </c>
      <c r="P67" s="239">
        <f>SUMIFS('Actual - 2026'!$BD$5:$BD$56,'Actual - 2026'!$A$5:$A$56,'AVA CG - Overview'!D67)</f>
        <v>0</v>
      </c>
      <c r="Q67" s="233">
        <f>SUMIFS('Budget - 2026'!$DD$5:$DD$56,'Budget - 2026'!$B$5:$B$56,D67)</f>
        <v>269698.7</v>
      </c>
      <c r="R67" s="240">
        <f>SUMIFS('Budget - 2026'!$DY$5:$DY$56,'Budget - 2026'!$B$5:$B$56,'AVA CG - Overview'!D67)</f>
        <v>288730</v>
      </c>
      <c r="S67" s="239">
        <v>0</v>
      </c>
      <c r="T67" s="233">
        <f>SUMIFS('Budget - 2026'!$DJ$5:$DJ$56,'Budget - 2026'!$B$5:$B$56,D67)</f>
        <v>0</v>
      </c>
      <c r="U67" s="240">
        <f>SUMIFS('Budget - 2026'!$EE$5:$EE$56,'Budget - 2026'!$B$5:$B$56,'AVA CG - Overview'!G67)</f>
        <v>0</v>
      </c>
    </row>
    <row r="68" spans="4:21" s="108" customFormat="1" ht="22.15" customHeight="1">
      <c r="D68" s="193" t="s">
        <v>193</v>
      </c>
      <c r="E68" s="194"/>
      <c r="F68" s="239">
        <f>SUMIFS('Actual - 2026'!$BM$5:$BM$56,'Actual - 2026'!$A$5:$A$56,'AVA CG - Overview'!D68)</f>
        <v>0</v>
      </c>
      <c r="G68" s="233">
        <f>SUMIFS('Budget - 2026'!$DM$5:$DM$56,'Budget - 2026'!$B$5:$B$56,'AVA CG - Overview'!D68)</f>
        <v>321902.7</v>
      </c>
      <c r="H68" s="247">
        <f t="shared" si="3"/>
        <v>-1</v>
      </c>
      <c r="I68" s="194"/>
      <c r="J68" s="239">
        <f>SUMIFS('Budget - 2026'!$EH$5:$EH$56,'Budget - 2026'!$B$5:$B$56,'AVA CG - Overview'!D68)</f>
        <v>321730</v>
      </c>
      <c r="K68" s="251">
        <f t="shared" si="1"/>
        <v>-1</v>
      </c>
      <c r="L68" s="194"/>
      <c r="M68" s="239">
        <f>SUMIFS('Actual - 2026'!$BG$5:$BG$56,'Actual - 2026'!$A$5:$A$56,'AVA CG - Overview'!D68)</f>
        <v>0</v>
      </c>
      <c r="N68" s="233">
        <f>SUMIFS('Budget - 2026'!$DG$5:$DG$56,'Budget - 2026'!$B$5:$B$56,'AVA CG - Overview'!D68)</f>
        <v>52204</v>
      </c>
      <c r="O68" s="240">
        <f>SUMIFS('Budget - 2026'!$EB$5:$EB$56,'Budget - 2026'!$B$5:$B$56,'AVA CG - Overview'!D68)</f>
        <v>33000</v>
      </c>
      <c r="P68" s="239">
        <f>SUMIFS('Actual - 2026'!$BD$5:$BD$56,'Actual - 2026'!$A$5:$A$56,'AVA CG - Overview'!D68)</f>
        <v>0</v>
      </c>
      <c r="Q68" s="233">
        <f>SUMIFS('Budget - 2026'!$DD$5:$DD$56,'Budget - 2026'!$B$5:$B$56,D68)</f>
        <v>269698.7</v>
      </c>
      <c r="R68" s="240">
        <f>SUMIFS('Budget - 2026'!$DY$5:$DY$56,'Budget - 2026'!$B$5:$B$56,'AVA CG - Overview'!D68)</f>
        <v>288730</v>
      </c>
      <c r="S68" s="239">
        <v>0</v>
      </c>
      <c r="T68" s="233">
        <f>SUMIFS('Budget - 2026'!$DJ$5:$DJ$56,'Budget - 2026'!$B$5:$B$56,D68)</f>
        <v>0</v>
      </c>
      <c r="U68" s="240">
        <f>SUMIFS('Budget - 2026'!$EE$5:$EE$56,'Budget - 2026'!$B$5:$B$56,'AVA CG - Overview'!G68)</f>
        <v>0</v>
      </c>
    </row>
    <row r="69" spans="4:21" s="108" customFormat="1" ht="22.15" customHeight="1" thickBot="1">
      <c r="D69" s="227" t="s">
        <v>263</v>
      </c>
      <c r="E69" s="194"/>
      <c r="F69" s="243">
        <f>SUM(F64:F68)</f>
        <v>0</v>
      </c>
      <c r="G69" s="244">
        <f>SUM(G64:G68)</f>
        <v>1609513.5</v>
      </c>
      <c r="H69" s="249">
        <f t="shared" si="3"/>
        <v>-1</v>
      </c>
      <c r="I69" s="194"/>
      <c r="J69" s="243">
        <f>SUM(J64:J68)</f>
        <v>1614650</v>
      </c>
      <c r="K69" s="249">
        <f>IFERROR((F69-J69)/J69,0)</f>
        <v>-1</v>
      </c>
      <c r="L69" s="194"/>
      <c r="M69" s="243">
        <f t="shared" ref="M69:R69" si="14">SUM(M64:M68)</f>
        <v>0</v>
      </c>
      <c r="N69" s="244">
        <f t="shared" si="14"/>
        <v>261020</v>
      </c>
      <c r="O69" s="245">
        <f t="shared" si="14"/>
        <v>171000</v>
      </c>
      <c r="P69" s="243">
        <f t="shared" si="14"/>
        <v>0</v>
      </c>
      <c r="Q69" s="244">
        <f t="shared" si="14"/>
        <v>1348493.5</v>
      </c>
      <c r="R69" s="245">
        <f t="shared" si="14"/>
        <v>1443650</v>
      </c>
      <c r="S69" s="243">
        <v>0</v>
      </c>
      <c r="T69" s="244">
        <f>SUM(T64:T68)</f>
        <v>0</v>
      </c>
      <c r="U69" s="245">
        <f>SUM(U64:U68)</f>
        <v>0</v>
      </c>
    </row>
    <row r="70" spans="4:21" ht="22.15" customHeight="1"/>
  </sheetData>
  <mergeCells count="5">
    <mergeCell ref="D2:U2"/>
    <mergeCell ref="F4:K4"/>
    <mergeCell ref="M4:O4"/>
    <mergeCell ref="P4:R4"/>
    <mergeCell ref="S4:U4"/>
  </mergeCells>
  <conditionalFormatting sqref="H1:H1048576 K1:K1048576">
    <cfRule type="cellIs" dxfId="235" priority="1" operator="lessThan">
      <formula>0.01</formula>
    </cfRule>
  </conditionalFormatting>
  <pageMargins left="0.7" right="0.7" top="0.75" bottom="0.75" header="0.3" footer="0.3"/>
  <pageSetup scale="37" orientation="portrait" r:id="rId1"/>
  <headerFooter>
    <oddFooter>&amp;LRDG&amp;CRDG OPS - SALES&amp;R&amp;P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A40022-F658-4FDD-AD33-076A59B4FB49}">
          <x14:formula1>
            <xm:f>'Budget - 2026'!$B$5:$B$56</xm:f>
          </x14:formula1>
          <xm:sqref>D1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1FB2-1046-40F4-8D5B-C0D497626927}">
  <sheetPr>
    <tabColor rgb="FF0070C0"/>
  </sheetPr>
  <dimension ref="A1"/>
  <sheetViews>
    <sheetView workbookViewId="0">
      <selection activeCell="R14" sqref="R14"/>
    </sheetView>
  </sheetViews>
  <sheetFormatPr defaultRowHeight="1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E795-DBD4-4A99-8670-852A93DE7ECE}">
  <dimension ref="A1:AA603"/>
  <sheetViews>
    <sheetView topLeftCell="C1" zoomScaleNormal="100" workbookViewId="0">
      <selection activeCell="S16" sqref="S16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9.140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9.140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7.7109375" style="343" bestFit="1" customWidth="1"/>
    <col min="18" max="18" width="8.140625" style="343" bestFit="1" customWidth="1"/>
    <col min="19" max="19" width="9.85546875" style="343" bestFit="1" customWidth="1"/>
    <col min="20" max="20" width="9.140625" style="343" bestFit="1" customWidth="1"/>
    <col min="21" max="21" width="19.7109375" style="343" bestFit="1" customWidth="1"/>
    <col min="22" max="22" width="8.85546875" style="343" bestFit="1" customWidth="1"/>
    <col min="23" max="23" width="9.140625" style="343" bestFit="1" customWidth="1"/>
    <col min="24" max="24" width="14.5703125" style="343" bestFit="1" customWidth="1"/>
    <col min="25" max="25" width="13.42578125" style="343" bestFit="1" customWidth="1"/>
    <col min="26" max="26" width="10.28515625" style="343" bestFit="1" customWidth="1"/>
    <col min="27" max="27" width="10.85546875" style="343" bestFit="1" customWidth="1"/>
    <col min="28" max="16384" width="9.140625" style="343"/>
  </cols>
  <sheetData>
    <row r="1" spans="1:27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102</v>
      </c>
      <c r="R1" s="343" t="s">
        <v>100</v>
      </c>
      <c r="S1" s="343" t="s">
        <v>112</v>
      </c>
      <c r="T1" s="343" t="s">
        <v>113</v>
      </c>
      <c r="U1" s="343" t="s">
        <v>266</v>
      </c>
      <c r="V1" s="343" t="s">
        <v>267</v>
      </c>
      <c r="W1" s="343" t="s">
        <v>116</v>
      </c>
      <c r="X1" s="343" t="s">
        <v>268</v>
      </c>
      <c r="Y1" s="343" t="s">
        <v>269</v>
      </c>
      <c r="Z1" s="343" t="s">
        <v>270</v>
      </c>
      <c r="AA1" s="343" t="s">
        <v>271</v>
      </c>
    </row>
    <row r="2" spans="1:27">
      <c r="A2" s="343">
        <v>20241230</v>
      </c>
      <c r="B2" s="343">
        <v>119801</v>
      </c>
      <c r="C2" s="343">
        <v>513</v>
      </c>
      <c r="D2" s="343">
        <v>1104</v>
      </c>
      <c r="E2" s="384">
        <v>45656</v>
      </c>
      <c r="F2" s="343" t="s">
        <v>232</v>
      </c>
      <c r="G2" s="343" t="s">
        <v>272</v>
      </c>
      <c r="I2" s="343">
        <v>20250105</v>
      </c>
      <c r="J2" s="343">
        <v>36192</v>
      </c>
      <c r="K2" s="343">
        <v>92</v>
      </c>
      <c r="L2" s="343">
        <v>312</v>
      </c>
      <c r="M2" s="384">
        <v>45662</v>
      </c>
      <c r="N2" s="343" t="s">
        <v>245</v>
      </c>
      <c r="O2" s="343" t="s">
        <v>272</v>
      </c>
      <c r="Q2" s="343" t="s">
        <v>121</v>
      </c>
      <c r="R2" s="343" t="s">
        <v>122</v>
      </c>
      <c r="S2" s="384">
        <v>46020</v>
      </c>
      <c r="T2" s="384">
        <v>46026</v>
      </c>
      <c r="U2" s="343" t="s">
        <v>273</v>
      </c>
      <c r="V2" s="343">
        <v>19</v>
      </c>
      <c r="W2" s="343">
        <v>8664.4599999999991</v>
      </c>
      <c r="X2" s="343">
        <v>0</v>
      </c>
      <c r="Y2" s="343">
        <v>0</v>
      </c>
      <c r="Z2" s="343">
        <v>8664.4599999999991</v>
      </c>
      <c r="AA2" s="343">
        <v>779.8</v>
      </c>
    </row>
    <row r="3" spans="1:27">
      <c r="A3" s="343">
        <v>20241231</v>
      </c>
      <c r="B3" s="343">
        <v>314036.12</v>
      </c>
      <c r="C3" s="343">
        <v>337</v>
      </c>
      <c r="D3" s="343">
        <v>744</v>
      </c>
      <c r="E3" s="384">
        <v>45657</v>
      </c>
      <c r="F3" s="343" t="s">
        <v>233</v>
      </c>
      <c r="G3" s="343" t="s">
        <v>272</v>
      </c>
      <c r="I3" s="343">
        <v>20250112</v>
      </c>
      <c r="J3" s="343">
        <v>49547.8</v>
      </c>
      <c r="K3" s="343">
        <v>83</v>
      </c>
      <c r="L3" s="343">
        <v>323</v>
      </c>
      <c r="M3" s="384">
        <v>45669</v>
      </c>
      <c r="N3" s="343" t="s">
        <v>245</v>
      </c>
      <c r="O3" s="343" t="s">
        <v>274</v>
      </c>
      <c r="Q3" s="343" t="s">
        <v>121</v>
      </c>
      <c r="R3" s="343" t="s">
        <v>122</v>
      </c>
      <c r="S3" s="384">
        <v>46020</v>
      </c>
      <c r="T3" s="384">
        <v>46026</v>
      </c>
      <c r="U3" s="343" t="s">
        <v>275</v>
      </c>
      <c r="V3" s="343">
        <v>430</v>
      </c>
      <c r="W3" s="343">
        <v>43645</v>
      </c>
      <c r="X3" s="343">
        <v>2335</v>
      </c>
      <c r="Y3" s="343">
        <v>0</v>
      </c>
      <c r="Z3" s="343">
        <v>45980</v>
      </c>
      <c r="AA3" s="343">
        <v>3928.05</v>
      </c>
    </row>
    <row r="4" spans="1:27">
      <c r="A4" s="343">
        <v>20250101</v>
      </c>
      <c r="B4" s="343">
        <v>103416</v>
      </c>
      <c r="C4" s="343">
        <v>438</v>
      </c>
      <c r="D4" s="343">
        <v>928</v>
      </c>
      <c r="E4" s="384">
        <v>45658</v>
      </c>
      <c r="F4" s="343" t="s">
        <v>234</v>
      </c>
      <c r="G4" s="343" t="s">
        <v>272</v>
      </c>
      <c r="I4" s="343">
        <v>20250119</v>
      </c>
      <c r="J4" s="343">
        <v>43617.7</v>
      </c>
      <c r="K4" s="343">
        <v>103</v>
      </c>
      <c r="L4" s="343">
        <v>343</v>
      </c>
      <c r="M4" s="384">
        <v>45676</v>
      </c>
      <c r="N4" s="343" t="s">
        <v>245</v>
      </c>
      <c r="O4" s="343" t="s">
        <v>276</v>
      </c>
      <c r="Q4" s="343" t="s">
        <v>121</v>
      </c>
      <c r="R4" s="343" t="s">
        <v>122</v>
      </c>
      <c r="S4" s="384">
        <v>46020</v>
      </c>
      <c r="T4" s="384">
        <v>46026</v>
      </c>
      <c r="U4" s="343" t="s">
        <v>277</v>
      </c>
      <c r="V4" s="343">
        <v>67</v>
      </c>
      <c r="W4" s="343">
        <v>1674</v>
      </c>
      <c r="X4" s="343">
        <v>0</v>
      </c>
      <c r="Y4" s="343">
        <v>0</v>
      </c>
      <c r="Z4" s="343">
        <v>1674</v>
      </c>
      <c r="AA4" s="343">
        <v>150.66</v>
      </c>
    </row>
    <row r="5" spans="1:27">
      <c r="A5" s="343">
        <v>20250102</v>
      </c>
      <c r="B5" s="343">
        <v>107011.8</v>
      </c>
      <c r="C5" s="343">
        <v>428</v>
      </c>
      <c r="D5" s="343">
        <v>892</v>
      </c>
      <c r="E5" s="384">
        <v>45659</v>
      </c>
      <c r="F5" s="343" t="s">
        <v>235</v>
      </c>
      <c r="G5" s="343" t="s">
        <v>272</v>
      </c>
      <c r="I5" s="343">
        <v>20250126</v>
      </c>
      <c r="J5" s="343">
        <v>39600</v>
      </c>
      <c r="K5" s="343">
        <v>93</v>
      </c>
      <c r="L5" s="343">
        <v>299</v>
      </c>
      <c r="M5" s="384">
        <v>45683</v>
      </c>
      <c r="N5" s="343" t="s">
        <v>245</v>
      </c>
      <c r="O5" s="343" t="s">
        <v>278</v>
      </c>
      <c r="Q5" s="343" t="s">
        <v>121</v>
      </c>
      <c r="R5" s="343" t="s">
        <v>122</v>
      </c>
      <c r="S5" s="384">
        <v>46020</v>
      </c>
      <c r="T5" s="384">
        <v>46026</v>
      </c>
      <c r="U5" s="343" t="s">
        <v>279</v>
      </c>
      <c r="V5" s="343">
        <v>341</v>
      </c>
      <c r="W5" s="343">
        <v>4080</v>
      </c>
      <c r="X5" s="343">
        <v>24</v>
      </c>
      <c r="Y5" s="343">
        <v>0</v>
      </c>
      <c r="Z5" s="343">
        <v>4104</v>
      </c>
      <c r="AA5" s="343">
        <v>367.2</v>
      </c>
    </row>
    <row r="6" spans="1:27">
      <c r="A6" s="343">
        <v>20250103</v>
      </c>
      <c r="B6" s="343">
        <v>113257.55</v>
      </c>
      <c r="C6" s="343">
        <v>445</v>
      </c>
      <c r="D6" s="343">
        <v>941</v>
      </c>
      <c r="E6" s="384">
        <v>45660</v>
      </c>
      <c r="F6" s="343" t="s">
        <v>236</v>
      </c>
      <c r="G6" s="343" t="s">
        <v>272</v>
      </c>
      <c r="I6" s="343">
        <v>20250202</v>
      </c>
      <c r="J6" s="343">
        <v>36953.85</v>
      </c>
      <c r="K6" s="343">
        <v>89</v>
      </c>
      <c r="L6" s="343">
        <v>288</v>
      </c>
      <c r="M6" s="384">
        <v>45690</v>
      </c>
      <c r="N6" s="343" t="s">
        <v>245</v>
      </c>
      <c r="O6" s="343" t="s">
        <v>280</v>
      </c>
      <c r="Q6" s="343" t="s">
        <v>121</v>
      </c>
      <c r="R6" s="343" t="s">
        <v>122</v>
      </c>
      <c r="S6" s="384">
        <v>46020</v>
      </c>
      <c r="T6" s="384">
        <v>46026</v>
      </c>
      <c r="U6" s="343" t="s">
        <v>281</v>
      </c>
      <c r="V6" s="343">
        <v>8872</v>
      </c>
      <c r="W6" s="343">
        <v>204182.19</v>
      </c>
      <c r="X6" s="343">
        <v>4047.81</v>
      </c>
      <c r="Y6" s="343">
        <v>0</v>
      </c>
      <c r="Z6" s="343">
        <v>208230</v>
      </c>
      <c r="AA6" s="343">
        <v>18376.39</v>
      </c>
    </row>
    <row r="7" spans="1:27">
      <c r="A7" s="343">
        <v>20250104</v>
      </c>
      <c r="B7" s="343">
        <v>134036.35</v>
      </c>
      <c r="C7" s="343">
        <v>530</v>
      </c>
      <c r="D7" s="343">
        <v>1056</v>
      </c>
      <c r="E7" s="384">
        <v>45661</v>
      </c>
      <c r="F7" s="343" t="s">
        <v>244</v>
      </c>
      <c r="G7" s="343" t="s">
        <v>272</v>
      </c>
      <c r="I7" s="343">
        <v>20250209</v>
      </c>
      <c r="J7" s="343">
        <v>34502.949999999997</v>
      </c>
      <c r="K7" s="343">
        <v>83</v>
      </c>
      <c r="L7" s="343">
        <v>269</v>
      </c>
      <c r="M7" s="384">
        <v>45697</v>
      </c>
      <c r="N7" s="343" t="s">
        <v>245</v>
      </c>
      <c r="O7" s="343" t="s">
        <v>282</v>
      </c>
      <c r="Q7" s="343" t="s">
        <v>121</v>
      </c>
      <c r="R7" s="343" t="s">
        <v>122</v>
      </c>
      <c r="S7" s="384">
        <v>46020</v>
      </c>
      <c r="T7" s="384">
        <v>46026</v>
      </c>
      <c r="U7" s="343" t="s">
        <v>283</v>
      </c>
      <c r="V7" s="343">
        <v>4067</v>
      </c>
      <c r="W7" s="343">
        <v>41348.26</v>
      </c>
      <c r="X7" s="343">
        <v>1127.75</v>
      </c>
      <c r="Y7" s="343">
        <v>0</v>
      </c>
      <c r="Z7" s="343">
        <v>42476.01</v>
      </c>
      <c r="AA7" s="343">
        <v>3721.35</v>
      </c>
    </row>
    <row r="8" spans="1:27">
      <c r="A8" s="343">
        <v>20250105</v>
      </c>
      <c r="B8" s="343">
        <v>58173.5</v>
      </c>
      <c r="C8" s="343">
        <v>256</v>
      </c>
      <c r="D8" s="343">
        <v>538</v>
      </c>
      <c r="E8" s="384">
        <v>45662</v>
      </c>
      <c r="F8" s="343" t="s">
        <v>245</v>
      </c>
      <c r="G8" s="343" t="s">
        <v>272</v>
      </c>
      <c r="I8" s="343">
        <v>20250216</v>
      </c>
      <c r="J8" s="343">
        <v>42526</v>
      </c>
      <c r="K8" s="343">
        <v>109</v>
      </c>
      <c r="L8" s="343">
        <v>333</v>
      </c>
      <c r="M8" s="384">
        <v>45704</v>
      </c>
      <c r="N8" s="343" t="s">
        <v>245</v>
      </c>
      <c r="O8" s="343" t="s">
        <v>284</v>
      </c>
      <c r="Q8" s="343" t="s">
        <v>121</v>
      </c>
      <c r="R8" s="343" t="s">
        <v>122</v>
      </c>
      <c r="S8" s="384">
        <v>46020</v>
      </c>
      <c r="T8" s="384">
        <v>46026</v>
      </c>
      <c r="U8" s="343" t="s">
        <v>285</v>
      </c>
      <c r="V8" s="343">
        <v>27302.25</v>
      </c>
      <c r="W8" s="343">
        <v>660408.06000000006</v>
      </c>
      <c r="X8" s="343">
        <v>14982.94</v>
      </c>
      <c r="Y8" s="343">
        <v>0</v>
      </c>
      <c r="Z8" s="343">
        <v>675391</v>
      </c>
      <c r="AA8" s="343">
        <v>59437.03</v>
      </c>
    </row>
    <row r="9" spans="1:27">
      <c r="A9" s="343">
        <v>20250106</v>
      </c>
      <c r="B9" s="343">
        <v>47247</v>
      </c>
      <c r="C9" s="343">
        <v>187</v>
      </c>
      <c r="D9" s="343">
        <v>418</v>
      </c>
      <c r="E9" s="384">
        <v>45663</v>
      </c>
      <c r="F9" s="343" t="s">
        <v>232</v>
      </c>
      <c r="G9" s="343" t="s">
        <v>274</v>
      </c>
      <c r="I9" s="343">
        <v>20250223</v>
      </c>
      <c r="J9" s="343">
        <v>68271.8</v>
      </c>
      <c r="K9" s="343">
        <v>95</v>
      </c>
      <c r="L9" s="343">
        <v>379</v>
      </c>
      <c r="M9" s="384">
        <v>45711</v>
      </c>
      <c r="N9" s="343" t="s">
        <v>245</v>
      </c>
      <c r="O9" s="343" t="s">
        <v>286</v>
      </c>
      <c r="Q9" s="343" t="s">
        <v>121</v>
      </c>
      <c r="R9" s="343" t="s">
        <v>122</v>
      </c>
      <c r="S9" s="384">
        <v>46020</v>
      </c>
      <c r="T9" s="384">
        <v>46026</v>
      </c>
      <c r="U9" s="343" t="s">
        <v>287</v>
      </c>
      <c r="V9" s="343">
        <v>1190</v>
      </c>
      <c r="W9" s="343">
        <v>27987</v>
      </c>
      <c r="X9" s="343">
        <v>619</v>
      </c>
      <c r="Y9" s="343">
        <v>0</v>
      </c>
      <c r="Z9" s="343">
        <v>28606</v>
      </c>
      <c r="AA9" s="343">
        <v>2518.83</v>
      </c>
    </row>
    <row r="10" spans="1:27">
      <c r="A10" s="343">
        <v>20250107</v>
      </c>
      <c r="B10" s="343">
        <v>57229.9</v>
      </c>
      <c r="C10" s="343">
        <v>219</v>
      </c>
      <c r="D10" s="343">
        <v>486</v>
      </c>
      <c r="E10" s="384">
        <v>45664</v>
      </c>
      <c r="F10" s="343" t="s">
        <v>233</v>
      </c>
      <c r="G10" s="343" t="s">
        <v>274</v>
      </c>
      <c r="I10" s="343">
        <v>20250302</v>
      </c>
      <c r="J10" s="343">
        <v>36036.25</v>
      </c>
      <c r="K10" s="343">
        <v>90</v>
      </c>
      <c r="L10" s="343">
        <v>279</v>
      </c>
      <c r="M10" s="384">
        <v>45718</v>
      </c>
      <c r="N10" s="343" t="s">
        <v>245</v>
      </c>
      <c r="O10" s="343" t="s">
        <v>288</v>
      </c>
      <c r="Q10" s="343" t="s">
        <v>121</v>
      </c>
      <c r="R10" s="343" t="s">
        <v>122</v>
      </c>
      <c r="S10" s="384">
        <v>46020</v>
      </c>
      <c r="T10" s="384">
        <v>46026</v>
      </c>
      <c r="U10" s="343" t="s">
        <v>289</v>
      </c>
      <c r="V10" s="343">
        <v>38</v>
      </c>
      <c r="W10" s="343">
        <v>19460</v>
      </c>
      <c r="X10" s="343">
        <v>0</v>
      </c>
      <c r="Y10" s="343">
        <v>0</v>
      </c>
      <c r="Z10" s="343">
        <v>19460</v>
      </c>
      <c r="AA10" s="343">
        <v>1751.4</v>
      </c>
    </row>
    <row r="11" spans="1:27">
      <c r="A11" s="343">
        <v>20250108</v>
      </c>
      <c r="B11" s="343">
        <v>73870.899999999994</v>
      </c>
      <c r="C11" s="343">
        <v>249</v>
      </c>
      <c r="D11" s="343">
        <v>613</v>
      </c>
      <c r="E11" s="384">
        <v>45665</v>
      </c>
      <c r="F11" s="343" t="s">
        <v>234</v>
      </c>
      <c r="G11" s="343" t="s">
        <v>274</v>
      </c>
      <c r="I11" s="343">
        <v>20250309</v>
      </c>
      <c r="J11" s="343">
        <v>39584.75</v>
      </c>
      <c r="K11" s="343">
        <v>96</v>
      </c>
      <c r="L11" s="343">
        <v>322</v>
      </c>
      <c r="M11" s="384">
        <v>45725</v>
      </c>
      <c r="N11" s="343" t="s">
        <v>245</v>
      </c>
      <c r="O11" s="343" t="s">
        <v>290</v>
      </c>
      <c r="Q11" s="343" t="s">
        <v>121</v>
      </c>
      <c r="R11" s="343" t="s">
        <v>122</v>
      </c>
      <c r="S11" s="384">
        <v>46020</v>
      </c>
      <c r="T11" s="384">
        <v>46026</v>
      </c>
      <c r="U11" s="343" t="s">
        <v>291</v>
      </c>
      <c r="V11" s="343">
        <v>170</v>
      </c>
      <c r="W11" s="343">
        <v>16900</v>
      </c>
      <c r="X11" s="343">
        <v>0</v>
      </c>
      <c r="Y11" s="343">
        <v>0</v>
      </c>
      <c r="Z11" s="343">
        <v>16900</v>
      </c>
      <c r="AA11" s="343">
        <v>1521</v>
      </c>
    </row>
    <row r="12" spans="1:27">
      <c r="A12" s="343">
        <v>20250109</v>
      </c>
      <c r="B12" s="343">
        <v>97171.8</v>
      </c>
      <c r="C12" s="343">
        <v>288</v>
      </c>
      <c r="D12" s="343">
        <v>728</v>
      </c>
      <c r="E12" s="384">
        <v>45666</v>
      </c>
      <c r="F12" s="343" t="s">
        <v>235</v>
      </c>
      <c r="G12" s="343" t="s">
        <v>274</v>
      </c>
      <c r="I12" s="343">
        <v>20250316</v>
      </c>
      <c r="J12" s="343">
        <v>33653.75</v>
      </c>
      <c r="K12" s="343">
        <v>89</v>
      </c>
      <c r="L12" s="343">
        <v>270</v>
      </c>
      <c r="M12" s="384">
        <v>45732</v>
      </c>
      <c r="N12" s="343" t="s">
        <v>245</v>
      </c>
      <c r="O12" s="343" t="s">
        <v>292</v>
      </c>
      <c r="Q12" s="343" t="s">
        <v>121</v>
      </c>
      <c r="R12" s="343" t="s">
        <v>122</v>
      </c>
      <c r="S12" s="384">
        <v>46020</v>
      </c>
      <c r="T12" s="384">
        <v>46026</v>
      </c>
      <c r="U12" s="343" t="s">
        <v>293</v>
      </c>
      <c r="V12" s="343">
        <v>272</v>
      </c>
      <c r="W12" s="343">
        <v>73540</v>
      </c>
      <c r="X12" s="343">
        <v>125</v>
      </c>
      <c r="Y12" s="343">
        <v>0</v>
      </c>
      <c r="Z12" s="343">
        <v>73665</v>
      </c>
      <c r="AA12" s="343">
        <v>6618.6</v>
      </c>
    </row>
    <row r="13" spans="1:27">
      <c r="A13" s="343">
        <v>20250110</v>
      </c>
      <c r="B13" s="343">
        <v>119127.23</v>
      </c>
      <c r="C13" s="343">
        <v>443</v>
      </c>
      <c r="D13" s="343">
        <v>963</v>
      </c>
      <c r="E13" s="384">
        <v>45667</v>
      </c>
      <c r="F13" s="343" t="s">
        <v>236</v>
      </c>
      <c r="G13" s="343" t="s">
        <v>274</v>
      </c>
      <c r="I13" s="343">
        <v>20250323</v>
      </c>
      <c r="J13" s="343">
        <v>36603</v>
      </c>
      <c r="K13" s="343">
        <v>85</v>
      </c>
      <c r="L13" s="343">
        <v>275</v>
      </c>
      <c r="M13" s="384">
        <v>45739</v>
      </c>
      <c r="N13" s="343" t="s">
        <v>245</v>
      </c>
      <c r="O13" s="343" t="s">
        <v>294</v>
      </c>
      <c r="Q13" s="343" t="s">
        <v>121</v>
      </c>
      <c r="R13" s="343" t="s">
        <v>122</v>
      </c>
      <c r="S13" s="384">
        <v>46020</v>
      </c>
      <c r="T13" s="384">
        <v>46026</v>
      </c>
      <c r="U13" s="343" t="s">
        <v>106</v>
      </c>
      <c r="V13" s="343">
        <v>4</v>
      </c>
      <c r="W13" s="343">
        <v>694.45</v>
      </c>
      <c r="X13" s="343">
        <v>0</v>
      </c>
      <c r="Y13" s="343">
        <v>0</v>
      </c>
      <c r="Z13" s="343">
        <v>694.45</v>
      </c>
      <c r="AA13" s="343">
        <v>20430.310000000001</v>
      </c>
    </row>
    <row r="14" spans="1:27">
      <c r="A14" s="343">
        <v>20250111</v>
      </c>
      <c r="B14" s="343">
        <v>142265.04999999999</v>
      </c>
      <c r="C14" s="343">
        <v>441</v>
      </c>
      <c r="D14" s="343">
        <v>994</v>
      </c>
      <c r="E14" s="384">
        <v>45668</v>
      </c>
      <c r="F14" s="343" t="s">
        <v>244</v>
      </c>
      <c r="G14" s="343" t="s">
        <v>274</v>
      </c>
      <c r="I14" s="343">
        <v>20250330</v>
      </c>
      <c r="J14" s="343">
        <v>43909</v>
      </c>
      <c r="K14" s="343">
        <v>111</v>
      </c>
      <c r="L14" s="343">
        <v>357</v>
      </c>
      <c r="M14" s="384">
        <v>45746</v>
      </c>
      <c r="N14" s="343" t="s">
        <v>245</v>
      </c>
      <c r="O14" s="343" t="s">
        <v>295</v>
      </c>
      <c r="Q14" s="343" t="s">
        <v>121</v>
      </c>
      <c r="R14" s="343" t="s">
        <v>123</v>
      </c>
      <c r="S14" s="384">
        <v>46027</v>
      </c>
      <c r="T14" s="384">
        <v>46033</v>
      </c>
      <c r="U14" s="343" t="s">
        <v>273</v>
      </c>
      <c r="V14" s="343">
        <v>6</v>
      </c>
      <c r="W14" s="343">
        <v>998</v>
      </c>
      <c r="X14" s="343">
        <v>0</v>
      </c>
      <c r="Y14" s="343">
        <v>0</v>
      </c>
      <c r="Z14" s="343">
        <v>998</v>
      </c>
      <c r="AA14" s="343">
        <v>89.82</v>
      </c>
    </row>
    <row r="15" spans="1:27">
      <c r="A15" s="343">
        <v>20250112</v>
      </c>
      <c r="B15" s="343">
        <v>96995</v>
      </c>
      <c r="C15" s="343">
        <v>213</v>
      </c>
      <c r="D15" s="343">
        <v>575</v>
      </c>
      <c r="E15" s="384">
        <v>45669</v>
      </c>
      <c r="F15" s="343" t="s">
        <v>245</v>
      </c>
      <c r="G15" s="343" t="s">
        <v>274</v>
      </c>
      <c r="I15" s="343">
        <v>20250406</v>
      </c>
      <c r="J15" s="343">
        <v>33044.6</v>
      </c>
      <c r="K15" s="343">
        <v>91</v>
      </c>
      <c r="L15" s="343">
        <v>283</v>
      </c>
      <c r="M15" s="384">
        <v>45753</v>
      </c>
      <c r="N15" s="343" t="s">
        <v>245</v>
      </c>
      <c r="O15" s="343" t="s">
        <v>296</v>
      </c>
      <c r="Q15" s="343" t="s">
        <v>121</v>
      </c>
      <c r="R15" s="343" t="s">
        <v>123</v>
      </c>
      <c r="S15" s="384">
        <v>46027</v>
      </c>
      <c r="T15" s="384">
        <v>46033</v>
      </c>
      <c r="U15" s="343" t="s">
        <v>275</v>
      </c>
      <c r="V15" s="343">
        <v>343</v>
      </c>
      <c r="W15" s="343">
        <v>35925</v>
      </c>
      <c r="X15" s="343">
        <v>1970</v>
      </c>
      <c r="Y15" s="343">
        <v>0</v>
      </c>
      <c r="Z15" s="343">
        <v>37895</v>
      </c>
      <c r="AA15" s="343">
        <v>3233.25</v>
      </c>
    </row>
    <row r="16" spans="1:27">
      <c r="A16" s="343">
        <v>20250113</v>
      </c>
      <c r="B16" s="343">
        <v>124961.9</v>
      </c>
      <c r="C16" s="343">
        <v>275</v>
      </c>
      <c r="D16" s="343">
        <v>693</v>
      </c>
      <c r="E16" s="384">
        <v>45670</v>
      </c>
      <c r="F16" s="343" t="s">
        <v>232</v>
      </c>
      <c r="G16" s="343" t="s">
        <v>276</v>
      </c>
      <c r="I16" s="343">
        <v>20250410</v>
      </c>
      <c r="J16" s="343">
        <v>-990.3</v>
      </c>
      <c r="M16" s="384">
        <v>45757</v>
      </c>
      <c r="N16" s="343" t="s">
        <v>235</v>
      </c>
      <c r="O16" s="343" t="s">
        <v>297</v>
      </c>
      <c r="Q16" s="343" t="s">
        <v>121</v>
      </c>
      <c r="R16" s="343" t="s">
        <v>123</v>
      </c>
      <c r="S16" s="384">
        <v>46027</v>
      </c>
      <c r="T16" s="384">
        <v>46033</v>
      </c>
      <c r="U16" s="343" t="s">
        <v>277</v>
      </c>
      <c r="V16" s="343">
        <v>101</v>
      </c>
      <c r="W16" s="343">
        <v>4611</v>
      </c>
      <c r="X16" s="343">
        <v>0</v>
      </c>
      <c r="Y16" s="343">
        <v>0</v>
      </c>
      <c r="Z16" s="343">
        <v>4611</v>
      </c>
      <c r="AA16" s="343">
        <v>414.99</v>
      </c>
    </row>
    <row r="17" spans="1:27">
      <c r="A17" s="343">
        <v>20250114</v>
      </c>
      <c r="B17" s="343">
        <v>107152.71</v>
      </c>
      <c r="C17" s="343">
        <v>309</v>
      </c>
      <c r="D17" s="343">
        <v>730</v>
      </c>
      <c r="E17" s="384">
        <v>45671</v>
      </c>
      <c r="F17" s="343" t="s">
        <v>233</v>
      </c>
      <c r="G17" s="343" t="s">
        <v>276</v>
      </c>
      <c r="I17" s="343">
        <v>20250413</v>
      </c>
      <c r="J17" s="343">
        <v>43137.1</v>
      </c>
      <c r="K17" s="343">
        <v>91</v>
      </c>
      <c r="L17" s="343">
        <v>300</v>
      </c>
      <c r="M17" s="384">
        <v>45760</v>
      </c>
      <c r="N17" s="343" t="s">
        <v>245</v>
      </c>
      <c r="O17" s="343" t="s">
        <v>297</v>
      </c>
      <c r="Q17" s="343" t="s">
        <v>121</v>
      </c>
      <c r="R17" s="343" t="s">
        <v>123</v>
      </c>
      <c r="S17" s="384">
        <v>46027</v>
      </c>
      <c r="T17" s="384">
        <v>46033</v>
      </c>
      <c r="U17" s="343" t="s">
        <v>279</v>
      </c>
      <c r="V17" s="343">
        <v>646</v>
      </c>
      <c r="W17" s="343">
        <v>7755</v>
      </c>
      <c r="X17" s="343">
        <v>48</v>
      </c>
      <c r="Y17" s="343">
        <v>0</v>
      </c>
      <c r="Z17" s="343">
        <v>7803</v>
      </c>
      <c r="AA17" s="343">
        <v>697.95</v>
      </c>
    </row>
    <row r="18" spans="1:27">
      <c r="A18" s="343">
        <v>20250115</v>
      </c>
      <c r="B18" s="343">
        <v>60899.01</v>
      </c>
      <c r="C18" s="343">
        <v>233</v>
      </c>
      <c r="D18" s="343">
        <v>502</v>
      </c>
      <c r="E18" s="384">
        <v>45672</v>
      </c>
      <c r="F18" s="343" t="s">
        <v>234</v>
      </c>
      <c r="G18" s="343" t="s">
        <v>276</v>
      </c>
      <c r="I18" s="343">
        <v>20250420</v>
      </c>
      <c r="J18" s="343">
        <v>66834.95</v>
      </c>
      <c r="K18" s="343">
        <v>137</v>
      </c>
      <c r="L18" s="343">
        <v>481</v>
      </c>
      <c r="M18" s="384">
        <v>45767</v>
      </c>
      <c r="N18" s="343" t="s">
        <v>245</v>
      </c>
      <c r="O18" s="343" t="s">
        <v>298</v>
      </c>
      <c r="Q18" s="343" t="s">
        <v>121</v>
      </c>
      <c r="R18" s="343" t="s">
        <v>123</v>
      </c>
      <c r="S18" s="384">
        <v>46027</v>
      </c>
      <c r="T18" s="384">
        <v>46033</v>
      </c>
      <c r="U18" s="343" t="s">
        <v>281</v>
      </c>
      <c r="V18" s="343">
        <v>8268</v>
      </c>
      <c r="W18" s="343">
        <v>210490.64</v>
      </c>
      <c r="X18" s="343">
        <v>2663.4</v>
      </c>
      <c r="Y18" s="343">
        <v>0</v>
      </c>
      <c r="Z18" s="343">
        <v>213154.04</v>
      </c>
      <c r="AA18" s="343">
        <v>18944.13</v>
      </c>
    </row>
    <row r="19" spans="1:27">
      <c r="A19" s="343">
        <v>20250116</v>
      </c>
      <c r="B19" s="343">
        <v>150269.85</v>
      </c>
      <c r="C19" s="343">
        <v>259</v>
      </c>
      <c r="D19" s="343">
        <v>488</v>
      </c>
      <c r="E19" s="384">
        <v>45673</v>
      </c>
      <c r="F19" s="343" t="s">
        <v>235</v>
      </c>
      <c r="G19" s="343" t="s">
        <v>276</v>
      </c>
      <c r="I19" s="343">
        <v>20250427</v>
      </c>
      <c r="J19" s="343">
        <v>44598.75</v>
      </c>
      <c r="K19" s="343">
        <v>98</v>
      </c>
      <c r="L19" s="343">
        <v>313</v>
      </c>
      <c r="M19" s="384">
        <v>45774</v>
      </c>
      <c r="N19" s="343" t="s">
        <v>245</v>
      </c>
      <c r="O19" s="343" t="s">
        <v>299</v>
      </c>
      <c r="Q19" s="343" t="s">
        <v>121</v>
      </c>
      <c r="R19" s="343" t="s">
        <v>123</v>
      </c>
      <c r="S19" s="384">
        <v>46027</v>
      </c>
      <c r="T19" s="384">
        <v>46033</v>
      </c>
      <c r="U19" s="343" t="s">
        <v>283</v>
      </c>
      <c r="V19" s="343">
        <v>3375</v>
      </c>
      <c r="W19" s="343">
        <v>36028.629999999997</v>
      </c>
      <c r="X19" s="343">
        <v>640.37</v>
      </c>
      <c r="Y19" s="343">
        <v>0</v>
      </c>
      <c r="Z19" s="343">
        <v>36669</v>
      </c>
      <c r="AA19" s="343">
        <v>3242.6</v>
      </c>
    </row>
    <row r="20" spans="1:27">
      <c r="A20" s="343">
        <v>20250117</v>
      </c>
      <c r="B20" s="343">
        <v>116801.45</v>
      </c>
      <c r="C20" s="343">
        <v>469</v>
      </c>
      <c r="D20" s="343">
        <v>1023</v>
      </c>
      <c r="E20" s="384">
        <v>45674</v>
      </c>
      <c r="F20" s="343" t="s">
        <v>236</v>
      </c>
      <c r="G20" s="343" t="s">
        <v>276</v>
      </c>
      <c r="I20" s="343">
        <v>20250504</v>
      </c>
      <c r="J20" s="343">
        <v>33510.75</v>
      </c>
      <c r="K20" s="343">
        <v>71</v>
      </c>
      <c r="L20" s="343">
        <v>233</v>
      </c>
      <c r="M20" s="384">
        <v>45781</v>
      </c>
      <c r="N20" s="343" t="s">
        <v>245</v>
      </c>
      <c r="O20" s="343" t="s">
        <v>300</v>
      </c>
      <c r="Q20" s="343" t="s">
        <v>121</v>
      </c>
      <c r="R20" s="343" t="s">
        <v>123</v>
      </c>
      <c r="S20" s="384">
        <v>46027</v>
      </c>
      <c r="T20" s="384">
        <v>46033</v>
      </c>
      <c r="U20" s="343" t="s">
        <v>285</v>
      </c>
      <c r="V20" s="343">
        <v>20764.41</v>
      </c>
      <c r="W20" s="343">
        <v>491129.36</v>
      </c>
      <c r="X20" s="343">
        <v>11654.14</v>
      </c>
      <c r="Y20" s="343">
        <v>0</v>
      </c>
      <c r="Z20" s="343">
        <v>502783.5</v>
      </c>
      <c r="AA20" s="343">
        <v>44201.85</v>
      </c>
    </row>
    <row r="21" spans="1:27">
      <c r="A21" s="343">
        <v>20250118</v>
      </c>
      <c r="B21" s="343">
        <v>116223.71</v>
      </c>
      <c r="C21" s="343">
        <v>519</v>
      </c>
      <c r="D21" s="343">
        <v>1119</v>
      </c>
      <c r="E21" s="384">
        <v>45675</v>
      </c>
      <c r="F21" s="343" t="s">
        <v>244</v>
      </c>
      <c r="G21" s="343" t="s">
        <v>276</v>
      </c>
      <c r="I21" s="343">
        <v>20250511</v>
      </c>
      <c r="J21" s="343">
        <v>62193</v>
      </c>
      <c r="K21" s="343">
        <v>135</v>
      </c>
      <c r="L21" s="343">
        <v>495</v>
      </c>
      <c r="M21" s="384">
        <v>45788</v>
      </c>
      <c r="N21" s="343" t="s">
        <v>245</v>
      </c>
      <c r="O21" s="343" t="s">
        <v>301</v>
      </c>
      <c r="Q21" s="343" t="s">
        <v>121</v>
      </c>
      <c r="R21" s="343" t="s">
        <v>123</v>
      </c>
      <c r="S21" s="384">
        <v>46027</v>
      </c>
      <c r="T21" s="384">
        <v>46033</v>
      </c>
      <c r="U21" s="343" t="s">
        <v>287</v>
      </c>
      <c r="V21" s="343">
        <v>976</v>
      </c>
      <c r="W21" s="343">
        <v>20958</v>
      </c>
      <c r="X21" s="343">
        <v>247</v>
      </c>
      <c r="Y21" s="343">
        <v>0</v>
      </c>
      <c r="Z21" s="343">
        <v>21205</v>
      </c>
      <c r="AA21" s="343">
        <v>1886.22</v>
      </c>
    </row>
    <row r="22" spans="1:27">
      <c r="A22" s="343">
        <v>20250119</v>
      </c>
      <c r="B22" s="343">
        <v>88530.5</v>
      </c>
      <c r="C22" s="343">
        <v>389</v>
      </c>
      <c r="D22" s="343">
        <v>936</v>
      </c>
      <c r="E22" s="384">
        <v>45676</v>
      </c>
      <c r="F22" s="343" t="s">
        <v>245</v>
      </c>
      <c r="G22" s="343" t="s">
        <v>276</v>
      </c>
      <c r="I22" s="343">
        <v>20250516</v>
      </c>
      <c r="J22" s="343">
        <v>-315</v>
      </c>
      <c r="M22" s="384">
        <v>45793</v>
      </c>
      <c r="N22" s="343" t="s">
        <v>236</v>
      </c>
      <c r="O22" s="343" t="s">
        <v>302</v>
      </c>
      <c r="Q22" s="343" t="s">
        <v>121</v>
      </c>
      <c r="R22" s="343" t="s">
        <v>123</v>
      </c>
      <c r="S22" s="384">
        <v>46027</v>
      </c>
      <c r="T22" s="384">
        <v>46033</v>
      </c>
      <c r="U22" s="343" t="s">
        <v>289</v>
      </c>
      <c r="V22" s="343">
        <v>24</v>
      </c>
      <c r="W22" s="343">
        <v>9070</v>
      </c>
      <c r="X22" s="343">
        <v>0</v>
      </c>
      <c r="Y22" s="343">
        <v>0</v>
      </c>
      <c r="Z22" s="343">
        <v>9070</v>
      </c>
      <c r="AA22" s="343">
        <v>816.3</v>
      </c>
    </row>
    <row r="23" spans="1:27">
      <c r="A23" s="343">
        <v>20250120</v>
      </c>
      <c r="B23" s="343">
        <v>123260.35</v>
      </c>
      <c r="C23" s="343">
        <v>228</v>
      </c>
      <c r="D23" s="343">
        <v>617</v>
      </c>
      <c r="E23" s="384">
        <v>45677</v>
      </c>
      <c r="F23" s="343" t="s">
        <v>232</v>
      </c>
      <c r="G23" s="343" t="s">
        <v>278</v>
      </c>
      <c r="I23" s="343">
        <v>20250518</v>
      </c>
      <c r="J23" s="343">
        <v>37102</v>
      </c>
      <c r="K23" s="343">
        <v>86</v>
      </c>
      <c r="L23" s="343">
        <v>305</v>
      </c>
      <c r="M23" s="384">
        <v>45795</v>
      </c>
      <c r="N23" s="343" t="s">
        <v>245</v>
      </c>
      <c r="O23" s="343" t="s">
        <v>302</v>
      </c>
      <c r="Q23" s="343" t="s">
        <v>121</v>
      </c>
      <c r="R23" s="343" t="s">
        <v>123</v>
      </c>
      <c r="S23" s="384">
        <v>46027</v>
      </c>
      <c r="T23" s="384">
        <v>46033</v>
      </c>
      <c r="U23" s="343" t="s">
        <v>293</v>
      </c>
      <c r="V23" s="343">
        <v>248</v>
      </c>
      <c r="W23" s="343">
        <v>49495</v>
      </c>
      <c r="X23" s="343">
        <v>125</v>
      </c>
      <c r="Y23" s="343">
        <v>0</v>
      </c>
      <c r="Z23" s="343">
        <v>49620</v>
      </c>
      <c r="AA23" s="343">
        <v>4454.55</v>
      </c>
    </row>
    <row r="24" spans="1:27">
      <c r="A24" s="343">
        <v>20250121</v>
      </c>
      <c r="B24" s="343">
        <v>90490.25</v>
      </c>
      <c r="C24" s="343">
        <v>313</v>
      </c>
      <c r="D24" s="343">
        <v>704</v>
      </c>
      <c r="E24" s="384">
        <v>45678</v>
      </c>
      <c r="F24" s="343" t="s">
        <v>233</v>
      </c>
      <c r="G24" s="343" t="s">
        <v>278</v>
      </c>
      <c r="I24" s="343">
        <v>20250525</v>
      </c>
      <c r="J24" s="343">
        <v>37997.75</v>
      </c>
      <c r="K24" s="343">
        <v>99</v>
      </c>
      <c r="L24" s="343">
        <v>303</v>
      </c>
      <c r="M24" s="384">
        <v>45802</v>
      </c>
      <c r="N24" s="343" t="s">
        <v>245</v>
      </c>
      <c r="O24" s="343" t="s">
        <v>303</v>
      </c>
      <c r="Q24" s="343" t="s">
        <v>121</v>
      </c>
      <c r="R24" s="343" t="s">
        <v>123</v>
      </c>
      <c r="S24" s="384">
        <v>46027</v>
      </c>
      <c r="T24" s="384">
        <v>46033</v>
      </c>
      <c r="U24" s="343" t="s">
        <v>106</v>
      </c>
      <c r="V24" s="343">
        <v>19</v>
      </c>
      <c r="W24" s="343">
        <v>13716.72</v>
      </c>
      <c r="X24" s="343">
        <v>0</v>
      </c>
      <c r="Y24" s="343">
        <v>0</v>
      </c>
      <c r="Z24" s="343">
        <v>13716.72</v>
      </c>
      <c r="AA24" s="343">
        <v>16504.169999999998</v>
      </c>
    </row>
    <row r="25" spans="1:27">
      <c r="A25" s="343">
        <v>20250122</v>
      </c>
      <c r="B25" s="343">
        <v>82253.05</v>
      </c>
      <c r="C25" s="343">
        <v>248</v>
      </c>
      <c r="D25" s="343">
        <v>539</v>
      </c>
      <c r="E25" s="384">
        <v>45679</v>
      </c>
      <c r="F25" s="343" t="s">
        <v>234</v>
      </c>
      <c r="G25" s="343" t="s">
        <v>278</v>
      </c>
      <c r="I25" s="343">
        <v>20250601</v>
      </c>
      <c r="J25" s="343">
        <v>35519.1</v>
      </c>
      <c r="K25" s="343">
        <v>86</v>
      </c>
      <c r="L25" s="343">
        <v>304</v>
      </c>
      <c r="M25" s="384">
        <v>45809</v>
      </c>
      <c r="N25" s="343" t="s">
        <v>245</v>
      </c>
      <c r="O25" s="343" t="s">
        <v>304</v>
      </c>
      <c r="Q25" s="343" t="s">
        <v>121</v>
      </c>
      <c r="R25" s="343" t="s">
        <v>124</v>
      </c>
      <c r="S25" s="384">
        <v>46034</v>
      </c>
      <c r="T25" s="384">
        <v>46040</v>
      </c>
      <c r="U25" s="343" t="s">
        <v>273</v>
      </c>
      <c r="V25" s="343">
        <v>4</v>
      </c>
      <c r="W25" s="343">
        <v>746.5</v>
      </c>
      <c r="X25" s="343">
        <v>0</v>
      </c>
      <c r="Y25" s="343">
        <v>0</v>
      </c>
      <c r="Z25" s="343">
        <v>746.5</v>
      </c>
      <c r="AA25" s="343">
        <v>67.19</v>
      </c>
    </row>
    <row r="26" spans="1:27">
      <c r="A26" s="343">
        <v>20250123</v>
      </c>
      <c r="B26" s="343">
        <v>96631</v>
      </c>
      <c r="C26" s="343">
        <v>335</v>
      </c>
      <c r="D26" s="343">
        <v>779</v>
      </c>
      <c r="E26" s="384">
        <v>45680</v>
      </c>
      <c r="F26" s="343" t="s">
        <v>235</v>
      </c>
      <c r="G26" s="343" t="s">
        <v>278</v>
      </c>
      <c r="I26" s="343">
        <v>20250608</v>
      </c>
      <c r="J26" s="343">
        <v>46121.05</v>
      </c>
      <c r="K26" s="343">
        <v>100</v>
      </c>
      <c r="L26" s="343">
        <v>333</v>
      </c>
      <c r="M26" s="384">
        <v>45816</v>
      </c>
      <c r="N26" s="343" t="s">
        <v>245</v>
      </c>
      <c r="O26" s="343" t="s">
        <v>305</v>
      </c>
      <c r="Q26" s="343" t="s">
        <v>121</v>
      </c>
      <c r="R26" s="343" t="s">
        <v>124</v>
      </c>
      <c r="S26" s="384">
        <v>46034</v>
      </c>
      <c r="T26" s="384">
        <v>46040</v>
      </c>
      <c r="U26" s="343" t="s">
        <v>275</v>
      </c>
      <c r="V26" s="343">
        <v>481</v>
      </c>
      <c r="W26" s="343">
        <v>50940.54</v>
      </c>
      <c r="X26" s="343">
        <v>739.46</v>
      </c>
      <c r="Y26" s="343">
        <v>0</v>
      </c>
      <c r="Z26" s="343">
        <v>51680</v>
      </c>
      <c r="AA26" s="343">
        <v>4584.6499999999996</v>
      </c>
    </row>
    <row r="27" spans="1:27">
      <c r="A27" s="343">
        <v>20250124</v>
      </c>
      <c r="B27" s="343">
        <v>117601.15</v>
      </c>
      <c r="C27" s="343">
        <v>419</v>
      </c>
      <c r="D27" s="343">
        <v>969</v>
      </c>
      <c r="E27" s="384">
        <v>45681</v>
      </c>
      <c r="F27" s="343" t="s">
        <v>236</v>
      </c>
      <c r="G27" s="343" t="s">
        <v>278</v>
      </c>
      <c r="I27" s="343">
        <v>20250615</v>
      </c>
      <c r="J27" s="343">
        <v>51375.25</v>
      </c>
      <c r="K27" s="343">
        <v>115</v>
      </c>
      <c r="L27" s="343">
        <v>419</v>
      </c>
      <c r="M27" s="384">
        <v>45823</v>
      </c>
      <c r="N27" s="343" t="s">
        <v>245</v>
      </c>
      <c r="O27" s="343" t="s">
        <v>306</v>
      </c>
      <c r="Q27" s="343" t="s">
        <v>121</v>
      </c>
      <c r="R27" s="343" t="s">
        <v>124</v>
      </c>
      <c r="S27" s="384">
        <v>46034</v>
      </c>
      <c r="T27" s="384">
        <v>46040</v>
      </c>
      <c r="U27" s="343" t="s">
        <v>277</v>
      </c>
      <c r="V27" s="343">
        <v>55</v>
      </c>
      <c r="W27" s="343">
        <v>3577</v>
      </c>
      <c r="X27" s="343">
        <v>0</v>
      </c>
      <c r="Y27" s="343">
        <v>0</v>
      </c>
      <c r="Z27" s="343">
        <v>3577</v>
      </c>
      <c r="AA27" s="343">
        <v>321.93</v>
      </c>
    </row>
    <row r="28" spans="1:27">
      <c r="A28" s="343">
        <v>20250125</v>
      </c>
      <c r="B28" s="343">
        <v>128617.1</v>
      </c>
      <c r="C28" s="343">
        <v>480</v>
      </c>
      <c r="D28" s="343">
        <v>1018</v>
      </c>
      <c r="E28" s="384">
        <v>45682</v>
      </c>
      <c r="F28" s="343" t="s">
        <v>244</v>
      </c>
      <c r="G28" s="343" t="s">
        <v>278</v>
      </c>
      <c r="I28" s="343">
        <v>20250622</v>
      </c>
      <c r="J28" s="343">
        <v>41054.699999999997</v>
      </c>
      <c r="K28" s="343">
        <v>97</v>
      </c>
      <c r="L28" s="343">
        <v>303</v>
      </c>
      <c r="M28" s="384">
        <v>45830</v>
      </c>
      <c r="N28" s="343" t="s">
        <v>245</v>
      </c>
      <c r="O28" s="343" t="s">
        <v>307</v>
      </c>
      <c r="Q28" s="343" t="s">
        <v>121</v>
      </c>
      <c r="R28" s="343" t="s">
        <v>124</v>
      </c>
      <c r="S28" s="384">
        <v>46034</v>
      </c>
      <c r="T28" s="384">
        <v>46040</v>
      </c>
      <c r="U28" s="343" t="s">
        <v>279</v>
      </c>
      <c r="V28" s="343">
        <v>446</v>
      </c>
      <c r="W28" s="343">
        <v>5325</v>
      </c>
      <c r="X28" s="343">
        <v>48</v>
      </c>
      <c r="Y28" s="343">
        <v>0</v>
      </c>
      <c r="Z28" s="343">
        <v>5373</v>
      </c>
      <c r="AA28" s="343">
        <v>479.25</v>
      </c>
    </row>
    <row r="29" spans="1:27">
      <c r="A29" s="343">
        <v>20250126</v>
      </c>
      <c r="B29" s="343">
        <v>70448.75</v>
      </c>
      <c r="C29" s="343">
        <v>272</v>
      </c>
      <c r="D29" s="343">
        <v>652</v>
      </c>
      <c r="E29" s="384">
        <v>45683</v>
      </c>
      <c r="F29" s="343" t="s">
        <v>245</v>
      </c>
      <c r="G29" s="343" t="s">
        <v>278</v>
      </c>
      <c r="I29" s="343">
        <v>20250629</v>
      </c>
      <c r="J29" s="343">
        <v>28367.3</v>
      </c>
      <c r="K29" s="343">
        <v>82</v>
      </c>
      <c r="L29" s="343">
        <v>235</v>
      </c>
      <c r="M29" s="384">
        <v>45837</v>
      </c>
      <c r="N29" s="343" t="s">
        <v>245</v>
      </c>
      <c r="O29" s="343" t="s">
        <v>308</v>
      </c>
      <c r="Q29" s="343" t="s">
        <v>121</v>
      </c>
      <c r="R29" s="343" t="s">
        <v>124</v>
      </c>
      <c r="S29" s="384">
        <v>46034</v>
      </c>
      <c r="T29" s="384">
        <v>46040</v>
      </c>
      <c r="U29" s="343" t="s">
        <v>281</v>
      </c>
      <c r="V29" s="343">
        <v>8231</v>
      </c>
      <c r="W29" s="343">
        <v>215414</v>
      </c>
      <c r="X29" s="343">
        <v>3427</v>
      </c>
      <c r="Y29" s="343">
        <v>0</v>
      </c>
      <c r="Z29" s="343">
        <v>218841</v>
      </c>
      <c r="AA29" s="343">
        <v>19387.259999999998</v>
      </c>
    </row>
    <row r="30" spans="1:27">
      <c r="A30" s="343">
        <v>20250127</v>
      </c>
      <c r="B30" s="343">
        <v>114278.95</v>
      </c>
      <c r="C30" s="343">
        <v>304</v>
      </c>
      <c r="D30" s="343">
        <v>762</v>
      </c>
      <c r="E30" s="384">
        <v>45684</v>
      </c>
      <c r="F30" s="343" t="s">
        <v>232</v>
      </c>
      <c r="G30" s="343" t="s">
        <v>280</v>
      </c>
      <c r="I30" s="343">
        <v>20250706</v>
      </c>
      <c r="J30" s="343">
        <v>32610.5</v>
      </c>
      <c r="K30" s="343">
        <v>97</v>
      </c>
      <c r="L30" s="343">
        <v>259</v>
      </c>
      <c r="M30" s="384">
        <v>45844</v>
      </c>
      <c r="N30" s="343" t="s">
        <v>245</v>
      </c>
      <c r="O30" s="343" t="s">
        <v>309</v>
      </c>
      <c r="Q30" s="343" t="s">
        <v>121</v>
      </c>
      <c r="R30" s="343" t="s">
        <v>124</v>
      </c>
      <c r="S30" s="384">
        <v>46034</v>
      </c>
      <c r="T30" s="384">
        <v>46040</v>
      </c>
      <c r="U30" s="343" t="s">
        <v>283</v>
      </c>
      <c r="V30" s="343">
        <v>3067</v>
      </c>
      <c r="W30" s="343">
        <v>32035.47</v>
      </c>
      <c r="X30" s="343">
        <v>535.54</v>
      </c>
      <c r="Y30" s="343">
        <v>0</v>
      </c>
      <c r="Z30" s="343">
        <v>32571.01</v>
      </c>
      <c r="AA30" s="343">
        <v>2883.19</v>
      </c>
    </row>
    <row r="31" spans="1:27">
      <c r="A31" s="343">
        <v>20250128</v>
      </c>
      <c r="B31" s="343">
        <v>140034.95000000001</v>
      </c>
      <c r="C31" s="343">
        <v>279</v>
      </c>
      <c r="D31" s="343">
        <v>767</v>
      </c>
      <c r="E31" s="384">
        <v>45685</v>
      </c>
      <c r="F31" s="343" t="s">
        <v>233</v>
      </c>
      <c r="G31" s="343" t="s">
        <v>280</v>
      </c>
      <c r="I31" s="343">
        <v>20250713</v>
      </c>
      <c r="J31" s="343">
        <v>30955.62</v>
      </c>
      <c r="K31" s="343">
        <v>85</v>
      </c>
      <c r="L31" s="343">
        <v>251</v>
      </c>
      <c r="M31" s="384">
        <v>45851</v>
      </c>
      <c r="N31" s="343" t="s">
        <v>245</v>
      </c>
      <c r="O31" s="343" t="s">
        <v>310</v>
      </c>
      <c r="Q31" s="343" t="s">
        <v>121</v>
      </c>
      <c r="R31" s="343" t="s">
        <v>124</v>
      </c>
      <c r="S31" s="384">
        <v>46034</v>
      </c>
      <c r="T31" s="384">
        <v>46040</v>
      </c>
      <c r="U31" s="343" t="s">
        <v>285</v>
      </c>
      <c r="V31" s="343">
        <v>23561.3</v>
      </c>
      <c r="W31" s="343">
        <v>507100</v>
      </c>
      <c r="X31" s="343">
        <v>10546</v>
      </c>
      <c r="Y31" s="343">
        <v>0</v>
      </c>
      <c r="Z31" s="343">
        <v>517646</v>
      </c>
      <c r="AA31" s="343">
        <v>45639.24</v>
      </c>
    </row>
    <row r="32" spans="1:27">
      <c r="A32" s="343">
        <v>20250129</v>
      </c>
      <c r="B32" s="343">
        <v>102503.7</v>
      </c>
      <c r="C32" s="343">
        <v>264</v>
      </c>
      <c r="D32" s="343">
        <v>704</v>
      </c>
      <c r="E32" s="384">
        <v>45686</v>
      </c>
      <c r="F32" s="343" t="s">
        <v>234</v>
      </c>
      <c r="G32" s="343" t="s">
        <v>280</v>
      </c>
      <c r="I32" s="343">
        <v>20250720</v>
      </c>
      <c r="J32" s="343">
        <v>34072</v>
      </c>
      <c r="K32" s="343">
        <v>82</v>
      </c>
      <c r="L32" s="343">
        <v>277</v>
      </c>
      <c r="M32" s="384">
        <v>45858</v>
      </c>
      <c r="N32" s="343" t="s">
        <v>245</v>
      </c>
      <c r="O32" s="343" t="s">
        <v>311</v>
      </c>
      <c r="Q32" s="343" t="s">
        <v>121</v>
      </c>
      <c r="R32" s="343" t="s">
        <v>124</v>
      </c>
      <c r="S32" s="384">
        <v>46034</v>
      </c>
      <c r="T32" s="384">
        <v>46040</v>
      </c>
      <c r="U32" s="343" t="s">
        <v>287</v>
      </c>
      <c r="V32" s="343">
        <v>1057</v>
      </c>
      <c r="W32" s="343">
        <v>23632</v>
      </c>
      <c r="X32" s="343">
        <v>417</v>
      </c>
      <c r="Y32" s="343">
        <v>0</v>
      </c>
      <c r="Z32" s="343">
        <v>24049</v>
      </c>
      <c r="AA32" s="343">
        <v>2126.88</v>
      </c>
    </row>
    <row r="33" spans="1:27">
      <c r="A33" s="343">
        <v>20250130</v>
      </c>
      <c r="B33" s="343">
        <v>94821.05</v>
      </c>
      <c r="C33" s="343">
        <v>409</v>
      </c>
      <c r="D33" s="343">
        <v>912</v>
      </c>
      <c r="E33" s="384">
        <v>45687</v>
      </c>
      <c r="F33" s="343" t="s">
        <v>235</v>
      </c>
      <c r="G33" s="343" t="s">
        <v>280</v>
      </c>
      <c r="I33" s="343">
        <v>20250727</v>
      </c>
      <c r="J33" s="343">
        <v>40936</v>
      </c>
      <c r="K33" s="343">
        <v>109</v>
      </c>
      <c r="L33" s="343">
        <v>359</v>
      </c>
      <c r="M33" s="384">
        <v>45865</v>
      </c>
      <c r="N33" s="343" t="s">
        <v>245</v>
      </c>
      <c r="O33" s="343" t="s">
        <v>312</v>
      </c>
      <c r="Q33" s="343" t="s">
        <v>121</v>
      </c>
      <c r="R33" s="343" t="s">
        <v>124</v>
      </c>
      <c r="S33" s="384">
        <v>46034</v>
      </c>
      <c r="T33" s="384">
        <v>46040</v>
      </c>
      <c r="U33" s="343" t="s">
        <v>289</v>
      </c>
      <c r="V33" s="343">
        <v>58</v>
      </c>
      <c r="W33" s="343">
        <v>21010</v>
      </c>
      <c r="X33" s="343">
        <v>0</v>
      </c>
      <c r="Y33" s="343">
        <v>0</v>
      </c>
      <c r="Z33" s="343">
        <v>21010</v>
      </c>
      <c r="AA33" s="343">
        <v>1890.9</v>
      </c>
    </row>
    <row r="34" spans="1:27">
      <c r="A34" s="343">
        <v>20250131</v>
      </c>
      <c r="B34" s="343">
        <v>137062.42000000001</v>
      </c>
      <c r="C34" s="343">
        <v>439</v>
      </c>
      <c r="D34" s="343">
        <v>1037</v>
      </c>
      <c r="E34" s="384">
        <v>45688</v>
      </c>
      <c r="F34" s="343" t="s">
        <v>236</v>
      </c>
      <c r="G34" s="343" t="s">
        <v>280</v>
      </c>
      <c r="I34" s="343">
        <v>20250803</v>
      </c>
      <c r="J34" s="343">
        <v>35105</v>
      </c>
      <c r="K34" s="343">
        <v>95</v>
      </c>
      <c r="L34" s="343">
        <v>281</v>
      </c>
      <c r="M34" s="384">
        <v>45872</v>
      </c>
      <c r="N34" s="343" t="s">
        <v>245</v>
      </c>
      <c r="O34" s="343" t="s">
        <v>313</v>
      </c>
      <c r="Q34" s="343" t="s">
        <v>121</v>
      </c>
      <c r="R34" s="343" t="s">
        <v>124</v>
      </c>
      <c r="S34" s="384">
        <v>46034</v>
      </c>
      <c r="T34" s="384">
        <v>46040</v>
      </c>
      <c r="U34" s="343" t="s">
        <v>291</v>
      </c>
      <c r="V34" s="343">
        <v>2</v>
      </c>
      <c r="W34" s="343">
        <v>100</v>
      </c>
      <c r="X34" s="343">
        <v>0</v>
      </c>
      <c r="Y34" s="343">
        <v>0</v>
      </c>
      <c r="Z34" s="343">
        <v>100</v>
      </c>
      <c r="AA34" s="343">
        <v>9</v>
      </c>
    </row>
    <row r="35" spans="1:27">
      <c r="A35" s="343">
        <v>20250201</v>
      </c>
      <c r="B35" s="343">
        <v>138223.6</v>
      </c>
      <c r="C35" s="343">
        <v>464</v>
      </c>
      <c r="D35" s="343">
        <v>1163</v>
      </c>
      <c r="E35" s="384">
        <v>45689</v>
      </c>
      <c r="F35" s="343" t="s">
        <v>244</v>
      </c>
      <c r="G35" s="343" t="s">
        <v>280</v>
      </c>
      <c r="I35" s="343">
        <v>20250810</v>
      </c>
      <c r="J35" s="343">
        <v>27682.5</v>
      </c>
      <c r="K35" s="343">
        <v>71</v>
      </c>
      <c r="L35" s="343">
        <v>225</v>
      </c>
      <c r="M35" s="384">
        <v>45879</v>
      </c>
      <c r="N35" s="343" t="s">
        <v>245</v>
      </c>
      <c r="O35" s="343" t="s">
        <v>314</v>
      </c>
      <c r="Q35" s="343" t="s">
        <v>121</v>
      </c>
      <c r="R35" s="343" t="s">
        <v>124</v>
      </c>
      <c r="S35" s="384">
        <v>46034</v>
      </c>
      <c r="T35" s="384">
        <v>46040</v>
      </c>
      <c r="U35" s="343" t="s">
        <v>293</v>
      </c>
      <c r="V35" s="343">
        <v>295</v>
      </c>
      <c r="W35" s="343">
        <v>57720</v>
      </c>
      <c r="X35" s="343">
        <v>0</v>
      </c>
      <c r="Y35" s="343">
        <v>0</v>
      </c>
      <c r="Z35" s="343">
        <v>57720</v>
      </c>
      <c r="AA35" s="343">
        <v>5193.3999999999996</v>
      </c>
    </row>
    <row r="36" spans="1:27">
      <c r="A36" s="343">
        <v>20250202</v>
      </c>
      <c r="B36" s="343">
        <v>81800.5</v>
      </c>
      <c r="C36" s="343">
        <v>294</v>
      </c>
      <c r="D36" s="343">
        <v>682</v>
      </c>
      <c r="E36" s="384">
        <v>45690</v>
      </c>
      <c r="F36" s="343" t="s">
        <v>245</v>
      </c>
      <c r="G36" s="343" t="s">
        <v>280</v>
      </c>
      <c r="I36" s="343">
        <v>20250817</v>
      </c>
      <c r="J36" s="343">
        <v>32179</v>
      </c>
      <c r="K36" s="343">
        <v>81</v>
      </c>
      <c r="L36" s="343">
        <v>264</v>
      </c>
      <c r="M36" s="384">
        <v>45886</v>
      </c>
      <c r="N36" s="343" t="s">
        <v>245</v>
      </c>
      <c r="O36" s="343" t="s">
        <v>315</v>
      </c>
      <c r="Q36" s="343" t="s">
        <v>121</v>
      </c>
      <c r="R36" s="343" t="s">
        <v>124</v>
      </c>
      <c r="S36" s="384">
        <v>46034</v>
      </c>
      <c r="T36" s="384">
        <v>46040</v>
      </c>
      <c r="U36" s="343" t="s">
        <v>106</v>
      </c>
      <c r="V36" s="343">
        <v>29</v>
      </c>
      <c r="W36" s="343">
        <v>10682.07</v>
      </c>
      <c r="X36" s="343">
        <v>0</v>
      </c>
      <c r="Y36" s="343">
        <v>0</v>
      </c>
      <c r="Z36" s="343">
        <v>10682.07</v>
      </c>
      <c r="AA36" s="343">
        <v>17457.95</v>
      </c>
    </row>
    <row r="37" spans="1:27">
      <c r="A37" s="343">
        <v>20250203</v>
      </c>
      <c r="B37" s="343">
        <v>103454.45</v>
      </c>
      <c r="C37" s="343">
        <v>232</v>
      </c>
      <c r="D37" s="343">
        <v>603</v>
      </c>
      <c r="E37" s="384">
        <v>45691</v>
      </c>
      <c r="F37" s="343" t="s">
        <v>232</v>
      </c>
      <c r="G37" s="343" t="s">
        <v>282</v>
      </c>
      <c r="I37" s="343">
        <v>20250824</v>
      </c>
      <c r="J37" s="343">
        <v>24617.75</v>
      </c>
      <c r="K37" s="343">
        <v>73</v>
      </c>
      <c r="L37" s="343">
        <v>210</v>
      </c>
      <c r="M37" s="384">
        <v>45893</v>
      </c>
      <c r="N37" s="343" t="s">
        <v>245</v>
      </c>
      <c r="O37" s="343" t="s">
        <v>316</v>
      </c>
      <c r="Q37" s="343" t="s">
        <v>121</v>
      </c>
      <c r="R37" s="343" t="s">
        <v>125</v>
      </c>
      <c r="S37" s="384">
        <v>46041</v>
      </c>
      <c r="T37" s="384">
        <v>46047</v>
      </c>
      <c r="U37" s="343" t="s">
        <v>273</v>
      </c>
      <c r="V37" s="343">
        <v>5</v>
      </c>
      <c r="W37" s="343">
        <v>7491</v>
      </c>
      <c r="X37" s="343">
        <v>0</v>
      </c>
      <c r="Y37" s="343">
        <v>0</v>
      </c>
      <c r="Z37" s="343">
        <v>7491</v>
      </c>
      <c r="AA37" s="343">
        <v>674.19</v>
      </c>
    </row>
    <row r="38" spans="1:27">
      <c r="A38" s="343">
        <v>20250204</v>
      </c>
      <c r="B38" s="343">
        <v>49203.5</v>
      </c>
      <c r="C38" s="343">
        <v>175</v>
      </c>
      <c r="D38" s="343">
        <v>393</v>
      </c>
      <c r="E38" s="384">
        <v>45692</v>
      </c>
      <c r="F38" s="343" t="s">
        <v>233</v>
      </c>
      <c r="G38" s="343" t="s">
        <v>282</v>
      </c>
      <c r="I38" s="343">
        <v>20250831</v>
      </c>
      <c r="J38" s="343">
        <v>40211.1</v>
      </c>
      <c r="K38" s="343">
        <v>108</v>
      </c>
      <c r="L38" s="343">
        <v>334</v>
      </c>
      <c r="M38" s="384">
        <v>45900</v>
      </c>
      <c r="N38" s="343" t="s">
        <v>245</v>
      </c>
      <c r="O38" s="343" t="s">
        <v>317</v>
      </c>
      <c r="Q38" s="343" t="s">
        <v>121</v>
      </c>
      <c r="R38" s="343" t="s">
        <v>125</v>
      </c>
      <c r="S38" s="384">
        <v>46041</v>
      </c>
      <c r="T38" s="384">
        <v>46047</v>
      </c>
      <c r="U38" s="343" t="s">
        <v>275</v>
      </c>
      <c r="V38" s="343">
        <v>380</v>
      </c>
      <c r="W38" s="343">
        <v>40175.75</v>
      </c>
      <c r="X38" s="343">
        <v>1669.25</v>
      </c>
      <c r="Y38" s="343">
        <v>0</v>
      </c>
      <c r="Z38" s="343">
        <v>41845</v>
      </c>
      <c r="AA38" s="343">
        <v>3615.83</v>
      </c>
    </row>
    <row r="39" spans="1:27">
      <c r="A39" s="343">
        <v>20250205</v>
      </c>
      <c r="B39" s="343">
        <v>80322.3</v>
      </c>
      <c r="C39" s="343">
        <v>273</v>
      </c>
      <c r="D39" s="343">
        <v>629</v>
      </c>
      <c r="E39" s="384">
        <v>45693</v>
      </c>
      <c r="F39" s="343" t="s">
        <v>234</v>
      </c>
      <c r="G39" s="343" t="s">
        <v>282</v>
      </c>
      <c r="I39" s="343">
        <v>20250907</v>
      </c>
      <c r="J39" s="343">
        <v>23037</v>
      </c>
      <c r="K39" s="343">
        <v>78</v>
      </c>
      <c r="L39" s="343">
        <v>207</v>
      </c>
      <c r="M39" s="384">
        <v>45907</v>
      </c>
      <c r="N39" s="343" t="s">
        <v>245</v>
      </c>
      <c r="O39" s="343" t="s">
        <v>318</v>
      </c>
      <c r="Q39" s="343" t="s">
        <v>121</v>
      </c>
      <c r="R39" s="343" t="s">
        <v>125</v>
      </c>
      <c r="S39" s="384">
        <v>46041</v>
      </c>
      <c r="T39" s="384">
        <v>46047</v>
      </c>
      <c r="U39" s="343" t="s">
        <v>277</v>
      </c>
      <c r="V39" s="343">
        <v>53</v>
      </c>
      <c r="W39" s="343">
        <v>1434</v>
      </c>
      <c r="X39" s="343">
        <v>0</v>
      </c>
      <c r="Y39" s="343">
        <v>0</v>
      </c>
      <c r="Z39" s="343">
        <v>1434</v>
      </c>
      <c r="AA39" s="343">
        <v>129.06</v>
      </c>
    </row>
    <row r="40" spans="1:27">
      <c r="A40" s="343">
        <v>20250206</v>
      </c>
      <c r="B40" s="343">
        <v>110080.1</v>
      </c>
      <c r="C40" s="343">
        <v>335</v>
      </c>
      <c r="D40" s="343">
        <v>823</v>
      </c>
      <c r="E40" s="384">
        <v>45694</v>
      </c>
      <c r="F40" s="343" t="s">
        <v>235</v>
      </c>
      <c r="G40" s="343" t="s">
        <v>282</v>
      </c>
      <c r="I40" s="343">
        <v>20250914</v>
      </c>
      <c r="J40" s="343">
        <v>37596.6</v>
      </c>
      <c r="K40" s="343">
        <v>95</v>
      </c>
      <c r="L40" s="343">
        <v>308</v>
      </c>
      <c r="M40" s="384">
        <v>45914</v>
      </c>
      <c r="N40" s="343" t="s">
        <v>245</v>
      </c>
      <c r="O40" s="343" t="s">
        <v>319</v>
      </c>
      <c r="Q40" s="343" t="s">
        <v>121</v>
      </c>
      <c r="R40" s="343" t="s">
        <v>125</v>
      </c>
      <c r="S40" s="384">
        <v>46041</v>
      </c>
      <c r="T40" s="384">
        <v>46047</v>
      </c>
      <c r="U40" s="343" t="s">
        <v>279</v>
      </c>
      <c r="V40" s="343">
        <v>296</v>
      </c>
      <c r="W40" s="343">
        <v>3528</v>
      </c>
      <c r="X40" s="343">
        <v>15</v>
      </c>
      <c r="Y40" s="343">
        <v>0</v>
      </c>
      <c r="Z40" s="343">
        <v>3543</v>
      </c>
      <c r="AA40" s="343">
        <v>317.52</v>
      </c>
    </row>
    <row r="41" spans="1:27">
      <c r="A41" s="343">
        <v>20250207</v>
      </c>
      <c r="B41" s="343">
        <v>125454.65</v>
      </c>
      <c r="C41" s="343">
        <v>442</v>
      </c>
      <c r="D41" s="343">
        <v>1043</v>
      </c>
      <c r="E41" s="384">
        <v>45695</v>
      </c>
      <c r="F41" s="343" t="s">
        <v>236</v>
      </c>
      <c r="G41" s="343" t="s">
        <v>282</v>
      </c>
      <c r="I41" s="343">
        <v>20250921</v>
      </c>
      <c r="J41" s="343">
        <v>30389.95</v>
      </c>
      <c r="K41" s="343">
        <v>81</v>
      </c>
      <c r="L41" s="343">
        <v>260</v>
      </c>
      <c r="M41" s="384">
        <v>45921</v>
      </c>
      <c r="N41" s="343" t="s">
        <v>245</v>
      </c>
      <c r="O41" s="343" t="s">
        <v>320</v>
      </c>
      <c r="Q41" s="343" t="s">
        <v>121</v>
      </c>
      <c r="R41" s="343" t="s">
        <v>125</v>
      </c>
      <c r="S41" s="384">
        <v>46041</v>
      </c>
      <c r="T41" s="384">
        <v>46047</v>
      </c>
      <c r="U41" s="343" t="s">
        <v>281</v>
      </c>
      <c r="V41" s="343">
        <v>6590</v>
      </c>
      <c r="W41" s="343">
        <v>158118.53</v>
      </c>
      <c r="X41" s="343">
        <v>3056.47</v>
      </c>
      <c r="Y41" s="343">
        <v>0</v>
      </c>
      <c r="Z41" s="343">
        <v>161175</v>
      </c>
      <c r="AA41" s="343">
        <v>14228.15</v>
      </c>
    </row>
    <row r="42" spans="1:27">
      <c r="A42" s="343">
        <v>20250208</v>
      </c>
      <c r="B42" s="343">
        <v>122746.5</v>
      </c>
      <c r="C42" s="343">
        <v>464</v>
      </c>
      <c r="D42" s="343">
        <v>992</v>
      </c>
      <c r="E42" s="384">
        <v>45696</v>
      </c>
      <c r="F42" s="343" t="s">
        <v>244</v>
      </c>
      <c r="G42" s="343" t="s">
        <v>282</v>
      </c>
      <c r="I42" s="343">
        <v>20250928</v>
      </c>
      <c r="J42" s="343">
        <v>33826.25</v>
      </c>
      <c r="K42" s="343">
        <v>87</v>
      </c>
      <c r="L42" s="343">
        <v>284</v>
      </c>
      <c r="M42" s="384">
        <v>45928</v>
      </c>
      <c r="N42" s="343" t="s">
        <v>245</v>
      </c>
      <c r="O42" s="343" t="s">
        <v>321</v>
      </c>
      <c r="Q42" s="343" t="s">
        <v>121</v>
      </c>
      <c r="R42" s="343" t="s">
        <v>125</v>
      </c>
      <c r="S42" s="384">
        <v>46041</v>
      </c>
      <c r="T42" s="384">
        <v>46047</v>
      </c>
      <c r="U42" s="343" t="s">
        <v>283</v>
      </c>
      <c r="V42" s="343">
        <v>2933</v>
      </c>
      <c r="W42" s="343">
        <v>30760.799999999999</v>
      </c>
      <c r="X42" s="343">
        <v>677.2</v>
      </c>
      <c r="Y42" s="343">
        <v>0</v>
      </c>
      <c r="Z42" s="343">
        <v>31438</v>
      </c>
      <c r="AA42" s="343">
        <v>2768.51</v>
      </c>
    </row>
    <row r="43" spans="1:27">
      <c r="A43" s="343">
        <v>20250209</v>
      </c>
      <c r="B43" s="343">
        <v>44366</v>
      </c>
      <c r="C43" s="343">
        <v>183</v>
      </c>
      <c r="D43" s="343">
        <v>380</v>
      </c>
      <c r="E43" s="384">
        <v>45697</v>
      </c>
      <c r="F43" s="343" t="s">
        <v>245</v>
      </c>
      <c r="G43" s="343" t="s">
        <v>282</v>
      </c>
      <c r="I43" s="343">
        <v>20251005</v>
      </c>
      <c r="J43" s="343">
        <v>28042</v>
      </c>
      <c r="K43" s="343">
        <v>79</v>
      </c>
      <c r="L43" s="343">
        <v>225</v>
      </c>
      <c r="M43" s="384">
        <v>45935</v>
      </c>
      <c r="N43" s="343" t="s">
        <v>245</v>
      </c>
      <c r="O43" s="343" t="s">
        <v>322</v>
      </c>
      <c r="Q43" s="343" t="s">
        <v>121</v>
      </c>
      <c r="R43" s="343" t="s">
        <v>125</v>
      </c>
      <c r="S43" s="384">
        <v>46041</v>
      </c>
      <c r="T43" s="384">
        <v>46047</v>
      </c>
      <c r="U43" s="343" t="s">
        <v>285</v>
      </c>
      <c r="V43" s="343">
        <v>19468.900000000001</v>
      </c>
      <c r="W43" s="343">
        <v>429983.22</v>
      </c>
      <c r="X43" s="343">
        <v>12049.28</v>
      </c>
      <c r="Y43" s="343">
        <v>0</v>
      </c>
      <c r="Z43" s="343">
        <v>442032.5</v>
      </c>
      <c r="AA43" s="343">
        <v>38698.699999999997</v>
      </c>
    </row>
    <row r="44" spans="1:27">
      <c r="A44" s="343">
        <v>20250210</v>
      </c>
      <c r="B44" s="343">
        <v>82443.649999999994</v>
      </c>
      <c r="C44" s="343">
        <v>226</v>
      </c>
      <c r="D44" s="343">
        <v>555</v>
      </c>
      <c r="E44" s="384">
        <v>45698</v>
      </c>
      <c r="F44" s="343" t="s">
        <v>232</v>
      </c>
      <c r="G44" s="343" t="s">
        <v>284</v>
      </c>
      <c r="I44" s="343">
        <v>20251012</v>
      </c>
      <c r="J44" s="343">
        <v>35759</v>
      </c>
      <c r="K44" s="343">
        <v>101</v>
      </c>
      <c r="L44" s="343">
        <v>316</v>
      </c>
      <c r="M44" s="384">
        <v>45942</v>
      </c>
      <c r="N44" s="343" t="s">
        <v>245</v>
      </c>
      <c r="O44" s="343" t="s">
        <v>323</v>
      </c>
      <c r="Q44" s="343" t="s">
        <v>121</v>
      </c>
      <c r="R44" s="343" t="s">
        <v>125</v>
      </c>
      <c r="S44" s="384">
        <v>46041</v>
      </c>
      <c r="T44" s="384">
        <v>46047</v>
      </c>
      <c r="U44" s="343" t="s">
        <v>287</v>
      </c>
      <c r="V44" s="343">
        <v>1073</v>
      </c>
      <c r="W44" s="343">
        <v>21272.799999999999</v>
      </c>
      <c r="X44" s="343">
        <v>1057.2</v>
      </c>
      <c r="Y44" s="343">
        <v>0</v>
      </c>
      <c r="Z44" s="343">
        <v>22330</v>
      </c>
      <c r="AA44" s="343">
        <v>1914.48</v>
      </c>
    </row>
    <row r="45" spans="1:27">
      <c r="A45" s="343">
        <v>20250211</v>
      </c>
      <c r="B45" s="343">
        <v>93252.800000000003</v>
      </c>
      <c r="C45" s="343">
        <v>301</v>
      </c>
      <c r="D45" s="343">
        <v>683</v>
      </c>
      <c r="E45" s="384">
        <v>45699</v>
      </c>
      <c r="F45" s="343" t="s">
        <v>233</v>
      </c>
      <c r="G45" s="343" t="s">
        <v>284</v>
      </c>
      <c r="I45" s="343">
        <v>20251019</v>
      </c>
      <c r="J45" s="343">
        <v>53985.21</v>
      </c>
      <c r="K45" s="343">
        <v>101</v>
      </c>
      <c r="L45" s="343">
        <v>362</v>
      </c>
      <c r="M45" s="384">
        <v>45949</v>
      </c>
      <c r="N45" s="343" t="s">
        <v>245</v>
      </c>
      <c r="O45" s="343" t="s">
        <v>324</v>
      </c>
      <c r="Q45" s="343" t="s">
        <v>121</v>
      </c>
      <c r="R45" s="343" t="s">
        <v>125</v>
      </c>
      <c r="S45" s="384">
        <v>46041</v>
      </c>
      <c r="T45" s="384">
        <v>46047</v>
      </c>
      <c r="U45" s="343" t="s">
        <v>289</v>
      </c>
      <c r="V45" s="343">
        <v>42</v>
      </c>
      <c r="W45" s="343">
        <v>12455</v>
      </c>
      <c r="X45" s="343">
        <v>0</v>
      </c>
      <c r="Y45" s="343">
        <v>0</v>
      </c>
      <c r="Z45" s="343">
        <v>12455</v>
      </c>
      <c r="AA45" s="343">
        <v>1120.95</v>
      </c>
    </row>
    <row r="46" spans="1:27">
      <c r="A46" s="343">
        <v>20250212</v>
      </c>
      <c r="B46" s="343">
        <v>81555.25</v>
      </c>
      <c r="C46" s="343">
        <v>286</v>
      </c>
      <c r="D46" s="343">
        <v>642</v>
      </c>
      <c r="E46" s="384">
        <v>45700</v>
      </c>
      <c r="F46" s="343" t="s">
        <v>234</v>
      </c>
      <c r="G46" s="343" t="s">
        <v>284</v>
      </c>
      <c r="I46" s="343">
        <v>20251026</v>
      </c>
      <c r="J46" s="343">
        <v>39636.75</v>
      </c>
      <c r="K46" s="343">
        <v>105</v>
      </c>
      <c r="L46" s="343">
        <v>336</v>
      </c>
      <c r="M46" s="384">
        <v>45956</v>
      </c>
      <c r="N46" s="343" t="s">
        <v>245</v>
      </c>
      <c r="O46" s="343" t="s">
        <v>325</v>
      </c>
      <c r="Q46" s="343" t="s">
        <v>121</v>
      </c>
      <c r="R46" s="343" t="s">
        <v>125</v>
      </c>
      <c r="S46" s="384">
        <v>46041</v>
      </c>
      <c r="T46" s="384">
        <v>46047</v>
      </c>
      <c r="U46" s="343" t="s">
        <v>291</v>
      </c>
      <c r="V46" s="343">
        <v>2</v>
      </c>
      <c r="W46" s="343">
        <v>100</v>
      </c>
      <c r="X46" s="343">
        <v>0</v>
      </c>
      <c r="Y46" s="343">
        <v>0</v>
      </c>
      <c r="Z46" s="343">
        <v>100</v>
      </c>
      <c r="AA46" s="343">
        <v>9</v>
      </c>
    </row>
    <row r="47" spans="1:27">
      <c r="A47" s="343">
        <v>20250213</v>
      </c>
      <c r="B47" s="343">
        <v>107945.95</v>
      </c>
      <c r="C47" s="343">
        <v>382</v>
      </c>
      <c r="D47" s="343">
        <v>855</v>
      </c>
      <c r="E47" s="384">
        <v>45701</v>
      </c>
      <c r="F47" s="343" t="s">
        <v>235</v>
      </c>
      <c r="G47" s="343" t="s">
        <v>284</v>
      </c>
      <c r="I47" s="343">
        <v>20251102</v>
      </c>
      <c r="J47" s="343">
        <v>31456</v>
      </c>
      <c r="K47" s="343">
        <v>87</v>
      </c>
      <c r="L47" s="343">
        <v>256</v>
      </c>
      <c r="M47" s="384">
        <v>45963</v>
      </c>
      <c r="N47" s="343" t="s">
        <v>245</v>
      </c>
      <c r="O47" s="343" t="s">
        <v>326</v>
      </c>
      <c r="Q47" s="343" t="s">
        <v>121</v>
      </c>
      <c r="R47" s="343" t="s">
        <v>125</v>
      </c>
      <c r="S47" s="384">
        <v>46041</v>
      </c>
      <c r="T47" s="384">
        <v>46047</v>
      </c>
      <c r="U47" s="343" t="s">
        <v>293</v>
      </c>
      <c r="V47" s="343">
        <v>215</v>
      </c>
      <c r="W47" s="343">
        <v>38007</v>
      </c>
      <c r="X47" s="343">
        <v>295</v>
      </c>
      <c r="Y47" s="343">
        <v>0</v>
      </c>
      <c r="Z47" s="343">
        <v>38302</v>
      </c>
      <c r="AA47" s="343">
        <v>3420.35</v>
      </c>
    </row>
    <row r="48" spans="1:27">
      <c r="A48" s="343">
        <v>20250214</v>
      </c>
      <c r="B48" s="343">
        <v>133240.53</v>
      </c>
      <c r="C48" s="343">
        <v>316</v>
      </c>
      <c r="D48" s="343">
        <v>669</v>
      </c>
      <c r="E48" s="384">
        <v>45702</v>
      </c>
      <c r="F48" s="343" t="s">
        <v>236</v>
      </c>
      <c r="G48" s="343" t="s">
        <v>284</v>
      </c>
      <c r="I48" s="343">
        <v>20251109</v>
      </c>
      <c r="J48" s="343">
        <v>49665.15</v>
      </c>
      <c r="K48" s="343">
        <v>108</v>
      </c>
      <c r="L48" s="343">
        <v>351</v>
      </c>
      <c r="M48" s="384">
        <v>45970</v>
      </c>
      <c r="N48" s="343" t="s">
        <v>245</v>
      </c>
      <c r="O48" s="343" t="s">
        <v>327</v>
      </c>
      <c r="Q48" s="343" t="s">
        <v>121</v>
      </c>
      <c r="R48" s="343" t="s">
        <v>125</v>
      </c>
      <c r="S48" s="384">
        <v>46041</v>
      </c>
      <c r="T48" s="384">
        <v>46047</v>
      </c>
      <c r="U48" s="343" t="s">
        <v>106</v>
      </c>
      <c r="V48" s="343">
        <v>17</v>
      </c>
      <c r="W48" s="343">
        <v>5728.22</v>
      </c>
      <c r="X48" s="343">
        <v>0</v>
      </c>
      <c r="Y48" s="343">
        <v>0</v>
      </c>
      <c r="Z48" s="343">
        <v>5728.22</v>
      </c>
      <c r="AA48" s="343">
        <v>14028.27</v>
      </c>
    </row>
    <row r="49" spans="1:27">
      <c r="A49" s="343">
        <v>20250215</v>
      </c>
      <c r="B49" s="343">
        <v>132784.54999999999</v>
      </c>
      <c r="C49" s="343">
        <v>472</v>
      </c>
      <c r="D49" s="343">
        <v>1147</v>
      </c>
      <c r="E49" s="384">
        <v>45703</v>
      </c>
      <c r="F49" s="343" t="s">
        <v>244</v>
      </c>
      <c r="G49" s="343" t="s">
        <v>284</v>
      </c>
      <c r="I49" s="343">
        <v>20251116</v>
      </c>
      <c r="J49" s="343">
        <v>27300</v>
      </c>
      <c r="K49" s="343">
        <v>83</v>
      </c>
      <c r="L49" s="343">
        <v>241</v>
      </c>
      <c r="M49" s="384">
        <v>45977</v>
      </c>
      <c r="N49" s="343" t="s">
        <v>245</v>
      </c>
      <c r="O49" s="343" t="s">
        <v>328</v>
      </c>
      <c r="Q49" s="343" t="s">
        <v>127</v>
      </c>
      <c r="R49" s="343" t="s">
        <v>128</v>
      </c>
      <c r="S49" s="384">
        <v>46048</v>
      </c>
      <c r="T49" s="384">
        <v>46054</v>
      </c>
      <c r="U49" s="343" t="s">
        <v>273</v>
      </c>
      <c r="V49" s="343">
        <v>6</v>
      </c>
      <c r="W49" s="343">
        <v>1426</v>
      </c>
      <c r="X49" s="343">
        <v>0</v>
      </c>
      <c r="Y49" s="343">
        <v>0</v>
      </c>
      <c r="Z49" s="343">
        <v>1426</v>
      </c>
      <c r="AA49" s="343">
        <v>128.34</v>
      </c>
    </row>
    <row r="50" spans="1:27">
      <c r="A50" s="343">
        <v>20250216</v>
      </c>
      <c r="B50" s="343">
        <v>95093.75</v>
      </c>
      <c r="C50" s="343">
        <v>381</v>
      </c>
      <c r="D50" s="343">
        <v>803</v>
      </c>
      <c r="E50" s="384">
        <v>45704</v>
      </c>
      <c r="F50" s="343" t="s">
        <v>245</v>
      </c>
      <c r="G50" s="343" t="s">
        <v>284</v>
      </c>
      <c r="I50" s="343">
        <v>20251123</v>
      </c>
      <c r="J50" s="343">
        <v>29659.55</v>
      </c>
      <c r="K50" s="343">
        <v>84</v>
      </c>
      <c r="L50" s="343">
        <v>273</v>
      </c>
      <c r="M50" s="384">
        <v>45984</v>
      </c>
      <c r="N50" s="343" t="s">
        <v>245</v>
      </c>
      <c r="O50" s="343" t="s">
        <v>329</v>
      </c>
      <c r="Q50" s="343" t="s">
        <v>127</v>
      </c>
      <c r="R50" s="343" t="s">
        <v>128</v>
      </c>
      <c r="S50" s="384">
        <v>46048</v>
      </c>
      <c r="T50" s="384">
        <v>46054</v>
      </c>
      <c r="U50" s="343" t="s">
        <v>275</v>
      </c>
      <c r="V50" s="343">
        <v>488</v>
      </c>
      <c r="W50" s="343">
        <v>52042.75</v>
      </c>
      <c r="X50" s="343">
        <v>907.25</v>
      </c>
      <c r="Y50" s="343">
        <v>0</v>
      </c>
      <c r="Z50" s="343">
        <v>52950</v>
      </c>
      <c r="AA50" s="343">
        <v>4683.8500000000004</v>
      </c>
    </row>
    <row r="51" spans="1:27">
      <c r="A51" s="343">
        <v>20250217</v>
      </c>
      <c r="B51" s="343">
        <v>96194.26</v>
      </c>
      <c r="C51" s="343">
        <v>317</v>
      </c>
      <c r="D51" s="343">
        <v>751</v>
      </c>
      <c r="E51" s="384">
        <v>45705</v>
      </c>
      <c r="F51" s="343" t="s">
        <v>232</v>
      </c>
      <c r="G51" s="343" t="s">
        <v>286</v>
      </c>
      <c r="I51" s="343">
        <v>20251130</v>
      </c>
      <c r="J51" s="343">
        <v>39968.550000000003</v>
      </c>
      <c r="K51" s="343">
        <v>79</v>
      </c>
      <c r="L51" s="343">
        <v>275</v>
      </c>
      <c r="M51" s="384">
        <v>45991</v>
      </c>
      <c r="N51" s="343" t="s">
        <v>245</v>
      </c>
      <c r="O51" s="343" t="s">
        <v>330</v>
      </c>
      <c r="Q51" s="343" t="s">
        <v>127</v>
      </c>
      <c r="R51" s="343" t="s">
        <v>128</v>
      </c>
      <c r="S51" s="384">
        <v>46048</v>
      </c>
      <c r="T51" s="384">
        <v>46054</v>
      </c>
      <c r="U51" s="343" t="s">
        <v>277</v>
      </c>
      <c r="V51" s="343">
        <v>47</v>
      </c>
      <c r="W51" s="343">
        <v>642</v>
      </c>
      <c r="X51" s="343">
        <v>21</v>
      </c>
      <c r="Y51" s="343">
        <v>0</v>
      </c>
      <c r="Z51" s="343">
        <v>663</v>
      </c>
      <c r="AA51" s="343">
        <v>57.78</v>
      </c>
    </row>
    <row r="52" spans="1:27">
      <c r="A52" s="343">
        <v>20250218</v>
      </c>
      <c r="B52" s="343">
        <v>91154.77</v>
      </c>
      <c r="C52" s="343">
        <v>283</v>
      </c>
      <c r="D52" s="343">
        <v>745</v>
      </c>
      <c r="E52" s="384">
        <v>45706</v>
      </c>
      <c r="F52" s="343" t="s">
        <v>233</v>
      </c>
      <c r="G52" s="343" t="s">
        <v>286</v>
      </c>
      <c r="I52" s="343">
        <v>20251207</v>
      </c>
      <c r="J52" s="343">
        <v>54914.85</v>
      </c>
      <c r="K52" s="343">
        <v>102</v>
      </c>
      <c r="L52" s="343">
        <v>356</v>
      </c>
      <c r="M52" s="384">
        <v>45998</v>
      </c>
      <c r="N52" s="343" t="s">
        <v>245</v>
      </c>
      <c r="O52" s="343" t="s">
        <v>331</v>
      </c>
      <c r="Q52" s="343" t="s">
        <v>127</v>
      </c>
      <c r="R52" s="343" t="s">
        <v>128</v>
      </c>
      <c r="S52" s="384">
        <v>46048</v>
      </c>
      <c r="T52" s="384">
        <v>46054</v>
      </c>
      <c r="U52" s="343" t="s">
        <v>279</v>
      </c>
      <c r="V52" s="343">
        <v>345</v>
      </c>
      <c r="W52" s="343">
        <v>4191</v>
      </c>
      <c r="X52" s="343">
        <v>12</v>
      </c>
      <c r="Y52" s="343">
        <v>0</v>
      </c>
      <c r="Z52" s="343">
        <v>4203</v>
      </c>
      <c r="AA52" s="343">
        <v>377.19</v>
      </c>
    </row>
    <row r="53" spans="1:27">
      <c r="A53" s="343">
        <v>20250219</v>
      </c>
      <c r="B53" s="343">
        <v>91240.45</v>
      </c>
      <c r="C53" s="343">
        <v>315</v>
      </c>
      <c r="D53" s="343">
        <v>853</v>
      </c>
      <c r="E53" s="384">
        <v>45707</v>
      </c>
      <c r="F53" s="343" t="s">
        <v>234</v>
      </c>
      <c r="G53" s="343" t="s">
        <v>286</v>
      </c>
      <c r="I53" s="343">
        <v>20251211</v>
      </c>
      <c r="J53" s="343">
        <v>-660.54</v>
      </c>
      <c r="M53" s="384">
        <v>46002</v>
      </c>
      <c r="N53" s="343" t="s">
        <v>235</v>
      </c>
      <c r="O53" s="343" t="s">
        <v>332</v>
      </c>
      <c r="Q53" s="343" t="s">
        <v>127</v>
      </c>
      <c r="R53" s="343" t="s">
        <v>128</v>
      </c>
      <c r="S53" s="384">
        <v>46048</v>
      </c>
      <c r="T53" s="384">
        <v>46054</v>
      </c>
      <c r="U53" s="343" t="s">
        <v>281</v>
      </c>
      <c r="V53" s="343">
        <v>7592</v>
      </c>
      <c r="W53" s="343">
        <v>173733.2</v>
      </c>
      <c r="X53" s="343">
        <v>3085.8</v>
      </c>
      <c r="Y53" s="343">
        <v>0</v>
      </c>
      <c r="Z53" s="343">
        <v>176819</v>
      </c>
      <c r="AA53" s="343">
        <v>15636</v>
      </c>
    </row>
    <row r="54" spans="1:27">
      <c r="A54" s="343">
        <v>20250220</v>
      </c>
      <c r="B54" s="343">
        <v>108993.45</v>
      </c>
      <c r="C54" s="343">
        <v>422</v>
      </c>
      <c r="D54" s="343">
        <v>898</v>
      </c>
      <c r="E54" s="384">
        <v>45708</v>
      </c>
      <c r="F54" s="343" t="s">
        <v>235</v>
      </c>
      <c r="G54" s="343" t="s">
        <v>286</v>
      </c>
      <c r="I54" s="343">
        <v>20251214</v>
      </c>
      <c r="J54" s="343">
        <v>41504.959999999999</v>
      </c>
      <c r="K54" s="343">
        <v>101</v>
      </c>
      <c r="L54" s="343">
        <v>345</v>
      </c>
      <c r="M54" s="384">
        <v>46005</v>
      </c>
      <c r="N54" s="343" t="s">
        <v>245</v>
      </c>
      <c r="O54" s="343" t="s">
        <v>332</v>
      </c>
      <c r="Q54" s="343" t="s">
        <v>127</v>
      </c>
      <c r="R54" s="343" t="s">
        <v>128</v>
      </c>
      <c r="S54" s="384">
        <v>46048</v>
      </c>
      <c r="T54" s="384">
        <v>46054</v>
      </c>
      <c r="U54" s="343" t="s">
        <v>283</v>
      </c>
      <c r="V54" s="343">
        <v>3364</v>
      </c>
      <c r="W54" s="343">
        <v>35101.449999999997</v>
      </c>
      <c r="X54" s="343">
        <v>633.54999999999995</v>
      </c>
      <c r="Y54" s="343">
        <v>0</v>
      </c>
      <c r="Z54" s="343">
        <v>35735</v>
      </c>
      <c r="AA54" s="343">
        <v>3159.19</v>
      </c>
    </row>
    <row r="55" spans="1:27">
      <c r="A55" s="343">
        <v>20250221</v>
      </c>
      <c r="B55" s="343">
        <v>133255.35999999999</v>
      </c>
      <c r="C55" s="343">
        <v>441</v>
      </c>
      <c r="D55" s="343">
        <v>1070</v>
      </c>
      <c r="E55" s="384">
        <v>45709</v>
      </c>
      <c r="F55" s="343" t="s">
        <v>236</v>
      </c>
      <c r="G55" s="343" t="s">
        <v>286</v>
      </c>
      <c r="I55" s="343">
        <v>20251221</v>
      </c>
      <c r="J55" s="343">
        <v>46904.85</v>
      </c>
      <c r="K55" s="343">
        <v>111</v>
      </c>
      <c r="L55" s="343">
        <v>399</v>
      </c>
      <c r="M55" s="384">
        <v>46012</v>
      </c>
      <c r="N55" s="343" t="s">
        <v>245</v>
      </c>
      <c r="O55" s="343" t="s">
        <v>333</v>
      </c>
      <c r="Q55" s="343" t="s">
        <v>127</v>
      </c>
      <c r="R55" s="343" t="s">
        <v>128</v>
      </c>
      <c r="S55" s="384">
        <v>46048</v>
      </c>
      <c r="T55" s="384">
        <v>46054</v>
      </c>
      <c r="U55" s="343" t="s">
        <v>285</v>
      </c>
      <c r="V55" s="343">
        <v>22419.7</v>
      </c>
      <c r="W55" s="343">
        <v>474843.9</v>
      </c>
      <c r="X55" s="343">
        <v>12891.6</v>
      </c>
      <c r="Y55" s="343">
        <v>0</v>
      </c>
      <c r="Z55" s="343">
        <v>487735.5</v>
      </c>
      <c r="AA55" s="343">
        <v>42736.15</v>
      </c>
    </row>
    <row r="56" spans="1:27">
      <c r="A56" s="343">
        <v>20250222</v>
      </c>
      <c r="B56" s="343">
        <v>133159</v>
      </c>
      <c r="C56" s="343">
        <v>442</v>
      </c>
      <c r="D56" s="343">
        <v>1031</v>
      </c>
      <c r="E56" s="384">
        <v>45710</v>
      </c>
      <c r="F56" s="343" t="s">
        <v>244</v>
      </c>
      <c r="G56" s="343" t="s">
        <v>286</v>
      </c>
      <c r="I56" s="343">
        <v>20251228</v>
      </c>
      <c r="J56" s="343">
        <v>50872.75</v>
      </c>
      <c r="K56" s="343">
        <v>137</v>
      </c>
      <c r="L56" s="343">
        <v>419</v>
      </c>
      <c r="M56" s="384">
        <v>46019</v>
      </c>
      <c r="N56" s="343" t="s">
        <v>245</v>
      </c>
      <c r="O56" s="343" t="s">
        <v>334</v>
      </c>
      <c r="Q56" s="343" t="s">
        <v>127</v>
      </c>
      <c r="R56" s="343" t="s">
        <v>128</v>
      </c>
      <c r="S56" s="384">
        <v>46048</v>
      </c>
      <c r="T56" s="384">
        <v>46054</v>
      </c>
      <c r="U56" s="343" t="s">
        <v>287</v>
      </c>
      <c r="V56" s="343">
        <v>1220</v>
      </c>
      <c r="W56" s="343">
        <v>25676</v>
      </c>
      <c r="X56" s="343">
        <v>759</v>
      </c>
      <c r="Y56" s="343">
        <v>0</v>
      </c>
      <c r="Z56" s="343">
        <v>26435</v>
      </c>
      <c r="AA56" s="343">
        <v>2310.84</v>
      </c>
    </row>
    <row r="57" spans="1:27">
      <c r="A57" s="343">
        <v>20250223</v>
      </c>
      <c r="B57" s="343">
        <v>80021.009999999995</v>
      </c>
      <c r="C57" s="343">
        <v>261</v>
      </c>
      <c r="D57" s="343">
        <v>629</v>
      </c>
      <c r="E57" s="384">
        <v>45711</v>
      </c>
      <c r="F57" s="343" t="s">
        <v>245</v>
      </c>
      <c r="G57" s="343" t="s">
        <v>286</v>
      </c>
      <c r="I57" s="343">
        <v>20260104</v>
      </c>
      <c r="J57" s="343">
        <v>47642.7</v>
      </c>
      <c r="K57" s="343">
        <v>123</v>
      </c>
      <c r="L57" s="343">
        <v>434</v>
      </c>
      <c r="M57" s="384">
        <v>46026</v>
      </c>
      <c r="N57" s="343" t="s">
        <v>245</v>
      </c>
      <c r="O57" s="343" t="s">
        <v>122</v>
      </c>
      <c r="Q57" s="343" t="s">
        <v>127</v>
      </c>
      <c r="R57" s="343" t="s">
        <v>128</v>
      </c>
      <c r="S57" s="384">
        <v>46048</v>
      </c>
      <c r="T57" s="384">
        <v>46054</v>
      </c>
      <c r="U57" s="343" t="s">
        <v>291</v>
      </c>
      <c r="V57" s="343">
        <v>2</v>
      </c>
      <c r="W57" s="343">
        <v>100</v>
      </c>
      <c r="X57" s="343">
        <v>0</v>
      </c>
      <c r="Y57" s="343">
        <v>0</v>
      </c>
      <c r="Z57" s="343">
        <v>100</v>
      </c>
      <c r="AA57" s="343">
        <v>9</v>
      </c>
    </row>
    <row r="58" spans="1:27">
      <c r="A58" s="343">
        <v>20250224</v>
      </c>
      <c r="B58" s="343">
        <v>88955.15</v>
      </c>
      <c r="C58" s="343">
        <v>275</v>
      </c>
      <c r="D58" s="343">
        <v>641</v>
      </c>
      <c r="E58" s="384">
        <v>45712</v>
      </c>
      <c r="F58" s="343" t="s">
        <v>232</v>
      </c>
      <c r="G58" s="343" t="s">
        <v>288</v>
      </c>
      <c r="I58" s="343">
        <v>20260111</v>
      </c>
      <c r="J58" s="343">
        <v>53366</v>
      </c>
      <c r="K58" s="343">
        <v>104</v>
      </c>
      <c r="L58" s="343">
        <v>384</v>
      </c>
      <c r="M58" s="384">
        <v>46033</v>
      </c>
      <c r="N58" s="343" t="s">
        <v>245</v>
      </c>
      <c r="O58" s="343" t="s">
        <v>123</v>
      </c>
      <c r="Q58" s="343" t="s">
        <v>127</v>
      </c>
      <c r="R58" s="343" t="s">
        <v>128</v>
      </c>
      <c r="S58" s="384">
        <v>46048</v>
      </c>
      <c r="T58" s="384">
        <v>46054</v>
      </c>
      <c r="U58" s="343" t="s">
        <v>293</v>
      </c>
      <c r="V58" s="343">
        <v>279</v>
      </c>
      <c r="W58" s="343">
        <v>63767</v>
      </c>
      <c r="X58" s="343">
        <v>368</v>
      </c>
      <c r="Y58" s="343">
        <v>0</v>
      </c>
      <c r="Z58" s="343">
        <v>64135</v>
      </c>
      <c r="AA58" s="343">
        <v>5739.03</v>
      </c>
    </row>
    <row r="59" spans="1:27">
      <c r="A59" s="343">
        <v>20250225</v>
      </c>
      <c r="B59" s="343">
        <v>85481</v>
      </c>
      <c r="C59" s="343">
        <v>267</v>
      </c>
      <c r="D59" s="343">
        <v>597</v>
      </c>
      <c r="E59" s="384">
        <v>45713</v>
      </c>
      <c r="F59" s="343" t="s">
        <v>233</v>
      </c>
      <c r="G59" s="343" t="s">
        <v>288</v>
      </c>
      <c r="I59" s="343">
        <v>20260118</v>
      </c>
      <c r="J59" s="343">
        <v>67544.45</v>
      </c>
      <c r="K59" s="343">
        <v>136</v>
      </c>
      <c r="L59" s="343">
        <v>511</v>
      </c>
      <c r="M59" s="384">
        <v>46040</v>
      </c>
      <c r="N59" s="343" t="s">
        <v>245</v>
      </c>
      <c r="O59" s="343" t="s">
        <v>124</v>
      </c>
      <c r="Q59" s="343" t="s">
        <v>127</v>
      </c>
      <c r="R59" s="343" t="s">
        <v>128</v>
      </c>
      <c r="S59" s="384">
        <v>46048</v>
      </c>
      <c r="T59" s="384">
        <v>46054</v>
      </c>
      <c r="U59" s="343" t="s">
        <v>106</v>
      </c>
      <c r="V59" s="343">
        <v>23</v>
      </c>
      <c r="W59" s="343">
        <v>4662.7</v>
      </c>
      <c r="X59" s="343">
        <v>0</v>
      </c>
      <c r="Y59" s="343">
        <v>0</v>
      </c>
      <c r="Z59" s="343">
        <v>4662.7</v>
      </c>
      <c r="AA59" s="343">
        <v>15672.19</v>
      </c>
    </row>
    <row r="60" spans="1:27">
      <c r="A60" s="343">
        <v>20250226</v>
      </c>
      <c r="B60" s="343">
        <v>104819.6</v>
      </c>
      <c r="C60" s="343">
        <v>312</v>
      </c>
      <c r="D60" s="343">
        <v>759</v>
      </c>
      <c r="E60" s="384">
        <v>45714</v>
      </c>
      <c r="F60" s="343" t="s">
        <v>234</v>
      </c>
      <c r="G60" s="343" t="s">
        <v>288</v>
      </c>
      <c r="I60" s="343">
        <v>20260125</v>
      </c>
      <c r="J60" s="343">
        <v>45795.75</v>
      </c>
      <c r="K60" s="343">
        <v>120</v>
      </c>
      <c r="L60" s="343">
        <v>390</v>
      </c>
      <c r="M60" s="384">
        <v>46047</v>
      </c>
      <c r="N60" s="343" t="s">
        <v>245</v>
      </c>
      <c r="O60" s="343" t="s">
        <v>125</v>
      </c>
      <c r="Q60" s="343" t="s">
        <v>127</v>
      </c>
      <c r="R60" s="343" t="s">
        <v>129</v>
      </c>
      <c r="S60" s="384">
        <v>46055</v>
      </c>
      <c r="T60" s="384">
        <v>46061</v>
      </c>
      <c r="U60" s="343" t="s">
        <v>273</v>
      </c>
      <c r="V60" s="343">
        <v>5</v>
      </c>
      <c r="W60" s="343">
        <v>2301</v>
      </c>
      <c r="X60" s="343">
        <v>0</v>
      </c>
      <c r="Y60" s="343">
        <v>0</v>
      </c>
      <c r="Z60" s="343">
        <v>2301</v>
      </c>
      <c r="AA60" s="343">
        <v>207.09</v>
      </c>
    </row>
    <row r="61" spans="1:27">
      <c r="A61" s="343">
        <v>20250227</v>
      </c>
      <c r="B61" s="343">
        <v>149364.4</v>
      </c>
      <c r="C61" s="343">
        <v>292</v>
      </c>
      <c r="D61" s="343">
        <v>758</v>
      </c>
      <c r="E61" s="384">
        <v>45715</v>
      </c>
      <c r="F61" s="343" t="s">
        <v>235</v>
      </c>
      <c r="G61" s="343" t="s">
        <v>288</v>
      </c>
      <c r="I61" s="343">
        <v>20260201</v>
      </c>
      <c r="J61" s="343">
        <v>57411.65</v>
      </c>
      <c r="K61" s="343">
        <v>134</v>
      </c>
      <c r="L61" s="343">
        <v>485</v>
      </c>
      <c r="M61" s="384">
        <v>46054</v>
      </c>
      <c r="N61" s="343" t="s">
        <v>245</v>
      </c>
      <c r="O61" s="343" t="s">
        <v>128</v>
      </c>
      <c r="Q61" s="343" t="s">
        <v>127</v>
      </c>
      <c r="R61" s="343" t="s">
        <v>129</v>
      </c>
      <c r="S61" s="384">
        <v>46055</v>
      </c>
      <c r="T61" s="384">
        <v>46061</v>
      </c>
      <c r="U61" s="343" t="s">
        <v>275</v>
      </c>
      <c r="V61" s="343">
        <v>353</v>
      </c>
      <c r="W61" s="343">
        <v>36215</v>
      </c>
      <c r="X61" s="343">
        <v>1640</v>
      </c>
      <c r="Y61" s="343">
        <v>0</v>
      </c>
      <c r="Z61" s="343">
        <v>37855</v>
      </c>
      <c r="AA61" s="343">
        <v>3259.35</v>
      </c>
    </row>
    <row r="62" spans="1:27">
      <c r="A62" s="343">
        <v>20250228</v>
      </c>
      <c r="B62" s="343">
        <v>149970.10999999999</v>
      </c>
      <c r="C62" s="343">
        <v>439</v>
      </c>
      <c r="D62" s="343">
        <v>1118</v>
      </c>
      <c r="E62" s="384">
        <v>45716</v>
      </c>
      <c r="F62" s="343" t="s">
        <v>236</v>
      </c>
      <c r="G62" s="343" t="s">
        <v>288</v>
      </c>
      <c r="I62" s="343">
        <v>20260208</v>
      </c>
      <c r="J62" s="343">
        <v>39676</v>
      </c>
      <c r="K62" s="343">
        <v>121</v>
      </c>
      <c r="L62" s="343">
        <v>344</v>
      </c>
      <c r="M62" s="384">
        <v>46061</v>
      </c>
      <c r="N62" s="343" t="s">
        <v>245</v>
      </c>
      <c r="O62" s="343" t="s">
        <v>129</v>
      </c>
      <c r="Q62" s="343" t="s">
        <v>127</v>
      </c>
      <c r="R62" s="343" t="s">
        <v>129</v>
      </c>
      <c r="S62" s="384">
        <v>46055</v>
      </c>
      <c r="T62" s="384">
        <v>46061</v>
      </c>
      <c r="U62" s="343" t="s">
        <v>277</v>
      </c>
      <c r="V62" s="343">
        <v>40</v>
      </c>
      <c r="W62" s="343">
        <v>696</v>
      </c>
      <c r="X62" s="343">
        <v>0</v>
      </c>
      <c r="Y62" s="343">
        <v>0</v>
      </c>
      <c r="Z62" s="343">
        <v>696</v>
      </c>
      <c r="AA62" s="343">
        <v>62.64</v>
      </c>
    </row>
    <row r="63" spans="1:27">
      <c r="A63" s="343">
        <v>20250301</v>
      </c>
      <c r="B63" s="343">
        <v>122702.9</v>
      </c>
      <c r="C63" s="343">
        <v>408</v>
      </c>
      <c r="D63" s="343">
        <v>1064</v>
      </c>
      <c r="E63" s="384">
        <v>45717</v>
      </c>
      <c r="F63" s="343" t="s">
        <v>244</v>
      </c>
      <c r="G63" s="343" t="s">
        <v>288</v>
      </c>
      <c r="I63" s="343">
        <v>20260215</v>
      </c>
      <c r="J63" s="343">
        <v>75800.350000000006</v>
      </c>
      <c r="K63" s="343">
        <v>142</v>
      </c>
      <c r="L63" s="343">
        <v>502</v>
      </c>
      <c r="M63" s="384">
        <v>46068</v>
      </c>
      <c r="N63" s="343" t="s">
        <v>245</v>
      </c>
      <c r="O63" s="343" t="s">
        <v>130</v>
      </c>
      <c r="Q63" s="343" t="s">
        <v>127</v>
      </c>
      <c r="R63" s="343" t="s">
        <v>129</v>
      </c>
      <c r="S63" s="384">
        <v>46055</v>
      </c>
      <c r="T63" s="384">
        <v>46061</v>
      </c>
      <c r="U63" s="343" t="s">
        <v>279</v>
      </c>
      <c r="V63" s="343">
        <v>349</v>
      </c>
      <c r="W63" s="343">
        <v>4143</v>
      </c>
      <c r="X63" s="343">
        <v>15</v>
      </c>
      <c r="Y63" s="343">
        <v>0</v>
      </c>
      <c r="Z63" s="343">
        <v>4158</v>
      </c>
      <c r="AA63" s="343">
        <v>372.87</v>
      </c>
    </row>
    <row r="64" spans="1:27">
      <c r="A64" s="343">
        <v>20250302</v>
      </c>
      <c r="B64" s="343">
        <v>70249.5</v>
      </c>
      <c r="C64" s="343">
        <v>281</v>
      </c>
      <c r="D64" s="343">
        <v>604</v>
      </c>
      <c r="E64" s="384">
        <v>45718</v>
      </c>
      <c r="F64" s="343" t="s">
        <v>245</v>
      </c>
      <c r="G64" s="343" t="s">
        <v>288</v>
      </c>
      <c r="I64" s="343">
        <v>20260222</v>
      </c>
      <c r="J64" s="343">
        <v>57252.35</v>
      </c>
      <c r="K64" s="343">
        <v>123</v>
      </c>
      <c r="L64" s="343">
        <v>434</v>
      </c>
      <c r="M64" s="384">
        <v>46075</v>
      </c>
      <c r="N64" s="343" t="s">
        <v>245</v>
      </c>
      <c r="O64" s="343" t="s">
        <v>131</v>
      </c>
      <c r="Q64" s="343" t="s">
        <v>127</v>
      </c>
      <c r="R64" s="343" t="s">
        <v>129</v>
      </c>
      <c r="S64" s="384">
        <v>46055</v>
      </c>
      <c r="T64" s="384">
        <v>46061</v>
      </c>
      <c r="U64" s="343" t="s">
        <v>281</v>
      </c>
      <c r="V64" s="343">
        <v>6413</v>
      </c>
      <c r="W64" s="343">
        <v>146856</v>
      </c>
      <c r="X64" s="343">
        <v>3538</v>
      </c>
      <c r="Y64" s="343">
        <v>0</v>
      </c>
      <c r="Z64" s="343">
        <v>150394</v>
      </c>
      <c r="AA64" s="343">
        <v>13217.04</v>
      </c>
    </row>
    <row r="65" spans="1:27">
      <c r="A65" s="343">
        <v>20250303</v>
      </c>
      <c r="B65" s="343">
        <v>78276</v>
      </c>
      <c r="C65" s="343">
        <v>233</v>
      </c>
      <c r="D65" s="343">
        <v>525</v>
      </c>
      <c r="E65" s="384">
        <v>45719</v>
      </c>
      <c r="F65" s="343" t="s">
        <v>232</v>
      </c>
      <c r="G65" s="343" t="s">
        <v>290</v>
      </c>
      <c r="I65" s="343">
        <v>20260301</v>
      </c>
      <c r="J65" s="343">
        <v>59876.05</v>
      </c>
      <c r="K65" s="343">
        <v>131</v>
      </c>
      <c r="L65" s="343">
        <v>461</v>
      </c>
      <c r="M65" s="384">
        <v>46082</v>
      </c>
      <c r="N65" s="343" t="s">
        <v>245</v>
      </c>
      <c r="O65" s="343" t="s">
        <v>134</v>
      </c>
      <c r="Q65" s="343" t="s">
        <v>127</v>
      </c>
      <c r="R65" s="343" t="s">
        <v>129</v>
      </c>
      <c r="S65" s="384">
        <v>46055</v>
      </c>
      <c r="T65" s="384">
        <v>46061</v>
      </c>
      <c r="U65" s="343" t="s">
        <v>283</v>
      </c>
      <c r="V65" s="343">
        <v>2927</v>
      </c>
      <c r="W65" s="343">
        <v>29866.26</v>
      </c>
      <c r="X65" s="343">
        <v>1243.75</v>
      </c>
      <c r="Y65" s="343">
        <v>0</v>
      </c>
      <c r="Z65" s="343">
        <v>31110.01</v>
      </c>
      <c r="AA65" s="343">
        <v>2687.97</v>
      </c>
    </row>
    <row r="66" spans="1:27">
      <c r="A66" s="343">
        <v>20250304</v>
      </c>
      <c r="B66" s="343">
        <v>86821.95</v>
      </c>
      <c r="C66" s="343">
        <v>237</v>
      </c>
      <c r="D66" s="343">
        <v>564</v>
      </c>
      <c r="E66" s="384">
        <v>45720</v>
      </c>
      <c r="F66" s="343" t="s">
        <v>233</v>
      </c>
      <c r="G66" s="343" t="s">
        <v>290</v>
      </c>
      <c r="I66" s="343">
        <v>20260308</v>
      </c>
      <c r="J66" s="343">
        <v>47950.25</v>
      </c>
      <c r="K66" s="343">
        <v>127</v>
      </c>
      <c r="L66" s="343">
        <v>400</v>
      </c>
      <c r="M66" s="384">
        <v>46089</v>
      </c>
      <c r="N66" s="343" t="s">
        <v>245</v>
      </c>
      <c r="O66" s="343" t="s">
        <v>135</v>
      </c>
      <c r="Q66" s="343" t="s">
        <v>127</v>
      </c>
      <c r="R66" s="343" t="s">
        <v>129</v>
      </c>
      <c r="S66" s="384">
        <v>46055</v>
      </c>
      <c r="T66" s="384">
        <v>46061</v>
      </c>
      <c r="U66" s="343" t="s">
        <v>285</v>
      </c>
      <c r="V66" s="343">
        <v>20074.599999999999</v>
      </c>
      <c r="W66" s="343">
        <v>415423</v>
      </c>
      <c r="X66" s="343">
        <v>13934.5</v>
      </c>
      <c r="Y66" s="343">
        <v>0</v>
      </c>
      <c r="Z66" s="343">
        <v>429357.5</v>
      </c>
      <c r="AA66" s="343">
        <v>37388.269999999997</v>
      </c>
    </row>
    <row r="67" spans="1:27">
      <c r="A67" s="343">
        <v>20250305</v>
      </c>
      <c r="B67" s="343">
        <v>91537.3</v>
      </c>
      <c r="C67" s="343">
        <v>292</v>
      </c>
      <c r="D67" s="343">
        <v>674</v>
      </c>
      <c r="E67" s="384">
        <v>45721</v>
      </c>
      <c r="F67" s="343" t="s">
        <v>234</v>
      </c>
      <c r="G67" s="343" t="s">
        <v>290</v>
      </c>
      <c r="I67" s="343">
        <v>20260315</v>
      </c>
      <c r="J67" s="343">
        <v>56923.15</v>
      </c>
      <c r="K67" s="343">
        <v>132</v>
      </c>
      <c r="L67" s="343">
        <v>452</v>
      </c>
      <c r="M67" s="384">
        <v>46096</v>
      </c>
      <c r="N67" s="343" t="s">
        <v>245</v>
      </c>
      <c r="O67" s="343" t="s">
        <v>136</v>
      </c>
      <c r="Q67" s="343" t="s">
        <v>127</v>
      </c>
      <c r="R67" s="343" t="s">
        <v>129</v>
      </c>
      <c r="S67" s="384">
        <v>46055</v>
      </c>
      <c r="T67" s="384">
        <v>46061</v>
      </c>
      <c r="U67" s="343" t="s">
        <v>287</v>
      </c>
      <c r="V67" s="343">
        <v>1143</v>
      </c>
      <c r="W67" s="343">
        <v>22466.25</v>
      </c>
      <c r="X67" s="343">
        <v>1207.75</v>
      </c>
      <c r="Y67" s="343">
        <v>0</v>
      </c>
      <c r="Z67" s="343">
        <v>23674</v>
      </c>
      <c r="AA67" s="343">
        <v>2021.97</v>
      </c>
    </row>
    <row r="68" spans="1:27">
      <c r="A68" s="343">
        <v>20250306</v>
      </c>
      <c r="B68" s="343">
        <v>121125.55</v>
      </c>
      <c r="C68" s="343">
        <v>401</v>
      </c>
      <c r="D68" s="343">
        <v>955</v>
      </c>
      <c r="E68" s="384">
        <v>45722</v>
      </c>
      <c r="F68" s="343" t="s">
        <v>235</v>
      </c>
      <c r="G68" s="343" t="s">
        <v>290</v>
      </c>
      <c r="I68" s="343">
        <v>20260322</v>
      </c>
      <c r="J68" s="343">
        <v>47016</v>
      </c>
      <c r="K68" s="343">
        <v>120</v>
      </c>
      <c r="L68" s="343">
        <v>398</v>
      </c>
      <c r="M68" s="384">
        <v>46103</v>
      </c>
      <c r="N68" s="343" t="s">
        <v>245</v>
      </c>
      <c r="O68" s="343" t="s">
        <v>137</v>
      </c>
      <c r="Q68" s="343" t="s">
        <v>127</v>
      </c>
      <c r="R68" s="343" t="s">
        <v>129</v>
      </c>
      <c r="S68" s="384">
        <v>46055</v>
      </c>
      <c r="T68" s="384">
        <v>46061</v>
      </c>
      <c r="U68" s="343" t="s">
        <v>293</v>
      </c>
      <c r="V68" s="343">
        <v>290</v>
      </c>
      <c r="W68" s="343">
        <v>69310</v>
      </c>
      <c r="X68" s="343">
        <v>225</v>
      </c>
      <c r="Y68" s="343">
        <v>0</v>
      </c>
      <c r="Z68" s="343">
        <v>69535</v>
      </c>
      <c r="AA68" s="343">
        <v>6236.5</v>
      </c>
    </row>
    <row r="69" spans="1:27">
      <c r="A69" s="343">
        <v>20250307</v>
      </c>
      <c r="B69" s="343">
        <v>131654.41</v>
      </c>
      <c r="C69" s="343">
        <v>432</v>
      </c>
      <c r="D69" s="343">
        <v>1053</v>
      </c>
      <c r="E69" s="384">
        <v>45723</v>
      </c>
      <c r="F69" s="343" t="s">
        <v>236</v>
      </c>
      <c r="G69" s="343" t="s">
        <v>290</v>
      </c>
      <c r="I69" s="343">
        <v>20260329</v>
      </c>
      <c r="J69" s="343">
        <v>46835</v>
      </c>
      <c r="K69" s="343">
        <v>128</v>
      </c>
      <c r="L69" s="343">
        <v>408</v>
      </c>
      <c r="M69" s="384">
        <v>46110</v>
      </c>
      <c r="N69" s="343" t="s">
        <v>245</v>
      </c>
      <c r="O69" s="343" t="s">
        <v>138</v>
      </c>
      <c r="Q69" s="343" t="s">
        <v>127</v>
      </c>
      <c r="R69" s="343" t="s">
        <v>129</v>
      </c>
      <c r="S69" s="384">
        <v>46055</v>
      </c>
      <c r="T69" s="384">
        <v>46061</v>
      </c>
      <c r="U69" s="343" t="s">
        <v>106</v>
      </c>
      <c r="V69" s="343">
        <v>14</v>
      </c>
      <c r="W69" s="343">
        <v>3761.5</v>
      </c>
      <c r="X69" s="343">
        <v>0</v>
      </c>
      <c r="Y69" s="343">
        <v>0</v>
      </c>
      <c r="Z69" s="343">
        <v>3761.5</v>
      </c>
      <c r="AA69" s="343">
        <v>13832.33</v>
      </c>
    </row>
    <row r="70" spans="1:27">
      <c r="A70" s="343">
        <v>20250308</v>
      </c>
      <c r="B70" s="343">
        <v>116366.9</v>
      </c>
      <c r="C70" s="343">
        <v>451</v>
      </c>
      <c r="D70" s="343">
        <v>1084</v>
      </c>
      <c r="E70" s="384">
        <v>45724</v>
      </c>
      <c r="F70" s="343" t="s">
        <v>244</v>
      </c>
      <c r="G70" s="343" t="s">
        <v>290</v>
      </c>
      <c r="I70" s="343">
        <v>20260405</v>
      </c>
      <c r="J70" s="343">
        <v>59536.9</v>
      </c>
      <c r="K70" s="343">
        <v>120</v>
      </c>
      <c r="L70" s="343">
        <v>449</v>
      </c>
      <c r="M70" s="384">
        <v>46117</v>
      </c>
      <c r="N70" s="343" t="s">
        <v>245</v>
      </c>
      <c r="O70" s="343" t="s">
        <v>141</v>
      </c>
      <c r="Q70" s="343" t="s">
        <v>127</v>
      </c>
      <c r="R70" s="343" t="s">
        <v>129</v>
      </c>
      <c r="S70" s="384">
        <v>46055</v>
      </c>
      <c r="T70" s="384">
        <v>46061</v>
      </c>
      <c r="U70" s="343" t="s">
        <v>335</v>
      </c>
      <c r="V70" s="343">
        <v>0</v>
      </c>
      <c r="W70" s="343">
        <v>-31.4</v>
      </c>
      <c r="X70" s="343">
        <v>0</v>
      </c>
      <c r="Y70" s="343">
        <v>31</v>
      </c>
      <c r="Z70" s="343">
        <v>0</v>
      </c>
      <c r="AA70" s="343">
        <v>0</v>
      </c>
    </row>
    <row r="71" spans="1:27">
      <c r="A71" s="343">
        <v>20250309</v>
      </c>
      <c r="B71" s="343">
        <v>90284.5</v>
      </c>
      <c r="C71" s="343">
        <v>330</v>
      </c>
      <c r="D71" s="343">
        <v>729</v>
      </c>
      <c r="E71" s="384">
        <v>45725</v>
      </c>
      <c r="F71" s="343" t="s">
        <v>245</v>
      </c>
      <c r="G71" s="343" t="s">
        <v>290</v>
      </c>
      <c r="I71" s="343">
        <v>20260412</v>
      </c>
      <c r="J71" s="343">
        <v>47934.95</v>
      </c>
      <c r="K71" s="343">
        <v>126</v>
      </c>
      <c r="L71" s="343">
        <v>413</v>
      </c>
      <c r="M71" s="384">
        <v>46124</v>
      </c>
      <c r="N71" s="343" t="s">
        <v>245</v>
      </c>
      <c r="O71" s="343" t="s">
        <v>142</v>
      </c>
      <c r="Q71" s="343" t="s">
        <v>127</v>
      </c>
      <c r="R71" s="343" t="s">
        <v>130</v>
      </c>
      <c r="S71" s="384">
        <v>46062</v>
      </c>
      <c r="T71" s="384">
        <v>46068</v>
      </c>
      <c r="U71" s="343" t="s">
        <v>273</v>
      </c>
      <c r="V71" s="343">
        <v>8</v>
      </c>
      <c r="W71" s="343">
        <v>3790</v>
      </c>
      <c r="X71" s="343">
        <v>0</v>
      </c>
      <c r="Y71" s="343">
        <v>0</v>
      </c>
      <c r="Z71" s="343">
        <v>3790</v>
      </c>
      <c r="AA71" s="343">
        <v>341.1</v>
      </c>
    </row>
    <row r="72" spans="1:27">
      <c r="A72" s="343">
        <v>20250310</v>
      </c>
      <c r="B72" s="343">
        <v>89222.5</v>
      </c>
      <c r="C72" s="343">
        <v>313</v>
      </c>
      <c r="D72" s="343">
        <v>718</v>
      </c>
      <c r="E72" s="384">
        <v>45726</v>
      </c>
      <c r="F72" s="343" t="s">
        <v>232</v>
      </c>
      <c r="G72" s="343" t="s">
        <v>292</v>
      </c>
      <c r="I72" s="343">
        <v>20260419</v>
      </c>
      <c r="J72" s="343">
        <v>46655.02</v>
      </c>
      <c r="K72" s="343">
        <v>135</v>
      </c>
      <c r="L72" s="343">
        <v>410</v>
      </c>
      <c r="M72" s="384">
        <v>46131</v>
      </c>
      <c r="N72" s="343" t="s">
        <v>245</v>
      </c>
      <c r="O72" s="343" t="s">
        <v>143</v>
      </c>
      <c r="Q72" s="343" t="s">
        <v>127</v>
      </c>
      <c r="R72" s="343" t="s">
        <v>130</v>
      </c>
      <c r="S72" s="384">
        <v>46062</v>
      </c>
      <c r="T72" s="384">
        <v>46068</v>
      </c>
      <c r="U72" s="343" t="s">
        <v>275</v>
      </c>
      <c r="V72" s="343">
        <v>472</v>
      </c>
      <c r="W72" s="343">
        <v>45930</v>
      </c>
      <c r="X72" s="343">
        <v>95</v>
      </c>
      <c r="Y72" s="343">
        <v>0</v>
      </c>
      <c r="Z72" s="343">
        <v>46025</v>
      </c>
      <c r="AA72" s="343">
        <v>4133.7</v>
      </c>
    </row>
    <row r="73" spans="1:27">
      <c r="A73" s="343">
        <v>20250311</v>
      </c>
      <c r="B73" s="343">
        <v>164293.97</v>
      </c>
      <c r="C73" s="343">
        <v>11</v>
      </c>
      <c r="D73" s="343">
        <v>307</v>
      </c>
      <c r="E73" s="384">
        <v>45727</v>
      </c>
      <c r="F73" s="343" t="s">
        <v>233</v>
      </c>
      <c r="G73" s="343" t="s">
        <v>292</v>
      </c>
      <c r="I73" s="343">
        <v>20260426</v>
      </c>
      <c r="J73" s="343">
        <v>50462.1</v>
      </c>
      <c r="K73" s="343">
        <v>130</v>
      </c>
      <c r="L73" s="343">
        <v>437</v>
      </c>
      <c r="M73" s="384">
        <v>46138</v>
      </c>
      <c r="N73" s="343" t="s">
        <v>245</v>
      </c>
      <c r="O73" s="343" t="s">
        <v>144</v>
      </c>
      <c r="Q73" s="343" t="s">
        <v>127</v>
      </c>
      <c r="R73" s="343" t="s">
        <v>130</v>
      </c>
      <c r="S73" s="384">
        <v>46062</v>
      </c>
      <c r="T73" s="384">
        <v>46068</v>
      </c>
      <c r="U73" s="343" t="s">
        <v>277</v>
      </c>
      <c r="V73" s="343">
        <v>40</v>
      </c>
      <c r="W73" s="343">
        <v>579</v>
      </c>
      <c r="X73" s="343">
        <v>0</v>
      </c>
      <c r="Y73" s="343">
        <v>0</v>
      </c>
      <c r="Z73" s="343">
        <v>579</v>
      </c>
      <c r="AA73" s="343">
        <v>52.11</v>
      </c>
    </row>
    <row r="74" spans="1:27">
      <c r="A74" s="343">
        <v>20250312</v>
      </c>
      <c r="B74" s="343">
        <v>116548</v>
      </c>
      <c r="C74" s="343">
        <v>338</v>
      </c>
      <c r="D74" s="343">
        <v>773</v>
      </c>
      <c r="E74" s="384">
        <v>45728</v>
      </c>
      <c r="F74" s="343" t="s">
        <v>234</v>
      </c>
      <c r="G74" s="343" t="s">
        <v>292</v>
      </c>
      <c r="I74" s="343">
        <v>20260430</v>
      </c>
      <c r="J74" s="343">
        <v>-248.52</v>
      </c>
      <c r="M74" s="384">
        <v>46142</v>
      </c>
      <c r="N74" s="343" t="s">
        <v>235</v>
      </c>
      <c r="O74" s="343" t="s">
        <v>147</v>
      </c>
      <c r="Q74" s="343" t="s">
        <v>127</v>
      </c>
      <c r="R74" s="343" t="s">
        <v>130</v>
      </c>
      <c r="S74" s="384">
        <v>46062</v>
      </c>
      <c r="T74" s="384">
        <v>46068</v>
      </c>
      <c r="U74" s="343" t="s">
        <v>279</v>
      </c>
      <c r="V74" s="343">
        <v>322</v>
      </c>
      <c r="W74" s="343">
        <v>3882</v>
      </c>
      <c r="X74" s="343">
        <v>12</v>
      </c>
      <c r="Y74" s="343">
        <v>0</v>
      </c>
      <c r="Z74" s="343">
        <v>3894</v>
      </c>
      <c r="AA74" s="343">
        <v>349.38</v>
      </c>
    </row>
    <row r="75" spans="1:27">
      <c r="A75" s="343">
        <v>20250313</v>
      </c>
      <c r="B75" s="343">
        <v>99424.8</v>
      </c>
      <c r="C75" s="343">
        <v>357</v>
      </c>
      <c r="D75" s="343">
        <v>830</v>
      </c>
      <c r="E75" s="384">
        <v>45729</v>
      </c>
      <c r="F75" s="343" t="s">
        <v>235</v>
      </c>
      <c r="G75" s="343" t="s">
        <v>292</v>
      </c>
      <c r="I75" s="343">
        <v>20260503</v>
      </c>
      <c r="J75" s="343">
        <v>55978.8</v>
      </c>
      <c r="K75" s="343">
        <v>116</v>
      </c>
      <c r="L75" s="343">
        <v>368</v>
      </c>
      <c r="M75" s="384">
        <v>46145</v>
      </c>
      <c r="N75" s="343" t="s">
        <v>245</v>
      </c>
      <c r="O75" s="343" t="s">
        <v>147</v>
      </c>
      <c r="Q75" s="343" t="s">
        <v>127</v>
      </c>
      <c r="R75" s="343" t="s">
        <v>130</v>
      </c>
      <c r="S75" s="384">
        <v>46062</v>
      </c>
      <c r="T75" s="384">
        <v>46068</v>
      </c>
      <c r="U75" s="343" t="s">
        <v>281</v>
      </c>
      <c r="V75" s="343">
        <v>8340</v>
      </c>
      <c r="W75" s="343">
        <v>209057.08</v>
      </c>
      <c r="X75" s="343">
        <v>2655</v>
      </c>
      <c r="Y75" s="343">
        <v>0</v>
      </c>
      <c r="Z75" s="343">
        <v>211712.08</v>
      </c>
      <c r="AA75" s="343">
        <v>18815.14</v>
      </c>
    </row>
    <row r="76" spans="1:27">
      <c r="A76" s="343">
        <v>20250314</v>
      </c>
      <c r="B76" s="343">
        <v>128436.78</v>
      </c>
      <c r="C76" s="343">
        <v>407</v>
      </c>
      <c r="D76" s="343">
        <v>1111</v>
      </c>
      <c r="E76" s="384">
        <v>45730</v>
      </c>
      <c r="F76" s="343" t="s">
        <v>236</v>
      </c>
      <c r="G76" s="343" t="s">
        <v>292</v>
      </c>
      <c r="I76" s="343">
        <v>20260510</v>
      </c>
      <c r="J76" s="343">
        <v>60128.95</v>
      </c>
      <c r="K76" s="343">
        <v>113</v>
      </c>
      <c r="L76" s="343">
        <v>446</v>
      </c>
      <c r="M76" s="384">
        <v>46152</v>
      </c>
      <c r="N76" s="343" t="s">
        <v>245</v>
      </c>
      <c r="O76" s="343" t="s">
        <v>148</v>
      </c>
      <c r="Q76" s="343" t="s">
        <v>127</v>
      </c>
      <c r="R76" s="343" t="s">
        <v>130</v>
      </c>
      <c r="S76" s="384">
        <v>46062</v>
      </c>
      <c r="T76" s="384">
        <v>46068</v>
      </c>
      <c r="U76" s="343" t="s">
        <v>283</v>
      </c>
      <c r="V76" s="343">
        <v>3051</v>
      </c>
      <c r="W76" s="343">
        <v>31814</v>
      </c>
      <c r="X76" s="343">
        <v>668</v>
      </c>
      <c r="Y76" s="343">
        <v>0</v>
      </c>
      <c r="Z76" s="343">
        <v>32482</v>
      </c>
      <c r="AA76" s="343">
        <v>2863.26</v>
      </c>
    </row>
    <row r="77" spans="1:27">
      <c r="A77" s="343">
        <v>20250315</v>
      </c>
      <c r="B77" s="343">
        <v>108667.28</v>
      </c>
      <c r="C77" s="343">
        <v>414</v>
      </c>
      <c r="D77" s="343">
        <v>912</v>
      </c>
      <c r="E77" s="384">
        <v>45731</v>
      </c>
      <c r="F77" s="343" t="s">
        <v>244</v>
      </c>
      <c r="G77" s="343" t="s">
        <v>292</v>
      </c>
      <c r="I77" s="343">
        <v>20260517</v>
      </c>
      <c r="J77" s="343">
        <v>42361.75</v>
      </c>
      <c r="K77" s="343">
        <v>111</v>
      </c>
      <c r="L77" s="343">
        <v>452</v>
      </c>
      <c r="M77" s="384">
        <v>46159</v>
      </c>
      <c r="N77" s="343" t="s">
        <v>245</v>
      </c>
      <c r="O77" s="343" t="s">
        <v>149</v>
      </c>
      <c r="Q77" s="343" t="s">
        <v>127</v>
      </c>
      <c r="R77" s="343" t="s">
        <v>130</v>
      </c>
      <c r="S77" s="384">
        <v>46062</v>
      </c>
      <c r="T77" s="384">
        <v>46068</v>
      </c>
      <c r="U77" s="343" t="s">
        <v>285</v>
      </c>
      <c r="V77" s="343">
        <v>23741.8</v>
      </c>
      <c r="W77" s="343">
        <v>483323.5</v>
      </c>
      <c r="X77" s="343">
        <v>11957.5</v>
      </c>
      <c r="Y77" s="343">
        <v>0</v>
      </c>
      <c r="Z77" s="343">
        <v>495281</v>
      </c>
      <c r="AA77" s="343">
        <v>43499.28</v>
      </c>
    </row>
    <row r="78" spans="1:27">
      <c r="A78" s="343">
        <v>20250316</v>
      </c>
      <c r="B78" s="343">
        <v>73006.5</v>
      </c>
      <c r="C78" s="343">
        <v>304</v>
      </c>
      <c r="D78" s="343">
        <v>649</v>
      </c>
      <c r="E78" s="384">
        <v>45732</v>
      </c>
      <c r="F78" s="343" t="s">
        <v>245</v>
      </c>
      <c r="G78" s="343" t="s">
        <v>292</v>
      </c>
      <c r="I78" s="343">
        <v>20260524</v>
      </c>
      <c r="J78" s="343">
        <v>44255.6</v>
      </c>
      <c r="K78" s="343">
        <v>136</v>
      </c>
      <c r="L78" s="343">
        <v>496</v>
      </c>
      <c r="M78" s="384">
        <v>46166</v>
      </c>
      <c r="N78" s="343" t="s">
        <v>245</v>
      </c>
      <c r="O78" s="343" t="s">
        <v>150</v>
      </c>
      <c r="Q78" s="343" t="s">
        <v>127</v>
      </c>
      <c r="R78" s="343" t="s">
        <v>130</v>
      </c>
      <c r="S78" s="384">
        <v>46062</v>
      </c>
      <c r="T78" s="384">
        <v>46068</v>
      </c>
      <c r="U78" s="343" t="s">
        <v>287</v>
      </c>
      <c r="V78" s="343">
        <v>1107</v>
      </c>
      <c r="W78" s="343">
        <v>24390</v>
      </c>
      <c r="X78" s="343">
        <v>399</v>
      </c>
      <c r="Y78" s="343">
        <v>0</v>
      </c>
      <c r="Z78" s="343">
        <v>24789</v>
      </c>
      <c r="AA78" s="343">
        <v>2195.1</v>
      </c>
    </row>
    <row r="79" spans="1:27">
      <c r="A79" s="343">
        <v>20250317</v>
      </c>
      <c r="B79" s="343">
        <v>90346</v>
      </c>
      <c r="C79" s="343">
        <v>275</v>
      </c>
      <c r="D79" s="343">
        <v>666</v>
      </c>
      <c r="E79" s="384">
        <v>45733</v>
      </c>
      <c r="F79" s="343" t="s">
        <v>232</v>
      </c>
      <c r="G79" s="343" t="s">
        <v>294</v>
      </c>
      <c r="I79" s="343">
        <v>20260531</v>
      </c>
      <c r="J79" s="343">
        <v>51670.2</v>
      </c>
      <c r="K79" s="343">
        <v>121</v>
      </c>
      <c r="L79" s="343">
        <v>551</v>
      </c>
      <c r="M79" s="384">
        <v>46173</v>
      </c>
      <c r="N79" s="343" t="s">
        <v>245</v>
      </c>
      <c r="O79" s="343" t="s">
        <v>153</v>
      </c>
      <c r="Q79" s="343" t="s">
        <v>127</v>
      </c>
      <c r="R79" s="343" t="s">
        <v>130</v>
      </c>
      <c r="S79" s="384">
        <v>46062</v>
      </c>
      <c r="T79" s="384">
        <v>46068</v>
      </c>
      <c r="U79" s="343" t="s">
        <v>291</v>
      </c>
      <c r="V79" s="343">
        <v>1</v>
      </c>
      <c r="W79" s="343">
        <v>50</v>
      </c>
      <c r="X79" s="343">
        <v>0</v>
      </c>
      <c r="Y79" s="343">
        <v>0</v>
      </c>
      <c r="Z79" s="343">
        <v>50</v>
      </c>
      <c r="AA79" s="343">
        <v>4.5</v>
      </c>
    </row>
    <row r="80" spans="1:27">
      <c r="A80" s="343">
        <v>20250318</v>
      </c>
      <c r="B80" s="343">
        <v>82447.63</v>
      </c>
      <c r="C80" s="343">
        <v>273</v>
      </c>
      <c r="D80" s="343">
        <v>619</v>
      </c>
      <c r="E80" s="384">
        <v>45734</v>
      </c>
      <c r="F80" s="343" t="s">
        <v>233</v>
      </c>
      <c r="G80" s="343" t="s">
        <v>294</v>
      </c>
      <c r="I80" s="343">
        <v>20260603</v>
      </c>
      <c r="J80" s="343">
        <v>-91.07</v>
      </c>
      <c r="M80" s="384">
        <v>46176</v>
      </c>
      <c r="N80" s="343" t="s">
        <v>234</v>
      </c>
      <c r="O80" s="343" t="s">
        <v>154</v>
      </c>
      <c r="Q80" s="343" t="s">
        <v>127</v>
      </c>
      <c r="R80" s="343" t="s">
        <v>130</v>
      </c>
      <c r="S80" s="384">
        <v>46062</v>
      </c>
      <c r="T80" s="384">
        <v>46068</v>
      </c>
      <c r="U80" s="343" t="s">
        <v>293</v>
      </c>
      <c r="V80" s="343">
        <v>309</v>
      </c>
      <c r="W80" s="343">
        <v>69315</v>
      </c>
      <c r="X80" s="343">
        <v>0</v>
      </c>
      <c r="Y80" s="343">
        <v>0</v>
      </c>
      <c r="Z80" s="343">
        <v>69315</v>
      </c>
      <c r="AA80" s="343">
        <v>6238.35</v>
      </c>
    </row>
    <row r="81" spans="1:27">
      <c r="A81" s="343">
        <v>20250319</v>
      </c>
      <c r="B81" s="343">
        <v>78288.05</v>
      </c>
      <c r="C81" s="343">
        <v>287</v>
      </c>
      <c r="D81" s="343">
        <v>671</v>
      </c>
      <c r="E81" s="384">
        <v>45735</v>
      </c>
      <c r="F81" s="343" t="s">
        <v>234</v>
      </c>
      <c r="G81" s="343" t="s">
        <v>294</v>
      </c>
      <c r="I81" s="343">
        <v>20260607</v>
      </c>
      <c r="J81" s="343">
        <v>39308</v>
      </c>
      <c r="K81" s="343">
        <v>110</v>
      </c>
      <c r="L81" s="343">
        <v>342</v>
      </c>
      <c r="M81" s="384">
        <v>46180</v>
      </c>
      <c r="N81" s="343" t="s">
        <v>245</v>
      </c>
      <c r="O81" s="343" t="s">
        <v>154</v>
      </c>
      <c r="Q81" s="343" t="s">
        <v>127</v>
      </c>
      <c r="R81" s="343" t="s">
        <v>130</v>
      </c>
      <c r="S81" s="384">
        <v>46062</v>
      </c>
      <c r="T81" s="384">
        <v>46068</v>
      </c>
      <c r="U81" s="343" t="s">
        <v>106</v>
      </c>
      <c r="V81" s="343">
        <v>21</v>
      </c>
      <c r="W81" s="343">
        <v>11320.4</v>
      </c>
      <c r="X81" s="343">
        <v>0</v>
      </c>
      <c r="Y81" s="343">
        <v>0</v>
      </c>
      <c r="Z81" s="343">
        <v>11320.4</v>
      </c>
      <c r="AA81" s="343">
        <v>16531.3</v>
      </c>
    </row>
    <row r="82" spans="1:27">
      <c r="A82" s="343">
        <v>20250320</v>
      </c>
      <c r="B82" s="343">
        <v>110441.65</v>
      </c>
      <c r="C82" s="343">
        <v>358</v>
      </c>
      <c r="D82" s="343">
        <v>925</v>
      </c>
      <c r="E82" s="384">
        <v>45736</v>
      </c>
      <c r="F82" s="343" t="s">
        <v>235</v>
      </c>
      <c r="G82" s="343" t="s">
        <v>294</v>
      </c>
      <c r="I82" s="343">
        <v>20260614</v>
      </c>
      <c r="J82" s="343">
        <v>35956.5</v>
      </c>
      <c r="K82" s="343">
        <v>105</v>
      </c>
      <c r="L82" s="343">
        <v>307</v>
      </c>
      <c r="M82" s="384">
        <v>46187</v>
      </c>
      <c r="N82" s="343" t="s">
        <v>245</v>
      </c>
      <c r="O82" s="343" t="s">
        <v>155</v>
      </c>
      <c r="Q82" s="343" t="s">
        <v>127</v>
      </c>
      <c r="R82" s="343" t="s">
        <v>130</v>
      </c>
      <c r="S82" s="384">
        <v>46062</v>
      </c>
      <c r="T82" s="384">
        <v>46068</v>
      </c>
      <c r="U82" s="343" t="s">
        <v>335</v>
      </c>
      <c r="V82" s="343">
        <v>0</v>
      </c>
      <c r="W82" s="343">
        <v>-4179.42</v>
      </c>
      <c r="X82" s="343">
        <v>0</v>
      </c>
      <c r="Y82" s="343">
        <v>4179</v>
      </c>
      <c r="Z82" s="343">
        <v>0</v>
      </c>
      <c r="AA82" s="343">
        <v>0</v>
      </c>
    </row>
    <row r="83" spans="1:27">
      <c r="A83" s="343">
        <v>20250321</v>
      </c>
      <c r="B83" s="343">
        <v>144241.45000000001</v>
      </c>
      <c r="C83" s="343">
        <v>408</v>
      </c>
      <c r="D83" s="343">
        <v>1039</v>
      </c>
      <c r="E83" s="384">
        <v>45737</v>
      </c>
      <c r="F83" s="343" t="s">
        <v>236</v>
      </c>
      <c r="G83" s="343" t="s">
        <v>294</v>
      </c>
      <c r="I83" s="343">
        <v>20260621</v>
      </c>
      <c r="J83" s="343">
        <v>54862.2</v>
      </c>
      <c r="K83" s="343">
        <v>115</v>
      </c>
      <c r="L83" s="343">
        <v>428</v>
      </c>
      <c r="M83" s="384">
        <v>46194</v>
      </c>
      <c r="N83" s="343" t="s">
        <v>245</v>
      </c>
      <c r="O83" s="343" t="s">
        <v>156</v>
      </c>
      <c r="Q83" s="343" t="s">
        <v>127</v>
      </c>
      <c r="R83" s="343" t="s">
        <v>131</v>
      </c>
      <c r="S83" s="384">
        <v>46069</v>
      </c>
      <c r="T83" s="384">
        <v>46075</v>
      </c>
      <c r="U83" s="343" t="s">
        <v>273</v>
      </c>
      <c r="V83" s="343">
        <v>5</v>
      </c>
      <c r="W83" s="343">
        <v>9420</v>
      </c>
      <c r="X83" s="343">
        <v>0</v>
      </c>
      <c r="Y83" s="343">
        <v>0</v>
      </c>
      <c r="Z83" s="343">
        <v>9420</v>
      </c>
      <c r="AA83" s="343">
        <v>847.8</v>
      </c>
    </row>
    <row r="84" spans="1:27">
      <c r="A84" s="343">
        <v>20250322</v>
      </c>
      <c r="B84" s="343">
        <v>133642.29999999999</v>
      </c>
      <c r="C84" s="343">
        <v>453</v>
      </c>
      <c r="D84" s="343">
        <v>1066</v>
      </c>
      <c r="E84" s="384">
        <v>45738</v>
      </c>
      <c r="F84" s="343" t="s">
        <v>244</v>
      </c>
      <c r="G84" s="343" t="s">
        <v>294</v>
      </c>
      <c r="I84" s="343">
        <v>20260628</v>
      </c>
      <c r="J84" s="343">
        <v>45681</v>
      </c>
      <c r="K84" s="343">
        <v>114</v>
      </c>
      <c r="L84" s="343">
        <v>377</v>
      </c>
      <c r="M84" s="384">
        <v>46201</v>
      </c>
      <c r="N84" s="343" t="s">
        <v>245</v>
      </c>
      <c r="O84" s="343" t="s">
        <v>157</v>
      </c>
      <c r="Q84" s="343" t="s">
        <v>127</v>
      </c>
      <c r="R84" s="343" t="s">
        <v>131</v>
      </c>
      <c r="S84" s="384">
        <v>46069</v>
      </c>
      <c r="T84" s="384">
        <v>46075</v>
      </c>
      <c r="U84" s="343" t="s">
        <v>275</v>
      </c>
      <c r="V84" s="343">
        <v>409</v>
      </c>
      <c r="W84" s="343">
        <v>41823.56</v>
      </c>
      <c r="X84" s="343">
        <v>876.44</v>
      </c>
      <c r="Y84" s="343">
        <v>0</v>
      </c>
      <c r="Z84" s="343">
        <v>42700</v>
      </c>
      <c r="AA84" s="343">
        <v>3764.12</v>
      </c>
    </row>
    <row r="85" spans="1:27">
      <c r="A85" s="343">
        <v>20250323</v>
      </c>
      <c r="B85" s="343">
        <v>72773</v>
      </c>
      <c r="C85" s="343">
        <v>274</v>
      </c>
      <c r="D85" s="343">
        <v>604</v>
      </c>
      <c r="E85" s="384">
        <v>45739</v>
      </c>
      <c r="F85" s="343" t="s">
        <v>245</v>
      </c>
      <c r="G85" s="343" t="s">
        <v>294</v>
      </c>
      <c r="I85" s="343">
        <v>20260705</v>
      </c>
      <c r="J85" s="343">
        <v>40810.5</v>
      </c>
      <c r="K85" s="343">
        <v>106</v>
      </c>
      <c r="L85" s="343">
        <v>361</v>
      </c>
      <c r="M85" s="384">
        <v>46208</v>
      </c>
      <c r="N85" s="343" t="s">
        <v>245</v>
      </c>
      <c r="O85" s="343" t="s">
        <v>160</v>
      </c>
      <c r="Q85" s="343" t="s">
        <v>127</v>
      </c>
      <c r="R85" s="343" t="s">
        <v>131</v>
      </c>
      <c r="S85" s="384">
        <v>46069</v>
      </c>
      <c r="T85" s="384">
        <v>46075</v>
      </c>
      <c r="U85" s="343" t="s">
        <v>277</v>
      </c>
      <c r="V85" s="343">
        <v>61</v>
      </c>
      <c r="W85" s="343">
        <v>1194</v>
      </c>
      <c r="X85" s="343">
        <v>21</v>
      </c>
      <c r="Y85" s="343">
        <v>0</v>
      </c>
      <c r="Z85" s="343">
        <v>1215</v>
      </c>
      <c r="AA85" s="343">
        <v>107.46</v>
      </c>
    </row>
    <row r="86" spans="1:27">
      <c r="A86" s="343">
        <v>20250324</v>
      </c>
      <c r="B86" s="343">
        <v>78198</v>
      </c>
      <c r="C86" s="343">
        <v>292</v>
      </c>
      <c r="D86" s="343">
        <v>625</v>
      </c>
      <c r="E86" s="384">
        <v>45740</v>
      </c>
      <c r="F86" s="343" t="s">
        <v>232</v>
      </c>
      <c r="G86" s="343" t="s">
        <v>295</v>
      </c>
      <c r="I86" s="343">
        <v>20260712</v>
      </c>
      <c r="J86" s="343">
        <v>37511.5</v>
      </c>
      <c r="K86" s="343">
        <v>100</v>
      </c>
      <c r="L86" s="343">
        <v>315</v>
      </c>
      <c r="M86" s="384">
        <v>46215</v>
      </c>
      <c r="N86" s="343" t="s">
        <v>245</v>
      </c>
      <c r="O86" s="343" t="s">
        <v>161</v>
      </c>
      <c r="Q86" s="343" t="s">
        <v>127</v>
      </c>
      <c r="R86" s="343" t="s">
        <v>131</v>
      </c>
      <c r="S86" s="384">
        <v>46069</v>
      </c>
      <c r="T86" s="384">
        <v>46075</v>
      </c>
      <c r="U86" s="343" t="s">
        <v>279</v>
      </c>
      <c r="V86" s="343">
        <v>363</v>
      </c>
      <c r="W86" s="343">
        <v>4335</v>
      </c>
      <c r="X86" s="343">
        <v>60</v>
      </c>
      <c r="Y86" s="343">
        <v>0</v>
      </c>
      <c r="Z86" s="343">
        <v>4395</v>
      </c>
      <c r="AA86" s="343">
        <v>390.15</v>
      </c>
    </row>
    <row r="87" spans="1:27">
      <c r="A87" s="343">
        <v>20250325</v>
      </c>
      <c r="B87" s="343">
        <v>84961.85</v>
      </c>
      <c r="C87" s="343">
        <v>330</v>
      </c>
      <c r="D87" s="343">
        <v>709</v>
      </c>
      <c r="E87" s="384">
        <v>45741</v>
      </c>
      <c r="F87" s="343" t="s">
        <v>233</v>
      </c>
      <c r="G87" s="343" t="s">
        <v>295</v>
      </c>
      <c r="I87" s="343">
        <v>20260719</v>
      </c>
      <c r="J87" s="343">
        <v>23504</v>
      </c>
      <c r="K87" s="343">
        <v>77</v>
      </c>
      <c r="L87" s="343">
        <v>201</v>
      </c>
      <c r="M87" s="384">
        <v>46222</v>
      </c>
      <c r="N87" s="343" t="s">
        <v>245</v>
      </c>
      <c r="O87" s="343" t="s">
        <v>162</v>
      </c>
      <c r="Q87" s="343" t="s">
        <v>127</v>
      </c>
      <c r="R87" s="343" t="s">
        <v>131</v>
      </c>
      <c r="S87" s="384">
        <v>46069</v>
      </c>
      <c r="T87" s="384">
        <v>46075</v>
      </c>
      <c r="U87" s="343" t="s">
        <v>281</v>
      </c>
      <c r="V87" s="343">
        <v>6934</v>
      </c>
      <c r="W87" s="343">
        <v>164353.04999999999</v>
      </c>
      <c r="X87" s="343">
        <v>3061.83</v>
      </c>
      <c r="Y87" s="343">
        <v>0</v>
      </c>
      <c r="Z87" s="343">
        <v>167414.88</v>
      </c>
      <c r="AA87" s="343">
        <v>14791.8</v>
      </c>
    </row>
    <row r="88" spans="1:27">
      <c r="A88" s="343">
        <v>20250326</v>
      </c>
      <c r="B88" s="343">
        <v>99907.199999999997</v>
      </c>
      <c r="C88" s="343">
        <v>386</v>
      </c>
      <c r="D88" s="343">
        <v>882</v>
      </c>
      <c r="E88" s="384">
        <v>45742</v>
      </c>
      <c r="F88" s="343" t="s">
        <v>234</v>
      </c>
      <c r="G88" s="343" t="s">
        <v>295</v>
      </c>
      <c r="I88" s="343">
        <v>20260726</v>
      </c>
      <c r="J88" s="343">
        <v>36422.449999999997</v>
      </c>
      <c r="K88" s="343">
        <v>101</v>
      </c>
      <c r="L88" s="343">
        <v>329</v>
      </c>
      <c r="M88" s="384">
        <v>46229</v>
      </c>
      <c r="N88" s="343" t="s">
        <v>245</v>
      </c>
      <c r="O88" s="343" t="s">
        <v>163</v>
      </c>
      <c r="Q88" s="343" t="s">
        <v>127</v>
      </c>
      <c r="R88" s="343" t="s">
        <v>131</v>
      </c>
      <c r="S88" s="384">
        <v>46069</v>
      </c>
      <c r="T88" s="384">
        <v>46075</v>
      </c>
      <c r="U88" s="343" t="s">
        <v>283</v>
      </c>
      <c r="V88" s="343">
        <v>3131</v>
      </c>
      <c r="W88" s="343">
        <v>31973.71</v>
      </c>
      <c r="X88" s="343">
        <v>940.06</v>
      </c>
      <c r="Y88" s="343">
        <v>0</v>
      </c>
      <c r="Z88" s="343">
        <v>32913.769999999997</v>
      </c>
      <c r="AA88" s="343">
        <v>2877.61</v>
      </c>
    </row>
    <row r="89" spans="1:27">
      <c r="A89" s="343">
        <v>20250327</v>
      </c>
      <c r="B89" s="343">
        <v>125377.8</v>
      </c>
      <c r="C89" s="343">
        <v>350</v>
      </c>
      <c r="D89" s="343">
        <v>962</v>
      </c>
      <c r="E89" s="384">
        <v>45743</v>
      </c>
      <c r="F89" s="343" t="s">
        <v>235</v>
      </c>
      <c r="G89" s="343" t="s">
        <v>295</v>
      </c>
      <c r="I89" s="343">
        <v>20260802</v>
      </c>
      <c r="J89" s="343">
        <v>34524</v>
      </c>
      <c r="K89" s="343">
        <v>102</v>
      </c>
      <c r="L89" s="343">
        <v>312</v>
      </c>
      <c r="M89" s="384">
        <v>46236</v>
      </c>
      <c r="N89" s="343" t="s">
        <v>245</v>
      </c>
      <c r="O89" s="343" t="s">
        <v>166</v>
      </c>
      <c r="Q89" s="343" t="s">
        <v>127</v>
      </c>
      <c r="R89" s="343" t="s">
        <v>131</v>
      </c>
      <c r="S89" s="384">
        <v>46069</v>
      </c>
      <c r="T89" s="384">
        <v>46075</v>
      </c>
      <c r="U89" s="343" t="s">
        <v>285</v>
      </c>
      <c r="V89" s="343">
        <v>22364.98</v>
      </c>
      <c r="W89" s="343">
        <v>464726.88</v>
      </c>
      <c r="X89" s="343">
        <v>13248.62</v>
      </c>
      <c r="Y89" s="343">
        <v>0</v>
      </c>
      <c r="Z89" s="343">
        <v>477975.5</v>
      </c>
      <c r="AA89" s="343">
        <v>41825.800000000003</v>
      </c>
    </row>
    <row r="90" spans="1:27">
      <c r="A90" s="343">
        <v>20250328</v>
      </c>
      <c r="B90" s="343">
        <v>142754.95000000001</v>
      </c>
      <c r="C90" s="343">
        <v>418</v>
      </c>
      <c r="D90" s="343">
        <v>982</v>
      </c>
      <c r="E90" s="384">
        <v>45744</v>
      </c>
      <c r="F90" s="343" t="s">
        <v>236</v>
      </c>
      <c r="G90" s="343" t="s">
        <v>295</v>
      </c>
      <c r="I90" s="343">
        <v>20260809</v>
      </c>
      <c r="J90" s="343">
        <v>40405.1</v>
      </c>
      <c r="K90" s="343">
        <v>113</v>
      </c>
      <c r="L90" s="343">
        <v>345</v>
      </c>
      <c r="M90" s="384">
        <v>46243</v>
      </c>
      <c r="N90" s="343" t="s">
        <v>245</v>
      </c>
      <c r="O90" s="343" t="s">
        <v>167</v>
      </c>
      <c r="Q90" s="343" t="s">
        <v>127</v>
      </c>
      <c r="R90" s="343" t="s">
        <v>131</v>
      </c>
      <c r="S90" s="384">
        <v>46069</v>
      </c>
      <c r="T90" s="384">
        <v>46075</v>
      </c>
      <c r="U90" s="343" t="s">
        <v>287</v>
      </c>
      <c r="V90" s="343">
        <v>1198</v>
      </c>
      <c r="W90" s="343">
        <v>25989.5</v>
      </c>
      <c r="X90" s="343">
        <v>543.5</v>
      </c>
      <c r="Y90" s="343">
        <v>0</v>
      </c>
      <c r="Z90" s="343">
        <v>26533</v>
      </c>
      <c r="AA90" s="343">
        <v>2339.06</v>
      </c>
    </row>
    <row r="91" spans="1:27">
      <c r="A91" s="343">
        <v>20250329</v>
      </c>
      <c r="B91" s="343">
        <v>130069.1</v>
      </c>
      <c r="C91" s="343">
        <v>471</v>
      </c>
      <c r="D91" s="343">
        <v>1009</v>
      </c>
      <c r="E91" s="384">
        <v>45745</v>
      </c>
      <c r="F91" s="343" t="s">
        <v>244</v>
      </c>
      <c r="G91" s="343" t="s">
        <v>295</v>
      </c>
      <c r="I91" s="343">
        <v>20260816</v>
      </c>
      <c r="J91" s="343">
        <v>34337</v>
      </c>
      <c r="K91" s="343">
        <v>102</v>
      </c>
      <c r="L91" s="343">
        <v>325</v>
      </c>
      <c r="M91" s="384">
        <v>46250</v>
      </c>
      <c r="N91" s="343" t="s">
        <v>245</v>
      </c>
      <c r="O91" s="343" t="s">
        <v>168</v>
      </c>
      <c r="Q91" s="343" t="s">
        <v>127</v>
      </c>
      <c r="R91" s="343" t="s">
        <v>131</v>
      </c>
      <c r="S91" s="384">
        <v>46069</v>
      </c>
      <c r="T91" s="384">
        <v>46075</v>
      </c>
      <c r="U91" s="343" t="s">
        <v>293</v>
      </c>
      <c r="V91" s="343">
        <v>286</v>
      </c>
      <c r="W91" s="343">
        <v>60978</v>
      </c>
      <c r="X91" s="343">
        <v>570</v>
      </c>
      <c r="Y91" s="343">
        <v>0</v>
      </c>
      <c r="Z91" s="343">
        <v>61548</v>
      </c>
      <c r="AA91" s="343">
        <v>5488.02</v>
      </c>
    </row>
    <row r="92" spans="1:27">
      <c r="A92" s="343">
        <v>20250330</v>
      </c>
      <c r="B92" s="343">
        <v>79765.5</v>
      </c>
      <c r="C92" s="343">
        <v>300</v>
      </c>
      <c r="D92" s="343">
        <v>646</v>
      </c>
      <c r="E92" s="384">
        <v>45746</v>
      </c>
      <c r="F92" s="343" t="s">
        <v>245</v>
      </c>
      <c r="G92" s="343" t="s">
        <v>295</v>
      </c>
      <c r="I92" s="343">
        <v>20260823</v>
      </c>
      <c r="J92" s="343">
        <v>30216</v>
      </c>
      <c r="K92" s="343">
        <v>101</v>
      </c>
      <c r="L92" s="343">
        <v>280</v>
      </c>
      <c r="M92" s="384">
        <v>46257</v>
      </c>
      <c r="N92" s="343" t="s">
        <v>245</v>
      </c>
      <c r="O92" s="343" t="s">
        <v>101</v>
      </c>
      <c r="Q92" s="343" t="s">
        <v>127</v>
      </c>
      <c r="R92" s="343" t="s">
        <v>131</v>
      </c>
      <c r="S92" s="384">
        <v>46069</v>
      </c>
      <c r="T92" s="384">
        <v>46075</v>
      </c>
      <c r="U92" s="343" t="s">
        <v>106</v>
      </c>
      <c r="V92" s="343">
        <v>19</v>
      </c>
      <c r="W92" s="343">
        <v>5501.89</v>
      </c>
      <c r="X92" s="343">
        <v>0</v>
      </c>
      <c r="Y92" s="343">
        <v>0</v>
      </c>
      <c r="Z92" s="343">
        <v>5501.89</v>
      </c>
      <c r="AA92" s="343">
        <v>15173.13</v>
      </c>
    </row>
    <row r="93" spans="1:27">
      <c r="A93" s="343">
        <v>20250331</v>
      </c>
      <c r="B93" s="343">
        <v>91675.93</v>
      </c>
      <c r="C93" s="343">
        <v>316</v>
      </c>
      <c r="D93" s="343">
        <v>739</v>
      </c>
      <c r="E93" s="384">
        <v>45747</v>
      </c>
      <c r="F93" s="343" t="s">
        <v>232</v>
      </c>
      <c r="G93" s="343" t="s">
        <v>296</v>
      </c>
      <c r="Q93" s="343" t="s">
        <v>127</v>
      </c>
      <c r="R93" s="343" t="s">
        <v>131</v>
      </c>
      <c r="S93" s="384">
        <v>46069</v>
      </c>
      <c r="T93" s="384">
        <v>46075</v>
      </c>
      <c r="U93" s="343" t="s">
        <v>335</v>
      </c>
      <c r="V93" s="343">
        <v>0</v>
      </c>
      <c r="W93" s="343">
        <v>-213.87</v>
      </c>
      <c r="X93" s="343">
        <v>0</v>
      </c>
      <c r="Y93" s="343">
        <v>214</v>
      </c>
      <c r="Z93" s="343">
        <v>0</v>
      </c>
      <c r="AA93" s="343">
        <v>0</v>
      </c>
    </row>
    <row r="94" spans="1:27">
      <c r="A94" s="343">
        <v>20250401</v>
      </c>
      <c r="B94" s="343">
        <v>73743.95</v>
      </c>
      <c r="C94" s="343">
        <v>238</v>
      </c>
      <c r="D94" s="343">
        <v>502</v>
      </c>
      <c r="E94" s="384">
        <v>45748</v>
      </c>
      <c r="F94" s="343" t="s">
        <v>233</v>
      </c>
      <c r="G94" s="343" t="s">
        <v>296</v>
      </c>
      <c r="Q94" s="343" t="s">
        <v>133</v>
      </c>
      <c r="R94" s="343" t="s">
        <v>134</v>
      </c>
      <c r="S94" s="384">
        <v>46076</v>
      </c>
      <c r="T94" s="384">
        <v>46082</v>
      </c>
      <c r="U94" s="343" t="s">
        <v>273</v>
      </c>
      <c r="V94" s="343">
        <v>2</v>
      </c>
      <c r="W94" s="343">
        <v>2653.92</v>
      </c>
      <c r="X94" s="343">
        <v>0</v>
      </c>
      <c r="Y94" s="343">
        <v>0</v>
      </c>
      <c r="Z94" s="343">
        <v>2653.92</v>
      </c>
      <c r="AA94" s="343">
        <v>238.85</v>
      </c>
    </row>
    <row r="95" spans="1:27">
      <c r="A95" s="343">
        <v>20250402</v>
      </c>
      <c r="B95" s="343">
        <v>84999.75</v>
      </c>
      <c r="C95" s="343">
        <v>295</v>
      </c>
      <c r="D95" s="343">
        <v>687</v>
      </c>
      <c r="E95" s="384">
        <v>45749</v>
      </c>
      <c r="F95" s="343" t="s">
        <v>234</v>
      </c>
      <c r="G95" s="343" t="s">
        <v>296</v>
      </c>
      <c r="Q95" s="343" t="s">
        <v>133</v>
      </c>
      <c r="R95" s="343" t="s">
        <v>134</v>
      </c>
      <c r="S95" s="384">
        <v>46076</v>
      </c>
      <c r="T95" s="384">
        <v>46082</v>
      </c>
      <c r="U95" s="343" t="s">
        <v>275</v>
      </c>
      <c r="V95" s="343">
        <v>448</v>
      </c>
      <c r="W95" s="343">
        <v>46670</v>
      </c>
      <c r="X95" s="343">
        <v>900</v>
      </c>
      <c r="Y95" s="343">
        <v>0</v>
      </c>
      <c r="Z95" s="343">
        <v>47570</v>
      </c>
      <c r="AA95" s="343">
        <v>4200.3100000000004</v>
      </c>
    </row>
    <row r="96" spans="1:27">
      <c r="A96" s="343">
        <v>20250403</v>
      </c>
      <c r="B96" s="343">
        <v>99910.74</v>
      </c>
      <c r="C96" s="343">
        <v>353</v>
      </c>
      <c r="D96" s="343">
        <v>841</v>
      </c>
      <c r="E96" s="384">
        <v>45750</v>
      </c>
      <c r="F96" s="343" t="s">
        <v>235</v>
      </c>
      <c r="G96" s="343" t="s">
        <v>296</v>
      </c>
      <c r="Q96" s="343" t="s">
        <v>133</v>
      </c>
      <c r="R96" s="343" t="s">
        <v>134</v>
      </c>
      <c r="S96" s="384">
        <v>46076</v>
      </c>
      <c r="T96" s="384">
        <v>46082</v>
      </c>
      <c r="U96" s="343" t="s">
        <v>277</v>
      </c>
      <c r="V96" s="343">
        <v>59</v>
      </c>
      <c r="W96" s="343">
        <v>378</v>
      </c>
      <c r="X96" s="343">
        <v>0</v>
      </c>
      <c r="Y96" s="343">
        <v>0</v>
      </c>
      <c r="Z96" s="343">
        <v>378</v>
      </c>
      <c r="AA96" s="343">
        <v>34.020000000000003</v>
      </c>
    </row>
    <row r="97" spans="1:27">
      <c r="A97" s="343">
        <v>20250404</v>
      </c>
      <c r="B97" s="343">
        <v>127214.1</v>
      </c>
      <c r="C97" s="343">
        <v>431</v>
      </c>
      <c r="D97" s="343">
        <v>1085</v>
      </c>
      <c r="E97" s="384">
        <v>45751</v>
      </c>
      <c r="F97" s="343" t="s">
        <v>236</v>
      </c>
      <c r="G97" s="343" t="s">
        <v>296</v>
      </c>
      <c r="Q97" s="343" t="s">
        <v>133</v>
      </c>
      <c r="R97" s="343" t="s">
        <v>134</v>
      </c>
      <c r="S97" s="384">
        <v>46076</v>
      </c>
      <c r="T97" s="384">
        <v>46082</v>
      </c>
      <c r="U97" s="343" t="s">
        <v>279</v>
      </c>
      <c r="V97" s="343">
        <v>461</v>
      </c>
      <c r="W97" s="343">
        <v>5487</v>
      </c>
      <c r="X97" s="343">
        <v>87</v>
      </c>
      <c r="Y97" s="343">
        <v>0</v>
      </c>
      <c r="Z97" s="343">
        <v>5574</v>
      </c>
      <c r="AA97" s="343">
        <v>493.83</v>
      </c>
    </row>
    <row r="98" spans="1:27">
      <c r="A98" s="343">
        <v>20250405</v>
      </c>
      <c r="B98" s="343">
        <v>129097.05</v>
      </c>
      <c r="C98" s="343">
        <v>438</v>
      </c>
      <c r="D98" s="343">
        <v>1048</v>
      </c>
      <c r="E98" s="384">
        <v>45752</v>
      </c>
      <c r="F98" s="343" t="s">
        <v>244</v>
      </c>
      <c r="G98" s="343" t="s">
        <v>296</v>
      </c>
      <c r="Q98" s="343" t="s">
        <v>133</v>
      </c>
      <c r="R98" s="343" t="s">
        <v>134</v>
      </c>
      <c r="S98" s="384">
        <v>46076</v>
      </c>
      <c r="T98" s="384">
        <v>46082</v>
      </c>
      <c r="U98" s="343" t="s">
        <v>281</v>
      </c>
      <c r="V98" s="343">
        <v>7690</v>
      </c>
      <c r="W98" s="343">
        <v>211868.08</v>
      </c>
      <c r="X98" s="343">
        <v>2822</v>
      </c>
      <c r="Y98" s="343">
        <v>0</v>
      </c>
      <c r="Z98" s="343">
        <v>214690.08</v>
      </c>
      <c r="AA98" s="343">
        <v>19068.13</v>
      </c>
    </row>
    <row r="99" spans="1:27">
      <c r="A99" s="343">
        <v>20250406</v>
      </c>
      <c r="B99" s="343">
        <v>105000</v>
      </c>
      <c r="C99" s="343">
        <v>4</v>
      </c>
      <c r="D99" s="343">
        <v>60</v>
      </c>
      <c r="E99" s="384">
        <v>45753</v>
      </c>
      <c r="F99" s="343" t="s">
        <v>245</v>
      </c>
      <c r="G99" s="343" t="s">
        <v>296</v>
      </c>
      <c r="Q99" s="343" t="s">
        <v>133</v>
      </c>
      <c r="R99" s="343" t="s">
        <v>134</v>
      </c>
      <c r="S99" s="384">
        <v>46076</v>
      </c>
      <c r="T99" s="384">
        <v>46082</v>
      </c>
      <c r="U99" s="343" t="s">
        <v>283</v>
      </c>
      <c r="V99" s="343">
        <v>2779</v>
      </c>
      <c r="W99" s="343">
        <v>28841.5</v>
      </c>
      <c r="X99" s="343">
        <v>593.5</v>
      </c>
      <c r="Y99" s="343">
        <v>0</v>
      </c>
      <c r="Z99" s="343">
        <v>29435</v>
      </c>
      <c r="AA99" s="343">
        <v>2595.75</v>
      </c>
    </row>
    <row r="100" spans="1:27">
      <c r="A100" s="343">
        <v>20250407</v>
      </c>
      <c r="B100" s="343">
        <v>83750.350000000006</v>
      </c>
      <c r="C100" s="343">
        <v>250</v>
      </c>
      <c r="D100" s="343">
        <v>591</v>
      </c>
      <c r="E100" s="384">
        <v>45754</v>
      </c>
      <c r="F100" s="343" t="s">
        <v>232</v>
      </c>
      <c r="G100" s="343" t="s">
        <v>297</v>
      </c>
      <c r="Q100" s="343" t="s">
        <v>133</v>
      </c>
      <c r="R100" s="343" t="s">
        <v>134</v>
      </c>
      <c r="S100" s="384">
        <v>46076</v>
      </c>
      <c r="T100" s="384">
        <v>46082</v>
      </c>
      <c r="U100" s="343" t="s">
        <v>285</v>
      </c>
      <c r="V100" s="343">
        <v>22821.599999999999</v>
      </c>
      <c r="W100" s="343">
        <v>496458.5</v>
      </c>
      <c r="X100" s="343">
        <v>10405.5</v>
      </c>
      <c r="Y100" s="343">
        <v>0</v>
      </c>
      <c r="Z100" s="343">
        <v>506864</v>
      </c>
      <c r="AA100" s="343">
        <v>44681.45</v>
      </c>
    </row>
    <row r="101" spans="1:27">
      <c r="A101" s="343">
        <v>20250408</v>
      </c>
      <c r="B101" s="343">
        <v>66778</v>
      </c>
      <c r="C101" s="343">
        <v>242</v>
      </c>
      <c r="D101" s="343">
        <v>524</v>
      </c>
      <c r="E101" s="384">
        <v>45755</v>
      </c>
      <c r="F101" s="343" t="s">
        <v>233</v>
      </c>
      <c r="G101" s="343" t="s">
        <v>297</v>
      </c>
      <c r="Q101" s="343" t="s">
        <v>133</v>
      </c>
      <c r="R101" s="343" t="s">
        <v>134</v>
      </c>
      <c r="S101" s="384">
        <v>46076</v>
      </c>
      <c r="T101" s="384">
        <v>46082</v>
      </c>
      <c r="U101" s="343" t="s">
        <v>287</v>
      </c>
      <c r="V101" s="343">
        <v>1137</v>
      </c>
      <c r="W101" s="343">
        <v>30006</v>
      </c>
      <c r="X101" s="343">
        <v>507</v>
      </c>
      <c r="Y101" s="343">
        <v>0</v>
      </c>
      <c r="Z101" s="343">
        <v>30513</v>
      </c>
      <c r="AA101" s="343">
        <v>2700.54</v>
      </c>
    </row>
    <row r="102" spans="1:27">
      <c r="A102" s="343">
        <v>20250409</v>
      </c>
      <c r="B102" s="343">
        <v>103608.7</v>
      </c>
      <c r="C102" s="343">
        <v>258</v>
      </c>
      <c r="D102" s="343">
        <v>651</v>
      </c>
      <c r="E102" s="384">
        <v>45756</v>
      </c>
      <c r="F102" s="343" t="s">
        <v>234</v>
      </c>
      <c r="G102" s="343" t="s">
        <v>297</v>
      </c>
      <c r="Q102" s="343" t="s">
        <v>133</v>
      </c>
      <c r="R102" s="343" t="s">
        <v>134</v>
      </c>
      <c r="S102" s="384">
        <v>46076</v>
      </c>
      <c r="T102" s="384">
        <v>46082</v>
      </c>
      <c r="U102" s="343" t="s">
        <v>293</v>
      </c>
      <c r="V102" s="343">
        <v>285</v>
      </c>
      <c r="W102" s="343">
        <v>62286</v>
      </c>
      <c r="X102" s="343">
        <v>395</v>
      </c>
      <c r="Y102" s="343">
        <v>0</v>
      </c>
      <c r="Z102" s="343">
        <v>62681</v>
      </c>
      <c r="AA102" s="343">
        <v>5605.74</v>
      </c>
    </row>
    <row r="103" spans="1:27">
      <c r="A103" s="343">
        <v>20250410</v>
      </c>
      <c r="B103" s="343">
        <v>90491</v>
      </c>
      <c r="C103" s="343">
        <v>349</v>
      </c>
      <c r="D103" s="343">
        <v>843</v>
      </c>
      <c r="E103" s="384">
        <v>45757</v>
      </c>
      <c r="F103" s="343" t="s">
        <v>235</v>
      </c>
      <c r="G103" s="343" t="s">
        <v>297</v>
      </c>
      <c r="Q103" s="343" t="s">
        <v>133</v>
      </c>
      <c r="R103" s="343" t="s">
        <v>134</v>
      </c>
      <c r="S103" s="384">
        <v>46076</v>
      </c>
      <c r="T103" s="384">
        <v>46082</v>
      </c>
      <c r="U103" s="343" t="s">
        <v>106</v>
      </c>
      <c r="V103" s="343">
        <v>28</v>
      </c>
      <c r="W103" s="343">
        <v>16041.2</v>
      </c>
      <c r="X103" s="343">
        <v>0</v>
      </c>
      <c r="Y103" s="343">
        <v>0</v>
      </c>
      <c r="Z103" s="343">
        <v>16041.2</v>
      </c>
      <c r="AA103" s="343">
        <v>17183.12</v>
      </c>
    </row>
    <row r="104" spans="1:27">
      <c r="A104" s="343">
        <v>20250411</v>
      </c>
      <c r="B104" s="343">
        <v>128934.55</v>
      </c>
      <c r="C104" s="343">
        <v>382</v>
      </c>
      <c r="D104" s="343">
        <v>988</v>
      </c>
      <c r="E104" s="384">
        <v>45758</v>
      </c>
      <c r="F104" s="343" t="s">
        <v>236</v>
      </c>
      <c r="G104" s="343" t="s">
        <v>297</v>
      </c>
      <c r="Q104" s="343" t="s">
        <v>133</v>
      </c>
      <c r="R104" s="343" t="s">
        <v>135</v>
      </c>
      <c r="S104" s="384">
        <v>46083</v>
      </c>
      <c r="T104" s="384">
        <v>46089</v>
      </c>
      <c r="U104" s="343" t="s">
        <v>273</v>
      </c>
      <c r="V104" s="343">
        <v>1</v>
      </c>
      <c r="W104" s="343">
        <v>4</v>
      </c>
      <c r="X104" s="343">
        <v>0</v>
      </c>
      <c r="Y104" s="343">
        <v>0</v>
      </c>
      <c r="Z104" s="343">
        <v>4</v>
      </c>
      <c r="AA104" s="343">
        <v>0.36</v>
      </c>
    </row>
    <row r="105" spans="1:27">
      <c r="A105" s="343">
        <v>20250412</v>
      </c>
      <c r="B105" s="343">
        <v>121051.15</v>
      </c>
      <c r="C105" s="343">
        <v>413</v>
      </c>
      <c r="D105" s="343">
        <v>981</v>
      </c>
      <c r="E105" s="384">
        <v>45759</v>
      </c>
      <c r="F105" s="343" t="s">
        <v>244</v>
      </c>
      <c r="G105" s="343" t="s">
        <v>297</v>
      </c>
      <c r="Q105" s="343" t="s">
        <v>133</v>
      </c>
      <c r="R105" s="343" t="s">
        <v>135</v>
      </c>
      <c r="S105" s="384">
        <v>46083</v>
      </c>
      <c r="T105" s="384">
        <v>46089</v>
      </c>
      <c r="U105" s="343" t="s">
        <v>275</v>
      </c>
      <c r="V105" s="343">
        <v>426</v>
      </c>
      <c r="W105" s="343">
        <v>43505</v>
      </c>
      <c r="X105" s="343">
        <v>680</v>
      </c>
      <c r="Y105" s="343">
        <v>0</v>
      </c>
      <c r="Z105" s="343">
        <v>44185</v>
      </c>
      <c r="AA105" s="343">
        <v>3915.47</v>
      </c>
    </row>
    <row r="106" spans="1:27">
      <c r="A106" s="343">
        <v>20250413</v>
      </c>
      <c r="B106" s="343">
        <v>70603.5</v>
      </c>
      <c r="C106" s="343">
        <v>267</v>
      </c>
      <c r="D106" s="343">
        <v>615</v>
      </c>
      <c r="E106" s="384">
        <v>45760</v>
      </c>
      <c r="F106" s="343" t="s">
        <v>245</v>
      </c>
      <c r="G106" s="343" t="s">
        <v>297</v>
      </c>
      <c r="Q106" s="343" t="s">
        <v>133</v>
      </c>
      <c r="R106" s="343" t="s">
        <v>135</v>
      </c>
      <c r="S106" s="384">
        <v>46083</v>
      </c>
      <c r="T106" s="384">
        <v>46089</v>
      </c>
      <c r="U106" s="343" t="s">
        <v>277</v>
      </c>
      <c r="V106" s="343">
        <v>38</v>
      </c>
      <c r="W106" s="343">
        <v>580</v>
      </c>
      <c r="X106" s="343">
        <v>0</v>
      </c>
      <c r="Y106" s="343">
        <v>0</v>
      </c>
      <c r="Z106" s="343">
        <v>580</v>
      </c>
      <c r="AA106" s="343">
        <v>52.2</v>
      </c>
    </row>
    <row r="107" spans="1:27">
      <c r="A107" s="343">
        <v>20250414</v>
      </c>
      <c r="B107" s="343">
        <v>81195.759999999995</v>
      </c>
      <c r="C107" s="343">
        <v>294</v>
      </c>
      <c r="D107" s="343">
        <v>710</v>
      </c>
      <c r="E107" s="384">
        <v>45761</v>
      </c>
      <c r="F107" s="343" t="s">
        <v>232</v>
      </c>
      <c r="G107" s="343" t="s">
        <v>298</v>
      </c>
      <c r="Q107" s="343" t="s">
        <v>133</v>
      </c>
      <c r="R107" s="343" t="s">
        <v>135</v>
      </c>
      <c r="S107" s="384">
        <v>46083</v>
      </c>
      <c r="T107" s="384">
        <v>46089</v>
      </c>
      <c r="U107" s="343" t="s">
        <v>279</v>
      </c>
      <c r="V107" s="343">
        <v>387</v>
      </c>
      <c r="W107" s="343">
        <v>4458</v>
      </c>
      <c r="X107" s="343">
        <v>216</v>
      </c>
      <c r="Y107" s="343">
        <v>0</v>
      </c>
      <c r="Z107" s="343">
        <v>4674</v>
      </c>
      <c r="AA107" s="343">
        <v>401.22</v>
      </c>
    </row>
    <row r="108" spans="1:27">
      <c r="A108" s="343">
        <v>20250415</v>
      </c>
      <c r="B108" s="343">
        <v>74166.34</v>
      </c>
      <c r="C108" s="343">
        <v>262</v>
      </c>
      <c r="D108" s="343">
        <v>609</v>
      </c>
      <c r="E108" s="384">
        <v>45762</v>
      </c>
      <c r="F108" s="343" t="s">
        <v>233</v>
      </c>
      <c r="G108" s="343" t="s">
        <v>298</v>
      </c>
      <c r="Q108" s="343" t="s">
        <v>133</v>
      </c>
      <c r="R108" s="343" t="s">
        <v>135</v>
      </c>
      <c r="S108" s="384">
        <v>46083</v>
      </c>
      <c r="T108" s="384">
        <v>46089</v>
      </c>
      <c r="U108" s="343" t="s">
        <v>281</v>
      </c>
      <c r="V108" s="343">
        <v>7726</v>
      </c>
      <c r="W108" s="343">
        <v>177304</v>
      </c>
      <c r="X108" s="343">
        <v>5553</v>
      </c>
      <c r="Y108" s="343">
        <v>0</v>
      </c>
      <c r="Z108" s="343">
        <v>182857</v>
      </c>
      <c r="AA108" s="343">
        <v>15957.36</v>
      </c>
    </row>
    <row r="109" spans="1:27">
      <c r="A109" s="343">
        <v>20250416</v>
      </c>
      <c r="B109" s="343">
        <v>89132.75</v>
      </c>
      <c r="C109" s="343">
        <v>292</v>
      </c>
      <c r="D109" s="343">
        <v>714</v>
      </c>
      <c r="E109" s="384">
        <v>45763</v>
      </c>
      <c r="F109" s="343" t="s">
        <v>234</v>
      </c>
      <c r="G109" s="343" t="s">
        <v>298</v>
      </c>
      <c r="Q109" s="343" t="s">
        <v>133</v>
      </c>
      <c r="R109" s="343" t="s">
        <v>135</v>
      </c>
      <c r="S109" s="384">
        <v>46083</v>
      </c>
      <c r="T109" s="384">
        <v>46089</v>
      </c>
      <c r="U109" s="343" t="s">
        <v>283</v>
      </c>
      <c r="V109" s="343">
        <v>3094</v>
      </c>
      <c r="W109" s="343">
        <v>32225.26</v>
      </c>
      <c r="X109" s="343">
        <v>821.75</v>
      </c>
      <c r="Y109" s="343">
        <v>0</v>
      </c>
      <c r="Z109" s="343">
        <v>33047.01</v>
      </c>
      <c r="AA109" s="343">
        <v>2900.28</v>
      </c>
    </row>
    <row r="110" spans="1:27">
      <c r="A110" s="343">
        <v>20250417</v>
      </c>
      <c r="B110" s="343">
        <v>119371.5</v>
      </c>
      <c r="C110" s="343">
        <v>394</v>
      </c>
      <c r="D110" s="343">
        <v>937</v>
      </c>
      <c r="E110" s="384">
        <v>45764</v>
      </c>
      <c r="F110" s="343" t="s">
        <v>235</v>
      </c>
      <c r="G110" s="343" t="s">
        <v>298</v>
      </c>
      <c r="Q110" s="343" t="s">
        <v>133</v>
      </c>
      <c r="R110" s="343" t="s">
        <v>135</v>
      </c>
      <c r="S110" s="384">
        <v>46083</v>
      </c>
      <c r="T110" s="384">
        <v>46089</v>
      </c>
      <c r="U110" s="343" t="s">
        <v>285</v>
      </c>
      <c r="V110" s="343">
        <v>22095.65</v>
      </c>
      <c r="W110" s="343">
        <v>484774.58</v>
      </c>
      <c r="X110" s="343">
        <v>12704.25</v>
      </c>
      <c r="Y110" s="343">
        <v>0</v>
      </c>
      <c r="Z110" s="343">
        <v>497478.83</v>
      </c>
      <c r="AA110" s="343">
        <v>43630.01</v>
      </c>
    </row>
    <row r="111" spans="1:27">
      <c r="A111" s="343">
        <v>20250418</v>
      </c>
      <c r="B111" s="343">
        <v>117474.35</v>
      </c>
      <c r="C111" s="343">
        <v>429</v>
      </c>
      <c r="D111" s="343">
        <v>1041</v>
      </c>
      <c r="E111" s="384">
        <v>45765</v>
      </c>
      <c r="F111" s="343" t="s">
        <v>236</v>
      </c>
      <c r="G111" s="343" t="s">
        <v>298</v>
      </c>
      <c r="Q111" s="343" t="s">
        <v>133</v>
      </c>
      <c r="R111" s="343" t="s">
        <v>135</v>
      </c>
      <c r="S111" s="384">
        <v>46083</v>
      </c>
      <c r="T111" s="384">
        <v>46089</v>
      </c>
      <c r="U111" s="343" t="s">
        <v>287</v>
      </c>
      <c r="V111" s="343">
        <v>1283</v>
      </c>
      <c r="W111" s="343">
        <v>26189</v>
      </c>
      <c r="X111" s="343">
        <v>663</v>
      </c>
      <c r="Y111" s="343">
        <v>0</v>
      </c>
      <c r="Z111" s="343">
        <v>26852</v>
      </c>
      <c r="AA111" s="343">
        <v>2357.0100000000002</v>
      </c>
    </row>
    <row r="112" spans="1:27">
      <c r="A112" s="343">
        <v>20250419</v>
      </c>
      <c r="B112" s="343">
        <v>126945.51</v>
      </c>
      <c r="C112" s="343">
        <v>434</v>
      </c>
      <c r="D112" s="343">
        <v>1010</v>
      </c>
      <c r="E112" s="384">
        <v>45766</v>
      </c>
      <c r="F112" s="343" t="s">
        <v>244</v>
      </c>
      <c r="G112" s="343" t="s">
        <v>298</v>
      </c>
      <c r="Q112" s="343" t="s">
        <v>133</v>
      </c>
      <c r="R112" s="343" t="s">
        <v>135</v>
      </c>
      <c r="S112" s="384">
        <v>46083</v>
      </c>
      <c r="T112" s="384">
        <v>46089</v>
      </c>
      <c r="U112" s="343" t="s">
        <v>291</v>
      </c>
      <c r="V112" s="343">
        <v>2</v>
      </c>
      <c r="W112" s="343">
        <v>100</v>
      </c>
      <c r="X112" s="343">
        <v>0</v>
      </c>
      <c r="Y112" s="343">
        <v>0</v>
      </c>
      <c r="Z112" s="343">
        <v>100</v>
      </c>
      <c r="AA112" s="343">
        <v>9</v>
      </c>
    </row>
    <row r="113" spans="1:27">
      <c r="A113" s="343">
        <v>20250420</v>
      </c>
      <c r="B113" s="343">
        <v>68774.5</v>
      </c>
      <c r="C113" s="343">
        <v>260</v>
      </c>
      <c r="D113" s="343">
        <v>607</v>
      </c>
      <c r="E113" s="384">
        <v>45767</v>
      </c>
      <c r="F113" s="343" t="s">
        <v>245</v>
      </c>
      <c r="G113" s="343" t="s">
        <v>298</v>
      </c>
      <c r="Q113" s="343" t="s">
        <v>133</v>
      </c>
      <c r="R113" s="343" t="s">
        <v>135</v>
      </c>
      <c r="S113" s="384">
        <v>46083</v>
      </c>
      <c r="T113" s="384">
        <v>46089</v>
      </c>
      <c r="U113" s="343" t="s">
        <v>293</v>
      </c>
      <c r="V113" s="343">
        <v>323</v>
      </c>
      <c r="W113" s="343">
        <v>82151</v>
      </c>
      <c r="X113" s="343">
        <v>580</v>
      </c>
      <c r="Y113" s="343">
        <v>0</v>
      </c>
      <c r="Z113" s="343">
        <v>82731</v>
      </c>
      <c r="AA113" s="343">
        <v>7372.44</v>
      </c>
    </row>
    <row r="114" spans="1:27">
      <c r="A114" s="343">
        <v>20250421</v>
      </c>
      <c r="B114" s="343">
        <v>67472.210000000006</v>
      </c>
      <c r="C114" s="343">
        <v>249</v>
      </c>
      <c r="D114" s="343">
        <v>577</v>
      </c>
      <c r="E114" s="384">
        <v>45768</v>
      </c>
      <c r="F114" s="343" t="s">
        <v>232</v>
      </c>
      <c r="G114" s="343" t="s">
        <v>299</v>
      </c>
      <c r="Q114" s="343" t="s">
        <v>133</v>
      </c>
      <c r="R114" s="343" t="s">
        <v>135</v>
      </c>
      <c r="S114" s="384">
        <v>46083</v>
      </c>
      <c r="T114" s="384">
        <v>46089</v>
      </c>
      <c r="U114" s="343" t="s">
        <v>106</v>
      </c>
      <c r="V114" s="343">
        <v>24</v>
      </c>
      <c r="W114" s="343">
        <v>4945.95</v>
      </c>
      <c r="X114" s="343">
        <v>0</v>
      </c>
      <c r="Y114" s="343">
        <v>0</v>
      </c>
      <c r="Z114" s="343">
        <v>4945.95</v>
      </c>
      <c r="AA114" s="343">
        <v>16158.29</v>
      </c>
    </row>
    <row r="115" spans="1:27">
      <c r="A115" s="343">
        <v>20250422</v>
      </c>
      <c r="B115" s="343">
        <v>70398.55</v>
      </c>
      <c r="C115" s="343">
        <v>243</v>
      </c>
      <c r="D115" s="343">
        <v>563</v>
      </c>
      <c r="E115" s="384">
        <v>45769</v>
      </c>
      <c r="F115" s="343" t="s">
        <v>233</v>
      </c>
      <c r="G115" s="343" t="s">
        <v>299</v>
      </c>
      <c r="Q115" s="343" t="s">
        <v>133</v>
      </c>
      <c r="R115" s="343" t="s">
        <v>136</v>
      </c>
      <c r="S115" s="384">
        <v>46090</v>
      </c>
      <c r="T115" s="384">
        <v>46096</v>
      </c>
      <c r="U115" s="343" t="s">
        <v>273</v>
      </c>
      <c r="V115" s="343">
        <v>2</v>
      </c>
      <c r="W115" s="343">
        <v>4</v>
      </c>
      <c r="X115" s="343">
        <v>0</v>
      </c>
      <c r="Y115" s="343">
        <v>0</v>
      </c>
      <c r="Z115" s="343">
        <v>4</v>
      </c>
      <c r="AA115" s="343">
        <v>0.36</v>
      </c>
    </row>
    <row r="116" spans="1:27">
      <c r="A116" s="343">
        <v>20250423</v>
      </c>
      <c r="B116" s="343">
        <v>67494.100000000006</v>
      </c>
      <c r="C116" s="343">
        <v>233</v>
      </c>
      <c r="D116" s="343">
        <v>534</v>
      </c>
      <c r="E116" s="384">
        <v>45770</v>
      </c>
      <c r="F116" s="343" t="s">
        <v>234</v>
      </c>
      <c r="G116" s="343" t="s">
        <v>299</v>
      </c>
      <c r="Q116" s="343" t="s">
        <v>133</v>
      </c>
      <c r="R116" s="343" t="s">
        <v>136</v>
      </c>
      <c r="S116" s="384">
        <v>46090</v>
      </c>
      <c r="T116" s="384">
        <v>46096</v>
      </c>
      <c r="U116" s="343" t="s">
        <v>275</v>
      </c>
      <c r="V116" s="343">
        <v>716</v>
      </c>
      <c r="W116" s="343">
        <v>47527</v>
      </c>
      <c r="X116" s="343">
        <v>888</v>
      </c>
      <c r="Y116" s="343">
        <v>0</v>
      </c>
      <c r="Z116" s="343">
        <v>48415</v>
      </c>
      <c r="AA116" s="343">
        <v>4277.43</v>
      </c>
    </row>
    <row r="117" spans="1:27">
      <c r="A117" s="343">
        <v>20250424</v>
      </c>
      <c r="B117" s="343">
        <v>102236.55</v>
      </c>
      <c r="C117" s="343">
        <v>361</v>
      </c>
      <c r="D117" s="343">
        <v>848</v>
      </c>
      <c r="E117" s="384">
        <v>45771</v>
      </c>
      <c r="F117" s="343" t="s">
        <v>235</v>
      </c>
      <c r="G117" s="343" t="s">
        <v>299</v>
      </c>
      <c r="Q117" s="343" t="s">
        <v>133</v>
      </c>
      <c r="R117" s="343" t="s">
        <v>136</v>
      </c>
      <c r="S117" s="384">
        <v>46090</v>
      </c>
      <c r="T117" s="384">
        <v>46096</v>
      </c>
      <c r="U117" s="343" t="s">
        <v>277</v>
      </c>
      <c r="V117" s="343">
        <v>78</v>
      </c>
      <c r="W117" s="343">
        <v>1266</v>
      </c>
      <c r="X117" s="343">
        <v>21</v>
      </c>
      <c r="Y117" s="343">
        <v>0</v>
      </c>
      <c r="Z117" s="343">
        <v>1287</v>
      </c>
      <c r="AA117" s="343">
        <v>113.94</v>
      </c>
    </row>
    <row r="118" spans="1:27">
      <c r="A118" s="343">
        <v>20250425</v>
      </c>
      <c r="B118" s="343">
        <v>133126.9</v>
      </c>
      <c r="C118" s="343">
        <v>427</v>
      </c>
      <c r="D118" s="343">
        <v>1057</v>
      </c>
      <c r="E118" s="384">
        <v>45772</v>
      </c>
      <c r="F118" s="343" t="s">
        <v>236</v>
      </c>
      <c r="G118" s="343" t="s">
        <v>299</v>
      </c>
      <c r="Q118" s="343" t="s">
        <v>133</v>
      </c>
      <c r="R118" s="343" t="s">
        <v>136</v>
      </c>
      <c r="S118" s="384">
        <v>46090</v>
      </c>
      <c r="T118" s="384">
        <v>46096</v>
      </c>
      <c r="U118" s="343" t="s">
        <v>279</v>
      </c>
      <c r="V118" s="343">
        <v>479</v>
      </c>
      <c r="W118" s="343">
        <v>5775</v>
      </c>
      <c r="X118" s="343">
        <v>3</v>
      </c>
      <c r="Y118" s="343">
        <v>0</v>
      </c>
      <c r="Z118" s="343">
        <v>5778</v>
      </c>
      <c r="AA118" s="343">
        <v>519.75</v>
      </c>
    </row>
    <row r="119" spans="1:27">
      <c r="A119" s="343">
        <v>20250426</v>
      </c>
      <c r="B119" s="343">
        <v>122626.66</v>
      </c>
      <c r="C119" s="343">
        <v>420</v>
      </c>
      <c r="D119" s="343">
        <v>993</v>
      </c>
      <c r="E119" s="384">
        <v>45773</v>
      </c>
      <c r="F119" s="343" t="s">
        <v>244</v>
      </c>
      <c r="G119" s="343" t="s">
        <v>299</v>
      </c>
      <c r="Q119" s="343" t="s">
        <v>133</v>
      </c>
      <c r="R119" s="343" t="s">
        <v>136</v>
      </c>
      <c r="S119" s="384">
        <v>46090</v>
      </c>
      <c r="T119" s="384">
        <v>46096</v>
      </c>
      <c r="U119" s="343" t="s">
        <v>281</v>
      </c>
      <c r="V119" s="343">
        <v>7141</v>
      </c>
      <c r="W119" s="343">
        <v>155477.07</v>
      </c>
      <c r="X119" s="343">
        <v>2987.25</v>
      </c>
      <c r="Y119" s="343">
        <v>0</v>
      </c>
      <c r="Z119" s="343">
        <v>158464.32000000001</v>
      </c>
      <c r="AA119" s="343">
        <v>13992.94</v>
      </c>
    </row>
    <row r="120" spans="1:27">
      <c r="A120" s="343">
        <v>20250427</v>
      </c>
      <c r="B120" s="343">
        <v>85607.26</v>
      </c>
      <c r="C120" s="343">
        <v>279</v>
      </c>
      <c r="D120" s="343">
        <v>664</v>
      </c>
      <c r="E120" s="384">
        <v>45774</v>
      </c>
      <c r="F120" s="343" t="s">
        <v>245</v>
      </c>
      <c r="G120" s="343" t="s">
        <v>299</v>
      </c>
      <c r="Q120" s="343" t="s">
        <v>133</v>
      </c>
      <c r="R120" s="343" t="s">
        <v>136</v>
      </c>
      <c r="S120" s="384">
        <v>46090</v>
      </c>
      <c r="T120" s="384">
        <v>46096</v>
      </c>
      <c r="U120" s="343" t="s">
        <v>283</v>
      </c>
      <c r="V120" s="343">
        <v>2702</v>
      </c>
      <c r="W120" s="343">
        <v>27925.65</v>
      </c>
      <c r="X120" s="343">
        <v>645.35</v>
      </c>
      <c r="Y120" s="343">
        <v>0</v>
      </c>
      <c r="Z120" s="343">
        <v>28571</v>
      </c>
      <c r="AA120" s="343">
        <v>2513.36</v>
      </c>
    </row>
    <row r="121" spans="1:27">
      <c r="A121" s="343">
        <v>20250428</v>
      </c>
      <c r="B121" s="343">
        <v>108667.35</v>
      </c>
      <c r="C121" s="343">
        <v>290</v>
      </c>
      <c r="D121" s="343">
        <v>671</v>
      </c>
      <c r="E121" s="384">
        <v>45775</v>
      </c>
      <c r="F121" s="343" t="s">
        <v>232</v>
      </c>
      <c r="G121" s="343" t="s">
        <v>300</v>
      </c>
      <c r="Q121" s="343" t="s">
        <v>133</v>
      </c>
      <c r="R121" s="343" t="s">
        <v>136</v>
      </c>
      <c r="S121" s="384">
        <v>46090</v>
      </c>
      <c r="T121" s="384">
        <v>46096</v>
      </c>
      <c r="U121" s="343" t="s">
        <v>285</v>
      </c>
      <c r="V121" s="343">
        <v>22396.28</v>
      </c>
      <c r="W121" s="343">
        <v>516228.3</v>
      </c>
      <c r="X121" s="343">
        <v>11848.7</v>
      </c>
      <c r="Y121" s="343">
        <v>0</v>
      </c>
      <c r="Z121" s="343">
        <v>528077</v>
      </c>
      <c r="AA121" s="343">
        <v>46460.7</v>
      </c>
    </row>
    <row r="122" spans="1:27">
      <c r="A122" s="343">
        <v>20250429</v>
      </c>
      <c r="B122" s="343">
        <v>115596.56</v>
      </c>
      <c r="C122" s="343">
        <v>266</v>
      </c>
      <c r="D122" s="343">
        <v>698</v>
      </c>
      <c r="E122" s="384">
        <v>45776</v>
      </c>
      <c r="F122" s="343" t="s">
        <v>233</v>
      </c>
      <c r="G122" s="343" t="s">
        <v>300</v>
      </c>
      <c r="Q122" s="343" t="s">
        <v>133</v>
      </c>
      <c r="R122" s="343" t="s">
        <v>136</v>
      </c>
      <c r="S122" s="384">
        <v>46090</v>
      </c>
      <c r="T122" s="384">
        <v>46096</v>
      </c>
      <c r="U122" s="343" t="s">
        <v>287</v>
      </c>
      <c r="V122" s="343">
        <v>1274</v>
      </c>
      <c r="W122" s="343">
        <v>26772</v>
      </c>
      <c r="X122" s="343">
        <v>704</v>
      </c>
      <c r="Y122" s="343">
        <v>0</v>
      </c>
      <c r="Z122" s="343">
        <v>27476</v>
      </c>
      <c r="AA122" s="343">
        <v>2409.48</v>
      </c>
    </row>
    <row r="123" spans="1:27">
      <c r="A123" s="343">
        <v>20250430</v>
      </c>
      <c r="B123" s="343">
        <v>145960.20000000001</v>
      </c>
      <c r="C123" s="343">
        <v>216</v>
      </c>
      <c r="D123" s="343">
        <v>634</v>
      </c>
      <c r="E123" s="384">
        <v>45777</v>
      </c>
      <c r="F123" s="343" t="s">
        <v>234</v>
      </c>
      <c r="G123" s="343" t="s">
        <v>300</v>
      </c>
      <c r="Q123" s="343" t="s">
        <v>133</v>
      </c>
      <c r="R123" s="343" t="s">
        <v>136</v>
      </c>
      <c r="S123" s="384">
        <v>46090</v>
      </c>
      <c r="T123" s="384">
        <v>46096</v>
      </c>
      <c r="U123" s="343" t="s">
        <v>293</v>
      </c>
      <c r="V123" s="343">
        <v>352</v>
      </c>
      <c r="W123" s="343">
        <v>68469.009999999995</v>
      </c>
      <c r="X123" s="343">
        <v>425</v>
      </c>
      <c r="Y123" s="343">
        <v>0</v>
      </c>
      <c r="Z123" s="343">
        <v>68894.009999999995</v>
      </c>
      <c r="AA123" s="343">
        <v>6115.41</v>
      </c>
    </row>
    <row r="124" spans="1:27">
      <c r="A124" s="343">
        <v>20250501</v>
      </c>
      <c r="B124" s="343">
        <v>169382.39999999999</v>
      </c>
      <c r="C124" s="343">
        <v>324</v>
      </c>
      <c r="D124" s="343">
        <v>805</v>
      </c>
      <c r="E124" s="384">
        <v>45778</v>
      </c>
      <c r="F124" s="343" t="s">
        <v>235</v>
      </c>
      <c r="G124" s="343" t="s">
        <v>300</v>
      </c>
      <c r="Q124" s="343" t="s">
        <v>133</v>
      </c>
      <c r="R124" s="343" t="s">
        <v>136</v>
      </c>
      <c r="S124" s="384">
        <v>46090</v>
      </c>
      <c r="T124" s="384">
        <v>46096</v>
      </c>
      <c r="U124" s="343" t="s">
        <v>106</v>
      </c>
      <c r="V124" s="343">
        <v>18</v>
      </c>
      <c r="W124" s="343">
        <v>13974.45</v>
      </c>
      <c r="X124" s="343">
        <v>0</v>
      </c>
      <c r="Y124" s="343">
        <v>0</v>
      </c>
      <c r="Z124" s="343">
        <v>13974.45</v>
      </c>
      <c r="AA124" s="343">
        <v>16199.47</v>
      </c>
    </row>
    <row r="125" spans="1:27">
      <c r="A125" s="343">
        <v>20250502</v>
      </c>
      <c r="B125" s="343">
        <v>186120.49</v>
      </c>
      <c r="C125" s="343">
        <v>388</v>
      </c>
      <c r="D125" s="343">
        <v>837</v>
      </c>
      <c r="E125" s="384">
        <v>45779</v>
      </c>
      <c r="F125" s="343" t="s">
        <v>236</v>
      </c>
      <c r="G125" s="343" t="s">
        <v>300</v>
      </c>
      <c r="Q125" s="343" t="s">
        <v>133</v>
      </c>
      <c r="R125" s="343" t="s">
        <v>137</v>
      </c>
      <c r="S125" s="384">
        <v>46097</v>
      </c>
      <c r="T125" s="384">
        <v>46103</v>
      </c>
      <c r="U125" s="343" t="s">
        <v>273</v>
      </c>
      <c r="V125" s="343">
        <v>3</v>
      </c>
      <c r="W125" s="343">
        <v>533</v>
      </c>
      <c r="X125" s="343">
        <v>0</v>
      </c>
      <c r="Y125" s="343">
        <v>0</v>
      </c>
      <c r="Z125" s="343">
        <v>533</v>
      </c>
      <c r="AA125" s="343">
        <v>42.87</v>
      </c>
    </row>
    <row r="126" spans="1:27">
      <c r="A126" s="343">
        <v>20250503</v>
      </c>
      <c r="B126" s="343">
        <v>223129.62</v>
      </c>
      <c r="C126" s="343">
        <v>407</v>
      </c>
      <c r="D126" s="343">
        <v>917</v>
      </c>
      <c r="E126" s="384">
        <v>45780</v>
      </c>
      <c r="F126" s="343" t="s">
        <v>244</v>
      </c>
      <c r="G126" s="343" t="s">
        <v>300</v>
      </c>
      <c r="Q126" s="343" t="s">
        <v>133</v>
      </c>
      <c r="R126" s="343" t="s">
        <v>137</v>
      </c>
      <c r="S126" s="384">
        <v>46097</v>
      </c>
      <c r="T126" s="384">
        <v>46103</v>
      </c>
      <c r="U126" s="343" t="s">
        <v>275</v>
      </c>
      <c r="V126" s="343">
        <v>423</v>
      </c>
      <c r="W126" s="343">
        <v>44235</v>
      </c>
      <c r="X126" s="343">
        <v>1035</v>
      </c>
      <c r="Y126" s="343">
        <v>0</v>
      </c>
      <c r="Z126" s="343">
        <v>45270</v>
      </c>
      <c r="AA126" s="343">
        <v>3981.15</v>
      </c>
    </row>
    <row r="127" spans="1:27">
      <c r="A127" s="343">
        <v>20250504</v>
      </c>
      <c r="B127" s="343">
        <v>110145</v>
      </c>
      <c r="C127" s="343">
        <v>310</v>
      </c>
      <c r="D127" s="343">
        <v>726</v>
      </c>
      <c r="E127" s="384">
        <v>45781</v>
      </c>
      <c r="F127" s="343" t="s">
        <v>245</v>
      </c>
      <c r="G127" s="343" t="s">
        <v>300</v>
      </c>
      <c r="Q127" s="343" t="s">
        <v>133</v>
      </c>
      <c r="R127" s="343" t="s">
        <v>137</v>
      </c>
      <c r="S127" s="384">
        <v>46097</v>
      </c>
      <c r="T127" s="384">
        <v>46103</v>
      </c>
      <c r="U127" s="343" t="s">
        <v>277</v>
      </c>
      <c r="V127" s="343">
        <v>76</v>
      </c>
      <c r="W127" s="343">
        <v>1446</v>
      </c>
      <c r="X127" s="343">
        <v>50</v>
      </c>
      <c r="Y127" s="343">
        <v>0</v>
      </c>
      <c r="Z127" s="343">
        <v>1496</v>
      </c>
      <c r="AA127" s="343">
        <v>130.13999999999999</v>
      </c>
    </row>
    <row r="128" spans="1:27">
      <c r="A128" s="343">
        <v>20250505</v>
      </c>
      <c r="B128" s="343">
        <v>79927.399999999994</v>
      </c>
      <c r="C128" s="343">
        <v>256</v>
      </c>
      <c r="D128" s="343">
        <v>579</v>
      </c>
      <c r="E128" s="384">
        <v>45782</v>
      </c>
      <c r="F128" s="343" t="s">
        <v>232</v>
      </c>
      <c r="G128" s="343" t="s">
        <v>301</v>
      </c>
      <c r="Q128" s="343" t="s">
        <v>133</v>
      </c>
      <c r="R128" s="343" t="s">
        <v>137</v>
      </c>
      <c r="S128" s="384">
        <v>46097</v>
      </c>
      <c r="T128" s="384">
        <v>46103</v>
      </c>
      <c r="U128" s="343" t="s">
        <v>279</v>
      </c>
      <c r="V128" s="343">
        <v>362</v>
      </c>
      <c r="W128" s="343">
        <v>4361.7700000000004</v>
      </c>
      <c r="X128" s="343">
        <v>48.23</v>
      </c>
      <c r="Y128" s="343">
        <v>0</v>
      </c>
      <c r="Z128" s="343">
        <v>4410</v>
      </c>
      <c r="AA128" s="343">
        <v>392.56</v>
      </c>
    </row>
    <row r="129" spans="1:27">
      <c r="A129" s="343">
        <v>20250506</v>
      </c>
      <c r="B129" s="343">
        <v>54665.43</v>
      </c>
      <c r="C129" s="343">
        <v>191</v>
      </c>
      <c r="D129" s="343">
        <v>390</v>
      </c>
      <c r="E129" s="384">
        <v>45783</v>
      </c>
      <c r="F129" s="343" t="s">
        <v>233</v>
      </c>
      <c r="G129" s="343" t="s">
        <v>301</v>
      </c>
      <c r="Q129" s="343" t="s">
        <v>133</v>
      </c>
      <c r="R129" s="343" t="s">
        <v>137</v>
      </c>
      <c r="S129" s="384">
        <v>46097</v>
      </c>
      <c r="T129" s="384">
        <v>46103</v>
      </c>
      <c r="U129" s="343" t="s">
        <v>281</v>
      </c>
      <c r="V129" s="343">
        <v>7744</v>
      </c>
      <c r="W129" s="343">
        <v>180413.58</v>
      </c>
      <c r="X129" s="343">
        <v>2850.5</v>
      </c>
      <c r="Y129" s="343">
        <v>0</v>
      </c>
      <c r="Z129" s="343">
        <v>183264.08</v>
      </c>
      <c r="AA129" s="343">
        <v>16237.21</v>
      </c>
    </row>
    <row r="130" spans="1:27">
      <c r="A130" s="343">
        <v>20250507</v>
      </c>
      <c r="B130" s="343">
        <v>61687.199999999997</v>
      </c>
      <c r="C130" s="343">
        <v>235</v>
      </c>
      <c r="D130" s="343">
        <v>510</v>
      </c>
      <c r="E130" s="384">
        <v>45784</v>
      </c>
      <c r="F130" s="343" t="s">
        <v>234</v>
      </c>
      <c r="G130" s="343" t="s">
        <v>301</v>
      </c>
      <c r="Q130" s="343" t="s">
        <v>133</v>
      </c>
      <c r="R130" s="343" t="s">
        <v>137</v>
      </c>
      <c r="S130" s="384">
        <v>46097</v>
      </c>
      <c r="T130" s="384">
        <v>46103</v>
      </c>
      <c r="U130" s="343" t="s">
        <v>283</v>
      </c>
      <c r="V130" s="343">
        <v>3115</v>
      </c>
      <c r="W130" s="343">
        <v>32512.33</v>
      </c>
      <c r="X130" s="343">
        <v>673.67</v>
      </c>
      <c r="Y130" s="343">
        <v>0</v>
      </c>
      <c r="Z130" s="343">
        <v>33186</v>
      </c>
      <c r="AA130" s="343">
        <v>2926.09</v>
      </c>
    </row>
    <row r="131" spans="1:27">
      <c r="A131" s="343">
        <v>20250508</v>
      </c>
      <c r="B131" s="343">
        <v>92161.45</v>
      </c>
      <c r="C131" s="343">
        <v>318</v>
      </c>
      <c r="D131" s="343">
        <v>733</v>
      </c>
      <c r="E131" s="384">
        <v>45785</v>
      </c>
      <c r="F131" s="343" t="s">
        <v>235</v>
      </c>
      <c r="G131" s="343" t="s">
        <v>301</v>
      </c>
      <c r="Q131" s="343" t="s">
        <v>133</v>
      </c>
      <c r="R131" s="343" t="s">
        <v>137</v>
      </c>
      <c r="S131" s="384">
        <v>46097</v>
      </c>
      <c r="T131" s="384">
        <v>46103</v>
      </c>
      <c r="U131" s="343" t="s">
        <v>285</v>
      </c>
      <c r="V131" s="343">
        <v>22993.7</v>
      </c>
      <c r="W131" s="343">
        <v>495000.91</v>
      </c>
      <c r="X131" s="343">
        <v>10880.54</v>
      </c>
      <c r="Y131" s="343">
        <v>0</v>
      </c>
      <c r="Z131" s="343">
        <v>505881.45</v>
      </c>
      <c r="AA131" s="343">
        <v>44550.23</v>
      </c>
    </row>
    <row r="132" spans="1:27">
      <c r="A132" s="343">
        <v>20250509</v>
      </c>
      <c r="B132" s="343">
        <v>128220.65</v>
      </c>
      <c r="C132" s="343">
        <v>337</v>
      </c>
      <c r="D132" s="343">
        <v>921</v>
      </c>
      <c r="E132" s="384">
        <v>45786</v>
      </c>
      <c r="F132" s="343" t="s">
        <v>236</v>
      </c>
      <c r="G132" s="343" t="s">
        <v>301</v>
      </c>
      <c r="Q132" s="343" t="s">
        <v>133</v>
      </c>
      <c r="R132" s="343" t="s">
        <v>137</v>
      </c>
      <c r="S132" s="384">
        <v>46097</v>
      </c>
      <c r="T132" s="384">
        <v>46103</v>
      </c>
      <c r="U132" s="343" t="s">
        <v>287</v>
      </c>
      <c r="V132" s="343">
        <v>1212</v>
      </c>
      <c r="W132" s="343">
        <v>28045.73</v>
      </c>
      <c r="X132" s="343">
        <v>221.27</v>
      </c>
      <c r="Y132" s="343">
        <v>0</v>
      </c>
      <c r="Z132" s="343">
        <v>28267</v>
      </c>
      <c r="AA132" s="343">
        <v>2524.11</v>
      </c>
    </row>
    <row r="133" spans="1:27">
      <c r="A133" s="343">
        <v>20250510</v>
      </c>
      <c r="B133" s="343">
        <v>117722.3</v>
      </c>
      <c r="C133" s="343">
        <v>394</v>
      </c>
      <c r="D133" s="343">
        <v>970</v>
      </c>
      <c r="E133" s="384">
        <v>45787</v>
      </c>
      <c r="F133" s="343" t="s">
        <v>244</v>
      </c>
      <c r="G133" s="343" t="s">
        <v>301</v>
      </c>
      <c r="Q133" s="343" t="s">
        <v>133</v>
      </c>
      <c r="R133" s="343" t="s">
        <v>137</v>
      </c>
      <c r="S133" s="384">
        <v>46097</v>
      </c>
      <c r="T133" s="384">
        <v>46103</v>
      </c>
      <c r="U133" s="343" t="s">
        <v>293</v>
      </c>
      <c r="V133" s="343">
        <v>272</v>
      </c>
      <c r="W133" s="343">
        <v>90974.16</v>
      </c>
      <c r="X133" s="343">
        <v>499.04</v>
      </c>
      <c r="Y133" s="343">
        <v>0</v>
      </c>
      <c r="Z133" s="343">
        <v>91473.2</v>
      </c>
      <c r="AA133" s="343">
        <v>8187.67</v>
      </c>
    </row>
    <row r="134" spans="1:27">
      <c r="A134" s="343">
        <v>20250511</v>
      </c>
      <c r="B134" s="343">
        <v>77337</v>
      </c>
      <c r="C134" s="343">
        <v>240</v>
      </c>
      <c r="D134" s="343">
        <v>586</v>
      </c>
      <c r="E134" s="384">
        <v>45788</v>
      </c>
      <c r="F134" s="343" t="s">
        <v>245</v>
      </c>
      <c r="G134" s="343" t="s">
        <v>301</v>
      </c>
      <c r="Q134" s="343" t="s">
        <v>133</v>
      </c>
      <c r="R134" s="343" t="s">
        <v>137</v>
      </c>
      <c r="S134" s="384">
        <v>46097</v>
      </c>
      <c r="T134" s="384">
        <v>46103</v>
      </c>
      <c r="U134" s="343" t="s">
        <v>106</v>
      </c>
      <c r="V134" s="343">
        <v>20</v>
      </c>
      <c r="W134" s="343">
        <v>9104.61</v>
      </c>
      <c r="X134" s="343">
        <v>0</v>
      </c>
      <c r="Y134" s="343">
        <v>0</v>
      </c>
      <c r="Z134" s="343">
        <v>9104.61</v>
      </c>
      <c r="AA134" s="343">
        <v>16068.05</v>
      </c>
    </row>
    <row r="135" spans="1:27">
      <c r="A135" s="343">
        <v>20250512</v>
      </c>
      <c r="B135" s="343">
        <v>90467.42</v>
      </c>
      <c r="C135" s="343">
        <v>197</v>
      </c>
      <c r="D135" s="343">
        <v>545</v>
      </c>
      <c r="E135" s="384">
        <v>45789</v>
      </c>
      <c r="F135" s="343" t="s">
        <v>232</v>
      </c>
      <c r="G135" s="343" t="s">
        <v>302</v>
      </c>
      <c r="Q135" s="343" t="s">
        <v>133</v>
      </c>
      <c r="R135" s="343" t="s">
        <v>137</v>
      </c>
      <c r="S135" s="384">
        <v>46097</v>
      </c>
      <c r="T135" s="384">
        <v>46103</v>
      </c>
      <c r="U135" s="343" t="s">
        <v>335</v>
      </c>
      <c r="V135" s="343">
        <v>0</v>
      </c>
      <c r="W135" s="343">
        <v>-13393.72</v>
      </c>
      <c r="X135" s="343">
        <v>0</v>
      </c>
      <c r="Y135" s="343">
        <v>13394</v>
      </c>
      <c r="Z135" s="343">
        <v>0</v>
      </c>
      <c r="AA135" s="343">
        <v>0</v>
      </c>
    </row>
    <row r="136" spans="1:27">
      <c r="A136" s="343">
        <v>20250513</v>
      </c>
      <c r="B136" s="343">
        <v>85539.65</v>
      </c>
      <c r="C136" s="343">
        <v>213</v>
      </c>
      <c r="D136" s="343">
        <v>555</v>
      </c>
      <c r="E136" s="384">
        <v>45790</v>
      </c>
      <c r="F136" s="343" t="s">
        <v>233</v>
      </c>
      <c r="G136" s="343" t="s">
        <v>302</v>
      </c>
      <c r="Q136" s="343" t="s">
        <v>133</v>
      </c>
      <c r="R136" s="343" t="s">
        <v>138</v>
      </c>
      <c r="S136" s="384">
        <v>46104</v>
      </c>
      <c r="T136" s="384">
        <v>46110</v>
      </c>
      <c r="U136" s="343" t="s">
        <v>273</v>
      </c>
      <c r="V136" s="343">
        <v>5</v>
      </c>
      <c r="W136" s="343">
        <v>868</v>
      </c>
      <c r="X136" s="343">
        <v>0</v>
      </c>
      <c r="Y136" s="343">
        <v>0</v>
      </c>
      <c r="Z136" s="343">
        <v>868</v>
      </c>
      <c r="AA136" s="343">
        <v>78.12</v>
      </c>
    </row>
    <row r="137" spans="1:27">
      <c r="A137" s="343">
        <v>20250514</v>
      </c>
      <c r="B137" s="343">
        <v>80248.25</v>
      </c>
      <c r="C137" s="343">
        <v>251</v>
      </c>
      <c r="D137" s="343">
        <v>547</v>
      </c>
      <c r="E137" s="384">
        <v>45791</v>
      </c>
      <c r="F137" s="343" t="s">
        <v>234</v>
      </c>
      <c r="G137" s="343" t="s">
        <v>302</v>
      </c>
      <c r="Q137" s="343" t="s">
        <v>133</v>
      </c>
      <c r="R137" s="343" t="s">
        <v>138</v>
      </c>
      <c r="S137" s="384">
        <v>46104</v>
      </c>
      <c r="T137" s="384">
        <v>46110</v>
      </c>
      <c r="U137" s="343" t="s">
        <v>275</v>
      </c>
      <c r="V137" s="343">
        <v>400</v>
      </c>
      <c r="W137" s="343">
        <v>42785</v>
      </c>
      <c r="X137" s="343">
        <v>1205</v>
      </c>
      <c r="Y137" s="343">
        <v>0</v>
      </c>
      <c r="Z137" s="343">
        <v>43990</v>
      </c>
      <c r="AA137" s="343">
        <v>3850.65</v>
      </c>
    </row>
    <row r="138" spans="1:27">
      <c r="A138" s="343">
        <v>20250515</v>
      </c>
      <c r="B138" s="343">
        <v>100849.31</v>
      </c>
      <c r="C138" s="343">
        <v>275</v>
      </c>
      <c r="D138" s="343">
        <v>711</v>
      </c>
      <c r="E138" s="384">
        <v>45792</v>
      </c>
      <c r="F138" s="343" t="s">
        <v>235</v>
      </c>
      <c r="G138" s="343" t="s">
        <v>302</v>
      </c>
      <c r="Q138" s="343" t="s">
        <v>133</v>
      </c>
      <c r="R138" s="343" t="s">
        <v>138</v>
      </c>
      <c r="S138" s="384">
        <v>46104</v>
      </c>
      <c r="T138" s="384">
        <v>46110</v>
      </c>
      <c r="U138" s="343" t="s">
        <v>277</v>
      </c>
      <c r="V138" s="343">
        <v>59</v>
      </c>
      <c r="W138" s="343">
        <v>991</v>
      </c>
      <c r="X138" s="343">
        <v>21</v>
      </c>
      <c r="Y138" s="343">
        <v>0</v>
      </c>
      <c r="Z138" s="343">
        <v>1012</v>
      </c>
      <c r="AA138" s="343">
        <v>89.19</v>
      </c>
    </row>
    <row r="139" spans="1:27">
      <c r="A139" s="343">
        <v>20250516</v>
      </c>
      <c r="B139" s="343">
        <v>130499.45</v>
      </c>
      <c r="C139" s="343">
        <v>339</v>
      </c>
      <c r="D139" s="343">
        <v>884</v>
      </c>
      <c r="E139" s="384">
        <v>45793</v>
      </c>
      <c r="F139" s="343" t="s">
        <v>236</v>
      </c>
      <c r="G139" s="343" t="s">
        <v>302</v>
      </c>
      <c r="Q139" s="343" t="s">
        <v>133</v>
      </c>
      <c r="R139" s="343" t="s">
        <v>138</v>
      </c>
      <c r="S139" s="384">
        <v>46104</v>
      </c>
      <c r="T139" s="384">
        <v>46110</v>
      </c>
      <c r="U139" s="343" t="s">
        <v>279</v>
      </c>
      <c r="V139" s="343">
        <v>347</v>
      </c>
      <c r="W139" s="343">
        <v>4152</v>
      </c>
      <c r="X139" s="343">
        <v>36</v>
      </c>
      <c r="Y139" s="343">
        <v>0</v>
      </c>
      <c r="Z139" s="343">
        <v>4188</v>
      </c>
      <c r="AA139" s="343">
        <v>373.68</v>
      </c>
    </row>
    <row r="140" spans="1:27">
      <c r="A140" s="343">
        <v>20250517</v>
      </c>
      <c r="B140" s="343">
        <v>139159.4</v>
      </c>
      <c r="C140" s="343">
        <v>404</v>
      </c>
      <c r="D140" s="343">
        <v>969</v>
      </c>
      <c r="E140" s="384">
        <v>45794</v>
      </c>
      <c r="F140" s="343" t="s">
        <v>244</v>
      </c>
      <c r="G140" s="343" t="s">
        <v>302</v>
      </c>
      <c r="Q140" s="343" t="s">
        <v>133</v>
      </c>
      <c r="R140" s="343" t="s">
        <v>138</v>
      </c>
      <c r="S140" s="384">
        <v>46104</v>
      </c>
      <c r="T140" s="384">
        <v>46110</v>
      </c>
      <c r="U140" s="343" t="s">
        <v>281</v>
      </c>
      <c r="V140" s="343">
        <v>7606</v>
      </c>
      <c r="W140" s="343">
        <v>180753.27</v>
      </c>
      <c r="X140" s="343">
        <v>3044.73</v>
      </c>
      <c r="Y140" s="343">
        <v>0</v>
      </c>
      <c r="Z140" s="343">
        <v>183798</v>
      </c>
      <c r="AA140" s="343">
        <v>16267.84</v>
      </c>
    </row>
    <row r="141" spans="1:27">
      <c r="A141" s="343">
        <v>20250518</v>
      </c>
      <c r="B141" s="343">
        <v>76750.100000000006</v>
      </c>
      <c r="C141" s="343">
        <v>255</v>
      </c>
      <c r="D141" s="343">
        <v>587</v>
      </c>
      <c r="E141" s="384">
        <v>45795</v>
      </c>
      <c r="F141" s="343" t="s">
        <v>245</v>
      </c>
      <c r="G141" s="343" t="s">
        <v>302</v>
      </c>
      <c r="Q141" s="343" t="s">
        <v>133</v>
      </c>
      <c r="R141" s="343" t="s">
        <v>138</v>
      </c>
      <c r="S141" s="384">
        <v>46104</v>
      </c>
      <c r="T141" s="384">
        <v>46110</v>
      </c>
      <c r="U141" s="343" t="s">
        <v>283</v>
      </c>
      <c r="V141" s="343">
        <v>3491</v>
      </c>
      <c r="W141" s="343">
        <v>35803.25</v>
      </c>
      <c r="X141" s="343">
        <v>923.75</v>
      </c>
      <c r="Y141" s="343">
        <v>0</v>
      </c>
      <c r="Z141" s="343">
        <v>36727</v>
      </c>
      <c r="AA141" s="343">
        <v>3222.37</v>
      </c>
    </row>
    <row r="142" spans="1:27">
      <c r="A142" s="343">
        <v>20250519</v>
      </c>
      <c r="B142" s="343">
        <v>95835.9</v>
      </c>
      <c r="C142" s="343">
        <v>263</v>
      </c>
      <c r="D142" s="343">
        <v>638</v>
      </c>
      <c r="E142" s="384">
        <v>45796</v>
      </c>
      <c r="F142" s="343" t="s">
        <v>232</v>
      </c>
      <c r="G142" s="343" t="s">
        <v>303</v>
      </c>
      <c r="Q142" s="343" t="s">
        <v>133</v>
      </c>
      <c r="R142" s="343" t="s">
        <v>138</v>
      </c>
      <c r="S142" s="384">
        <v>46104</v>
      </c>
      <c r="T142" s="384">
        <v>46110</v>
      </c>
      <c r="U142" s="343" t="s">
        <v>285</v>
      </c>
      <c r="V142" s="343">
        <v>22262.75</v>
      </c>
      <c r="W142" s="343">
        <v>485567.73</v>
      </c>
      <c r="X142" s="343">
        <v>15330.27</v>
      </c>
      <c r="Y142" s="343">
        <v>0</v>
      </c>
      <c r="Z142" s="343">
        <v>500898</v>
      </c>
      <c r="AA142" s="343">
        <v>43701.56</v>
      </c>
    </row>
    <row r="143" spans="1:27">
      <c r="A143" s="343">
        <v>20250520</v>
      </c>
      <c r="B143" s="343">
        <v>124806.3</v>
      </c>
      <c r="C143" s="343">
        <v>218</v>
      </c>
      <c r="D143" s="343">
        <v>631</v>
      </c>
      <c r="E143" s="384">
        <v>45797</v>
      </c>
      <c r="F143" s="343" t="s">
        <v>233</v>
      </c>
      <c r="G143" s="343" t="s">
        <v>303</v>
      </c>
      <c r="Q143" s="343" t="s">
        <v>133</v>
      </c>
      <c r="R143" s="343" t="s">
        <v>138</v>
      </c>
      <c r="S143" s="384">
        <v>46104</v>
      </c>
      <c r="T143" s="384">
        <v>46110</v>
      </c>
      <c r="U143" s="343" t="s">
        <v>287</v>
      </c>
      <c r="V143" s="343">
        <v>1176</v>
      </c>
      <c r="W143" s="343">
        <v>26299</v>
      </c>
      <c r="X143" s="343">
        <v>272</v>
      </c>
      <c r="Y143" s="343">
        <v>0</v>
      </c>
      <c r="Z143" s="343">
        <v>26571</v>
      </c>
      <c r="AA143" s="343">
        <v>2366.91</v>
      </c>
    </row>
    <row r="144" spans="1:27">
      <c r="A144" s="343">
        <v>20250521</v>
      </c>
      <c r="B144" s="343">
        <v>102342.45</v>
      </c>
      <c r="C144" s="343">
        <v>169</v>
      </c>
      <c r="D144" s="343">
        <v>419</v>
      </c>
      <c r="E144" s="384">
        <v>45798</v>
      </c>
      <c r="F144" s="343" t="s">
        <v>234</v>
      </c>
      <c r="G144" s="343" t="s">
        <v>303</v>
      </c>
      <c r="Q144" s="343" t="s">
        <v>133</v>
      </c>
      <c r="R144" s="343" t="s">
        <v>138</v>
      </c>
      <c r="S144" s="384">
        <v>46104</v>
      </c>
      <c r="T144" s="384">
        <v>46110</v>
      </c>
      <c r="U144" s="343" t="s">
        <v>293</v>
      </c>
      <c r="V144" s="343">
        <v>285</v>
      </c>
      <c r="W144" s="343">
        <v>69428.27</v>
      </c>
      <c r="X144" s="343">
        <v>325</v>
      </c>
      <c r="Y144" s="343">
        <v>0</v>
      </c>
      <c r="Z144" s="343">
        <v>69753.27</v>
      </c>
      <c r="AA144" s="343">
        <v>6248.56</v>
      </c>
    </row>
    <row r="145" spans="1:27">
      <c r="A145" s="343">
        <v>20250522</v>
      </c>
      <c r="B145" s="343">
        <v>72293.75</v>
      </c>
      <c r="C145" s="343">
        <v>275</v>
      </c>
      <c r="D145" s="343">
        <v>628</v>
      </c>
      <c r="E145" s="384">
        <v>45799</v>
      </c>
      <c r="F145" s="343" t="s">
        <v>235</v>
      </c>
      <c r="G145" s="343" t="s">
        <v>303</v>
      </c>
      <c r="Q145" s="343" t="s">
        <v>133</v>
      </c>
      <c r="R145" s="343" t="s">
        <v>138</v>
      </c>
      <c r="S145" s="384">
        <v>46104</v>
      </c>
      <c r="T145" s="384">
        <v>46110</v>
      </c>
      <c r="U145" s="343" t="s">
        <v>106</v>
      </c>
      <c r="V145" s="343">
        <v>16</v>
      </c>
      <c r="W145" s="343">
        <v>3649.75</v>
      </c>
      <c r="X145" s="343">
        <v>0</v>
      </c>
      <c r="Y145" s="343">
        <v>0</v>
      </c>
      <c r="Z145" s="343">
        <v>3649.75</v>
      </c>
      <c r="AA145" s="343">
        <v>16004.89</v>
      </c>
    </row>
    <row r="146" spans="1:27">
      <c r="A146" s="343">
        <v>20250523</v>
      </c>
      <c r="B146" s="343">
        <v>115453.35</v>
      </c>
      <c r="C146" s="343">
        <v>342</v>
      </c>
      <c r="D146" s="343">
        <v>876</v>
      </c>
      <c r="E146" s="384">
        <v>45800</v>
      </c>
      <c r="F146" s="343" t="s">
        <v>236</v>
      </c>
      <c r="G146" s="343" t="s">
        <v>303</v>
      </c>
      <c r="Q146" s="343" t="s">
        <v>140</v>
      </c>
      <c r="R146" s="343" t="s">
        <v>141</v>
      </c>
      <c r="S146" s="384">
        <v>46111</v>
      </c>
      <c r="T146" s="384">
        <v>46117</v>
      </c>
      <c r="U146" s="343" t="s">
        <v>273</v>
      </c>
      <c r="V146" s="343">
        <v>4</v>
      </c>
      <c r="W146" s="343">
        <v>151.5</v>
      </c>
      <c r="X146" s="343">
        <v>0</v>
      </c>
      <c r="Y146" s="343">
        <v>0</v>
      </c>
      <c r="Z146" s="343">
        <v>151.5</v>
      </c>
      <c r="AA146" s="343">
        <v>13.64</v>
      </c>
    </row>
    <row r="147" spans="1:27">
      <c r="A147" s="343">
        <v>20250524</v>
      </c>
      <c r="B147" s="343">
        <v>122162.25</v>
      </c>
      <c r="C147" s="343">
        <v>422</v>
      </c>
      <c r="D147" s="343">
        <v>1011</v>
      </c>
      <c r="E147" s="384">
        <v>45801</v>
      </c>
      <c r="F147" s="343" t="s">
        <v>244</v>
      </c>
      <c r="G147" s="343" t="s">
        <v>303</v>
      </c>
      <c r="Q147" s="343" t="s">
        <v>140</v>
      </c>
      <c r="R147" s="343" t="s">
        <v>141</v>
      </c>
      <c r="S147" s="384">
        <v>46111</v>
      </c>
      <c r="T147" s="384">
        <v>46117</v>
      </c>
      <c r="U147" s="343" t="s">
        <v>275</v>
      </c>
      <c r="V147" s="343">
        <v>451</v>
      </c>
      <c r="W147" s="343">
        <v>50861.5</v>
      </c>
      <c r="X147" s="343">
        <v>963.5</v>
      </c>
      <c r="Y147" s="343">
        <v>0</v>
      </c>
      <c r="Z147" s="343">
        <v>51825</v>
      </c>
      <c r="AA147" s="343">
        <v>4577.54</v>
      </c>
    </row>
    <row r="148" spans="1:27">
      <c r="A148" s="343">
        <v>20250525</v>
      </c>
      <c r="B148" s="343">
        <v>98227.5</v>
      </c>
      <c r="C148" s="343">
        <v>335</v>
      </c>
      <c r="D148" s="343">
        <v>730</v>
      </c>
      <c r="E148" s="384">
        <v>45802</v>
      </c>
      <c r="F148" s="343" t="s">
        <v>245</v>
      </c>
      <c r="G148" s="343" t="s">
        <v>303</v>
      </c>
      <c r="Q148" s="343" t="s">
        <v>140</v>
      </c>
      <c r="R148" s="343" t="s">
        <v>141</v>
      </c>
      <c r="S148" s="384">
        <v>46111</v>
      </c>
      <c r="T148" s="384">
        <v>46117</v>
      </c>
      <c r="U148" s="343" t="s">
        <v>277</v>
      </c>
      <c r="V148" s="343">
        <v>62</v>
      </c>
      <c r="W148" s="343">
        <v>932</v>
      </c>
      <c r="X148" s="343">
        <v>0</v>
      </c>
      <c r="Y148" s="343">
        <v>0</v>
      </c>
      <c r="Z148" s="343">
        <v>932</v>
      </c>
      <c r="AA148" s="343">
        <v>83.88</v>
      </c>
    </row>
    <row r="149" spans="1:27">
      <c r="A149" s="343">
        <v>20250526</v>
      </c>
      <c r="B149" s="343">
        <v>71297.25</v>
      </c>
      <c r="C149" s="343">
        <v>250</v>
      </c>
      <c r="D149" s="343">
        <v>565</v>
      </c>
      <c r="E149" s="384">
        <v>45803</v>
      </c>
      <c r="F149" s="343" t="s">
        <v>232</v>
      </c>
      <c r="G149" s="343" t="s">
        <v>304</v>
      </c>
      <c r="Q149" s="343" t="s">
        <v>140</v>
      </c>
      <c r="R149" s="343" t="s">
        <v>141</v>
      </c>
      <c r="S149" s="384">
        <v>46111</v>
      </c>
      <c r="T149" s="384">
        <v>46117</v>
      </c>
      <c r="U149" s="343" t="s">
        <v>279</v>
      </c>
      <c r="V149" s="343">
        <v>324</v>
      </c>
      <c r="W149" s="343">
        <v>3894</v>
      </c>
      <c r="X149" s="343">
        <v>51</v>
      </c>
      <c r="Y149" s="343">
        <v>0</v>
      </c>
      <c r="Z149" s="343">
        <v>3945</v>
      </c>
      <c r="AA149" s="343">
        <v>350.46</v>
      </c>
    </row>
    <row r="150" spans="1:27">
      <c r="A150" s="343">
        <v>20250527</v>
      </c>
      <c r="B150" s="343">
        <v>36812.5</v>
      </c>
      <c r="C150" s="343">
        <v>166</v>
      </c>
      <c r="D150" s="343">
        <v>340</v>
      </c>
      <c r="E150" s="384">
        <v>45804</v>
      </c>
      <c r="F150" s="343" t="s">
        <v>233</v>
      </c>
      <c r="G150" s="343" t="s">
        <v>304</v>
      </c>
      <c r="Q150" s="343" t="s">
        <v>140</v>
      </c>
      <c r="R150" s="343" t="s">
        <v>141</v>
      </c>
      <c r="S150" s="384">
        <v>46111</v>
      </c>
      <c r="T150" s="384">
        <v>46117</v>
      </c>
      <c r="U150" s="343" t="s">
        <v>281</v>
      </c>
      <c r="V150" s="343">
        <v>6659</v>
      </c>
      <c r="W150" s="343">
        <v>157730.48000000001</v>
      </c>
      <c r="X150" s="343">
        <v>3053.68</v>
      </c>
      <c r="Y150" s="343">
        <v>0</v>
      </c>
      <c r="Z150" s="343">
        <v>160784.16</v>
      </c>
      <c r="AA150" s="343">
        <v>14195.75</v>
      </c>
    </row>
    <row r="151" spans="1:27">
      <c r="A151" s="343">
        <v>20250528</v>
      </c>
      <c r="B151" s="343">
        <v>57686.21</v>
      </c>
      <c r="C151" s="343">
        <v>216</v>
      </c>
      <c r="D151" s="343">
        <v>472</v>
      </c>
      <c r="E151" s="384">
        <v>45805</v>
      </c>
      <c r="F151" s="343" t="s">
        <v>234</v>
      </c>
      <c r="G151" s="343" t="s">
        <v>304</v>
      </c>
      <c r="Q151" s="343" t="s">
        <v>140</v>
      </c>
      <c r="R151" s="343" t="s">
        <v>141</v>
      </c>
      <c r="S151" s="384">
        <v>46111</v>
      </c>
      <c r="T151" s="384">
        <v>46117</v>
      </c>
      <c r="U151" s="343" t="s">
        <v>283</v>
      </c>
      <c r="V151" s="343">
        <v>3395</v>
      </c>
      <c r="W151" s="343">
        <v>35074.51</v>
      </c>
      <c r="X151" s="343">
        <v>583.5</v>
      </c>
      <c r="Y151" s="343">
        <v>0</v>
      </c>
      <c r="Z151" s="343">
        <v>35658.01</v>
      </c>
      <c r="AA151" s="343">
        <v>3156.76</v>
      </c>
    </row>
    <row r="152" spans="1:27">
      <c r="A152" s="343">
        <v>20250529</v>
      </c>
      <c r="B152" s="343">
        <v>93330.45</v>
      </c>
      <c r="C152" s="343">
        <v>307</v>
      </c>
      <c r="D152" s="343">
        <v>719</v>
      </c>
      <c r="E152" s="384">
        <v>45806</v>
      </c>
      <c r="F152" s="343" t="s">
        <v>235</v>
      </c>
      <c r="G152" s="343" t="s">
        <v>304</v>
      </c>
      <c r="Q152" s="343" t="s">
        <v>140</v>
      </c>
      <c r="R152" s="343" t="s">
        <v>141</v>
      </c>
      <c r="S152" s="384">
        <v>46111</v>
      </c>
      <c r="T152" s="384">
        <v>46117</v>
      </c>
      <c r="U152" s="343" t="s">
        <v>285</v>
      </c>
      <c r="V152" s="343">
        <v>22342.26</v>
      </c>
      <c r="W152" s="343">
        <v>458392.7</v>
      </c>
      <c r="X152" s="343">
        <v>12176.3</v>
      </c>
      <c r="Y152" s="343">
        <v>0</v>
      </c>
      <c r="Z152" s="343">
        <v>470569</v>
      </c>
      <c r="AA152" s="343">
        <v>41255.64</v>
      </c>
    </row>
    <row r="153" spans="1:27">
      <c r="A153" s="343">
        <v>20250530</v>
      </c>
      <c r="B153" s="343">
        <v>115808.73</v>
      </c>
      <c r="C153" s="343">
        <v>345</v>
      </c>
      <c r="D153" s="343">
        <v>863</v>
      </c>
      <c r="E153" s="384">
        <v>45807</v>
      </c>
      <c r="F153" s="343" t="s">
        <v>236</v>
      </c>
      <c r="G153" s="343" t="s">
        <v>304</v>
      </c>
      <c r="Q153" s="343" t="s">
        <v>140</v>
      </c>
      <c r="R153" s="343" t="s">
        <v>141</v>
      </c>
      <c r="S153" s="384">
        <v>46111</v>
      </c>
      <c r="T153" s="384">
        <v>46117</v>
      </c>
      <c r="U153" s="343" t="s">
        <v>287</v>
      </c>
      <c r="V153" s="343">
        <v>1180</v>
      </c>
      <c r="W153" s="343">
        <v>23710.400000000001</v>
      </c>
      <c r="X153" s="343">
        <v>589.6</v>
      </c>
      <c r="Y153" s="343">
        <v>0</v>
      </c>
      <c r="Z153" s="343">
        <v>24300</v>
      </c>
      <c r="AA153" s="343">
        <v>2133.92</v>
      </c>
    </row>
    <row r="154" spans="1:27">
      <c r="A154" s="343">
        <v>20250531</v>
      </c>
      <c r="B154" s="343">
        <v>109703.95</v>
      </c>
      <c r="C154" s="343">
        <v>392</v>
      </c>
      <c r="D154" s="343">
        <v>905</v>
      </c>
      <c r="E154" s="384">
        <v>45808</v>
      </c>
      <c r="F154" s="343" t="s">
        <v>244</v>
      </c>
      <c r="G154" s="343" t="s">
        <v>304</v>
      </c>
      <c r="Q154" s="343" t="s">
        <v>140</v>
      </c>
      <c r="R154" s="343" t="s">
        <v>141</v>
      </c>
      <c r="S154" s="384">
        <v>46111</v>
      </c>
      <c r="T154" s="384">
        <v>46117</v>
      </c>
      <c r="U154" s="343" t="s">
        <v>293</v>
      </c>
      <c r="V154" s="343">
        <v>207</v>
      </c>
      <c r="W154" s="343">
        <v>53778</v>
      </c>
      <c r="X154" s="343">
        <v>920</v>
      </c>
      <c r="Y154" s="343">
        <v>0</v>
      </c>
      <c r="Z154" s="343">
        <v>54698</v>
      </c>
      <c r="AA154" s="343">
        <v>4839.67</v>
      </c>
    </row>
    <row r="155" spans="1:27">
      <c r="A155" s="343">
        <v>20250601</v>
      </c>
      <c r="B155" s="343">
        <v>54444</v>
      </c>
      <c r="C155" s="343">
        <v>221</v>
      </c>
      <c r="D155" s="343">
        <v>442</v>
      </c>
      <c r="E155" s="384">
        <v>45809</v>
      </c>
      <c r="F155" s="343" t="s">
        <v>245</v>
      </c>
      <c r="G155" s="343" t="s">
        <v>304</v>
      </c>
      <c r="Q155" s="343" t="s">
        <v>140</v>
      </c>
      <c r="R155" s="343" t="s">
        <v>141</v>
      </c>
      <c r="S155" s="384">
        <v>46111</v>
      </c>
      <c r="T155" s="384">
        <v>46117</v>
      </c>
      <c r="U155" s="343" t="s">
        <v>106</v>
      </c>
      <c r="V155" s="343">
        <v>10</v>
      </c>
      <c r="W155" s="343">
        <v>1808.78</v>
      </c>
      <c r="X155" s="343">
        <v>0</v>
      </c>
      <c r="Y155" s="343">
        <v>0</v>
      </c>
      <c r="Z155" s="343">
        <v>1808.78</v>
      </c>
      <c r="AA155" s="343">
        <v>14693.3</v>
      </c>
    </row>
    <row r="156" spans="1:27">
      <c r="A156" s="343">
        <v>20250602</v>
      </c>
      <c r="B156" s="343">
        <v>56728.55</v>
      </c>
      <c r="C156" s="343">
        <v>191</v>
      </c>
      <c r="D156" s="343">
        <v>435</v>
      </c>
      <c r="E156" s="384">
        <v>45810</v>
      </c>
      <c r="F156" s="343" t="s">
        <v>232</v>
      </c>
      <c r="G156" s="343" t="s">
        <v>305</v>
      </c>
      <c r="Q156" s="343" t="s">
        <v>140</v>
      </c>
      <c r="R156" s="343" t="s">
        <v>142</v>
      </c>
      <c r="S156" s="384">
        <v>46118</v>
      </c>
      <c r="T156" s="384">
        <v>46124</v>
      </c>
      <c r="U156" s="343" t="s">
        <v>273</v>
      </c>
      <c r="V156" s="343">
        <v>1</v>
      </c>
      <c r="W156" s="343">
        <v>10</v>
      </c>
      <c r="X156" s="343">
        <v>0</v>
      </c>
      <c r="Y156" s="343">
        <v>0</v>
      </c>
      <c r="Z156" s="343">
        <v>10</v>
      </c>
      <c r="AA156" s="343">
        <v>0.9</v>
      </c>
    </row>
    <row r="157" spans="1:27">
      <c r="A157" s="343">
        <v>20250603</v>
      </c>
      <c r="B157" s="343">
        <v>40508.5</v>
      </c>
      <c r="C157" s="343">
        <v>157</v>
      </c>
      <c r="D157" s="343">
        <v>325</v>
      </c>
      <c r="E157" s="384">
        <v>45811</v>
      </c>
      <c r="F157" s="343" t="s">
        <v>233</v>
      </c>
      <c r="G157" s="343" t="s">
        <v>305</v>
      </c>
      <c r="Q157" s="343" t="s">
        <v>140</v>
      </c>
      <c r="R157" s="343" t="s">
        <v>142</v>
      </c>
      <c r="S157" s="384">
        <v>46118</v>
      </c>
      <c r="T157" s="384">
        <v>46124</v>
      </c>
      <c r="U157" s="343" t="s">
        <v>275</v>
      </c>
      <c r="V157" s="343">
        <v>689</v>
      </c>
      <c r="W157" s="343">
        <v>44054.97</v>
      </c>
      <c r="X157" s="343">
        <v>1945.03</v>
      </c>
      <c r="Y157" s="343">
        <v>0</v>
      </c>
      <c r="Z157" s="343">
        <v>46000</v>
      </c>
      <c r="AA157" s="343">
        <v>3964.95</v>
      </c>
    </row>
    <row r="158" spans="1:27">
      <c r="A158" s="343">
        <v>20250604</v>
      </c>
      <c r="B158" s="343">
        <v>54782.5</v>
      </c>
      <c r="C158" s="343">
        <v>193</v>
      </c>
      <c r="D158" s="343">
        <v>451</v>
      </c>
      <c r="E158" s="384">
        <v>45812</v>
      </c>
      <c r="F158" s="343" t="s">
        <v>234</v>
      </c>
      <c r="G158" s="343" t="s">
        <v>305</v>
      </c>
      <c r="Q158" s="343" t="s">
        <v>140</v>
      </c>
      <c r="R158" s="343" t="s">
        <v>142</v>
      </c>
      <c r="S158" s="384">
        <v>46118</v>
      </c>
      <c r="T158" s="384">
        <v>46124</v>
      </c>
      <c r="U158" s="343" t="s">
        <v>277</v>
      </c>
      <c r="V158" s="343">
        <v>45</v>
      </c>
      <c r="W158" s="343">
        <v>864</v>
      </c>
      <c r="X158" s="343">
        <v>21</v>
      </c>
      <c r="Y158" s="343">
        <v>0</v>
      </c>
      <c r="Z158" s="343">
        <v>885</v>
      </c>
      <c r="AA158" s="343">
        <v>77.760000000000005</v>
      </c>
    </row>
    <row r="159" spans="1:27">
      <c r="A159" s="343">
        <v>20250605</v>
      </c>
      <c r="B159" s="343">
        <v>81967.95</v>
      </c>
      <c r="C159" s="343">
        <v>230</v>
      </c>
      <c r="D159" s="343">
        <v>574</v>
      </c>
      <c r="E159" s="384">
        <v>45813</v>
      </c>
      <c r="F159" s="343" t="s">
        <v>235</v>
      </c>
      <c r="G159" s="343" t="s">
        <v>305</v>
      </c>
      <c r="Q159" s="343" t="s">
        <v>140</v>
      </c>
      <c r="R159" s="343" t="s">
        <v>142</v>
      </c>
      <c r="S159" s="384">
        <v>46118</v>
      </c>
      <c r="T159" s="384">
        <v>46124</v>
      </c>
      <c r="U159" s="343" t="s">
        <v>279</v>
      </c>
      <c r="V159" s="343">
        <v>227</v>
      </c>
      <c r="W159" s="343">
        <v>2721</v>
      </c>
      <c r="X159" s="343">
        <v>12</v>
      </c>
      <c r="Y159" s="343">
        <v>15</v>
      </c>
      <c r="Z159" s="343">
        <v>2748</v>
      </c>
      <c r="AA159" s="343">
        <v>244.89</v>
      </c>
    </row>
    <row r="160" spans="1:27">
      <c r="A160" s="343">
        <v>20250606</v>
      </c>
      <c r="B160" s="343">
        <v>97708.3</v>
      </c>
      <c r="C160" s="343">
        <v>338</v>
      </c>
      <c r="D160" s="343">
        <v>761</v>
      </c>
      <c r="E160" s="384">
        <v>45814</v>
      </c>
      <c r="F160" s="343" t="s">
        <v>236</v>
      </c>
      <c r="G160" s="343" t="s">
        <v>305</v>
      </c>
      <c r="Q160" s="343" t="s">
        <v>140</v>
      </c>
      <c r="R160" s="343" t="s">
        <v>142</v>
      </c>
      <c r="S160" s="384">
        <v>46118</v>
      </c>
      <c r="T160" s="384">
        <v>46124</v>
      </c>
      <c r="U160" s="343" t="s">
        <v>281</v>
      </c>
      <c r="V160" s="343">
        <v>6457</v>
      </c>
      <c r="W160" s="343">
        <v>153806</v>
      </c>
      <c r="X160" s="343">
        <v>2779.5</v>
      </c>
      <c r="Y160" s="343">
        <v>132</v>
      </c>
      <c r="Z160" s="343">
        <v>156717.5</v>
      </c>
      <c r="AA160" s="343">
        <v>13842.56</v>
      </c>
    </row>
    <row r="161" spans="1:27">
      <c r="A161" s="343">
        <v>20250607</v>
      </c>
      <c r="B161" s="343">
        <v>105681.4</v>
      </c>
      <c r="C161" s="343">
        <v>393</v>
      </c>
      <c r="D161" s="343">
        <v>907</v>
      </c>
      <c r="E161" s="384">
        <v>45815</v>
      </c>
      <c r="F161" s="343" t="s">
        <v>244</v>
      </c>
      <c r="G161" s="343" t="s">
        <v>305</v>
      </c>
      <c r="Q161" s="343" t="s">
        <v>140</v>
      </c>
      <c r="R161" s="343" t="s">
        <v>142</v>
      </c>
      <c r="S161" s="384">
        <v>46118</v>
      </c>
      <c r="T161" s="384">
        <v>46124</v>
      </c>
      <c r="U161" s="343" t="s">
        <v>283</v>
      </c>
      <c r="V161" s="343">
        <v>3254</v>
      </c>
      <c r="W161" s="343">
        <v>33478.28</v>
      </c>
      <c r="X161" s="343">
        <v>578.72</v>
      </c>
      <c r="Y161" s="343">
        <v>0</v>
      </c>
      <c r="Z161" s="343">
        <v>34057</v>
      </c>
      <c r="AA161" s="343">
        <v>3013.06</v>
      </c>
    </row>
    <row r="162" spans="1:27">
      <c r="A162" s="343">
        <v>20250608</v>
      </c>
      <c r="B162" s="343">
        <v>57495.75</v>
      </c>
      <c r="C162" s="343">
        <v>215</v>
      </c>
      <c r="D162" s="343">
        <v>479</v>
      </c>
      <c r="E162" s="384">
        <v>45816</v>
      </c>
      <c r="F162" s="343" t="s">
        <v>245</v>
      </c>
      <c r="G162" s="343" t="s">
        <v>305</v>
      </c>
      <c r="Q162" s="343" t="s">
        <v>140</v>
      </c>
      <c r="R162" s="343" t="s">
        <v>142</v>
      </c>
      <c r="S162" s="384">
        <v>46118</v>
      </c>
      <c r="T162" s="384">
        <v>46124</v>
      </c>
      <c r="U162" s="343" t="s">
        <v>285</v>
      </c>
      <c r="V162" s="343">
        <v>20908</v>
      </c>
      <c r="W162" s="343">
        <v>435943.57</v>
      </c>
      <c r="X162" s="343">
        <v>9429.0300000000007</v>
      </c>
      <c r="Y162" s="343">
        <v>111</v>
      </c>
      <c r="Z162" s="343">
        <v>445483.6</v>
      </c>
      <c r="AA162" s="343">
        <v>39235.17</v>
      </c>
    </row>
    <row r="163" spans="1:27">
      <c r="A163" s="343">
        <v>20250609</v>
      </c>
      <c r="B163" s="343">
        <v>42279.91</v>
      </c>
      <c r="C163" s="343">
        <v>139</v>
      </c>
      <c r="D163" s="343">
        <v>307</v>
      </c>
      <c r="E163" s="384">
        <v>45817</v>
      </c>
      <c r="F163" s="343" t="s">
        <v>232</v>
      </c>
      <c r="G163" s="343" t="s">
        <v>306</v>
      </c>
      <c r="Q163" s="343" t="s">
        <v>140</v>
      </c>
      <c r="R163" s="343" t="s">
        <v>142</v>
      </c>
      <c r="S163" s="384">
        <v>46118</v>
      </c>
      <c r="T163" s="384">
        <v>46124</v>
      </c>
      <c r="U163" s="343" t="s">
        <v>287</v>
      </c>
      <c r="V163" s="343">
        <v>1186</v>
      </c>
      <c r="W163" s="343">
        <v>21365.78</v>
      </c>
      <c r="X163" s="343">
        <v>605.22</v>
      </c>
      <c r="Y163" s="343">
        <v>0</v>
      </c>
      <c r="Z163" s="343">
        <v>21971</v>
      </c>
      <c r="AA163" s="343">
        <v>1922.92</v>
      </c>
    </row>
    <row r="164" spans="1:27">
      <c r="A164" s="343">
        <v>20250610</v>
      </c>
      <c r="B164" s="343">
        <v>52658.29</v>
      </c>
      <c r="C164" s="343">
        <v>184</v>
      </c>
      <c r="D164" s="343">
        <v>442</v>
      </c>
      <c r="E164" s="384">
        <v>45818</v>
      </c>
      <c r="F164" s="343" t="s">
        <v>233</v>
      </c>
      <c r="G164" s="343" t="s">
        <v>306</v>
      </c>
      <c r="Q164" s="343" t="s">
        <v>140</v>
      </c>
      <c r="R164" s="343" t="s">
        <v>142</v>
      </c>
      <c r="S164" s="384">
        <v>46118</v>
      </c>
      <c r="T164" s="384">
        <v>46124</v>
      </c>
      <c r="U164" s="343" t="s">
        <v>293</v>
      </c>
      <c r="V164" s="343">
        <v>199</v>
      </c>
      <c r="W164" s="343">
        <v>43139.01</v>
      </c>
      <c r="X164" s="343">
        <v>120</v>
      </c>
      <c r="Y164" s="343">
        <v>0</v>
      </c>
      <c r="Z164" s="343">
        <v>43259.01</v>
      </c>
      <c r="AA164" s="343">
        <v>3882.51</v>
      </c>
    </row>
    <row r="165" spans="1:27">
      <c r="A165" s="343">
        <v>20250611</v>
      </c>
      <c r="B165" s="343">
        <v>61697.1</v>
      </c>
      <c r="C165" s="343">
        <v>194</v>
      </c>
      <c r="D165" s="343">
        <v>436</v>
      </c>
      <c r="E165" s="384">
        <v>45819</v>
      </c>
      <c r="F165" s="343" t="s">
        <v>234</v>
      </c>
      <c r="G165" s="343" t="s">
        <v>306</v>
      </c>
      <c r="Q165" s="343" t="s">
        <v>140</v>
      </c>
      <c r="R165" s="343" t="s">
        <v>142</v>
      </c>
      <c r="S165" s="384">
        <v>46118</v>
      </c>
      <c r="T165" s="384">
        <v>46124</v>
      </c>
      <c r="U165" s="343" t="s">
        <v>106</v>
      </c>
      <c r="V165" s="343">
        <v>14</v>
      </c>
      <c r="W165" s="343">
        <v>2726.15</v>
      </c>
      <c r="X165" s="343">
        <v>0</v>
      </c>
      <c r="Y165" s="343">
        <v>0</v>
      </c>
      <c r="Z165" s="343">
        <v>2726.15</v>
      </c>
      <c r="AA165" s="343">
        <v>13799.9</v>
      </c>
    </row>
    <row r="166" spans="1:27">
      <c r="A166" s="343">
        <v>20250612</v>
      </c>
      <c r="B166" s="343">
        <v>74675.3</v>
      </c>
      <c r="C166" s="343">
        <v>276</v>
      </c>
      <c r="D166" s="343">
        <v>633</v>
      </c>
      <c r="E166" s="384">
        <v>45820</v>
      </c>
      <c r="F166" s="343" t="s">
        <v>235</v>
      </c>
      <c r="G166" s="343" t="s">
        <v>306</v>
      </c>
      <c r="Q166" s="343" t="s">
        <v>140</v>
      </c>
      <c r="R166" s="343" t="s">
        <v>142</v>
      </c>
      <c r="S166" s="384">
        <v>46118</v>
      </c>
      <c r="T166" s="384">
        <v>46124</v>
      </c>
      <c r="U166" s="343" t="s">
        <v>335</v>
      </c>
      <c r="V166" s="343">
        <v>0</v>
      </c>
      <c r="W166" s="343">
        <v>-1111.8</v>
      </c>
      <c r="X166" s="343">
        <v>0</v>
      </c>
      <c r="Y166" s="343">
        <v>1112</v>
      </c>
      <c r="Z166" s="343">
        <v>0</v>
      </c>
      <c r="AA166" s="343">
        <v>0</v>
      </c>
    </row>
    <row r="167" spans="1:27">
      <c r="A167" s="343">
        <v>20250613</v>
      </c>
      <c r="B167" s="343">
        <v>135066.6</v>
      </c>
      <c r="C167" s="343">
        <v>342</v>
      </c>
      <c r="D167" s="343">
        <v>797</v>
      </c>
      <c r="E167" s="384">
        <v>45821</v>
      </c>
      <c r="F167" s="343" t="s">
        <v>236</v>
      </c>
      <c r="G167" s="343" t="s">
        <v>306</v>
      </c>
      <c r="Q167" s="343" t="s">
        <v>140</v>
      </c>
      <c r="R167" s="343" t="s">
        <v>143</v>
      </c>
      <c r="S167" s="384">
        <v>46125</v>
      </c>
      <c r="T167" s="384">
        <v>46131</v>
      </c>
      <c r="U167" s="343" t="s">
        <v>273</v>
      </c>
      <c r="V167" s="343">
        <v>1</v>
      </c>
      <c r="W167" s="343">
        <v>42</v>
      </c>
      <c r="X167" s="343">
        <v>0</v>
      </c>
      <c r="Y167" s="343">
        <v>0</v>
      </c>
      <c r="Z167" s="343">
        <v>42</v>
      </c>
      <c r="AA167" s="343">
        <v>3.78</v>
      </c>
    </row>
    <row r="168" spans="1:27">
      <c r="A168" s="343">
        <v>20250614</v>
      </c>
      <c r="B168" s="343">
        <v>100886.26</v>
      </c>
      <c r="C168" s="343">
        <v>364</v>
      </c>
      <c r="D168" s="343">
        <v>804</v>
      </c>
      <c r="E168" s="384">
        <v>45822</v>
      </c>
      <c r="F168" s="343" t="s">
        <v>244</v>
      </c>
      <c r="G168" s="343" t="s">
        <v>306</v>
      </c>
      <c r="Q168" s="343" t="s">
        <v>140</v>
      </c>
      <c r="R168" s="343" t="s">
        <v>143</v>
      </c>
      <c r="S168" s="384">
        <v>46125</v>
      </c>
      <c r="T168" s="384">
        <v>46131</v>
      </c>
      <c r="U168" s="343" t="s">
        <v>275</v>
      </c>
      <c r="V168" s="343">
        <v>437</v>
      </c>
      <c r="W168" s="343">
        <v>42400</v>
      </c>
      <c r="X168" s="343">
        <v>2340</v>
      </c>
      <c r="Y168" s="343">
        <v>0</v>
      </c>
      <c r="Z168" s="343">
        <v>44740</v>
      </c>
      <c r="AA168" s="343">
        <v>3816.01</v>
      </c>
    </row>
    <row r="169" spans="1:27">
      <c r="A169" s="343">
        <v>20250615</v>
      </c>
      <c r="B169" s="343">
        <v>69894.789999999994</v>
      </c>
      <c r="C169" s="343">
        <v>234</v>
      </c>
      <c r="D169" s="343">
        <v>565</v>
      </c>
      <c r="E169" s="384">
        <v>45823</v>
      </c>
      <c r="F169" s="343" t="s">
        <v>245</v>
      </c>
      <c r="G169" s="343" t="s">
        <v>306</v>
      </c>
      <c r="Q169" s="343" t="s">
        <v>140</v>
      </c>
      <c r="R169" s="343" t="s">
        <v>143</v>
      </c>
      <c r="S169" s="384">
        <v>46125</v>
      </c>
      <c r="T169" s="384">
        <v>46131</v>
      </c>
      <c r="U169" s="343" t="s">
        <v>277</v>
      </c>
      <c r="V169" s="343">
        <v>32</v>
      </c>
      <c r="W169" s="343">
        <v>357</v>
      </c>
      <c r="X169" s="343">
        <v>21</v>
      </c>
      <c r="Y169" s="343">
        <v>0</v>
      </c>
      <c r="Z169" s="343">
        <v>378</v>
      </c>
      <c r="AA169" s="343">
        <v>32.130000000000003</v>
      </c>
    </row>
    <row r="170" spans="1:27">
      <c r="A170" s="343">
        <v>20250616</v>
      </c>
      <c r="B170" s="343">
        <v>61179.34</v>
      </c>
      <c r="C170" s="343">
        <v>192</v>
      </c>
      <c r="D170" s="343">
        <v>447</v>
      </c>
      <c r="E170" s="384">
        <v>45824</v>
      </c>
      <c r="F170" s="343" t="s">
        <v>232</v>
      </c>
      <c r="G170" s="343" t="s">
        <v>307</v>
      </c>
      <c r="Q170" s="343" t="s">
        <v>140</v>
      </c>
      <c r="R170" s="343" t="s">
        <v>143</v>
      </c>
      <c r="S170" s="384">
        <v>46125</v>
      </c>
      <c r="T170" s="384">
        <v>46131</v>
      </c>
      <c r="U170" s="343" t="s">
        <v>279</v>
      </c>
      <c r="V170" s="343">
        <v>288</v>
      </c>
      <c r="W170" s="343">
        <v>3396</v>
      </c>
      <c r="X170" s="343">
        <v>99</v>
      </c>
      <c r="Y170" s="343">
        <v>0</v>
      </c>
      <c r="Z170" s="343">
        <v>3495</v>
      </c>
      <c r="AA170" s="343">
        <v>305.64</v>
      </c>
    </row>
    <row r="171" spans="1:27">
      <c r="A171" s="343">
        <v>20250617</v>
      </c>
      <c r="B171" s="343">
        <v>74064.75</v>
      </c>
      <c r="C171" s="343">
        <v>239</v>
      </c>
      <c r="D171" s="343">
        <v>576</v>
      </c>
      <c r="E171" s="384">
        <v>45825</v>
      </c>
      <c r="F171" s="343" t="s">
        <v>233</v>
      </c>
      <c r="G171" s="343" t="s">
        <v>307</v>
      </c>
      <c r="Q171" s="343" t="s">
        <v>140</v>
      </c>
      <c r="R171" s="343" t="s">
        <v>143</v>
      </c>
      <c r="S171" s="384">
        <v>46125</v>
      </c>
      <c r="T171" s="384">
        <v>46131</v>
      </c>
      <c r="U171" s="343" t="s">
        <v>281</v>
      </c>
      <c r="V171" s="343">
        <v>7341</v>
      </c>
      <c r="W171" s="343">
        <v>177403.48</v>
      </c>
      <c r="X171" s="343">
        <v>3432</v>
      </c>
      <c r="Y171" s="343">
        <v>0</v>
      </c>
      <c r="Z171" s="343">
        <v>180835.48</v>
      </c>
      <c r="AA171" s="343">
        <v>15966.33</v>
      </c>
    </row>
    <row r="172" spans="1:27">
      <c r="A172" s="343">
        <v>20250618</v>
      </c>
      <c r="B172" s="343">
        <v>68524</v>
      </c>
      <c r="C172" s="343">
        <v>265</v>
      </c>
      <c r="D172" s="343">
        <v>600</v>
      </c>
      <c r="E172" s="384">
        <v>45826</v>
      </c>
      <c r="F172" s="343" t="s">
        <v>234</v>
      </c>
      <c r="G172" s="343" t="s">
        <v>307</v>
      </c>
      <c r="Q172" s="343" t="s">
        <v>140</v>
      </c>
      <c r="R172" s="343" t="s">
        <v>143</v>
      </c>
      <c r="S172" s="384">
        <v>46125</v>
      </c>
      <c r="T172" s="384">
        <v>46131</v>
      </c>
      <c r="U172" s="343" t="s">
        <v>283</v>
      </c>
      <c r="V172" s="343">
        <v>3019</v>
      </c>
      <c r="W172" s="343">
        <v>31257.52</v>
      </c>
      <c r="X172" s="343">
        <v>699.5</v>
      </c>
      <c r="Y172" s="343">
        <v>0</v>
      </c>
      <c r="Z172" s="343">
        <v>31957.02</v>
      </c>
      <c r="AA172" s="343">
        <v>2813.2</v>
      </c>
    </row>
    <row r="173" spans="1:27">
      <c r="A173" s="343">
        <v>20250619</v>
      </c>
      <c r="B173" s="343">
        <v>95385.36</v>
      </c>
      <c r="C173" s="343">
        <v>347</v>
      </c>
      <c r="D173" s="343">
        <v>770</v>
      </c>
      <c r="E173" s="384">
        <v>45827</v>
      </c>
      <c r="F173" s="343" t="s">
        <v>235</v>
      </c>
      <c r="G173" s="343" t="s">
        <v>307</v>
      </c>
      <c r="Q173" s="343" t="s">
        <v>140</v>
      </c>
      <c r="R173" s="343" t="s">
        <v>143</v>
      </c>
      <c r="S173" s="384">
        <v>46125</v>
      </c>
      <c r="T173" s="384">
        <v>46131</v>
      </c>
      <c r="U173" s="343" t="s">
        <v>285</v>
      </c>
      <c r="V173" s="343">
        <v>21438.95</v>
      </c>
      <c r="W173" s="343">
        <v>460405.35</v>
      </c>
      <c r="X173" s="343">
        <v>11508.65</v>
      </c>
      <c r="Y173" s="343">
        <v>0</v>
      </c>
      <c r="Z173" s="343">
        <v>471914</v>
      </c>
      <c r="AA173" s="343">
        <v>41436.699999999997</v>
      </c>
    </row>
    <row r="174" spans="1:27">
      <c r="A174" s="343">
        <v>20250620</v>
      </c>
      <c r="B174" s="343">
        <v>102556.55</v>
      </c>
      <c r="C174" s="343">
        <v>376</v>
      </c>
      <c r="D174" s="343">
        <v>912</v>
      </c>
      <c r="E174" s="384">
        <v>45828</v>
      </c>
      <c r="F174" s="343" t="s">
        <v>236</v>
      </c>
      <c r="G174" s="343" t="s">
        <v>307</v>
      </c>
      <c r="Q174" s="343" t="s">
        <v>140</v>
      </c>
      <c r="R174" s="343" t="s">
        <v>143</v>
      </c>
      <c r="S174" s="384">
        <v>46125</v>
      </c>
      <c r="T174" s="384">
        <v>46131</v>
      </c>
      <c r="U174" s="343" t="s">
        <v>287</v>
      </c>
      <c r="V174" s="343">
        <v>1174</v>
      </c>
      <c r="W174" s="343">
        <v>22664.2</v>
      </c>
      <c r="X174" s="343">
        <v>426.8</v>
      </c>
      <c r="Y174" s="343">
        <v>0</v>
      </c>
      <c r="Z174" s="343">
        <v>23091</v>
      </c>
      <c r="AA174" s="343">
        <v>2039.77</v>
      </c>
    </row>
    <row r="175" spans="1:27">
      <c r="A175" s="343">
        <v>20250621</v>
      </c>
      <c r="B175" s="343">
        <v>108679.25</v>
      </c>
      <c r="C175" s="343">
        <v>420</v>
      </c>
      <c r="D175" s="343">
        <v>893</v>
      </c>
      <c r="E175" s="384">
        <v>45829</v>
      </c>
      <c r="F175" s="343" t="s">
        <v>244</v>
      </c>
      <c r="G175" s="343" t="s">
        <v>307</v>
      </c>
      <c r="Q175" s="343" t="s">
        <v>140</v>
      </c>
      <c r="R175" s="343" t="s">
        <v>143</v>
      </c>
      <c r="S175" s="384">
        <v>46125</v>
      </c>
      <c r="T175" s="384">
        <v>46131</v>
      </c>
      <c r="U175" s="343" t="s">
        <v>291</v>
      </c>
      <c r="V175" s="343">
        <v>1</v>
      </c>
      <c r="W175" s="343">
        <v>50</v>
      </c>
      <c r="X175" s="343">
        <v>0</v>
      </c>
      <c r="Y175" s="343">
        <v>0</v>
      </c>
      <c r="Z175" s="343">
        <v>50</v>
      </c>
      <c r="AA175" s="343">
        <v>4.5</v>
      </c>
    </row>
    <row r="176" spans="1:27">
      <c r="A176" s="343">
        <v>20250622</v>
      </c>
      <c r="B176" s="343">
        <v>52172</v>
      </c>
      <c r="C176" s="343">
        <v>182</v>
      </c>
      <c r="D176" s="343">
        <v>401</v>
      </c>
      <c r="E176" s="384">
        <v>45830</v>
      </c>
      <c r="F176" s="343" t="s">
        <v>245</v>
      </c>
      <c r="G176" s="343" t="s">
        <v>307</v>
      </c>
      <c r="Q176" s="343" t="s">
        <v>140</v>
      </c>
      <c r="R176" s="343" t="s">
        <v>143</v>
      </c>
      <c r="S176" s="384">
        <v>46125</v>
      </c>
      <c r="T176" s="384">
        <v>46131</v>
      </c>
      <c r="U176" s="343" t="s">
        <v>293</v>
      </c>
      <c r="V176" s="343">
        <v>332</v>
      </c>
      <c r="W176" s="343">
        <v>93162</v>
      </c>
      <c r="X176" s="343">
        <v>143</v>
      </c>
      <c r="Y176" s="343">
        <v>0</v>
      </c>
      <c r="Z176" s="343">
        <v>93305</v>
      </c>
      <c r="AA176" s="343">
        <v>8384.58</v>
      </c>
    </row>
    <row r="177" spans="1:27">
      <c r="A177" s="343">
        <v>20250623</v>
      </c>
      <c r="B177" s="343">
        <v>63175.65</v>
      </c>
      <c r="C177" s="343">
        <v>182</v>
      </c>
      <c r="D177" s="343">
        <v>443</v>
      </c>
      <c r="E177" s="384">
        <v>45831</v>
      </c>
      <c r="F177" s="343" t="s">
        <v>232</v>
      </c>
      <c r="G177" s="343" t="s">
        <v>308</v>
      </c>
      <c r="Q177" s="343" t="s">
        <v>140</v>
      </c>
      <c r="R177" s="343" t="s">
        <v>143</v>
      </c>
      <c r="S177" s="384">
        <v>46125</v>
      </c>
      <c r="T177" s="384">
        <v>46131</v>
      </c>
      <c r="U177" s="343" t="s">
        <v>106</v>
      </c>
      <c r="V177" s="343">
        <v>21</v>
      </c>
      <c r="W177" s="343">
        <v>7770.26</v>
      </c>
      <c r="X177" s="343">
        <v>0</v>
      </c>
      <c r="Y177" s="343">
        <v>0</v>
      </c>
      <c r="Z177" s="343">
        <v>7770.26</v>
      </c>
      <c r="AA177" s="343">
        <v>15798.39</v>
      </c>
    </row>
    <row r="178" spans="1:27">
      <c r="A178" s="343">
        <v>20250624</v>
      </c>
      <c r="B178" s="343">
        <v>68250</v>
      </c>
      <c r="C178" s="343">
        <v>13</v>
      </c>
      <c r="D178" s="343">
        <v>161</v>
      </c>
      <c r="E178" s="384">
        <v>45832</v>
      </c>
      <c r="F178" s="343" t="s">
        <v>233</v>
      </c>
      <c r="G178" s="343" t="s">
        <v>308</v>
      </c>
      <c r="Q178" s="343" t="s">
        <v>140</v>
      </c>
      <c r="R178" s="343" t="s">
        <v>143</v>
      </c>
      <c r="S178" s="384">
        <v>46125</v>
      </c>
      <c r="T178" s="384">
        <v>46131</v>
      </c>
      <c r="U178" s="343" t="s">
        <v>335</v>
      </c>
      <c r="V178" s="343">
        <v>0</v>
      </c>
      <c r="W178" s="343">
        <v>-894.89</v>
      </c>
      <c r="X178" s="343">
        <v>0</v>
      </c>
      <c r="Y178" s="343">
        <v>895</v>
      </c>
      <c r="Z178" s="343">
        <v>0</v>
      </c>
      <c r="AA178" s="343">
        <v>0</v>
      </c>
    </row>
    <row r="179" spans="1:27">
      <c r="A179" s="343">
        <v>20250625</v>
      </c>
      <c r="B179" s="343">
        <v>54189.5</v>
      </c>
      <c r="C179" s="343">
        <v>184</v>
      </c>
      <c r="D179" s="343">
        <v>427</v>
      </c>
      <c r="E179" s="384">
        <v>45833</v>
      </c>
      <c r="F179" s="343" t="s">
        <v>234</v>
      </c>
      <c r="G179" s="343" t="s">
        <v>308</v>
      </c>
      <c r="Q179" s="343" t="s">
        <v>140</v>
      </c>
      <c r="R179" s="343" t="s">
        <v>144</v>
      </c>
      <c r="S179" s="384">
        <v>46132</v>
      </c>
      <c r="T179" s="384">
        <v>46138</v>
      </c>
      <c r="U179" s="343" t="s">
        <v>275</v>
      </c>
      <c r="V179" s="343">
        <v>435</v>
      </c>
      <c r="W179" s="343">
        <v>45806.25</v>
      </c>
      <c r="X179" s="343">
        <v>343.75</v>
      </c>
      <c r="Y179" s="343">
        <v>0</v>
      </c>
      <c r="Z179" s="343">
        <v>46150</v>
      </c>
      <c r="AA179" s="343">
        <v>4122.57</v>
      </c>
    </row>
    <row r="180" spans="1:27">
      <c r="A180" s="343">
        <v>20250626</v>
      </c>
      <c r="B180" s="343">
        <v>86168.6</v>
      </c>
      <c r="C180" s="343">
        <v>275</v>
      </c>
      <c r="D180" s="343">
        <v>714</v>
      </c>
      <c r="E180" s="384">
        <v>45834</v>
      </c>
      <c r="F180" s="343" t="s">
        <v>235</v>
      </c>
      <c r="G180" s="343" t="s">
        <v>308</v>
      </c>
      <c r="Q180" s="343" t="s">
        <v>140</v>
      </c>
      <c r="R180" s="343" t="s">
        <v>144</v>
      </c>
      <c r="S180" s="384">
        <v>46132</v>
      </c>
      <c r="T180" s="384">
        <v>46138</v>
      </c>
      <c r="U180" s="343" t="s">
        <v>277</v>
      </c>
      <c r="V180" s="343">
        <v>38</v>
      </c>
      <c r="W180" s="343">
        <v>462</v>
      </c>
      <c r="X180" s="343">
        <v>0</v>
      </c>
      <c r="Y180" s="343">
        <v>0</v>
      </c>
      <c r="Z180" s="343">
        <v>462</v>
      </c>
      <c r="AA180" s="343">
        <v>41.58</v>
      </c>
    </row>
    <row r="181" spans="1:27">
      <c r="A181" s="343">
        <v>20250627</v>
      </c>
      <c r="B181" s="343">
        <v>103635.67</v>
      </c>
      <c r="C181" s="343">
        <v>338</v>
      </c>
      <c r="D181" s="343">
        <v>814</v>
      </c>
      <c r="E181" s="384">
        <v>45835</v>
      </c>
      <c r="F181" s="343" t="s">
        <v>236</v>
      </c>
      <c r="G181" s="343" t="s">
        <v>308</v>
      </c>
      <c r="Q181" s="343" t="s">
        <v>140</v>
      </c>
      <c r="R181" s="343" t="s">
        <v>144</v>
      </c>
      <c r="S181" s="384">
        <v>46132</v>
      </c>
      <c r="T181" s="384">
        <v>46138</v>
      </c>
      <c r="U181" s="343" t="s">
        <v>279</v>
      </c>
      <c r="V181" s="343">
        <v>458</v>
      </c>
      <c r="W181" s="343">
        <v>5776</v>
      </c>
      <c r="X181" s="343">
        <v>12</v>
      </c>
      <c r="Y181" s="343">
        <v>0</v>
      </c>
      <c r="Z181" s="343">
        <v>5788</v>
      </c>
      <c r="AA181" s="343">
        <v>519.84</v>
      </c>
    </row>
    <row r="182" spans="1:27">
      <c r="A182" s="343">
        <v>20250628</v>
      </c>
      <c r="B182" s="343">
        <v>113298.8</v>
      </c>
      <c r="C182" s="343">
        <v>393</v>
      </c>
      <c r="D182" s="343">
        <v>932</v>
      </c>
      <c r="E182" s="384">
        <v>45836</v>
      </c>
      <c r="F182" s="343" t="s">
        <v>244</v>
      </c>
      <c r="G182" s="343" t="s">
        <v>308</v>
      </c>
      <c r="Q182" s="343" t="s">
        <v>140</v>
      </c>
      <c r="R182" s="343" t="s">
        <v>144</v>
      </c>
      <c r="S182" s="384">
        <v>46132</v>
      </c>
      <c r="T182" s="384">
        <v>46138</v>
      </c>
      <c r="U182" s="343" t="s">
        <v>281</v>
      </c>
      <c r="V182" s="343">
        <v>6738</v>
      </c>
      <c r="W182" s="343">
        <v>157692.28</v>
      </c>
      <c r="X182" s="343">
        <v>3246.46</v>
      </c>
      <c r="Y182" s="343">
        <v>0</v>
      </c>
      <c r="Z182" s="343">
        <v>160938.74</v>
      </c>
      <c r="AA182" s="343">
        <v>14192.33</v>
      </c>
    </row>
    <row r="183" spans="1:27">
      <c r="A183" s="343">
        <v>20250629</v>
      </c>
      <c r="B183" s="343">
        <v>50413</v>
      </c>
      <c r="C183" s="343">
        <v>181</v>
      </c>
      <c r="D183" s="343">
        <v>430</v>
      </c>
      <c r="E183" s="384">
        <v>45837</v>
      </c>
      <c r="F183" s="343" t="s">
        <v>245</v>
      </c>
      <c r="G183" s="343" t="s">
        <v>308</v>
      </c>
      <c r="Q183" s="343" t="s">
        <v>140</v>
      </c>
      <c r="R183" s="343" t="s">
        <v>144</v>
      </c>
      <c r="S183" s="384">
        <v>46132</v>
      </c>
      <c r="T183" s="384">
        <v>46138</v>
      </c>
      <c r="U183" s="343" t="s">
        <v>283</v>
      </c>
      <c r="V183" s="343">
        <v>2878</v>
      </c>
      <c r="W183" s="343">
        <v>29570.45</v>
      </c>
      <c r="X183" s="343">
        <v>532.54999999999995</v>
      </c>
      <c r="Y183" s="343">
        <v>0</v>
      </c>
      <c r="Z183" s="343">
        <v>30103</v>
      </c>
      <c r="AA183" s="343">
        <v>2661.39</v>
      </c>
    </row>
    <row r="184" spans="1:27">
      <c r="A184" s="343">
        <v>20250630</v>
      </c>
      <c r="B184" s="343">
        <v>47479.45</v>
      </c>
      <c r="C184" s="343">
        <v>163</v>
      </c>
      <c r="D184" s="343">
        <v>382</v>
      </c>
      <c r="E184" s="384">
        <v>45838</v>
      </c>
      <c r="F184" s="343" t="s">
        <v>232</v>
      </c>
      <c r="G184" s="343" t="s">
        <v>309</v>
      </c>
      <c r="Q184" s="343" t="s">
        <v>140</v>
      </c>
      <c r="R184" s="343" t="s">
        <v>144</v>
      </c>
      <c r="S184" s="384">
        <v>46132</v>
      </c>
      <c r="T184" s="384">
        <v>46138</v>
      </c>
      <c r="U184" s="343" t="s">
        <v>285</v>
      </c>
      <c r="V184" s="343">
        <v>22053.1</v>
      </c>
      <c r="W184" s="343">
        <v>447980.45</v>
      </c>
      <c r="X184" s="343">
        <v>13558.55</v>
      </c>
      <c r="Y184" s="343">
        <v>0</v>
      </c>
      <c r="Z184" s="343">
        <v>461539</v>
      </c>
      <c r="AA184" s="343">
        <v>40318.559999999998</v>
      </c>
    </row>
    <row r="185" spans="1:27">
      <c r="A185" s="343">
        <v>20250701</v>
      </c>
      <c r="B185" s="343">
        <v>45621.5</v>
      </c>
      <c r="C185" s="343">
        <v>143</v>
      </c>
      <c r="D185" s="343">
        <v>325</v>
      </c>
      <c r="E185" s="384">
        <v>45839</v>
      </c>
      <c r="F185" s="343" t="s">
        <v>233</v>
      </c>
      <c r="G185" s="343" t="s">
        <v>309</v>
      </c>
      <c r="Q185" s="343" t="s">
        <v>140</v>
      </c>
      <c r="R185" s="343" t="s">
        <v>144</v>
      </c>
      <c r="S185" s="384">
        <v>46132</v>
      </c>
      <c r="T185" s="384">
        <v>46138</v>
      </c>
      <c r="U185" s="343" t="s">
        <v>287</v>
      </c>
      <c r="V185" s="343">
        <v>921</v>
      </c>
      <c r="W185" s="343">
        <v>18786.400000000001</v>
      </c>
      <c r="X185" s="343">
        <v>554.6</v>
      </c>
      <c r="Y185" s="343">
        <v>0</v>
      </c>
      <c r="Z185" s="343">
        <v>19341</v>
      </c>
      <c r="AA185" s="343">
        <v>1690.76</v>
      </c>
    </row>
    <row r="186" spans="1:27">
      <c r="A186" s="343">
        <v>20250702</v>
      </c>
      <c r="B186" s="343">
        <v>50466</v>
      </c>
      <c r="C186" s="343">
        <v>190</v>
      </c>
      <c r="D186" s="343">
        <v>426</v>
      </c>
      <c r="E186" s="384">
        <v>45840</v>
      </c>
      <c r="F186" s="343" t="s">
        <v>234</v>
      </c>
      <c r="G186" s="343" t="s">
        <v>309</v>
      </c>
      <c r="Q186" s="343" t="s">
        <v>140</v>
      </c>
      <c r="R186" s="343" t="s">
        <v>144</v>
      </c>
      <c r="S186" s="384">
        <v>46132</v>
      </c>
      <c r="T186" s="384">
        <v>46138</v>
      </c>
      <c r="U186" s="343" t="s">
        <v>291</v>
      </c>
      <c r="V186" s="343">
        <v>2</v>
      </c>
      <c r="W186" s="343">
        <v>100</v>
      </c>
      <c r="X186" s="343">
        <v>0</v>
      </c>
      <c r="Y186" s="343">
        <v>0</v>
      </c>
      <c r="Z186" s="343">
        <v>100</v>
      </c>
      <c r="AA186" s="343">
        <v>9</v>
      </c>
    </row>
    <row r="187" spans="1:27">
      <c r="A187" s="343">
        <v>20250703</v>
      </c>
      <c r="B187" s="343">
        <v>79015.25</v>
      </c>
      <c r="C187" s="343">
        <v>315</v>
      </c>
      <c r="D187" s="343">
        <v>710</v>
      </c>
      <c r="E187" s="384">
        <v>45841</v>
      </c>
      <c r="F187" s="343" t="s">
        <v>235</v>
      </c>
      <c r="G187" s="343" t="s">
        <v>309</v>
      </c>
      <c r="Q187" s="343" t="s">
        <v>140</v>
      </c>
      <c r="R187" s="343" t="s">
        <v>144</v>
      </c>
      <c r="S187" s="384">
        <v>46132</v>
      </c>
      <c r="T187" s="384">
        <v>46138</v>
      </c>
      <c r="U187" s="343" t="s">
        <v>293</v>
      </c>
      <c r="V187" s="343">
        <v>355</v>
      </c>
      <c r="W187" s="343">
        <v>70057</v>
      </c>
      <c r="X187" s="343">
        <v>50</v>
      </c>
      <c r="Y187" s="343">
        <v>0</v>
      </c>
      <c r="Z187" s="343">
        <v>70107</v>
      </c>
      <c r="AA187" s="343">
        <v>6305.13</v>
      </c>
    </row>
    <row r="188" spans="1:27">
      <c r="A188" s="343">
        <v>20250704</v>
      </c>
      <c r="B188" s="343">
        <v>87263.2</v>
      </c>
      <c r="C188" s="343">
        <v>318</v>
      </c>
      <c r="D188" s="343">
        <v>734</v>
      </c>
      <c r="E188" s="384">
        <v>45842</v>
      </c>
      <c r="F188" s="343" t="s">
        <v>236</v>
      </c>
      <c r="G188" s="343" t="s">
        <v>309</v>
      </c>
      <c r="Q188" s="343" t="s">
        <v>140</v>
      </c>
      <c r="R188" s="343" t="s">
        <v>144</v>
      </c>
      <c r="S188" s="384">
        <v>46132</v>
      </c>
      <c r="T188" s="384">
        <v>46138</v>
      </c>
      <c r="U188" s="343" t="s">
        <v>106</v>
      </c>
      <c r="V188" s="343">
        <v>20</v>
      </c>
      <c r="W188" s="343">
        <v>10240.93</v>
      </c>
      <c r="X188" s="343">
        <v>0</v>
      </c>
      <c r="Y188" s="343">
        <v>0</v>
      </c>
      <c r="Z188" s="343">
        <v>10240.93</v>
      </c>
      <c r="AA188" s="343">
        <v>14856.7</v>
      </c>
    </row>
    <row r="189" spans="1:27">
      <c r="A189" s="343">
        <v>20250705</v>
      </c>
      <c r="B189" s="343">
        <v>96140</v>
      </c>
      <c r="C189" s="343">
        <v>381</v>
      </c>
      <c r="D189" s="343">
        <v>824</v>
      </c>
      <c r="E189" s="384">
        <v>45843</v>
      </c>
      <c r="F189" s="343" t="s">
        <v>244</v>
      </c>
      <c r="G189" s="343" t="s">
        <v>309</v>
      </c>
      <c r="Q189" s="343" t="s">
        <v>146</v>
      </c>
      <c r="R189" s="343" t="s">
        <v>147</v>
      </c>
      <c r="S189" s="384">
        <v>46139</v>
      </c>
      <c r="T189" s="384">
        <v>46145</v>
      </c>
      <c r="U189" s="343" t="s">
        <v>273</v>
      </c>
      <c r="V189" s="343">
        <v>4</v>
      </c>
      <c r="W189" s="343">
        <v>3271.94</v>
      </c>
      <c r="X189" s="343">
        <v>0</v>
      </c>
      <c r="Y189" s="343">
        <v>0</v>
      </c>
      <c r="Z189" s="343">
        <v>3271.94</v>
      </c>
      <c r="AA189" s="343">
        <v>244.83</v>
      </c>
    </row>
    <row r="190" spans="1:27">
      <c r="A190" s="343">
        <v>20250706</v>
      </c>
      <c r="B190" s="343">
        <v>45050</v>
      </c>
      <c r="C190" s="343">
        <v>178</v>
      </c>
      <c r="D190" s="343">
        <v>351</v>
      </c>
      <c r="E190" s="384">
        <v>45844</v>
      </c>
      <c r="F190" s="343" t="s">
        <v>245</v>
      </c>
      <c r="G190" s="343" t="s">
        <v>309</v>
      </c>
      <c r="Q190" s="343" t="s">
        <v>146</v>
      </c>
      <c r="R190" s="343" t="s">
        <v>147</v>
      </c>
      <c r="S190" s="384">
        <v>46139</v>
      </c>
      <c r="T190" s="384">
        <v>46145</v>
      </c>
      <c r="U190" s="343" t="s">
        <v>336</v>
      </c>
      <c r="V190" s="343">
        <v>37</v>
      </c>
      <c r="W190" s="343">
        <v>10</v>
      </c>
      <c r="X190" s="343">
        <v>0</v>
      </c>
      <c r="Y190" s="343">
        <v>0</v>
      </c>
      <c r="Z190" s="343">
        <v>10</v>
      </c>
      <c r="AA190" s="343">
        <v>0.9</v>
      </c>
    </row>
    <row r="191" spans="1:27">
      <c r="A191" s="343">
        <v>20250707</v>
      </c>
      <c r="B191" s="343">
        <v>41414.1</v>
      </c>
      <c r="C191" s="343">
        <v>137</v>
      </c>
      <c r="D191" s="343">
        <v>300</v>
      </c>
      <c r="E191" s="384">
        <v>45845</v>
      </c>
      <c r="F191" s="343" t="s">
        <v>232</v>
      </c>
      <c r="G191" s="343" t="s">
        <v>310</v>
      </c>
      <c r="Q191" s="343" t="s">
        <v>146</v>
      </c>
      <c r="R191" s="343" t="s">
        <v>147</v>
      </c>
      <c r="S191" s="384">
        <v>46139</v>
      </c>
      <c r="T191" s="384">
        <v>46145</v>
      </c>
      <c r="U191" s="343" t="s">
        <v>275</v>
      </c>
      <c r="V191" s="343">
        <v>400</v>
      </c>
      <c r="W191" s="343">
        <v>48336</v>
      </c>
      <c r="X191" s="343">
        <v>230</v>
      </c>
      <c r="Y191" s="343">
        <v>0</v>
      </c>
      <c r="Z191" s="343">
        <v>48566</v>
      </c>
      <c r="AA191" s="343">
        <v>4350.24</v>
      </c>
    </row>
    <row r="192" spans="1:27">
      <c r="A192" s="343">
        <v>20250708</v>
      </c>
      <c r="B192" s="343">
        <v>35218.5</v>
      </c>
      <c r="C192" s="343">
        <v>127</v>
      </c>
      <c r="D192" s="343">
        <v>280</v>
      </c>
      <c r="E192" s="384">
        <v>45846</v>
      </c>
      <c r="F192" s="343" t="s">
        <v>233</v>
      </c>
      <c r="G192" s="343" t="s">
        <v>310</v>
      </c>
      <c r="Q192" s="343" t="s">
        <v>146</v>
      </c>
      <c r="R192" s="343" t="s">
        <v>147</v>
      </c>
      <c r="S192" s="384">
        <v>46139</v>
      </c>
      <c r="T192" s="384">
        <v>46145</v>
      </c>
      <c r="U192" s="343" t="s">
        <v>277</v>
      </c>
      <c r="V192" s="343">
        <v>370</v>
      </c>
      <c r="W192" s="343">
        <v>101452</v>
      </c>
      <c r="X192" s="343">
        <v>640</v>
      </c>
      <c r="Y192" s="343">
        <v>0</v>
      </c>
      <c r="Z192" s="343">
        <v>102092</v>
      </c>
      <c r="AA192" s="343">
        <v>9130.68</v>
      </c>
    </row>
    <row r="193" spans="1:27">
      <c r="A193" s="343">
        <v>20250709</v>
      </c>
      <c r="B193" s="343">
        <v>43679.5</v>
      </c>
      <c r="C193" s="343">
        <v>173</v>
      </c>
      <c r="D193" s="343">
        <v>359</v>
      </c>
      <c r="E193" s="384">
        <v>45847</v>
      </c>
      <c r="F193" s="343" t="s">
        <v>234</v>
      </c>
      <c r="G193" s="343" t="s">
        <v>310</v>
      </c>
      <c r="Q193" s="343" t="s">
        <v>146</v>
      </c>
      <c r="R193" s="343" t="s">
        <v>147</v>
      </c>
      <c r="S193" s="384">
        <v>46139</v>
      </c>
      <c r="T193" s="384">
        <v>46145</v>
      </c>
      <c r="U193" s="343" t="s">
        <v>279</v>
      </c>
      <c r="V193" s="343">
        <v>405</v>
      </c>
      <c r="W193" s="343">
        <v>5544</v>
      </c>
      <c r="X193" s="343">
        <v>158</v>
      </c>
      <c r="Y193" s="343">
        <v>0</v>
      </c>
      <c r="Z193" s="343">
        <v>5702</v>
      </c>
      <c r="AA193" s="343">
        <v>498.96</v>
      </c>
    </row>
    <row r="194" spans="1:27">
      <c r="A194" s="343">
        <v>20250710</v>
      </c>
      <c r="B194" s="343">
        <v>79525.45</v>
      </c>
      <c r="C194" s="343">
        <v>315</v>
      </c>
      <c r="D194" s="343">
        <v>706</v>
      </c>
      <c r="E194" s="384">
        <v>45848</v>
      </c>
      <c r="F194" s="343" t="s">
        <v>235</v>
      </c>
      <c r="G194" s="343" t="s">
        <v>310</v>
      </c>
      <c r="Q194" s="343" t="s">
        <v>146</v>
      </c>
      <c r="R194" s="343" t="s">
        <v>147</v>
      </c>
      <c r="S194" s="384">
        <v>46139</v>
      </c>
      <c r="T194" s="384">
        <v>46145</v>
      </c>
      <c r="U194" s="343" t="s">
        <v>281</v>
      </c>
      <c r="V194" s="343">
        <v>7839</v>
      </c>
      <c r="W194" s="343">
        <v>236872.35</v>
      </c>
      <c r="X194" s="343">
        <v>3739</v>
      </c>
      <c r="Y194" s="343">
        <v>0</v>
      </c>
      <c r="Z194" s="343">
        <v>240611.35</v>
      </c>
      <c r="AA194" s="343">
        <v>21318.59</v>
      </c>
    </row>
    <row r="195" spans="1:27">
      <c r="A195" s="343">
        <v>20250711</v>
      </c>
      <c r="B195" s="343">
        <v>94233.2</v>
      </c>
      <c r="C195" s="343">
        <v>365</v>
      </c>
      <c r="D195" s="343">
        <v>829</v>
      </c>
      <c r="E195" s="384">
        <v>45849</v>
      </c>
      <c r="F195" s="343" t="s">
        <v>236</v>
      </c>
      <c r="G195" s="343" t="s">
        <v>310</v>
      </c>
      <c r="Q195" s="343" t="s">
        <v>146</v>
      </c>
      <c r="R195" s="343" t="s">
        <v>147</v>
      </c>
      <c r="S195" s="384">
        <v>46139</v>
      </c>
      <c r="T195" s="384">
        <v>46145</v>
      </c>
      <c r="U195" s="343" t="s">
        <v>283</v>
      </c>
      <c r="V195" s="343">
        <v>3554</v>
      </c>
      <c r="W195" s="343">
        <v>40900.6</v>
      </c>
      <c r="X195" s="343">
        <v>602.4</v>
      </c>
      <c r="Y195" s="343">
        <v>0</v>
      </c>
      <c r="Z195" s="343">
        <v>41503</v>
      </c>
      <c r="AA195" s="343">
        <v>3681.05</v>
      </c>
    </row>
    <row r="196" spans="1:27">
      <c r="A196" s="343">
        <v>20250712</v>
      </c>
      <c r="B196" s="343">
        <v>142426.70000000001</v>
      </c>
      <c r="C196" s="343">
        <v>390</v>
      </c>
      <c r="D196" s="343">
        <v>882</v>
      </c>
      <c r="E196" s="384">
        <v>45850</v>
      </c>
      <c r="F196" s="343" t="s">
        <v>244</v>
      </c>
      <c r="G196" s="343" t="s">
        <v>310</v>
      </c>
      <c r="Q196" s="343" t="s">
        <v>146</v>
      </c>
      <c r="R196" s="343" t="s">
        <v>147</v>
      </c>
      <c r="S196" s="384">
        <v>46139</v>
      </c>
      <c r="T196" s="384">
        <v>46145</v>
      </c>
      <c r="U196" s="343" t="s">
        <v>285</v>
      </c>
      <c r="V196" s="343">
        <v>22697.9</v>
      </c>
      <c r="W196" s="343">
        <v>604948.94999999995</v>
      </c>
      <c r="X196" s="343">
        <v>12321.35</v>
      </c>
      <c r="Y196" s="343">
        <v>0</v>
      </c>
      <c r="Z196" s="343">
        <v>617270.30000000005</v>
      </c>
      <c r="AA196" s="343">
        <v>54445.47</v>
      </c>
    </row>
    <row r="197" spans="1:27">
      <c r="A197" s="343">
        <v>20250713</v>
      </c>
      <c r="B197" s="343">
        <v>53954.5</v>
      </c>
      <c r="C197" s="343">
        <v>214</v>
      </c>
      <c r="D197" s="343">
        <v>459</v>
      </c>
      <c r="E197" s="384">
        <v>45851</v>
      </c>
      <c r="F197" s="343" t="s">
        <v>245</v>
      </c>
      <c r="G197" s="343" t="s">
        <v>310</v>
      </c>
      <c r="Q197" s="343" t="s">
        <v>146</v>
      </c>
      <c r="R197" s="343" t="s">
        <v>147</v>
      </c>
      <c r="S197" s="384">
        <v>46139</v>
      </c>
      <c r="T197" s="384">
        <v>46145</v>
      </c>
      <c r="U197" s="343" t="s">
        <v>287</v>
      </c>
      <c r="V197" s="343">
        <v>308</v>
      </c>
      <c r="W197" s="343">
        <v>7065</v>
      </c>
      <c r="X197" s="343">
        <v>303</v>
      </c>
      <c r="Y197" s="343">
        <v>0</v>
      </c>
      <c r="Z197" s="343">
        <v>7368</v>
      </c>
      <c r="AA197" s="343">
        <v>635.85</v>
      </c>
    </row>
    <row r="198" spans="1:27">
      <c r="A198" s="343">
        <v>20250714</v>
      </c>
      <c r="B198" s="343">
        <v>41714.5</v>
      </c>
      <c r="C198" s="343">
        <v>128</v>
      </c>
      <c r="D198" s="343">
        <v>341</v>
      </c>
      <c r="E198" s="384">
        <v>45852</v>
      </c>
      <c r="F198" s="343" t="s">
        <v>232</v>
      </c>
      <c r="G198" s="343" t="s">
        <v>311</v>
      </c>
      <c r="Q198" s="343" t="s">
        <v>146</v>
      </c>
      <c r="R198" s="343" t="s">
        <v>147</v>
      </c>
      <c r="S198" s="384">
        <v>46139</v>
      </c>
      <c r="T198" s="384">
        <v>46145</v>
      </c>
      <c r="U198" s="343" t="s">
        <v>291</v>
      </c>
      <c r="V198" s="343">
        <v>1</v>
      </c>
      <c r="W198" s="343">
        <v>50</v>
      </c>
      <c r="X198" s="343">
        <v>0</v>
      </c>
      <c r="Y198" s="343">
        <v>0</v>
      </c>
      <c r="Z198" s="343">
        <v>50</v>
      </c>
      <c r="AA198" s="343">
        <v>4.5</v>
      </c>
    </row>
    <row r="199" spans="1:27">
      <c r="A199" s="343">
        <v>20250715</v>
      </c>
      <c r="B199" s="343">
        <v>40450.449999999997</v>
      </c>
      <c r="C199" s="343">
        <v>128</v>
      </c>
      <c r="D199" s="343">
        <v>272</v>
      </c>
      <c r="E199" s="384">
        <v>45853</v>
      </c>
      <c r="F199" s="343" t="s">
        <v>233</v>
      </c>
      <c r="G199" s="343" t="s">
        <v>311</v>
      </c>
      <c r="Q199" s="343" t="s">
        <v>146</v>
      </c>
      <c r="R199" s="343" t="s">
        <v>147</v>
      </c>
      <c r="S199" s="384">
        <v>46139</v>
      </c>
      <c r="T199" s="384">
        <v>46145</v>
      </c>
      <c r="U199" s="343" t="s">
        <v>293</v>
      </c>
      <c r="V199" s="343">
        <v>84</v>
      </c>
      <c r="W199" s="343">
        <v>33087.599999999999</v>
      </c>
      <c r="X199" s="343">
        <v>0</v>
      </c>
      <c r="Y199" s="343">
        <v>0</v>
      </c>
      <c r="Z199" s="343">
        <v>33087.599999999999</v>
      </c>
      <c r="AA199" s="343">
        <v>2977.81</v>
      </c>
    </row>
    <row r="200" spans="1:27">
      <c r="A200" s="343">
        <v>20250716</v>
      </c>
      <c r="B200" s="343">
        <v>40460</v>
      </c>
      <c r="C200" s="343">
        <v>179</v>
      </c>
      <c r="D200" s="343">
        <v>372</v>
      </c>
      <c r="E200" s="384">
        <v>45854</v>
      </c>
      <c r="F200" s="343" t="s">
        <v>234</v>
      </c>
      <c r="G200" s="343" t="s">
        <v>311</v>
      </c>
      <c r="Q200" s="343" t="s">
        <v>146</v>
      </c>
      <c r="R200" s="343" t="s">
        <v>147</v>
      </c>
      <c r="S200" s="384">
        <v>46139</v>
      </c>
      <c r="T200" s="384">
        <v>46145</v>
      </c>
      <c r="U200" s="343" t="s">
        <v>106</v>
      </c>
      <c r="V200" s="343">
        <v>36</v>
      </c>
      <c r="W200" s="343">
        <v>12821.02</v>
      </c>
      <c r="X200" s="343">
        <v>0</v>
      </c>
      <c r="Y200" s="343">
        <v>0</v>
      </c>
      <c r="Z200" s="343">
        <v>12821.02</v>
      </c>
      <c r="AA200" s="343">
        <v>20493.29</v>
      </c>
    </row>
    <row r="201" spans="1:27">
      <c r="A201" s="343">
        <v>20250717</v>
      </c>
      <c r="B201" s="343">
        <v>81497.25</v>
      </c>
      <c r="C201" s="343">
        <v>249</v>
      </c>
      <c r="D201" s="343">
        <v>613</v>
      </c>
      <c r="E201" s="384">
        <v>45855</v>
      </c>
      <c r="F201" s="343" t="s">
        <v>235</v>
      </c>
      <c r="G201" s="343" t="s">
        <v>311</v>
      </c>
      <c r="Q201" s="343" t="s">
        <v>146</v>
      </c>
      <c r="R201" s="343" t="s">
        <v>147</v>
      </c>
      <c r="S201" s="384">
        <v>46139</v>
      </c>
      <c r="T201" s="384">
        <v>46145</v>
      </c>
      <c r="U201" s="343" t="s">
        <v>335</v>
      </c>
      <c r="V201" s="343">
        <v>0</v>
      </c>
      <c r="W201" s="343">
        <v>-248.52</v>
      </c>
      <c r="X201" s="343">
        <v>0</v>
      </c>
      <c r="Y201" s="343">
        <v>249</v>
      </c>
      <c r="Z201" s="343">
        <v>0</v>
      </c>
      <c r="AA201" s="343">
        <v>0</v>
      </c>
    </row>
    <row r="202" spans="1:27">
      <c r="A202" s="343">
        <v>20250718</v>
      </c>
      <c r="B202" s="343">
        <v>95172.4</v>
      </c>
      <c r="C202" s="343">
        <v>318</v>
      </c>
      <c r="D202" s="343">
        <v>805</v>
      </c>
      <c r="E202" s="384">
        <v>45856</v>
      </c>
      <c r="F202" s="343" t="s">
        <v>236</v>
      </c>
      <c r="G202" s="343" t="s">
        <v>311</v>
      </c>
      <c r="Q202" s="343" t="s">
        <v>146</v>
      </c>
      <c r="R202" s="343" t="s">
        <v>148</v>
      </c>
      <c r="S202" s="384">
        <v>46146</v>
      </c>
      <c r="T202" s="384">
        <v>46152</v>
      </c>
      <c r="U202" s="343" t="s">
        <v>273</v>
      </c>
      <c r="V202" s="343">
        <v>1</v>
      </c>
      <c r="W202" s="343">
        <v>12</v>
      </c>
      <c r="X202" s="343">
        <v>0</v>
      </c>
      <c r="Y202" s="343">
        <v>0</v>
      </c>
      <c r="Z202" s="343">
        <v>12</v>
      </c>
      <c r="AA202" s="343">
        <v>1.08</v>
      </c>
    </row>
    <row r="203" spans="1:27">
      <c r="A203" s="343">
        <v>20250719</v>
      </c>
      <c r="B203" s="343">
        <v>107032.45</v>
      </c>
      <c r="C203" s="343">
        <v>366</v>
      </c>
      <c r="D203" s="343">
        <v>916</v>
      </c>
      <c r="E203" s="384">
        <v>45857</v>
      </c>
      <c r="F203" s="343" t="s">
        <v>244</v>
      </c>
      <c r="G203" s="343" t="s">
        <v>311</v>
      </c>
      <c r="Q203" s="343" t="s">
        <v>146</v>
      </c>
      <c r="R203" s="343" t="s">
        <v>148</v>
      </c>
      <c r="S203" s="384">
        <v>46146</v>
      </c>
      <c r="T203" s="384">
        <v>46152</v>
      </c>
      <c r="U203" s="343" t="s">
        <v>336</v>
      </c>
      <c r="V203" s="343">
        <v>58</v>
      </c>
      <c r="W203" s="343">
        <v>0</v>
      </c>
      <c r="X203" s="343">
        <v>0</v>
      </c>
      <c r="Y203" s="343">
        <v>0</v>
      </c>
      <c r="Z203" s="343">
        <v>0</v>
      </c>
      <c r="AA203" s="343">
        <v>0</v>
      </c>
    </row>
    <row r="204" spans="1:27">
      <c r="A204" s="343">
        <v>20250720</v>
      </c>
      <c r="B204" s="343">
        <v>46175.5</v>
      </c>
      <c r="C204" s="343">
        <v>166</v>
      </c>
      <c r="D204" s="343">
        <v>399</v>
      </c>
      <c r="E204" s="384">
        <v>45858</v>
      </c>
      <c r="F204" s="343" t="s">
        <v>245</v>
      </c>
      <c r="G204" s="343" t="s">
        <v>311</v>
      </c>
      <c r="Q204" s="343" t="s">
        <v>146</v>
      </c>
      <c r="R204" s="343" t="s">
        <v>148</v>
      </c>
      <c r="S204" s="384">
        <v>46146</v>
      </c>
      <c r="T204" s="384">
        <v>46152</v>
      </c>
      <c r="U204" s="343" t="s">
        <v>275</v>
      </c>
      <c r="V204" s="343">
        <v>462</v>
      </c>
      <c r="W204" s="343">
        <v>53915</v>
      </c>
      <c r="X204" s="343">
        <v>0</v>
      </c>
      <c r="Y204" s="343">
        <v>0</v>
      </c>
      <c r="Z204" s="343">
        <v>53915</v>
      </c>
      <c r="AA204" s="343">
        <v>4852.3500000000004</v>
      </c>
    </row>
    <row r="205" spans="1:27">
      <c r="A205" s="343">
        <v>20250721</v>
      </c>
      <c r="B205" s="343">
        <v>34978.25</v>
      </c>
      <c r="C205" s="343">
        <v>143</v>
      </c>
      <c r="D205" s="343">
        <v>322</v>
      </c>
      <c r="E205" s="384">
        <v>45859</v>
      </c>
      <c r="F205" s="343" t="s">
        <v>232</v>
      </c>
      <c r="G205" s="343" t="s">
        <v>312</v>
      </c>
      <c r="Q205" s="343" t="s">
        <v>146</v>
      </c>
      <c r="R205" s="343" t="s">
        <v>148</v>
      </c>
      <c r="S205" s="384">
        <v>46146</v>
      </c>
      <c r="T205" s="384">
        <v>46152</v>
      </c>
      <c r="U205" s="343" t="s">
        <v>277</v>
      </c>
      <c r="V205" s="343">
        <v>295</v>
      </c>
      <c r="W205" s="343">
        <v>53192.11</v>
      </c>
      <c r="X205" s="343">
        <v>335.89</v>
      </c>
      <c r="Y205" s="343">
        <v>0</v>
      </c>
      <c r="Z205" s="343">
        <v>53528</v>
      </c>
      <c r="AA205" s="343">
        <v>4787.29</v>
      </c>
    </row>
    <row r="206" spans="1:27">
      <c r="A206" s="343">
        <v>20250722</v>
      </c>
      <c r="B206" s="343">
        <v>39029.5</v>
      </c>
      <c r="C206" s="343">
        <v>142</v>
      </c>
      <c r="D206" s="343">
        <v>300</v>
      </c>
      <c r="E206" s="384">
        <v>45860</v>
      </c>
      <c r="F206" s="343" t="s">
        <v>233</v>
      </c>
      <c r="G206" s="343" t="s">
        <v>312</v>
      </c>
      <c r="Q206" s="343" t="s">
        <v>146</v>
      </c>
      <c r="R206" s="343" t="s">
        <v>148</v>
      </c>
      <c r="S206" s="384">
        <v>46146</v>
      </c>
      <c r="T206" s="384">
        <v>46152</v>
      </c>
      <c r="U206" s="343" t="s">
        <v>279</v>
      </c>
      <c r="V206" s="343">
        <v>534</v>
      </c>
      <c r="W206" s="343">
        <v>6771</v>
      </c>
      <c r="X206" s="343">
        <v>43</v>
      </c>
      <c r="Y206" s="343">
        <v>0</v>
      </c>
      <c r="Z206" s="343">
        <v>6814</v>
      </c>
      <c r="AA206" s="343">
        <v>609.39</v>
      </c>
    </row>
    <row r="207" spans="1:27">
      <c r="A207" s="343">
        <v>20250723</v>
      </c>
      <c r="B207" s="343">
        <v>46295.31</v>
      </c>
      <c r="C207" s="343">
        <v>196</v>
      </c>
      <c r="D207" s="343">
        <v>424</v>
      </c>
      <c r="E207" s="384">
        <v>45861</v>
      </c>
      <c r="F207" s="343" t="s">
        <v>234</v>
      </c>
      <c r="G207" s="343" t="s">
        <v>312</v>
      </c>
      <c r="Q207" s="343" t="s">
        <v>146</v>
      </c>
      <c r="R207" s="343" t="s">
        <v>148</v>
      </c>
      <c r="S207" s="384">
        <v>46146</v>
      </c>
      <c r="T207" s="384">
        <v>46152</v>
      </c>
      <c r="U207" s="343" t="s">
        <v>281</v>
      </c>
      <c r="V207" s="343">
        <v>8286</v>
      </c>
      <c r="W207" s="343">
        <v>216672.16</v>
      </c>
      <c r="X207" s="343">
        <v>2657.92</v>
      </c>
      <c r="Y207" s="343">
        <v>0</v>
      </c>
      <c r="Z207" s="343">
        <v>219330.08</v>
      </c>
      <c r="AA207" s="343">
        <v>19500.48</v>
      </c>
    </row>
    <row r="208" spans="1:27">
      <c r="A208" s="343">
        <v>20250724</v>
      </c>
      <c r="B208" s="343">
        <v>67321.5</v>
      </c>
      <c r="C208" s="343">
        <v>249</v>
      </c>
      <c r="D208" s="343">
        <v>590</v>
      </c>
      <c r="E208" s="384">
        <v>45862</v>
      </c>
      <c r="F208" s="343" t="s">
        <v>235</v>
      </c>
      <c r="G208" s="343" t="s">
        <v>312</v>
      </c>
      <c r="Q208" s="343" t="s">
        <v>146</v>
      </c>
      <c r="R208" s="343" t="s">
        <v>148</v>
      </c>
      <c r="S208" s="384">
        <v>46146</v>
      </c>
      <c r="T208" s="384">
        <v>46152</v>
      </c>
      <c r="U208" s="343" t="s">
        <v>283</v>
      </c>
      <c r="V208" s="343">
        <v>3113</v>
      </c>
      <c r="W208" s="343">
        <v>32156.47</v>
      </c>
      <c r="X208" s="343">
        <v>525.53</v>
      </c>
      <c r="Y208" s="343">
        <v>0</v>
      </c>
      <c r="Z208" s="343">
        <v>32682</v>
      </c>
      <c r="AA208" s="343">
        <v>2894.1</v>
      </c>
    </row>
    <row r="209" spans="1:27">
      <c r="A209" s="343">
        <v>20250725</v>
      </c>
      <c r="B209" s="343">
        <v>106483.08</v>
      </c>
      <c r="C209" s="343">
        <v>356</v>
      </c>
      <c r="D209" s="343">
        <v>891</v>
      </c>
      <c r="E209" s="384">
        <v>45863</v>
      </c>
      <c r="F209" s="343" t="s">
        <v>236</v>
      </c>
      <c r="G209" s="343" t="s">
        <v>312</v>
      </c>
      <c r="Q209" s="343" t="s">
        <v>146</v>
      </c>
      <c r="R209" s="343" t="s">
        <v>148</v>
      </c>
      <c r="S209" s="384">
        <v>46146</v>
      </c>
      <c r="T209" s="384">
        <v>46152</v>
      </c>
      <c r="U209" s="343" t="s">
        <v>285</v>
      </c>
      <c r="V209" s="343">
        <v>27791.4</v>
      </c>
      <c r="W209" s="343">
        <v>493774.89</v>
      </c>
      <c r="X209" s="343">
        <v>10538.11</v>
      </c>
      <c r="Y209" s="343">
        <v>0</v>
      </c>
      <c r="Z209" s="343">
        <v>504313</v>
      </c>
      <c r="AA209" s="343">
        <v>44439.97</v>
      </c>
    </row>
    <row r="210" spans="1:27">
      <c r="A210" s="343">
        <v>20250726</v>
      </c>
      <c r="B210" s="343">
        <v>109849.15</v>
      </c>
      <c r="C210" s="343">
        <v>380</v>
      </c>
      <c r="D210" s="343">
        <v>865</v>
      </c>
      <c r="E210" s="384">
        <v>45864</v>
      </c>
      <c r="F210" s="343" t="s">
        <v>244</v>
      </c>
      <c r="G210" s="343" t="s">
        <v>312</v>
      </c>
      <c r="Q210" s="343" t="s">
        <v>146</v>
      </c>
      <c r="R210" s="343" t="s">
        <v>148</v>
      </c>
      <c r="S210" s="384">
        <v>46146</v>
      </c>
      <c r="T210" s="384">
        <v>46152</v>
      </c>
      <c r="U210" s="343" t="s">
        <v>287</v>
      </c>
      <c r="V210" s="343">
        <v>885</v>
      </c>
      <c r="W210" s="343">
        <v>19414.78</v>
      </c>
      <c r="X210" s="343">
        <v>593.22</v>
      </c>
      <c r="Y210" s="343">
        <v>0</v>
      </c>
      <c r="Z210" s="343">
        <v>20008</v>
      </c>
      <c r="AA210" s="343">
        <v>1747.35</v>
      </c>
    </row>
    <row r="211" spans="1:27">
      <c r="A211" s="343">
        <v>20250727</v>
      </c>
      <c r="B211" s="343">
        <v>53204.5</v>
      </c>
      <c r="C211" s="343">
        <v>179</v>
      </c>
      <c r="D211" s="343">
        <v>401</v>
      </c>
      <c r="E211" s="384">
        <v>45865</v>
      </c>
      <c r="F211" s="343" t="s">
        <v>245</v>
      </c>
      <c r="G211" s="343" t="s">
        <v>312</v>
      </c>
      <c r="Q211" s="343" t="s">
        <v>146</v>
      </c>
      <c r="R211" s="343" t="s">
        <v>148</v>
      </c>
      <c r="S211" s="384">
        <v>46146</v>
      </c>
      <c r="T211" s="384">
        <v>46152</v>
      </c>
      <c r="U211" s="343" t="s">
        <v>293</v>
      </c>
      <c r="V211" s="343">
        <v>115</v>
      </c>
      <c r="W211" s="343">
        <v>27627</v>
      </c>
      <c r="X211" s="343">
        <v>0</v>
      </c>
      <c r="Y211" s="343">
        <v>0</v>
      </c>
      <c r="Z211" s="343">
        <v>27627</v>
      </c>
      <c r="AA211" s="343">
        <v>2486.4299999999998</v>
      </c>
    </row>
    <row r="212" spans="1:27">
      <c r="A212" s="343">
        <v>20250728</v>
      </c>
      <c r="B212" s="343">
        <v>55691.95</v>
      </c>
      <c r="C212" s="343">
        <v>172</v>
      </c>
      <c r="D212" s="343">
        <v>404</v>
      </c>
      <c r="E212" s="384">
        <v>45866</v>
      </c>
      <c r="F212" s="343" t="s">
        <v>232</v>
      </c>
      <c r="G212" s="343" t="s">
        <v>313</v>
      </c>
      <c r="Q212" s="343" t="s">
        <v>146</v>
      </c>
      <c r="R212" s="343" t="s">
        <v>148</v>
      </c>
      <c r="S212" s="384">
        <v>46146</v>
      </c>
      <c r="T212" s="384">
        <v>46152</v>
      </c>
      <c r="U212" s="343" t="s">
        <v>106</v>
      </c>
      <c r="V212" s="343">
        <v>16</v>
      </c>
      <c r="W212" s="343">
        <v>12923.82</v>
      </c>
      <c r="X212" s="343">
        <v>0</v>
      </c>
      <c r="Y212" s="343">
        <v>0</v>
      </c>
      <c r="Z212" s="343">
        <v>12923.82</v>
      </c>
      <c r="AA212" s="343">
        <v>17193.900000000001</v>
      </c>
    </row>
    <row r="213" spans="1:27">
      <c r="A213" s="343">
        <v>20250729</v>
      </c>
      <c r="B213" s="343">
        <v>45861.5</v>
      </c>
      <c r="C213" s="343">
        <v>174</v>
      </c>
      <c r="D213" s="343">
        <v>369</v>
      </c>
      <c r="E213" s="384">
        <v>45867</v>
      </c>
      <c r="F213" s="343" t="s">
        <v>233</v>
      </c>
      <c r="G213" s="343" t="s">
        <v>313</v>
      </c>
      <c r="Q213" s="343" t="s">
        <v>146</v>
      </c>
      <c r="R213" s="343" t="s">
        <v>148</v>
      </c>
      <c r="S213" s="384">
        <v>46146</v>
      </c>
      <c r="T213" s="384">
        <v>46152</v>
      </c>
      <c r="U213" s="343" t="s">
        <v>335</v>
      </c>
      <c r="V213" s="343">
        <v>0</v>
      </c>
      <c r="W213" s="343">
        <v>-170.21</v>
      </c>
      <c r="X213" s="343">
        <v>0</v>
      </c>
      <c r="Y213" s="343">
        <v>170</v>
      </c>
      <c r="Z213" s="343">
        <v>0</v>
      </c>
      <c r="AA213" s="343">
        <v>0</v>
      </c>
    </row>
    <row r="214" spans="1:27">
      <c r="A214" s="343">
        <v>20250730</v>
      </c>
      <c r="B214" s="343">
        <v>60183.5</v>
      </c>
      <c r="C214" s="343">
        <v>168</v>
      </c>
      <c r="D214" s="343">
        <v>442</v>
      </c>
      <c r="E214" s="384">
        <v>45868</v>
      </c>
      <c r="F214" s="343" t="s">
        <v>234</v>
      </c>
      <c r="G214" s="343" t="s">
        <v>313</v>
      </c>
      <c r="Q214" s="343" t="s">
        <v>146</v>
      </c>
      <c r="R214" s="343" t="s">
        <v>149</v>
      </c>
      <c r="S214" s="384">
        <v>46153</v>
      </c>
      <c r="T214" s="384">
        <v>46159</v>
      </c>
      <c r="U214" s="343" t="s">
        <v>273</v>
      </c>
      <c r="V214" s="343">
        <v>1</v>
      </c>
      <c r="W214" s="343">
        <v>16</v>
      </c>
      <c r="X214" s="343">
        <v>0</v>
      </c>
      <c r="Y214" s="343">
        <v>0</v>
      </c>
      <c r="Z214" s="343">
        <v>16</v>
      </c>
      <c r="AA214" s="343">
        <v>1.44</v>
      </c>
    </row>
    <row r="215" spans="1:27">
      <c r="A215" s="343">
        <v>20250731</v>
      </c>
      <c r="B215" s="343">
        <v>63109</v>
      </c>
      <c r="C215" s="343">
        <v>241</v>
      </c>
      <c r="D215" s="343">
        <v>535</v>
      </c>
      <c r="E215" s="384">
        <v>45869</v>
      </c>
      <c r="F215" s="343" t="s">
        <v>235</v>
      </c>
      <c r="G215" s="343" t="s">
        <v>313</v>
      </c>
      <c r="Q215" s="343" t="s">
        <v>146</v>
      </c>
      <c r="R215" s="343" t="s">
        <v>149</v>
      </c>
      <c r="S215" s="384">
        <v>46153</v>
      </c>
      <c r="T215" s="384">
        <v>46159</v>
      </c>
      <c r="U215" s="343" t="s">
        <v>275</v>
      </c>
      <c r="V215" s="343">
        <v>368</v>
      </c>
      <c r="W215" s="343">
        <v>39405</v>
      </c>
      <c r="X215" s="343">
        <v>1380</v>
      </c>
      <c r="Y215" s="343">
        <v>0</v>
      </c>
      <c r="Z215" s="343">
        <v>40785</v>
      </c>
      <c r="AA215" s="343">
        <v>3546.45</v>
      </c>
    </row>
    <row r="216" spans="1:27">
      <c r="A216" s="343">
        <v>20250801</v>
      </c>
      <c r="B216" s="343">
        <v>84981.6</v>
      </c>
      <c r="C216" s="343">
        <v>335</v>
      </c>
      <c r="D216" s="343">
        <v>703</v>
      </c>
      <c r="E216" s="384">
        <v>45870</v>
      </c>
      <c r="F216" s="343" t="s">
        <v>236</v>
      </c>
      <c r="G216" s="343" t="s">
        <v>313</v>
      </c>
      <c r="Q216" s="343" t="s">
        <v>146</v>
      </c>
      <c r="R216" s="343" t="s">
        <v>149</v>
      </c>
      <c r="S216" s="384">
        <v>46153</v>
      </c>
      <c r="T216" s="384">
        <v>46159</v>
      </c>
      <c r="U216" s="343" t="s">
        <v>277</v>
      </c>
      <c r="V216" s="343">
        <v>181</v>
      </c>
      <c r="W216" s="343">
        <v>35270</v>
      </c>
      <c r="X216" s="343">
        <v>0</v>
      </c>
      <c r="Y216" s="343">
        <v>0</v>
      </c>
      <c r="Z216" s="343">
        <v>35270</v>
      </c>
      <c r="AA216" s="343">
        <v>3174.3</v>
      </c>
    </row>
    <row r="217" spans="1:27">
      <c r="A217" s="343">
        <v>20250802</v>
      </c>
      <c r="B217" s="343">
        <v>113319.75</v>
      </c>
      <c r="C217" s="343">
        <v>380</v>
      </c>
      <c r="D217" s="343">
        <v>847</v>
      </c>
      <c r="E217" s="384">
        <v>45871</v>
      </c>
      <c r="F217" s="343" t="s">
        <v>244</v>
      </c>
      <c r="G217" s="343" t="s">
        <v>313</v>
      </c>
      <c r="Q217" s="343" t="s">
        <v>146</v>
      </c>
      <c r="R217" s="343" t="s">
        <v>149</v>
      </c>
      <c r="S217" s="384">
        <v>46153</v>
      </c>
      <c r="T217" s="384">
        <v>46159</v>
      </c>
      <c r="U217" s="343" t="s">
        <v>279</v>
      </c>
      <c r="V217" s="343">
        <v>335</v>
      </c>
      <c r="W217" s="343">
        <v>4083</v>
      </c>
      <c r="X217" s="343">
        <v>12</v>
      </c>
      <c r="Y217" s="343">
        <v>0</v>
      </c>
      <c r="Z217" s="343">
        <v>4095</v>
      </c>
      <c r="AA217" s="343">
        <v>367.47</v>
      </c>
    </row>
    <row r="218" spans="1:27">
      <c r="A218" s="343">
        <v>20250803</v>
      </c>
      <c r="B218" s="343">
        <v>50462.75</v>
      </c>
      <c r="C218" s="343">
        <v>191</v>
      </c>
      <c r="D218" s="343">
        <v>433</v>
      </c>
      <c r="E218" s="384">
        <v>45872</v>
      </c>
      <c r="F218" s="343" t="s">
        <v>245</v>
      </c>
      <c r="G218" s="343" t="s">
        <v>313</v>
      </c>
      <c r="Q218" s="343" t="s">
        <v>146</v>
      </c>
      <c r="R218" s="343" t="s">
        <v>149</v>
      </c>
      <c r="S218" s="384">
        <v>46153</v>
      </c>
      <c r="T218" s="384">
        <v>46159</v>
      </c>
      <c r="U218" s="343" t="s">
        <v>281</v>
      </c>
      <c r="V218" s="343">
        <v>6518</v>
      </c>
      <c r="W218" s="343">
        <v>150102.43</v>
      </c>
      <c r="X218" s="343">
        <v>3521.4</v>
      </c>
      <c r="Y218" s="343">
        <v>0</v>
      </c>
      <c r="Z218" s="343">
        <v>153623.82999999999</v>
      </c>
      <c r="AA218" s="343">
        <v>13509.22</v>
      </c>
    </row>
    <row r="219" spans="1:27">
      <c r="A219" s="343">
        <v>20250804</v>
      </c>
      <c r="B219" s="343">
        <v>42969</v>
      </c>
      <c r="C219" s="343">
        <v>159</v>
      </c>
      <c r="D219" s="343">
        <v>343</v>
      </c>
      <c r="E219" s="384">
        <v>45873</v>
      </c>
      <c r="F219" s="343" t="s">
        <v>232</v>
      </c>
      <c r="G219" s="343" t="s">
        <v>314</v>
      </c>
      <c r="Q219" s="343" t="s">
        <v>146</v>
      </c>
      <c r="R219" s="343" t="s">
        <v>149</v>
      </c>
      <c r="S219" s="384">
        <v>46153</v>
      </c>
      <c r="T219" s="384">
        <v>46159</v>
      </c>
      <c r="U219" s="343" t="s">
        <v>283</v>
      </c>
      <c r="V219" s="343">
        <v>2937</v>
      </c>
      <c r="W219" s="343">
        <v>30679.05</v>
      </c>
      <c r="X219" s="343">
        <v>807.95</v>
      </c>
      <c r="Y219" s="343">
        <v>0</v>
      </c>
      <c r="Z219" s="343">
        <v>31487</v>
      </c>
      <c r="AA219" s="343">
        <v>2761.13</v>
      </c>
    </row>
    <row r="220" spans="1:27">
      <c r="A220" s="343">
        <v>20250805</v>
      </c>
      <c r="B220" s="343">
        <v>32678.5</v>
      </c>
      <c r="C220" s="343">
        <v>137</v>
      </c>
      <c r="D220" s="343">
        <v>315</v>
      </c>
      <c r="E220" s="384">
        <v>45874</v>
      </c>
      <c r="F220" s="343" t="s">
        <v>233</v>
      </c>
      <c r="G220" s="343" t="s">
        <v>314</v>
      </c>
      <c r="Q220" s="343" t="s">
        <v>146</v>
      </c>
      <c r="R220" s="343" t="s">
        <v>149</v>
      </c>
      <c r="S220" s="384">
        <v>46153</v>
      </c>
      <c r="T220" s="384">
        <v>46159</v>
      </c>
      <c r="U220" s="343" t="s">
        <v>285</v>
      </c>
      <c r="V220" s="343">
        <v>20048.5</v>
      </c>
      <c r="W220" s="343">
        <v>410258.85</v>
      </c>
      <c r="X220" s="343">
        <v>13365.15</v>
      </c>
      <c r="Y220" s="343">
        <v>0</v>
      </c>
      <c r="Z220" s="343">
        <v>423624</v>
      </c>
      <c r="AA220" s="343">
        <v>36923.480000000003</v>
      </c>
    </row>
    <row r="221" spans="1:27">
      <c r="A221" s="343">
        <v>20250806</v>
      </c>
      <c r="B221" s="343">
        <v>42718.5</v>
      </c>
      <c r="C221" s="343">
        <v>174</v>
      </c>
      <c r="D221" s="343">
        <v>380</v>
      </c>
      <c r="E221" s="384">
        <v>45875</v>
      </c>
      <c r="F221" s="343" t="s">
        <v>234</v>
      </c>
      <c r="G221" s="343" t="s">
        <v>314</v>
      </c>
      <c r="Q221" s="343" t="s">
        <v>146</v>
      </c>
      <c r="R221" s="343" t="s">
        <v>149</v>
      </c>
      <c r="S221" s="384">
        <v>46153</v>
      </c>
      <c r="T221" s="384">
        <v>46159</v>
      </c>
      <c r="U221" s="343" t="s">
        <v>287</v>
      </c>
      <c r="V221" s="343">
        <v>1036</v>
      </c>
      <c r="W221" s="343">
        <v>20315</v>
      </c>
      <c r="X221" s="343">
        <v>287</v>
      </c>
      <c r="Y221" s="343">
        <v>0</v>
      </c>
      <c r="Z221" s="343">
        <v>20602</v>
      </c>
      <c r="AA221" s="343">
        <v>1828.35</v>
      </c>
    </row>
    <row r="222" spans="1:27">
      <c r="A222" s="343">
        <v>20250807</v>
      </c>
      <c r="B222" s="343">
        <v>71093.75</v>
      </c>
      <c r="C222" s="343">
        <v>284</v>
      </c>
      <c r="D222" s="343">
        <v>670</v>
      </c>
      <c r="E222" s="384">
        <v>45876</v>
      </c>
      <c r="F222" s="343" t="s">
        <v>235</v>
      </c>
      <c r="G222" s="343" t="s">
        <v>314</v>
      </c>
      <c r="Q222" s="343" t="s">
        <v>146</v>
      </c>
      <c r="R222" s="343" t="s">
        <v>149</v>
      </c>
      <c r="S222" s="384">
        <v>46153</v>
      </c>
      <c r="T222" s="384">
        <v>46159</v>
      </c>
      <c r="U222" s="343" t="s">
        <v>293</v>
      </c>
      <c r="V222" s="343">
        <v>101</v>
      </c>
      <c r="W222" s="343">
        <v>21792</v>
      </c>
      <c r="X222" s="343">
        <v>0</v>
      </c>
      <c r="Y222" s="343">
        <v>0</v>
      </c>
      <c r="Z222" s="343">
        <v>21792</v>
      </c>
      <c r="AA222" s="343">
        <v>1961.28</v>
      </c>
    </row>
    <row r="223" spans="1:27">
      <c r="A223" s="343">
        <v>20250808</v>
      </c>
      <c r="B223" s="343">
        <v>99331.01</v>
      </c>
      <c r="C223" s="343">
        <v>335</v>
      </c>
      <c r="D223" s="343">
        <v>814</v>
      </c>
      <c r="E223" s="384">
        <v>45877</v>
      </c>
      <c r="F223" s="343" t="s">
        <v>236</v>
      </c>
      <c r="G223" s="343" t="s">
        <v>314</v>
      </c>
      <c r="Q223" s="343" t="s">
        <v>146</v>
      </c>
      <c r="R223" s="343" t="s">
        <v>149</v>
      </c>
      <c r="S223" s="384">
        <v>46153</v>
      </c>
      <c r="T223" s="384">
        <v>46159</v>
      </c>
      <c r="U223" s="343" t="s">
        <v>106</v>
      </c>
      <c r="V223" s="343">
        <v>22</v>
      </c>
      <c r="W223" s="343">
        <v>5108.1499999999996</v>
      </c>
      <c r="X223" s="343">
        <v>0</v>
      </c>
      <c r="Y223" s="343">
        <v>0</v>
      </c>
      <c r="Z223" s="343">
        <v>5108.1499999999996</v>
      </c>
      <c r="AA223" s="343">
        <v>13526.76</v>
      </c>
    </row>
    <row r="224" spans="1:27">
      <c r="A224" s="343">
        <v>20250809</v>
      </c>
      <c r="B224" s="343">
        <v>102351.1</v>
      </c>
      <c r="C224" s="343">
        <v>375</v>
      </c>
      <c r="D224" s="343">
        <v>848</v>
      </c>
      <c r="E224" s="384">
        <v>45878</v>
      </c>
      <c r="F224" s="343" t="s">
        <v>244</v>
      </c>
      <c r="G224" s="343" t="s">
        <v>314</v>
      </c>
      <c r="Q224" s="343" t="s">
        <v>146</v>
      </c>
      <c r="R224" s="343" t="s">
        <v>150</v>
      </c>
      <c r="S224" s="384">
        <v>46160</v>
      </c>
      <c r="T224" s="384">
        <v>46166</v>
      </c>
      <c r="U224" s="343" t="s">
        <v>275</v>
      </c>
      <c r="V224" s="343">
        <v>411</v>
      </c>
      <c r="W224" s="343">
        <v>40890</v>
      </c>
      <c r="X224" s="343">
        <v>500</v>
      </c>
      <c r="Y224" s="343">
        <v>0</v>
      </c>
      <c r="Z224" s="343">
        <v>41390</v>
      </c>
      <c r="AA224" s="343">
        <v>3680.1</v>
      </c>
    </row>
    <row r="225" spans="1:27">
      <c r="A225" s="343">
        <v>20250810</v>
      </c>
      <c r="B225" s="343">
        <v>47056</v>
      </c>
      <c r="C225" s="343">
        <v>184</v>
      </c>
      <c r="D225" s="343">
        <v>407</v>
      </c>
      <c r="E225" s="384">
        <v>45879</v>
      </c>
      <c r="F225" s="343" t="s">
        <v>245</v>
      </c>
      <c r="G225" s="343" t="s">
        <v>314</v>
      </c>
      <c r="Q225" s="343" t="s">
        <v>146</v>
      </c>
      <c r="R225" s="343" t="s">
        <v>150</v>
      </c>
      <c r="S225" s="384">
        <v>46160</v>
      </c>
      <c r="T225" s="384">
        <v>46166</v>
      </c>
      <c r="U225" s="343" t="s">
        <v>277</v>
      </c>
      <c r="V225" s="343">
        <v>223</v>
      </c>
      <c r="W225" s="343">
        <v>44966</v>
      </c>
      <c r="X225" s="343">
        <v>997</v>
      </c>
      <c r="Y225" s="343">
        <v>0</v>
      </c>
      <c r="Z225" s="343">
        <v>45963</v>
      </c>
      <c r="AA225" s="343">
        <v>4046.94</v>
      </c>
    </row>
    <row r="226" spans="1:27">
      <c r="A226" s="343">
        <v>20250811</v>
      </c>
      <c r="B226" s="343">
        <v>49695</v>
      </c>
      <c r="C226" s="343">
        <v>165</v>
      </c>
      <c r="D226" s="343">
        <v>408</v>
      </c>
      <c r="E226" s="384">
        <v>45880</v>
      </c>
      <c r="F226" s="343" t="s">
        <v>232</v>
      </c>
      <c r="G226" s="343" t="s">
        <v>315</v>
      </c>
      <c r="Q226" s="343" t="s">
        <v>146</v>
      </c>
      <c r="R226" s="343" t="s">
        <v>150</v>
      </c>
      <c r="S226" s="384">
        <v>46160</v>
      </c>
      <c r="T226" s="384">
        <v>46166</v>
      </c>
      <c r="U226" s="343" t="s">
        <v>279</v>
      </c>
      <c r="V226" s="343">
        <v>298</v>
      </c>
      <c r="W226" s="343">
        <v>3723</v>
      </c>
      <c r="X226" s="343">
        <v>24</v>
      </c>
      <c r="Y226" s="343">
        <v>0</v>
      </c>
      <c r="Z226" s="343">
        <v>3747</v>
      </c>
      <c r="AA226" s="343">
        <v>335.07</v>
      </c>
    </row>
    <row r="227" spans="1:27">
      <c r="A227" s="343">
        <v>20250812</v>
      </c>
      <c r="B227" s="343">
        <v>39898.5</v>
      </c>
      <c r="C227" s="343">
        <v>166</v>
      </c>
      <c r="D227" s="343">
        <v>373</v>
      </c>
      <c r="E227" s="384">
        <v>45881</v>
      </c>
      <c r="F227" s="343" t="s">
        <v>233</v>
      </c>
      <c r="G227" s="343" t="s">
        <v>315</v>
      </c>
      <c r="Q227" s="343" t="s">
        <v>146</v>
      </c>
      <c r="R227" s="343" t="s">
        <v>150</v>
      </c>
      <c r="S227" s="384">
        <v>46160</v>
      </c>
      <c r="T227" s="384">
        <v>46166</v>
      </c>
      <c r="U227" s="343" t="s">
        <v>281</v>
      </c>
      <c r="V227" s="343">
        <v>6932</v>
      </c>
      <c r="W227" s="343">
        <v>161950.07999999999</v>
      </c>
      <c r="X227" s="343">
        <v>3969</v>
      </c>
      <c r="Y227" s="343">
        <v>0</v>
      </c>
      <c r="Z227" s="343">
        <v>165919.07999999999</v>
      </c>
      <c r="AA227" s="343">
        <v>14575.51</v>
      </c>
    </row>
    <row r="228" spans="1:27">
      <c r="A228" s="343">
        <v>20250813</v>
      </c>
      <c r="B228" s="343">
        <v>52762.5</v>
      </c>
      <c r="C228" s="343">
        <v>188</v>
      </c>
      <c r="D228" s="343">
        <v>421</v>
      </c>
      <c r="E228" s="384">
        <v>45882</v>
      </c>
      <c r="F228" s="343" t="s">
        <v>234</v>
      </c>
      <c r="G228" s="343" t="s">
        <v>315</v>
      </c>
      <c r="Q228" s="343" t="s">
        <v>146</v>
      </c>
      <c r="R228" s="343" t="s">
        <v>150</v>
      </c>
      <c r="S228" s="384">
        <v>46160</v>
      </c>
      <c r="T228" s="384">
        <v>46166</v>
      </c>
      <c r="U228" s="343" t="s">
        <v>283</v>
      </c>
      <c r="V228" s="343">
        <v>2983</v>
      </c>
      <c r="W228" s="343">
        <v>30939.02</v>
      </c>
      <c r="X228" s="343">
        <v>945</v>
      </c>
      <c r="Y228" s="343">
        <v>0</v>
      </c>
      <c r="Z228" s="343">
        <v>31884.02</v>
      </c>
      <c r="AA228" s="343">
        <v>2784.51</v>
      </c>
    </row>
    <row r="229" spans="1:27">
      <c r="A229" s="343">
        <v>20250814</v>
      </c>
      <c r="B229" s="343">
        <v>76163.850000000006</v>
      </c>
      <c r="C229" s="343">
        <v>262</v>
      </c>
      <c r="D229" s="343">
        <v>658</v>
      </c>
      <c r="E229" s="384">
        <v>45883</v>
      </c>
      <c r="F229" s="343" t="s">
        <v>235</v>
      </c>
      <c r="G229" s="343" t="s">
        <v>315</v>
      </c>
      <c r="Q229" s="343" t="s">
        <v>146</v>
      </c>
      <c r="R229" s="343" t="s">
        <v>150</v>
      </c>
      <c r="S229" s="384">
        <v>46160</v>
      </c>
      <c r="T229" s="384">
        <v>46166</v>
      </c>
      <c r="U229" s="343" t="s">
        <v>285</v>
      </c>
      <c r="V229" s="343">
        <v>21459</v>
      </c>
      <c r="W229" s="343">
        <v>427090.5</v>
      </c>
      <c r="X229" s="343">
        <v>14584.5</v>
      </c>
      <c r="Y229" s="343">
        <v>0</v>
      </c>
      <c r="Z229" s="343">
        <v>441675</v>
      </c>
      <c r="AA229" s="343">
        <v>38422.68</v>
      </c>
    </row>
    <row r="230" spans="1:27">
      <c r="A230" s="343">
        <v>20250815</v>
      </c>
      <c r="B230" s="343">
        <v>93034.86</v>
      </c>
      <c r="C230" s="343">
        <v>350</v>
      </c>
      <c r="D230" s="343">
        <v>850</v>
      </c>
      <c r="E230" s="384">
        <v>45884</v>
      </c>
      <c r="F230" s="343" t="s">
        <v>236</v>
      </c>
      <c r="G230" s="343" t="s">
        <v>315</v>
      </c>
      <c r="Q230" s="343" t="s">
        <v>146</v>
      </c>
      <c r="R230" s="343" t="s">
        <v>150</v>
      </c>
      <c r="S230" s="384">
        <v>46160</v>
      </c>
      <c r="T230" s="384">
        <v>46166</v>
      </c>
      <c r="U230" s="343" t="s">
        <v>287</v>
      </c>
      <c r="V230" s="343">
        <v>951</v>
      </c>
      <c r="W230" s="343">
        <v>18288</v>
      </c>
      <c r="X230" s="343">
        <v>694</v>
      </c>
      <c r="Y230" s="343">
        <v>0</v>
      </c>
      <c r="Z230" s="343">
        <v>18982</v>
      </c>
      <c r="AA230" s="343">
        <v>1645.92</v>
      </c>
    </row>
    <row r="231" spans="1:27">
      <c r="A231" s="343">
        <v>20250816</v>
      </c>
      <c r="B231" s="343">
        <v>97831.4</v>
      </c>
      <c r="C231" s="343">
        <v>401</v>
      </c>
      <c r="D231" s="343">
        <v>875</v>
      </c>
      <c r="E231" s="384">
        <v>45885</v>
      </c>
      <c r="F231" s="343" t="s">
        <v>244</v>
      </c>
      <c r="G231" s="343" t="s">
        <v>315</v>
      </c>
      <c r="Q231" s="343" t="s">
        <v>146</v>
      </c>
      <c r="R231" s="343" t="s">
        <v>150</v>
      </c>
      <c r="S231" s="384">
        <v>46160</v>
      </c>
      <c r="T231" s="384">
        <v>46166</v>
      </c>
      <c r="U231" s="343" t="s">
        <v>293</v>
      </c>
      <c r="V231" s="343">
        <v>28</v>
      </c>
      <c r="W231" s="343">
        <v>5768.9</v>
      </c>
      <c r="X231" s="343">
        <v>0</v>
      </c>
      <c r="Y231" s="343">
        <v>0</v>
      </c>
      <c r="Z231" s="343">
        <v>5768.9</v>
      </c>
      <c r="AA231" s="343">
        <v>519.20000000000005</v>
      </c>
    </row>
    <row r="232" spans="1:27">
      <c r="A232" s="343">
        <v>20250817</v>
      </c>
      <c r="B232" s="343">
        <v>65248.85</v>
      </c>
      <c r="C232" s="343">
        <v>216</v>
      </c>
      <c r="D232" s="343">
        <v>524</v>
      </c>
      <c r="E232" s="384">
        <v>45886</v>
      </c>
      <c r="F232" s="343" t="s">
        <v>245</v>
      </c>
      <c r="G232" s="343" t="s">
        <v>315</v>
      </c>
      <c r="Q232" s="343" t="s">
        <v>146</v>
      </c>
      <c r="R232" s="343" t="s">
        <v>150</v>
      </c>
      <c r="S232" s="384">
        <v>46160</v>
      </c>
      <c r="T232" s="384">
        <v>46166</v>
      </c>
      <c r="U232" s="343" t="s">
        <v>106</v>
      </c>
      <c r="V232" s="343">
        <v>17</v>
      </c>
      <c r="W232" s="343">
        <v>4604.87</v>
      </c>
      <c r="X232" s="343">
        <v>0</v>
      </c>
      <c r="Y232" s="343">
        <v>0</v>
      </c>
      <c r="Z232" s="343">
        <v>4604.87</v>
      </c>
      <c r="AA232" s="343">
        <v>13893.53</v>
      </c>
    </row>
    <row r="233" spans="1:27">
      <c r="A233" s="343">
        <v>20250818</v>
      </c>
      <c r="B233" s="343">
        <v>50933.5</v>
      </c>
      <c r="C233" s="343">
        <v>170</v>
      </c>
      <c r="D233" s="343">
        <v>380</v>
      </c>
      <c r="E233" s="384">
        <v>45887</v>
      </c>
      <c r="F233" s="343" t="s">
        <v>232</v>
      </c>
      <c r="G233" s="343" t="s">
        <v>316</v>
      </c>
      <c r="Q233" s="343" t="s">
        <v>152</v>
      </c>
      <c r="R233" s="343" t="s">
        <v>153</v>
      </c>
      <c r="S233" s="384">
        <v>46167</v>
      </c>
      <c r="T233" s="384">
        <v>46173</v>
      </c>
      <c r="U233" s="343" t="s">
        <v>275</v>
      </c>
      <c r="V233" s="343">
        <v>433</v>
      </c>
      <c r="W233" s="343">
        <v>47510</v>
      </c>
      <c r="X233" s="343">
        <v>0</v>
      </c>
      <c r="Y233" s="343">
        <v>0</v>
      </c>
      <c r="Z233" s="343">
        <v>47510</v>
      </c>
      <c r="AA233" s="343">
        <v>4275.8999999999996</v>
      </c>
    </row>
    <row r="234" spans="1:27">
      <c r="A234" s="343">
        <v>20250819</v>
      </c>
      <c r="B234" s="343">
        <v>45580.25</v>
      </c>
      <c r="C234" s="343">
        <v>186</v>
      </c>
      <c r="D234" s="343">
        <v>408</v>
      </c>
      <c r="E234" s="384">
        <v>45888</v>
      </c>
      <c r="F234" s="343" t="s">
        <v>233</v>
      </c>
      <c r="G234" s="343" t="s">
        <v>316</v>
      </c>
      <c r="Q234" s="343" t="s">
        <v>152</v>
      </c>
      <c r="R234" s="343" t="s">
        <v>153</v>
      </c>
      <c r="S234" s="384">
        <v>46167</v>
      </c>
      <c r="T234" s="384">
        <v>46173</v>
      </c>
      <c r="U234" s="343" t="s">
        <v>277</v>
      </c>
      <c r="V234" s="343">
        <v>185</v>
      </c>
      <c r="W234" s="343">
        <v>33323</v>
      </c>
      <c r="X234" s="343">
        <v>187</v>
      </c>
      <c r="Y234" s="343">
        <v>0</v>
      </c>
      <c r="Z234" s="343">
        <v>33510</v>
      </c>
      <c r="AA234" s="343">
        <v>2999.07</v>
      </c>
    </row>
    <row r="235" spans="1:27">
      <c r="A235" s="343">
        <v>20250820</v>
      </c>
      <c r="B235" s="343">
        <v>41737.5</v>
      </c>
      <c r="C235" s="343">
        <v>180</v>
      </c>
      <c r="D235" s="343">
        <v>430</v>
      </c>
      <c r="E235" s="384">
        <v>45889</v>
      </c>
      <c r="F235" s="343" t="s">
        <v>234</v>
      </c>
      <c r="G235" s="343" t="s">
        <v>316</v>
      </c>
      <c r="Q235" s="343" t="s">
        <v>152</v>
      </c>
      <c r="R235" s="343" t="s">
        <v>153</v>
      </c>
      <c r="S235" s="384">
        <v>46167</v>
      </c>
      <c r="T235" s="384">
        <v>46173</v>
      </c>
      <c r="U235" s="343" t="s">
        <v>279</v>
      </c>
      <c r="V235" s="343">
        <v>271</v>
      </c>
      <c r="W235" s="343">
        <v>3419</v>
      </c>
      <c r="X235" s="343">
        <v>48</v>
      </c>
      <c r="Y235" s="343">
        <v>0</v>
      </c>
      <c r="Z235" s="343">
        <v>3467</v>
      </c>
      <c r="AA235" s="343">
        <v>307.70999999999998</v>
      </c>
    </row>
    <row r="236" spans="1:27">
      <c r="A236" s="343">
        <v>20250821</v>
      </c>
      <c r="B236" s="343">
        <v>65372.65</v>
      </c>
      <c r="C236" s="343">
        <v>272</v>
      </c>
      <c r="D236" s="343">
        <v>630</v>
      </c>
      <c r="E236" s="384">
        <v>45890</v>
      </c>
      <c r="F236" s="343" t="s">
        <v>235</v>
      </c>
      <c r="G236" s="343" t="s">
        <v>316</v>
      </c>
      <c r="Q236" s="343" t="s">
        <v>152</v>
      </c>
      <c r="R236" s="343" t="s">
        <v>153</v>
      </c>
      <c r="S236" s="384">
        <v>46167</v>
      </c>
      <c r="T236" s="384">
        <v>46173</v>
      </c>
      <c r="U236" s="343" t="s">
        <v>281</v>
      </c>
      <c r="V236" s="343">
        <v>6899</v>
      </c>
      <c r="W236" s="343">
        <v>160152.49</v>
      </c>
      <c r="X236" s="343">
        <v>4522.5</v>
      </c>
      <c r="Y236" s="343">
        <v>0</v>
      </c>
      <c r="Z236" s="343">
        <v>164674.99</v>
      </c>
      <c r="AA236" s="343">
        <v>14407.54</v>
      </c>
    </row>
    <row r="237" spans="1:27">
      <c r="A237" s="343">
        <v>20250822</v>
      </c>
      <c r="B237" s="343">
        <v>79203.14</v>
      </c>
      <c r="C237" s="343">
        <v>314</v>
      </c>
      <c r="D237" s="343">
        <v>696</v>
      </c>
      <c r="E237" s="384">
        <v>45891</v>
      </c>
      <c r="F237" s="343" t="s">
        <v>236</v>
      </c>
      <c r="G237" s="343" t="s">
        <v>316</v>
      </c>
      <c r="Q237" s="343" t="s">
        <v>152</v>
      </c>
      <c r="R237" s="343" t="s">
        <v>153</v>
      </c>
      <c r="S237" s="384">
        <v>46167</v>
      </c>
      <c r="T237" s="384">
        <v>46173</v>
      </c>
      <c r="U237" s="343" t="s">
        <v>283</v>
      </c>
      <c r="V237" s="343">
        <v>3134</v>
      </c>
      <c r="W237" s="343">
        <v>32724</v>
      </c>
      <c r="X237" s="343">
        <v>952</v>
      </c>
      <c r="Y237" s="343">
        <v>0</v>
      </c>
      <c r="Z237" s="343">
        <v>33676</v>
      </c>
      <c r="AA237" s="343">
        <v>2943.19</v>
      </c>
    </row>
    <row r="238" spans="1:27">
      <c r="A238" s="343">
        <v>20250823</v>
      </c>
      <c r="B238" s="343">
        <v>102472.5</v>
      </c>
      <c r="C238" s="343">
        <v>370</v>
      </c>
      <c r="D238" s="343">
        <v>870</v>
      </c>
      <c r="E238" s="384">
        <v>45892</v>
      </c>
      <c r="F238" s="343" t="s">
        <v>244</v>
      </c>
      <c r="G238" s="343" t="s">
        <v>316</v>
      </c>
      <c r="Q238" s="343" t="s">
        <v>152</v>
      </c>
      <c r="R238" s="343" t="s">
        <v>153</v>
      </c>
      <c r="S238" s="384">
        <v>46167</v>
      </c>
      <c r="T238" s="384">
        <v>46173</v>
      </c>
      <c r="U238" s="343" t="s">
        <v>285</v>
      </c>
      <c r="V238" s="343">
        <v>21164.55</v>
      </c>
      <c r="W238" s="343">
        <v>430619.02</v>
      </c>
      <c r="X238" s="343">
        <v>11887.5</v>
      </c>
      <c r="Y238" s="343">
        <v>0</v>
      </c>
      <c r="Z238" s="343">
        <v>442506.52</v>
      </c>
      <c r="AA238" s="343">
        <v>38713.870000000003</v>
      </c>
    </row>
    <row r="239" spans="1:27">
      <c r="A239" s="343">
        <v>20250824</v>
      </c>
      <c r="B239" s="343">
        <v>49272</v>
      </c>
      <c r="C239" s="343">
        <v>173</v>
      </c>
      <c r="D239" s="343">
        <v>385</v>
      </c>
      <c r="E239" s="384">
        <v>45893</v>
      </c>
      <c r="F239" s="343" t="s">
        <v>245</v>
      </c>
      <c r="G239" s="343" t="s">
        <v>316</v>
      </c>
      <c r="Q239" s="343" t="s">
        <v>152</v>
      </c>
      <c r="R239" s="343" t="s">
        <v>153</v>
      </c>
      <c r="S239" s="384">
        <v>46167</v>
      </c>
      <c r="T239" s="384">
        <v>46173</v>
      </c>
      <c r="U239" s="343" t="s">
        <v>287</v>
      </c>
      <c r="V239" s="343">
        <v>916</v>
      </c>
      <c r="W239" s="343">
        <v>18201.5</v>
      </c>
      <c r="X239" s="343">
        <v>607.5</v>
      </c>
      <c r="Y239" s="343">
        <v>0</v>
      </c>
      <c r="Z239" s="343">
        <v>18809</v>
      </c>
      <c r="AA239" s="343">
        <v>1638.14</v>
      </c>
    </row>
    <row r="240" spans="1:27">
      <c r="A240" s="343">
        <v>20250825</v>
      </c>
      <c r="B240" s="343">
        <v>41998.9</v>
      </c>
      <c r="C240" s="343">
        <v>154</v>
      </c>
      <c r="D240" s="343">
        <v>346</v>
      </c>
      <c r="E240" s="384">
        <v>45894</v>
      </c>
      <c r="F240" s="343" t="s">
        <v>232</v>
      </c>
      <c r="G240" s="343" t="s">
        <v>317</v>
      </c>
      <c r="Q240" s="343" t="s">
        <v>152</v>
      </c>
      <c r="R240" s="343" t="s">
        <v>153</v>
      </c>
      <c r="S240" s="384">
        <v>46167</v>
      </c>
      <c r="T240" s="384">
        <v>46173</v>
      </c>
      <c r="U240" s="343" t="s">
        <v>293</v>
      </c>
      <c r="V240" s="343">
        <v>19</v>
      </c>
      <c r="W240" s="343">
        <v>2130</v>
      </c>
      <c r="X240" s="343">
        <v>75</v>
      </c>
      <c r="Y240" s="343">
        <v>0</v>
      </c>
      <c r="Z240" s="343">
        <v>2205</v>
      </c>
      <c r="AA240" s="343">
        <v>191.7</v>
      </c>
    </row>
    <row r="241" spans="1:27">
      <c r="A241" s="343">
        <v>20250826</v>
      </c>
      <c r="B241" s="343">
        <v>43892.75</v>
      </c>
      <c r="C241" s="343">
        <v>157</v>
      </c>
      <c r="D241" s="343">
        <v>358</v>
      </c>
      <c r="E241" s="384">
        <v>45895</v>
      </c>
      <c r="F241" s="343" t="s">
        <v>233</v>
      </c>
      <c r="G241" s="343" t="s">
        <v>317</v>
      </c>
      <c r="Q241" s="343" t="s">
        <v>152</v>
      </c>
      <c r="R241" s="343" t="s">
        <v>153</v>
      </c>
      <c r="S241" s="384">
        <v>46167</v>
      </c>
      <c r="T241" s="384">
        <v>46173</v>
      </c>
      <c r="U241" s="343" t="s">
        <v>106</v>
      </c>
      <c r="V241" s="343">
        <v>14</v>
      </c>
      <c r="W241" s="343">
        <v>4939.45</v>
      </c>
      <c r="X241" s="343">
        <v>0</v>
      </c>
      <c r="Y241" s="343">
        <v>0</v>
      </c>
      <c r="Z241" s="343">
        <v>4939.45</v>
      </c>
      <c r="AA241" s="343">
        <v>13778.13</v>
      </c>
    </row>
    <row r="242" spans="1:27">
      <c r="A242" s="343">
        <v>20250827</v>
      </c>
      <c r="B242" s="343">
        <v>40582.199999999997</v>
      </c>
      <c r="C242" s="343">
        <v>160</v>
      </c>
      <c r="D242" s="343">
        <v>336</v>
      </c>
      <c r="E242" s="384">
        <v>45896</v>
      </c>
      <c r="F242" s="343" t="s">
        <v>234</v>
      </c>
      <c r="G242" s="343" t="s">
        <v>317</v>
      </c>
      <c r="Q242" s="343" t="s">
        <v>152</v>
      </c>
      <c r="R242" s="343" t="s">
        <v>153</v>
      </c>
      <c r="S242" s="384">
        <v>46167</v>
      </c>
      <c r="T242" s="384">
        <v>46173</v>
      </c>
      <c r="U242" s="343" t="s">
        <v>335</v>
      </c>
      <c r="V242" s="343">
        <v>0</v>
      </c>
      <c r="W242" s="343">
        <v>-20698.37</v>
      </c>
      <c r="X242" s="343">
        <v>0</v>
      </c>
      <c r="Y242" s="343">
        <v>20698</v>
      </c>
      <c r="Z242" s="343">
        <v>0</v>
      </c>
      <c r="AA242" s="343">
        <v>0</v>
      </c>
    </row>
    <row r="243" spans="1:27">
      <c r="A243" s="343">
        <v>20250828</v>
      </c>
      <c r="B243" s="343">
        <v>71803.3</v>
      </c>
      <c r="C243" s="343">
        <v>259</v>
      </c>
      <c r="D243" s="343">
        <v>609</v>
      </c>
      <c r="E243" s="384">
        <v>45897</v>
      </c>
      <c r="F243" s="343" t="s">
        <v>235</v>
      </c>
      <c r="G243" s="343" t="s">
        <v>317</v>
      </c>
      <c r="Q243" s="343" t="s">
        <v>152</v>
      </c>
      <c r="R243" s="343" t="s">
        <v>154</v>
      </c>
      <c r="S243" s="384">
        <v>46174</v>
      </c>
      <c r="T243" s="384">
        <v>46180</v>
      </c>
      <c r="U243" s="343" t="s">
        <v>275</v>
      </c>
      <c r="V243" s="343">
        <v>340</v>
      </c>
      <c r="W243" s="343">
        <v>35955</v>
      </c>
      <c r="X243" s="343">
        <v>500</v>
      </c>
      <c r="Y243" s="343">
        <v>0</v>
      </c>
      <c r="Z243" s="343">
        <v>36455</v>
      </c>
      <c r="AA243" s="343">
        <v>3235.95</v>
      </c>
    </row>
    <row r="244" spans="1:27">
      <c r="A244" s="343">
        <v>20250829</v>
      </c>
      <c r="B244" s="343">
        <v>91426.18</v>
      </c>
      <c r="C244" s="343">
        <v>371</v>
      </c>
      <c r="D244" s="343">
        <v>826</v>
      </c>
      <c r="E244" s="384">
        <v>45898</v>
      </c>
      <c r="F244" s="343" t="s">
        <v>236</v>
      </c>
      <c r="G244" s="343" t="s">
        <v>317</v>
      </c>
      <c r="Q244" s="343" t="s">
        <v>152</v>
      </c>
      <c r="R244" s="343" t="s">
        <v>154</v>
      </c>
      <c r="S244" s="384">
        <v>46174</v>
      </c>
      <c r="T244" s="384">
        <v>46180</v>
      </c>
      <c r="U244" s="343" t="s">
        <v>277</v>
      </c>
      <c r="V244" s="343">
        <v>343</v>
      </c>
      <c r="W244" s="343">
        <v>32781</v>
      </c>
      <c r="X244" s="343">
        <v>365</v>
      </c>
      <c r="Y244" s="343">
        <v>0</v>
      </c>
      <c r="Z244" s="343">
        <v>33146</v>
      </c>
      <c r="AA244" s="343">
        <v>2950.29</v>
      </c>
    </row>
    <row r="245" spans="1:27">
      <c r="A245" s="343">
        <v>20250830</v>
      </c>
      <c r="B245" s="343">
        <v>118696.42</v>
      </c>
      <c r="C245" s="343">
        <v>437</v>
      </c>
      <c r="D245" s="343">
        <v>982</v>
      </c>
      <c r="E245" s="384">
        <v>45899</v>
      </c>
      <c r="F245" s="343" t="s">
        <v>244</v>
      </c>
      <c r="G245" s="343" t="s">
        <v>317</v>
      </c>
      <c r="Q245" s="343" t="s">
        <v>152</v>
      </c>
      <c r="R245" s="343" t="s">
        <v>154</v>
      </c>
      <c r="S245" s="384">
        <v>46174</v>
      </c>
      <c r="T245" s="384">
        <v>46180</v>
      </c>
      <c r="U245" s="343" t="s">
        <v>279</v>
      </c>
      <c r="V245" s="343">
        <v>316</v>
      </c>
      <c r="W245" s="343">
        <v>3909</v>
      </c>
      <c r="X245" s="343">
        <v>0</v>
      </c>
      <c r="Y245" s="343">
        <v>0</v>
      </c>
      <c r="Z245" s="343">
        <v>3909</v>
      </c>
      <c r="AA245" s="343">
        <v>351.81</v>
      </c>
    </row>
    <row r="246" spans="1:27">
      <c r="A246" s="343">
        <v>20250831</v>
      </c>
      <c r="B246" s="343">
        <v>83779.5</v>
      </c>
      <c r="C246" s="343">
        <v>354</v>
      </c>
      <c r="D246" s="343">
        <v>769</v>
      </c>
      <c r="E246" s="384">
        <v>45900</v>
      </c>
      <c r="F246" s="343" t="s">
        <v>245</v>
      </c>
      <c r="G246" s="343" t="s">
        <v>317</v>
      </c>
      <c r="Q246" s="343" t="s">
        <v>152</v>
      </c>
      <c r="R246" s="343" t="s">
        <v>154</v>
      </c>
      <c r="S246" s="384">
        <v>46174</v>
      </c>
      <c r="T246" s="384">
        <v>46180</v>
      </c>
      <c r="U246" s="343" t="s">
        <v>281</v>
      </c>
      <c r="V246" s="343">
        <v>5565</v>
      </c>
      <c r="W246" s="343">
        <v>126750.75</v>
      </c>
      <c r="X246" s="343">
        <v>3438.75</v>
      </c>
      <c r="Y246" s="343">
        <v>0</v>
      </c>
      <c r="Z246" s="343">
        <v>130189.5</v>
      </c>
      <c r="AA246" s="343">
        <v>11407.58</v>
      </c>
    </row>
    <row r="247" spans="1:27">
      <c r="A247" s="343">
        <v>20250901</v>
      </c>
      <c r="B247" s="343">
        <v>44801</v>
      </c>
      <c r="C247" s="343">
        <v>173</v>
      </c>
      <c r="D247" s="343">
        <v>370</v>
      </c>
      <c r="E247" s="384">
        <v>45901</v>
      </c>
      <c r="F247" s="343" t="s">
        <v>232</v>
      </c>
      <c r="G247" s="343" t="s">
        <v>318</v>
      </c>
      <c r="Q247" s="343" t="s">
        <v>152</v>
      </c>
      <c r="R247" s="343" t="s">
        <v>154</v>
      </c>
      <c r="S247" s="384">
        <v>46174</v>
      </c>
      <c r="T247" s="384">
        <v>46180</v>
      </c>
      <c r="U247" s="343" t="s">
        <v>283</v>
      </c>
      <c r="V247" s="343">
        <v>2367</v>
      </c>
      <c r="W247" s="343">
        <v>24840.01</v>
      </c>
      <c r="X247" s="343">
        <v>520</v>
      </c>
      <c r="Y247" s="343">
        <v>0</v>
      </c>
      <c r="Z247" s="343">
        <v>25360.01</v>
      </c>
      <c r="AA247" s="343">
        <v>2235.63</v>
      </c>
    </row>
    <row r="248" spans="1:27">
      <c r="A248" s="343">
        <v>20250902</v>
      </c>
      <c r="B248" s="343">
        <v>31073</v>
      </c>
      <c r="C248" s="343">
        <v>143</v>
      </c>
      <c r="D248" s="343">
        <v>294</v>
      </c>
      <c r="E248" s="384">
        <v>45902</v>
      </c>
      <c r="F248" s="343" t="s">
        <v>233</v>
      </c>
      <c r="G248" s="343" t="s">
        <v>318</v>
      </c>
      <c r="Q248" s="343" t="s">
        <v>152</v>
      </c>
      <c r="R248" s="343" t="s">
        <v>154</v>
      </c>
      <c r="S248" s="384">
        <v>46174</v>
      </c>
      <c r="T248" s="384">
        <v>46180</v>
      </c>
      <c r="U248" s="343" t="s">
        <v>285</v>
      </c>
      <c r="V248" s="343">
        <v>19268.150000000001</v>
      </c>
      <c r="W248" s="343">
        <v>391356.75</v>
      </c>
      <c r="X248" s="343">
        <v>8104.75</v>
      </c>
      <c r="Y248" s="343">
        <v>0</v>
      </c>
      <c r="Z248" s="343">
        <v>399461.5</v>
      </c>
      <c r="AA248" s="343">
        <v>35222.35</v>
      </c>
    </row>
    <row r="249" spans="1:27">
      <c r="A249" s="343">
        <v>20250903</v>
      </c>
      <c r="B249" s="343">
        <v>34288</v>
      </c>
      <c r="C249" s="343">
        <v>136</v>
      </c>
      <c r="D249" s="343">
        <v>305</v>
      </c>
      <c r="E249" s="384">
        <v>45903</v>
      </c>
      <c r="F249" s="343" t="s">
        <v>234</v>
      </c>
      <c r="G249" s="343" t="s">
        <v>318</v>
      </c>
      <c r="Q249" s="343" t="s">
        <v>152</v>
      </c>
      <c r="R249" s="343" t="s">
        <v>154</v>
      </c>
      <c r="S249" s="384">
        <v>46174</v>
      </c>
      <c r="T249" s="384">
        <v>46180</v>
      </c>
      <c r="U249" s="343" t="s">
        <v>287</v>
      </c>
      <c r="V249" s="343">
        <v>698</v>
      </c>
      <c r="W249" s="343">
        <v>12654</v>
      </c>
      <c r="X249" s="343">
        <v>387</v>
      </c>
      <c r="Y249" s="343">
        <v>0</v>
      </c>
      <c r="Z249" s="343">
        <v>13041</v>
      </c>
      <c r="AA249" s="343">
        <v>1138.8599999999999</v>
      </c>
    </row>
    <row r="250" spans="1:27">
      <c r="A250" s="343">
        <v>20250904</v>
      </c>
      <c r="B250" s="343">
        <v>47258.5</v>
      </c>
      <c r="C250" s="343">
        <v>211</v>
      </c>
      <c r="D250" s="343">
        <v>475</v>
      </c>
      <c r="E250" s="384">
        <v>45904</v>
      </c>
      <c r="F250" s="343" t="s">
        <v>235</v>
      </c>
      <c r="G250" s="343" t="s">
        <v>318</v>
      </c>
      <c r="Q250" s="343" t="s">
        <v>152</v>
      </c>
      <c r="R250" s="343" t="s">
        <v>154</v>
      </c>
      <c r="S250" s="384">
        <v>46174</v>
      </c>
      <c r="T250" s="384">
        <v>46180</v>
      </c>
      <c r="U250" s="343" t="s">
        <v>291</v>
      </c>
      <c r="V250" s="343">
        <v>2</v>
      </c>
      <c r="W250" s="343">
        <v>100</v>
      </c>
      <c r="X250" s="343">
        <v>0</v>
      </c>
      <c r="Y250" s="343">
        <v>0</v>
      </c>
      <c r="Z250" s="343">
        <v>100</v>
      </c>
      <c r="AA250" s="343">
        <v>9</v>
      </c>
    </row>
    <row r="251" spans="1:27">
      <c r="A251" s="343">
        <v>20250905</v>
      </c>
      <c r="B251" s="343">
        <v>91491.36</v>
      </c>
      <c r="C251" s="343">
        <v>304</v>
      </c>
      <c r="D251" s="343">
        <v>695</v>
      </c>
      <c r="E251" s="384">
        <v>45905</v>
      </c>
      <c r="F251" s="343" t="s">
        <v>236</v>
      </c>
      <c r="G251" s="343" t="s">
        <v>318</v>
      </c>
      <c r="Q251" s="343" t="s">
        <v>152</v>
      </c>
      <c r="R251" s="343" t="s">
        <v>154</v>
      </c>
      <c r="S251" s="384">
        <v>46174</v>
      </c>
      <c r="T251" s="384">
        <v>46180</v>
      </c>
      <c r="U251" s="343" t="s">
        <v>293</v>
      </c>
      <c r="V251" s="343">
        <v>48</v>
      </c>
      <c r="W251" s="343">
        <v>4551.49</v>
      </c>
      <c r="X251" s="343">
        <v>175</v>
      </c>
      <c r="Y251" s="343">
        <v>0</v>
      </c>
      <c r="Z251" s="343">
        <v>4726.49</v>
      </c>
      <c r="AA251" s="343">
        <v>409.63</v>
      </c>
    </row>
    <row r="252" spans="1:27">
      <c r="A252" s="343">
        <v>20250906</v>
      </c>
      <c r="B252" s="343">
        <v>88971.1</v>
      </c>
      <c r="C252" s="343">
        <v>380</v>
      </c>
      <c r="D252" s="343">
        <v>778</v>
      </c>
      <c r="E252" s="384">
        <v>45906</v>
      </c>
      <c r="F252" s="343" t="s">
        <v>244</v>
      </c>
      <c r="G252" s="343" t="s">
        <v>318</v>
      </c>
      <c r="Q252" s="343" t="s">
        <v>152</v>
      </c>
      <c r="R252" s="343" t="s">
        <v>154</v>
      </c>
      <c r="S252" s="384">
        <v>46174</v>
      </c>
      <c r="T252" s="384">
        <v>46180</v>
      </c>
      <c r="U252" s="343" t="s">
        <v>106</v>
      </c>
      <c r="V252" s="343">
        <v>16</v>
      </c>
      <c r="W252" s="343">
        <v>8562.35</v>
      </c>
      <c r="X252" s="343">
        <v>0</v>
      </c>
      <c r="Y252" s="343">
        <v>0</v>
      </c>
      <c r="Z252" s="343">
        <v>8562.35</v>
      </c>
      <c r="AA252" s="343">
        <v>12015.95</v>
      </c>
    </row>
    <row r="253" spans="1:27">
      <c r="A253" s="343">
        <v>20250907</v>
      </c>
      <c r="B253" s="343">
        <v>46173.5</v>
      </c>
      <c r="C253" s="343">
        <v>186</v>
      </c>
      <c r="D253" s="343">
        <v>382</v>
      </c>
      <c r="E253" s="384">
        <v>45907</v>
      </c>
      <c r="F253" s="343" t="s">
        <v>245</v>
      </c>
      <c r="G253" s="343" t="s">
        <v>318</v>
      </c>
      <c r="Q253" s="343" t="s">
        <v>152</v>
      </c>
      <c r="R253" s="343" t="s">
        <v>154</v>
      </c>
      <c r="S253" s="384">
        <v>46174</v>
      </c>
      <c r="T253" s="384">
        <v>46180</v>
      </c>
      <c r="U253" s="343" t="s">
        <v>335</v>
      </c>
      <c r="V253" s="343">
        <v>0</v>
      </c>
      <c r="W253" s="343">
        <v>-91.07</v>
      </c>
      <c r="X253" s="343">
        <v>0</v>
      </c>
      <c r="Y253" s="343">
        <v>91</v>
      </c>
      <c r="Z253" s="343">
        <v>0</v>
      </c>
      <c r="AA253" s="343">
        <v>0</v>
      </c>
    </row>
    <row r="254" spans="1:27">
      <c r="A254" s="343">
        <v>20250908</v>
      </c>
      <c r="B254" s="343">
        <v>37299</v>
      </c>
      <c r="C254" s="343">
        <v>82</v>
      </c>
      <c r="D254" s="343">
        <v>164</v>
      </c>
      <c r="E254" s="384">
        <v>45908</v>
      </c>
      <c r="F254" s="343" t="s">
        <v>232</v>
      </c>
      <c r="G254" s="343" t="s">
        <v>319</v>
      </c>
      <c r="Q254" s="343" t="s">
        <v>152</v>
      </c>
      <c r="R254" s="343" t="s">
        <v>155</v>
      </c>
      <c r="S254" s="384">
        <v>46181</v>
      </c>
      <c r="T254" s="384">
        <v>46187</v>
      </c>
      <c r="U254" s="343" t="s">
        <v>279</v>
      </c>
      <c r="V254" s="343">
        <v>208</v>
      </c>
      <c r="W254" s="343">
        <v>2608</v>
      </c>
      <c r="X254" s="343">
        <v>12</v>
      </c>
      <c r="Y254" s="343">
        <v>0</v>
      </c>
      <c r="Z254" s="343">
        <v>2620</v>
      </c>
      <c r="AA254" s="343">
        <v>234.72</v>
      </c>
    </row>
    <row r="255" spans="1:27">
      <c r="A255" s="343">
        <v>20250909</v>
      </c>
      <c r="B255" s="343">
        <v>31433</v>
      </c>
      <c r="C255" s="343">
        <v>109</v>
      </c>
      <c r="D255" s="343">
        <v>241</v>
      </c>
      <c r="E255" s="384">
        <v>45909</v>
      </c>
      <c r="F255" s="343" t="s">
        <v>233</v>
      </c>
      <c r="G255" s="343" t="s">
        <v>319</v>
      </c>
      <c r="Q255" s="343" t="s">
        <v>152</v>
      </c>
      <c r="R255" s="343" t="s">
        <v>155</v>
      </c>
      <c r="S255" s="384">
        <v>46181</v>
      </c>
      <c r="T255" s="384">
        <v>46187</v>
      </c>
      <c r="U255" s="343" t="s">
        <v>285</v>
      </c>
      <c r="V255" s="343">
        <v>17239.849999999999</v>
      </c>
      <c r="W255" s="343">
        <v>335312.75</v>
      </c>
      <c r="X255" s="343">
        <v>11628.25</v>
      </c>
      <c r="Y255" s="343">
        <v>0</v>
      </c>
      <c r="Z255" s="343">
        <v>346941</v>
      </c>
      <c r="AA255" s="343">
        <v>30141.69</v>
      </c>
    </row>
    <row r="256" spans="1:27">
      <c r="A256" s="343">
        <v>20250910</v>
      </c>
      <c r="B256" s="343">
        <v>44317.4</v>
      </c>
      <c r="C256" s="343">
        <v>167</v>
      </c>
      <c r="D256" s="343">
        <v>446</v>
      </c>
      <c r="E256" s="384">
        <v>45910</v>
      </c>
      <c r="F256" s="343" t="s">
        <v>234</v>
      </c>
      <c r="G256" s="343" t="s">
        <v>319</v>
      </c>
      <c r="Q256" s="343" t="s">
        <v>152</v>
      </c>
      <c r="R256" s="343" t="s">
        <v>155</v>
      </c>
      <c r="S256" s="384">
        <v>46181</v>
      </c>
      <c r="T256" s="384">
        <v>46187</v>
      </c>
      <c r="U256" s="343" t="s">
        <v>275</v>
      </c>
      <c r="V256" s="343">
        <v>317</v>
      </c>
      <c r="W256" s="343">
        <v>33545</v>
      </c>
      <c r="X256" s="343">
        <v>580</v>
      </c>
      <c r="Y256" s="343">
        <v>0</v>
      </c>
      <c r="Z256" s="343">
        <v>34125</v>
      </c>
      <c r="AA256" s="343">
        <v>3019.06</v>
      </c>
    </row>
    <row r="257" spans="1:27">
      <c r="A257" s="343">
        <v>20250911</v>
      </c>
      <c r="B257" s="343">
        <v>76870.45</v>
      </c>
      <c r="C257" s="343">
        <v>271</v>
      </c>
      <c r="D257" s="343">
        <v>626</v>
      </c>
      <c r="E257" s="384">
        <v>45911</v>
      </c>
      <c r="F257" s="343" t="s">
        <v>235</v>
      </c>
      <c r="G257" s="343" t="s">
        <v>319</v>
      </c>
      <c r="Q257" s="343" t="s">
        <v>152</v>
      </c>
      <c r="R257" s="343" t="s">
        <v>155</v>
      </c>
      <c r="S257" s="384">
        <v>46181</v>
      </c>
      <c r="T257" s="384">
        <v>46187</v>
      </c>
      <c r="U257" s="343" t="s">
        <v>281</v>
      </c>
      <c r="V257" s="343">
        <v>5158</v>
      </c>
      <c r="W257" s="343">
        <v>117578</v>
      </c>
      <c r="X257" s="343">
        <v>3663</v>
      </c>
      <c r="Y257" s="343">
        <v>0</v>
      </c>
      <c r="Z257" s="343">
        <v>121241</v>
      </c>
      <c r="AA257" s="343">
        <v>10556.12</v>
      </c>
    </row>
    <row r="258" spans="1:27">
      <c r="A258" s="343">
        <v>20250912</v>
      </c>
      <c r="B258" s="343">
        <v>120397.4</v>
      </c>
      <c r="C258" s="343">
        <v>385</v>
      </c>
      <c r="D258" s="343">
        <v>956</v>
      </c>
      <c r="E258" s="384">
        <v>45912</v>
      </c>
      <c r="F258" s="343" t="s">
        <v>236</v>
      </c>
      <c r="G258" s="343" t="s">
        <v>319</v>
      </c>
      <c r="Q258" s="343" t="s">
        <v>152</v>
      </c>
      <c r="R258" s="343" t="s">
        <v>155</v>
      </c>
      <c r="S258" s="384">
        <v>46181</v>
      </c>
      <c r="T258" s="384">
        <v>46187</v>
      </c>
      <c r="U258" s="343" t="s">
        <v>283</v>
      </c>
      <c r="V258" s="343">
        <v>2452</v>
      </c>
      <c r="W258" s="343">
        <v>25516.25</v>
      </c>
      <c r="X258" s="343">
        <v>576.75</v>
      </c>
      <c r="Y258" s="343">
        <v>0</v>
      </c>
      <c r="Z258" s="343">
        <v>26093</v>
      </c>
      <c r="AA258" s="343">
        <v>2294.7800000000002</v>
      </c>
    </row>
    <row r="259" spans="1:27">
      <c r="A259" s="343">
        <v>20250913</v>
      </c>
      <c r="B259" s="343">
        <v>114265.8</v>
      </c>
      <c r="C259" s="343">
        <v>393</v>
      </c>
      <c r="D259" s="343">
        <v>956</v>
      </c>
      <c r="E259" s="384">
        <v>45913</v>
      </c>
      <c r="F259" s="343" t="s">
        <v>244</v>
      </c>
      <c r="G259" s="343" t="s">
        <v>319</v>
      </c>
      <c r="Q259" s="343" t="s">
        <v>152</v>
      </c>
      <c r="R259" s="343" t="s">
        <v>155</v>
      </c>
      <c r="S259" s="384">
        <v>46181</v>
      </c>
      <c r="T259" s="384">
        <v>46187</v>
      </c>
      <c r="U259" s="343" t="s">
        <v>293</v>
      </c>
      <c r="V259" s="343">
        <v>42</v>
      </c>
      <c r="W259" s="343">
        <v>4691</v>
      </c>
      <c r="X259" s="343">
        <v>145</v>
      </c>
      <c r="Y259" s="343">
        <v>0</v>
      </c>
      <c r="Z259" s="343">
        <v>4836</v>
      </c>
      <c r="AA259" s="343">
        <v>413.79</v>
      </c>
    </row>
    <row r="260" spans="1:27">
      <c r="A260" s="343">
        <v>20250914</v>
      </c>
      <c r="B260" s="343">
        <v>50401</v>
      </c>
      <c r="C260" s="343">
        <v>185</v>
      </c>
      <c r="D260" s="343">
        <v>411</v>
      </c>
      <c r="E260" s="384">
        <v>45914</v>
      </c>
      <c r="F260" s="343" t="s">
        <v>245</v>
      </c>
      <c r="G260" s="343" t="s">
        <v>319</v>
      </c>
      <c r="Q260" s="343" t="s">
        <v>152</v>
      </c>
      <c r="R260" s="343" t="s">
        <v>155</v>
      </c>
      <c r="S260" s="384">
        <v>46181</v>
      </c>
      <c r="T260" s="384">
        <v>46187</v>
      </c>
      <c r="U260" s="343" t="s">
        <v>106</v>
      </c>
      <c r="V260" s="343">
        <v>19</v>
      </c>
      <c r="W260" s="343">
        <v>3777.42</v>
      </c>
      <c r="X260" s="343">
        <v>0</v>
      </c>
      <c r="Y260" s="343">
        <v>0</v>
      </c>
      <c r="Z260" s="343">
        <v>3777.42</v>
      </c>
      <c r="AA260" s="343">
        <v>0</v>
      </c>
    </row>
    <row r="261" spans="1:27">
      <c r="A261" s="343">
        <v>20250915</v>
      </c>
      <c r="B261" s="343">
        <v>74814.600000000006</v>
      </c>
      <c r="C261" s="343">
        <v>167</v>
      </c>
      <c r="D261" s="343">
        <v>508</v>
      </c>
      <c r="E261" s="384">
        <v>45915</v>
      </c>
      <c r="F261" s="343" t="s">
        <v>232</v>
      </c>
      <c r="G261" s="343" t="s">
        <v>320</v>
      </c>
      <c r="Q261" s="343" t="s">
        <v>152</v>
      </c>
      <c r="R261" s="343" t="s">
        <v>155</v>
      </c>
      <c r="S261" s="384">
        <v>46181</v>
      </c>
      <c r="T261" s="384">
        <v>46187</v>
      </c>
      <c r="U261" s="343" t="s">
        <v>277</v>
      </c>
      <c r="V261" s="343">
        <v>214</v>
      </c>
      <c r="W261" s="343">
        <v>28211</v>
      </c>
      <c r="X261" s="343">
        <v>42</v>
      </c>
      <c r="Y261" s="343">
        <v>0</v>
      </c>
      <c r="Z261" s="343">
        <v>28253</v>
      </c>
      <c r="AA261" s="343">
        <v>2538.9899999999998</v>
      </c>
    </row>
    <row r="262" spans="1:27">
      <c r="A262" s="343">
        <v>20250916</v>
      </c>
      <c r="B262" s="343">
        <v>70866.45</v>
      </c>
      <c r="C262" s="343">
        <v>166</v>
      </c>
      <c r="D262" s="343">
        <v>405</v>
      </c>
      <c r="E262" s="384">
        <v>45916</v>
      </c>
      <c r="F262" s="343" t="s">
        <v>233</v>
      </c>
      <c r="G262" s="343" t="s">
        <v>320</v>
      </c>
      <c r="Q262" s="343" t="s">
        <v>152</v>
      </c>
      <c r="R262" s="343" t="s">
        <v>155</v>
      </c>
      <c r="S262" s="384">
        <v>46181</v>
      </c>
      <c r="T262" s="384">
        <v>46187</v>
      </c>
      <c r="U262" s="343" t="s">
        <v>287</v>
      </c>
      <c r="V262" s="343">
        <v>777</v>
      </c>
      <c r="W262" s="343">
        <v>15185</v>
      </c>
      <c r="X262" s="343">
        <v>824</v>
      </c>
      <c r="Y262" s="343">
        <v>0</v>
      </c>
      <c r="Z262" s="343">
        <v>16009</v>
      </c>
      <c r="AA262" s="343">
        <v>1366.65</v>
      </c>
    </row>
    <row r="263" spans="1:27">
      <c r="A263" s="343">
        <v>20250917</v>
      </c>
      <c r="B263" s="343">
        <v>46710</v>
      </c>
      <c r="C263" s="343">
        <v>153</v>
      </c>
      <c r="D263" s="343">
        <v>329</v>
      </c>
      <c r="E263" s="384">
        <v>45917</v>
      </c>
      <c r="F263" s="343" t="s">
        <v>234</v>
      </c>
      <c r="G263" s="343" t="s">
        <v>320</v>
      </c>
      <c r="Q263" s="343" t="s">
        <v>152</v>
      </c>
      <c r="R263" s="343" t="s">
        <v>156</v>
      </c>
      <c r="S263" s="384">
        <v>46188</v>
      </c>
      <c r="T263" s="384">
        <v>46194</v>
      </c>
      <c r="U263" s="343" t="s">
        <v>279</v>
      </c>
      <c r="V263" s="343">
        <v>281</v>
      </c>
      <c r="W263" s="343">
        <v>3434</v>
      </c>
      <c r="X263" s="343">
        <v>60</v>
      </c>
      <c r="Y263" s="343">
        <v>0</v>
      </c>
      <c r="Z263" s="343">
        <v>3494</v>
      </c>
      <c r="AA263" s="343">
        <v>305.82</v>
      </c>
    </row>
    <row r="264" spans="1:27">
      <c r="A264" s="343">
        <v>20250918</v>
      </c>
      <c r="B264" s="343">
        <v>59706.5</v>
      </c>
      <c r="C264" s="343">
        <v>215</v>
      </c>
      <c r="D264" s="343">
        <v>477</v>
      </c>
      <c r="E264" s="384">
        <v>45918</v>
      </c>
      <c r="F264" s="343" t="s">
        <v>235</v>
      </c>
      <c r="G264" s="343" t="s">
        <v>320</v>
      </c>
      <c r="Q264" s="343" t="s">
        <v>152</v>
      </c>
      <c r="R264" s="343" t="s">
        <v>156</v>
      </c>
      <c r="S264" s="384">
        <v>46188</v>
      </c>
      <c r="T264" s="384">
        <v>46194</v>
      </c>
      <c r="U264" s="343" t="s">
        <v>335</v>
      </c>
      <c r="V264" s="343">
        <v>0</v>
      </c>
      <c r="W264" s="343">
        <v>-173.09</v>
      </c>
      <c r="X264" s="343">
        <v>0</v>
      </c>
      <c r="Y264" s="343">
        <v>173</v>
      </c>
      <c r="Z264" s="343">
        <v>0</v>
      </c>
      <c r="AA264" s="343">
        <v>0</v>
      </c>
    </row>
    <row r="265" spans="1:27">
      <c r="A265" s="343">
        <v>20250919</v>
      </c>
      <c r="B265" s="343">
        <v>100430.85</v>
      </c>
      <c r="C265" s="343">
        <v>365</v>
      </c>
      <c r="D265" s="343">
        <v>799</v>
      </c>
      <c r="E265" s="384">
        <v>45919</v>
      </c>
      <c r="F265" s="343" t="s">
        <v>236</v>
      </c>
      <c r="G265" s="343" t="s">
        <v>320</v>
      </c>
      <c r="Q265" s="343" t="s">
        <v>152</v>
      </c>
      <c r="R265" s="343" t="s">
        <v>156</v>
      </c>
      <c r="S265" s="384">
        <v>46188</v>
      </c>
      <c r="T265" s="384">
        <v>46194</v>
      </c>
      <c r="U265" s="343" t="s">
        <v>285</v>
      </c>
      <c r="V265" s="343">
        <v>19198.474999999999</v>
      </c>
      <c r="W265" s="343">
        <v>344397.1</v>
      </c>
      <c r="X265" s="343">
        <v>8987.9</v>
      </c>
      <c r="Y265" s="343">
        <v>0</v>
      </c>
      <c r="Z265" s="343">
        <v>353385</v>
      </c>
      <c r="AA265" s="343">
        <v>30964.5</v>
      </c>
    </row>
    <row r="266" spans="1:27">
      <c r="A266" s="343">
        <v>20250920</v>
      </c>
      <c r="B266" s="343">
        <v>109282.95</v>
      </c>
      <c r="C266" s="343">
        <v>344</v>
      </c>
      <c r="D266" s="343">
        <v>813</v>
      </c>
      <c r="E266" s="384">
        <v>45920</v>
      </c>
      <c r="F266" s="343" t="s">
        <v>244</v>
      </c>
      <c r="G266" s="343" t="s">
        <v>320</v>
      </c>
      <c r="Q266" s="343" t="s">
        <v>152</v>
      </c>
      <c r="R266" s="343" t="s">
        <v>156</v>
      </c>
      <c r="S266" s="384">
        <v>46188</v>
      </c>
      <c r="T266" s="384">
        <v>46194</v>
      </c>
      <c r="U266" s="343" t="s">
        <v>336</v>
      </c>
      <c r="V266" s="343">
        <v>13</v>
      </c>
      <c r="W266" s="343">
        <v>0</v>
      </c>
      <c r="X266" s="343">
        <v>0</v>
      </c>
      <c r="Y266" s="343">
        <v>0</v>
      </c>
      <c r="Z266" s="343">
        <v>0</v>
      </c>
      <c r="AA266" s="343">
        <v>0</v>
      </c>
    </row>
    <row r="267" spans="1:27">
      <c r="A267" s="343">
        <v>20250921</v>
      </c>
      <c r="B267" s="343">
        <v>43310</v>
      </c>
      <c r="C267" s="343">
        <v>172</v>
      </c>
      <c r="D267" s="343">
        <v>369</v>
      </c>
      <c r="E267" s="384">
        <v>45921</v>
      </c>
      <c r="F267" s="343" t="s">
        <v>245</v>
      </c>
      <c r="G267" s="343" t="s">
        <v>320</v>
      </c>
      <c r="Q267" s="343" t="s">
        <v>152</v>
      </c>
      <c r="R267" s="343" t="s">
        <v>156</v>
      </c>
      <c r="S267" s="384">
        <v>46188</v>
      </c>
      <c r="T267" s="384">
        <v>46194</v>
      </c>
      <c r="U267" s="343" t="s">
        <v>275</v>
      </c>
      <c r="V267" s="343">
        <v>435</v>
      </c>
      <c r="W267" s="343">
        <v>51315</v>
      </c>
      <c r="X267" s="343">
        <v>220</v>
      </c>
      <c r="Y267" s="343">
        <v>0</v>
      </c>
      <c r="Z267" s="343">
        <v>51535</v>
      </c>
      <c r="AA267" s="343">
        <v>4618.3500000000004</v>
      </c>
    </row>
    <row r="268" spans="1:27">
      <c r="A268" s="343">
        <v>20250922</v>
      </c>
      <c r="B268" s="343">
        <v>44518.3</v>
      </c>
      <c r="C268" s="343">
        <v>150</v>
      </c>
      <c r="D268" s="343">
        <v>324</v>
      </c>
      <c r="E268" s="384">
        <v>45922</v>
      </c>
      <c r="F268" s="343" t="s">
        <v>232</v>
      </c>
      <c r="G268" s="343" t="s">
        <v>321</v>
      </c>
      <c r="Q268" s="343" t="s">
        <v>152</v>
      </c>
      <c r="R268" s="343" t="s">
        <v>156</v>
      </c>
      <c r="S268" s="384">
        <v>46188</v>
      </c>
      <c r="T268" s="384">
        <v>46194</v>
      </c>
      <c r="U268" s="343" t="s">
        <v>281</v>
      </c>
      <c r="V268" s="343">
        <v>5132</v>
      </c>
      <c r="W268" s="343">
        <v>112597.5</v>
      </c>
      <c r="X268" s="343">
        <v>2681.5</v>
      </c>
      <c r="Y268" s="343">
        <v>0</v>
      </c>
      <c r="Z268" s="343">
        <v>115279</v>
      </c>
      <c r="AA268" s="343">
        <v>10133.83</v>
      </c>
    </row>
    <row r="269" spans="1:27">
      <c r="A269" s="343">
        <v>20250923</v>
      </c>
      <c r="B269" s="343">
        <v>33566</v>
      </c>
      <c r="C269" s="343">
        <v>142</v>
      </c>
      <c r="D269" s="343">
        <v>290</v>
      </c>
      <c r="E269" s="384">
        <v>45923</v>
      </c>
      <c r="F269" s="343" t="s">
        <v>233</v>
      </c>
      <c r="G269" s="343" t="s">
        <v>321</v>
      </c>
      <c r="Q269" s="343" t="s">
        <v>152</v>
      </c>
      <c r="R269" s="343" t="s">
        <v>156</v>
      </c>
      <c r="S269" s="384">
        <v>46188</v>
      </c>
      <c r="T269" s="384">
        <v>46194</v>
      </c>
      <c r="U269" s="343" t="s">
        <v>283</v>
      </c>
      <c r="V269" s="343">
        <v>2697</v>
      </c>
      <c r="W269" s="343">
        <v>27713.200000000001</v>
      </c>
      <c r="X269" s="343">
        <v>455.8</v>
      </c>
      <c r="Y269" s="343">
        <v>0</v>
      </c>
      <c r="Z269" s="343">
        <v>28169</v>
      </c>
      <c r="AA269" s="343">
        <v>2492.2600000000002</v>
      </c>
    </row>
    <row r="270" spans="1:27">
      <c r="A270" s="343">
        <v>20250924</v>
      </c>
      <c r="B270" s="343">
        <v>54785.8</v>
      </c>
      <c r="C270" s="343">
        <v>198</v>
      </c>
      <c r="D270" s="343">
        <v>412</v>
      </c>
      <c r="E270" s="384">
        <v>45924</v>
      </c>
      <c r="F270" s="343" t="s">
        <v>234</v>
      </c>
      <c r="G270" s="343" t="s">
        <v>321</v>
      </c>
      <c r="Q270" s="343" t="s">
        <v>152</v>
      </c>
      <c r="R270" s="343" t="s">
        <v>156</v>
      </c>
      <c r="S270" s="384">
        <v>46188</v>
      </c>
      <c r="T270" s="384">
        <v>46194</v>
      </c>
      <c r="U270" s="343" t="s">
        <v>293</v>
      </c>
      <c r="V270" s="343">
        <v>20</v>
      </c>
      <c r="W270" s="343">
        <v>2152</v>
      </c>
      <c r="X270" s="343">
        <v>0</v>
      </c>
      <c r="Y270" s="343">
        <v>0</v>
      </c>
      <c r="Z270" s="343">
        <v>2152</v>
      </c>
      <c r="AA270" s="343">
        <v>193.68</v>
      </c>
    </row>
    <row r="271" spans="1:27">
      <c r="A271" s="343">
        <v>20250925</v>
      </c>
      <c r="B271" s="343">
        <v>83330.45</v>
      </c>
      <c r="C271" s="343">
        <v>293</v>
      </c>
      <c r="D271" s="343">
        <v>683</v>
      </c>
      <c r="E271" s="384">
        <v>45925</v>
      </c>
      <c r="F271" s="343" t="s">
        <v>235</v>
      </c>
      <c r="G271" s="343" t="s">
        <v>321</v>
      </c>
      <c r="Q271" s="343" t="s">
        <v>152</v>
      </c>
      <c r="R271" s="343" t="s">
        <v>156</v>
      </c>
      <c r="S271" s="384">
        <v>46188</v>
      </c>
      <c r="T271" s="384">
        <v>46194</v>
      </c>
      <c r="U271" s="343" t="s">
        <v>106</v>
      </c>
      <c r="V271" s="343">
        <v>13</v>
      </c>
      <c r="W271" s="343">
        <v>2121.25</v>
      </c>
      <c r="X271" s="343">
        <v>0</v>
      </c>
      <c r="Y271" s="343">
        <v>0</v>
      </c>
      <c r="Z271" s="343">
        <v>2121.25</v>
      </c>
      <c r="AA271" s="343">
        <v>0</v>
      </c>
    </row>
    <row r="272" spans="1:27">
      <c r="A272" s="343">
        <v>20250926</v>
      </c>
      <c r="B272" s="343">
        <v>119064.6</v>
      </c>
      <c r="C272" s="343">
        <v>350</v>
      </c>
      <c r="D272" s="343">
        <v>879</v>
      </c>
      <c r="E272" s="384">
        <v>45926</v>
      </c>
      <c r="F272" s="343" t="s">
        <v>236</v>
      </c>
      <c r="G272" s="343" t="s">
        <v>321</v>
      </c>
      <c r="Q272" s="343" t="s">
        <v>152</v>
      </c>
      <c r="R272" s="343" t="s">
        <v>156</v>
      </c>
      <c r="S272" s="384">
        <v>46188</v>
      </c>
      <c r="T272" s="384">
        <v>46194</v>
      </c>
      <c r="U272" s="343" t="s">
        <v>273</v>
      </c>
      <c r="V272" s="343">
        <v>1</v>
      </c>
      <c r="W272" s="343">
        <v>42171.13</v>
      </c>
      <c r="X272" s="343">
        <v>0</v>
      </c>
      <c r="Y272" s="343">
        <v>0</v>
      </c>
      <c r="Z272" s="343">
        <v>42171.13</v>
      </c>
      <c r="AA272" s="343">
        <v>2951.98</v>
      </c>
    </row>
    <row r="273" spans="1:27">
      <c r="A273" s="343">
        <v>20250927</v>
      </c>
      <c r="B273" s="343">
        <v>115286.88</v>
      </c>
      <c r="C273" s="343">
        <v>391</v>
      </c>
      <c r="D273" s="343">
        <v>877</v>
      </c>
      <c r="E273" s="384">
        <v>45927</v>
      </c>
      <c r="F273" s="343" t="s">
        <v>244</v>
      </c>
      <c r="G273" s="343" t="s">
        <v>321</v>
      </c>
      <c r="Q273" s="343" t="s">
        <v>152</v>
      </c>
      <c r="R273" s="343" t="s">
        <v>156</v>
      </c>
      <c r="S273" s="384">
        <v>46188</v>
      </c>
      <c r="T273" s="384">
        <v>46194</v>
      </c>
      <c r="U273" s="343" t="s">
        <v>277</v>
      </c>
      <c r="V273" s="343">
        <v>214</v>
      </c>
      <c r="W273" s="343">
        <v>46375</v>
      </c>
      <c r="X273" s="343">
        <v>424</v>
      </c>
      <c r="Y273" s="343">
        <v>0</v>
      </c>
      <c r="Z273" s="343">
        <v>46799</v>
      </c>
      <c r="AA273" s="343">
        <v>4173.75</v>
      </c>
    </row>
    <row r="274" spans="1:27">
      <c r="A274" s="343">
        <v>20250928</v>
      </c>
      <c r="B274" s="343">
        <v>44607.5</v>
      </c>
      <c r="C274" s="343">
        <v>197</v>
      </c>
      <c r="D274" s="343">
        <v>404</v>
      </c>
      <c r="E274" s="384">
        <v>45928</v>
      </c>
      <c r="F274" s="343" t="s">
        <v>245</v>
      </c>
      <c r="G274" s="343" t="s">
        <v>321</v>
      </c>
      <c r="Q274" s="343" t="s">
        <v>152</v>
      </c>
      <c r="R274" s="343" t="s">
        <v>156</v>
      </c>
      <c r="S274" s="384">
        <v>46188</v>
      </c>
      <c r="T274" s="384">
        <v>46194</v>
      </c>
      <c r="U274" s="343" t="s">
        <v>287</v>
      </c>
      <c r="V274" s="343">
        <v>778</v>
      </c>
      <c r="W274" s="343">
        <v>14872</v>
      </c>
      <c r="X274" s="343">
        <v>503</v>
      </c>
      <c r="Y274" s="343">
        <v>0</v>
      </c>
      <c r="Z274" s="343">
        <v>15375</v>
      </c>
      <c r="AA274" s="343">
        <v>1327.23</v>
      </c>
    </row>
    <row r="275" spans="1:27">
      <c r="A275" s="343">
        <v>20250929</v>
      </c>
      <c r="B275" s="343">
        <v>32576.25</v>
      </c>
      <c r="C275" s="343">
        <v>144</v>
      </c>
      <c r="D275" s="343">
        <v>293</v>
      </c>
      <c r="E275" s="384">
        <v>45929</v>
      </c>
      <c r="F275" s="343" t="s">
        <v>232</v>
      </c>
      <c r="G275" s="343" t="s">
        <v>322</v>
      </c>
      <c r="Q275" s="343" t="s">
        <v>152</v>
      </c>
      <c r="R275" s="343" t="s">
        <v>157</v>
      </c>
      <c r="S275" s="384">
        <v>46195</v>
      </c>
      <c r="T275" s="384">
        <v>46201</v>
      </c>
      <c r="U275" s="343" t="s">
        <v>279</v>
      </c>
      <c r="V275" s="343">
        <v>382</v>
      </c>
      <c r="W275" s="343">
        <v>4755</v>
      </c>
      <c r="X275" s="343">
        <v>45</v>
      </c>
      <c r="Y275" s="343">
        <v>0</v>
      </c>
      <c r="Z275" s="343">
        <v>4800</v>
      </c>
      <c r="AA275" s="343">
        <v>427.95</v>
      </c>
    </row>
    <row r="276" spans="1:27">
      <c r="A276" s="343">
        <v>20250930</v>
      </c>
      <c r="B276" s="343">
        <v>84339.15</v>
      </c>
      <c r="C276" s="343">
        <v>21</v>
      </c>
      <c r="D276" s="343">
        <v>212</v>
      </c>
      <c r="E276" s="384">
        <v>45930</v>
      </c>
      <c r="F276" s="343" t="s">
        <v>233</v>
      </c>
      <c r="G276" s="343" t="s">
        <v>322</v>
      </c>
      <c r="Q276" s="343" t="s">
        <v>152</v>
      </c>
      <c r="R276" s="343" t="s">
        <v>157</v>
      </c>
      <c r="S276" s="384">
        <v>46195</v>
      </c>
      <c r="T276" s="384">
        <v>46201</v>
      </c>
      <c r="U276" s="343" t="s">
        <v>285</v>
      </c>
      <c r="V276" s="343">
        <v>18720.599999999999</v>
      </c>
      <c r="W276" s="343">
        <v>372533.5</v>
      </c>
      <c r="X276" s="343">
        <v>10195</v>
      </c>
      <c r="Y276" s="343">
        <v>0</v>
      </c>
      <c r="Z276" s="343">
        <v>382728.5</v>
      </c>
      <c r="AA276" s="343">
        <v>33528.21</v>
      </c>
    </row>
    <row r="277" spans="1:27">
      <c r="A277" s="343">
        <v>20251001</v>
      </c>
      <c r="B277" s="343">
        <v>35565.35</v>
      </c>
      <c r="C277" s="343">
        <v>150</v>
      </c>
      <c r="D277" s="343">
        <v>288</v>
      </c>
      <c r="E277" s="384">
        <v>45931</v>
      </c>
      <c r="F277" s="343" t="s">
        <v>234</v>
      </c>
      <c r="G277" s="343" t="s">
        <v>322</v>
      </c>
      <c r="Q277" s="343" t="s">
        <v>152</v>
      </c>
      <c r="R277" s="343" t="s">
        <v>157</v>
      </c>
      <c r="S277" s="384">
        <v>46195</v>
      </c>
      <c r="T277" s="384">
        <v>46201</v>
      </c>
      <c r="U277" s="343" t="s">
        <v>336</v>
      </c>
      <c r="V277" s="343">
        <v>9</v>
      </c>
      <c r="W277" s="343">
        <v>0</v>
      </c>
      <c r="X277" s="343">
        <v>0</v>
      </c>
      <c r="Y277" s="343">
        <v>0</v>
      </c>
      <c r="Z277" s="343">
        <v>0</v>
      </c>
      <c r="AA277" s="343">
        <v>0</v>
      </c>
    </row>
    <row r="278" spans="1:27">
      <c r="A278" s="343">
        <v>20251002</v>
      </c>
      <c r="B278" s="343">
        <v>47852.9</v>
      </c>
      <c r="C278" s="343">
        <v>197</v>
      </c>
      <c r="D278" s="343">
        <v>413</v>
      </c>
      <c r="E278" s="384">
        <v>45932</v>
      </c>
      <c r="F278" s="343" t="s">
        <v>235</v>
      </c>
      <c r="G278" s="343" t="s">
        <v>322</v>
      </c>
      <c r="Q278" s="343" t="s">
        <v>152</v>
      </c>
      <c r="R278" s="343" t="s">
        <v>157</v>
      </c>
      <c r="S278" s="384">
        <v>46195</v>
      </c>
      <c r="T278" s="384">
        <v>46201</v>
      </c>
      <c r="U278" s="343" t="s">
        <v>275</v>
      </c>
      <c r="V278" s="343">
        <v>381</v>
      </c>
      <c r="W278" s="343">
        <v>42331</v>
      </c>
      <c r="X278" s="343">
        <v>95</v>
      </c>
      <c r="Y278" s="343">
        <v>0</v>
      </c>
      <c r="Z278" s="343">
        <v>42426</v>
      </c>
      <c r="AA278" s="343">
        <v>3809.79</v>
      </c>
    </row>
    <row r="279" spans="1:27">
      <c r="A279" s="343">
        <v>20251003</v>
      </c>
      <c r="B279" s="343">
        <v>102960.6</v>
      </c>
      <c r="C279" s="343">
        <v>344</v>
      </c>
      <c r="D279" s="343">
        <v>760</v>
      </c>
      <c r="E279" s="384">
        <v>45933</v>
      </c>
      <c r="F279" s="343" t="s">
        <v>236</v>
      </c>
      <c r="G279" s="343" t="s">
        <v>322</v>
      </c>
      <c r="Q279" s="343" t="s">
        <v>152</v>
      </c>
      <c r="R279" s="343" t="s">
        <v>157</v>
      </c>
      <c r="S279" s="384">
        <v>46195</v>
      </c>
      <c r="T279" s="384">
        <v>46201</v>
      </c>
      <c r="U279" s="343" t="s">
        <v>281</v>
      </c>
      <c r="V279" s="343">
        <v>5925</v>
      </c>
      <c r="W279" s="343">
        <v>138620</v>
      </c>
      <c r="X279" s="343">
        <v>3404</v>
      </c>
      <c r="Y279" s="343">
        <v>0</v>
      </c>
      <c r="Z279" s="343">
        <v>142024</v>
      </c>
      <c r="AA279" s="343">
        <v>12475.82</v>
      </c>
    </row>
    <row r="280" spans="1:27">
      <c r="A280" s="343">
        <v>20251004</v>
      </c>
      <c r="B280" s="343">
        <v>114853.95</v>
      </c>
      <c r="C280" s="343">
        <v>383</v>
      </c>
      <c r="D280" s="343">
        <v>870</v>
      </c>
      <c r="E280" s="384">
        <v>45934</v>
      </c>
      <c r="F280" s="343" t="s">
        <v>244</v>
      </c>
      <c r="G280" s="343" t="s">
        <v>322</v>
      </c>
      <c r="Q280" s="343" t="s">
        <v>152</v>
      </c>
      <c r="R280" s="343" t="s">
        <v>157</v>
      </c>
      <c r="S280" s="384">
        <v>46195</v>
      </c>
      <c r="T280" s="384">
        <v>46201</v>
      </c>
      <c r="U280" s="343" t="s">
        <v>283</v>
      </c>
      <c r="V280" s="343">
        <v>2803</v>
      </c>
      <c r="W280" s="343">
        <v>28962.5</v>
      </c>
      <c r="X280" s="343">
        <v>617.5</v>
      </c>
      <c r="Y280" s="343">
        <v>0</v>
      </c>
      <c r="Z280" s="343">
        <v>29580</v>
      </c>
      <c r="AA280" s="343">
        <v>2606.64</v>
      </c>
    </row>
    <row r="281" spans="1:27">
      <c r="A281" s="343">
        <v>20251005</v>
      </c>
      <c r="B281" s="343">
        <v>47524.25</v>
      </c>
      <c r="C281" s="343">
        <v>165</v>
      </c>
      <c r="D281" s="343">
        <v>373</v>
      </c>
      <c r="E281" s="384">
        <v>45935</v>
      </c>
      <c r="F281" s="343" t="s">
        <v>245</v>
      </c>
      <c r="G281" s="343" t="s">
        <v>322</v>
      </c>
      <c r="Q281" s="343" t="s">
        <v>152</v>
      </c>
      <c r="R281" s="343" t="s">
        <v>157</v>
      </c>
      <c r="S281" s="384">
        <v>46195</v>
      </c>
      <c r="T281" s="384">
        <v>46201</v>
      </c>
      <c r="U281" s="343" t="s">
        <v>293</v>
      </c>
      <c r="V281" s="343">
        <v>31</v>
      </c>
      <c r="W281" s="343">
        <v>4449.75</v>
      </c>
      <c r="X281" s="343">
        <v>0</v>
      </c>
      <c r="Y281" s="343">
        <v>0</v>
      </c>
      <c r="Z281" s="343">
        <v>4449.75</v>
      </c>
      <c r="AA281" s="343">
        <v>400.48</v>
      </c>
    </row>
    <row r="282" spans="1:27">
      <c r="A282" s="343">
        <v>20251006</v>
      </c>
      <c r="B282" s="343">
        <v>43899.040000000001</v>
      </c>
      <c r="C282" s="343">
        <v>125</v>
      </c>
      <c r="D282" s="343">
        <v>299</v>
      </c>
      <c r="E282" s="384">
        <v>45936</v>
      </c>
      <c r="F282" s="343" t="s">
        <v>232</v>
      </c>
      <c r="G282" s="343" t="s">
        <v>323</v>
      </c>
      <c r="Q282" s="343" t="s">
        <v>152</v>
      </c>
      <c r="R282" s="343" t="s">
        <v>157</v>
      </c>
      <c r="S282" s="384">
        <v>46195</v>
      </c>
      <c r="T282" s="384">
        <v>46201</v>
      </c>
      <c r="U282" s="343" t="s">
        <v>106</v>
      </c>
      <c r="V282" s="343">
        <v>15</v>
      </c>
      <c r="W282" s="343">
        <v>1749.95</v>
      </c>
      <c r="X282" s="343">
        <v>0</v>
      </c>
      <c r="Y282" s="343">
        <v>0</v>
      </c>
      <c r="Z282" s="343">
        <v>1749.95</v>
      </c>
      <c r="AA282" s="343">
        <v>0</v>
      </c>
    </row>
    <row r="283" spans="1:27">
      <c r="A283" s="343">
        <v>20251007</v>
      </c>
      <c r="B283" s="343">
        <v>45819.51</v>
      </c>
      <c r="C283" s="343">
        <v>138</v>
      </c>
      <c r="D283" s="343">
        <v>302</v>
      </c>
      <c r="E283" s="384">
        <v>45937</v>
      </c>
      <c r="F283" s="343" t="s">
        <v>233</v>
      </c>
      <c r="G283" s="343" t="s">
        <v>323</v>
      </c>
      <c r="Q283" s="343" t="s">
        <v>152</v>
      </c>
      <c r="R283" s="343" t="s">
        <v>157</v>
      </c>
      <c r="S283" s="384">
        <v>46195</v>
      </c>
      <c r="T283" s="384">
        <v>46201</v>
      </c>
      <c r="U283" s="343" t="s">
        <v>273</v>
      </c>
      <c r="V283" s="343">
        <v>1</v>
      </c>
      <c r="W283" s="343">
        <v>8</v>
      </c>
      <c r="X283" s="343">
        <v>0</v>
      </c>
      <c r="Y283" s="343">
        <v>0</v>
      </c>
      <c r="Z283" s="343">
        <v>8</v>
      </c>
      <c r="AA283" s="343">
        <v>0.72</v>
      </c>
    </row>
    <row r="284" spans="1:27">
      <c r="A284" s="343">
        <v>20251008</v>
      </c>
      <c r="B284" s="343">
        <v>53309.8</v>
      </c>
      <c r="C284" s="343">
        <v>193</v>
      </c>
      <c r="D284" s="343">
        <v>436</v>
      </c>
      <c r="E284" s="384">
        <v>45938</v>
      </c>
      <c r="F284" s="343" t="s">
        <v>234</v>
      </c>
      <c r="G284" s="343" t="s">
        <v>323</v>
      </c>
      <c r="Q284" s="343" t="s">
        <v>152</v>
      </c>
      <c r="R284" s="343" t="s">
        <v>157</v>
      </c>
      <c r="S284" s="384">
        <v>46195</v>
      </c>
      <c r="T284" s="384">
        <v>46201</v>
      </c>
      <c r="U284" s="343" t="s">
        <v>277</v>
      </c>
      <c r="V284" s="343">
        <v>346</v>
      </c>
      <c r="W284" s="343">
        <v>50493</v>
      </c>
      <c r="X284" s="343">
        <v>330</v>
      </c>
      <c r="Y284" s="343">
        <v>0</v>
      </c>
      <c r="Z284" s="343">
        <v>50823</v>
      </c>
      <c r="AA284" s="343">
        <v>4544.37</v>
      </c>
    </row>
    <row r="285" spans="1:27">
      <c r="A285" s="343">
        <v>20251009</v>
      </c>
      <c r="B285" s="343">
        <v>67323.199999999997</v>
      </c>
      <c r="C285" s="343">
        <v>250</v>
      </c>
      <c r="D285" s="343">
        <v>514</v>
      </c>
      <c r="E285" s="384">
        <v>45939</v>
      </c>
      <c r="F285" s="343" t="s">
        <v>235</v>
      </c>
      <c r="G285" s="343" t="s">
        <v>323</v>
      </c>
      <c r="Q285" s="343" t="s">
        <v>152</v>
      </c>
      <c r="R285" s="343" t="s">
        <v>157</v>
      </c>
      <c r="S285" s="384">
        <v>46195</v>
      </c>
      <c r="T285" s="384">
        <v>46201</v>
      </c>
      <c r="U285" s="343" t="s">
        <v>287</v>
      </c>
      <c r="V285" s="343">
        <v>721</v>
      </c>
      <c r="W285" s="343">
        <v>14850</v>
      </c>
      <c r="X285" s="343">
        <v>199</v>
      </c>
      <c r="Y285" s="343">
        <v>0</v>
      </c>
      <c r="Z285" s="343">
        <v>15049</v>
      </c>
      <c r="AA285" s="343">
        <v>1336.5</v>
      </c>
    </row>
    <row r="286" spans="1:27">
      <c r="A286" s="343">
        <v>20251010</v>
      </c>
      <c r="B286" s="343">
        <v>107550.65</v>
      </c>
      <c r="C286" s="343">
        <v>380</v>
      </c>
      <c r="D286" s="343">
        <v>867</v>
      </c>
      <c r="E286" s="384">
        <v>45940</v>
      </c>
      <c r="F286" s="343" t="s">
        <v>236</v>
      </c>
      <c r="G286" s="343" t="s">
        <v>323</v>
      </c>
      <c r="Q286" s="343" t="s">
        <v>159</v>
      </c>
      <c r="R286" s="343" t="s">
        <v>160</v>
      </c>
      <c r="S286" s="384">
        <v>46202</v>
      </c>
      <c r="T286" s="384">
        <v>46208</v>
      </c>
      <c r="U286" s="343" t="s">
        <v>279</v>
      </c>
      <c r="V286" s="343">
        <v>213</v>
      </c>
      <c r="W286" s="343">
        <v>2560</v>
      </c>
      <c r="X286" s="343">
        <v>63</v>
      </c>
      <c r="Y286" s="343">
        <v>0</v>
      </c>
      <c r="Z286" s="343">
        <v>2623</v>
      </c>
      <c r="AA286" s="343">
        <v>230.4</v>
      </c>
    </row>
    <row r="287" spans="1:27">
      <c r="A287" s="343">
        <v>20251011</v>
      </c>
      <c r="B287" s="343">
        <v>121911.27</v>
      </c>
      <c r="C287" s="343">
        <v>421</v>
      </c>
      <c r="D287" s="343">
        <v>1003</v>
      </c>
      <c r="E287" s="384">
        <v>45941</v>
      </c>
      <c r="F287" s="343" t="s">
        <v>244</v>
      </c>
      <c r="G287" s="343" t="s">
        <v>323</v>
      </c>
      <c r="Q287" s="343" t="s">
        <v>159</v>
      </c>
      <c r="R287" s="343" t="s">
        <v>160</v>
      </c>
      <c r="S287" s="384">
        <v>46202</v>
      </c>
      <c r="T287" s="384">
        <v>46208</v>
      </c>
      <c r="U287" s="343" t="s">
        <v>285</v>
      </c>
      <c r="V287" s="343">
        <v>18284.5</v>
      </c>
      <c r="W287" s="343">
        <v>348980</v>
      </c>
      <c r="X287" s="343">
        <v>9343.5</v>
      </c>
      <c r="Y287" s="343">
        <v>0</v>
      </c>
      <c r="Z287" s="343">
        <v>358323.5</v>
      </c>
      <c r="AA287" s="343">
        <v>31408.28</v>
      </c>
    </row>
    <row r="288" spans="1:27">
      <c r="A288" s="343">
        <v>20251012</v>
      </c>
      <c r="B288" s="343">
        <v>83805</v>
      </c>
      <c r="C288" s="343">
        <v>274</v>
      </c>
      <c r="D288" s="343">
        <v>640</v>
      </c>
      <c r="E288" s="384">
        <v>45942</v>
      </c>
      <c r="F288" s="343" t="s">
        <v>245</v>
      </c>
      <c r="G288" s="343" t="s">
        <v>323</v>
      </c>
      <c r="Q288" s="343" t="s">
        <v>159</v>
      </c>
      <c r="R288" s="343" t="s">
        <v>160</v>
      </c>
      <c r="S288" s="384">
        <v>46202</v>
      </c>
      <c r="T288" s="384">
        <v>46208</v>
      </c>
      <c r="U288" s="343" t="s">
        <v>275</v>
      </c>
      <c r="V288" s="343">
        <v>383</v>
      </c>
      <c r="W288" s="343">
        <v>37769</v>
      </c>
      <c r="X288" s="343">
        <v>1410</v>
      </c>
      <c r="Y288" s="343">
        <v>0</v>
      </c>
      <c r="Z288" s="343">
        <v>39179</v>
      </c>
      <c r="AA288" s="343">
        <v>3399.21</v>
      </c>
    </row>
    <row r="289" spans="1:27">
      <c r="A289" s="343">
        <v>20251013</v>
      </c>
      <c r="B289" s="343">
        <v>78486.3</v>
      </c>
      <c r="C289" s="343">
        <v>201</v>
      </c>
      <c r="D289" s="343">
        <v>449</v>
      </c>
      <c r="E289" s="384">
        <v>45943</v>
      </c>
      <c r="F289" s="343" t="s">
        <v>232</v>
      </c>
      <c r="G289" s="343" t="s">
        <v>324</v>
      </c>
      <c r="Q289" s="343" t="s">
        <v>159</v>
      </c>
      <c r="R289" s="343" t="s">
        <v>160</v>
      </c>
      <c r="S289" s="384">
        <v>46202</v>
      </c>
      <c r="T289" s="384">
        <v>46208</v>
      </c>
      <c r="U289" s="343" t="s">
        <v>281</v>
      </c>
      <c r="V289" s="343">
        <v>5304</v>
      </c>
      <c r="W289" s="343">
        <v>115671</v>
      </c>
      <c r="X289" s="343">
        <v>3363</v>
      </c>
      <c r="Y289" s="343">
        <v>0</v>
      </c>
      <c r="Z289" s="343">
        <v>119034</v>
      </c>
      <c r="AA289" s="343">
        <v>10410.39</v>
      </c>
    </row>
    <row r="290" spans="1:27">
      <c r="A290" s="343">
        <v>20251014</v>
      </c>
      <c r="B290" s="343">
        <v>42875.7</v>
      </c>
      <c r="C290" s="343">
        <v>128</v>
      </c>
      <c r="D290" s="343">
        <v>269</v>
      </c>
      <c r="E290" s="384">
        <v>45944</v>
      </c>
      <c r="F290" s="343" t="s">
        <v>233</v>
      </c>
      <c r="G290" s="343" t="s">
        <v>324</v>
      </c>
      <c r="Q290" s="343" t="s">
        <v>159</v>
      </c>
      <c r="R290" s="343" t="s">
        <v>160</v>
      </c>
      <c r="S290" s="384">
        <v>46202</v>
      </c>
      <c r="T290" s="384">
        <v>46208</v>
      </c>
      <c r="U290" s="343" t="s">
        <v>283</v>
      </c>
      <c r="V290" s="343">
        <v>2653</v>
      </c>
      <c r="W290" s="343">
        <v>27399</v>
      </c>
      <c r="X290" s="343">
        <v>612</v>
      </c>
      <c r="Y290" s="343">
        <v>0</v>
      </c>
      <c r="Z290" s="343">
        <v>28011</v>
      </c>
      <c r="AA290" s="343">
        <v>2465.91</v>
      </c>
    </row>
    <row r="291" spans="1:27">
      <c r="A291" s="343">
        <v>20251015</v>
      </c>
      <c r="B291" s="343">
        <v>49541.48</v>
      </c>
      <c r="C291" s="343">
        <v>175</v>
      </c>
      <c r="D291" s="343">
        <v>396</v>
      </c>
      <c r="E291" s="384">
        <v>45945</v>
      </c>
      <c r="F291" s="343" t="s">
        <v>234</v>
      </c>
      <c r="G291" s="343" t="s">
        <v>324</v>
      </c>
      <c r="Q291" s="343" t="s">
        <v>159</v>
      </c>
      <c r="R291" s="343" t="s">
        <v>160</v>
      </c>
      <c r="S291" s="384">
        <v>46202</v>
      </c>
      <c r="T291" s="384">
        <v>46208</v>
      </c>
      <c r="U291" s="343" t="s">
        <v>293</v>
      </c>
      <c r="V291" s="343">
        <v>31</v>
      </c>
      <c r="W291" s="343">
        <v>4195</v>
      </c>
      <c r="X291" s="343">
        <v>0</v>
      </c>
      <c r="Y291" s="343">
        <v>0</v>
      </c>
      <c r="Z291" s="343">
        <v>4195</v>
      </c>
      <c r="AA291" s="343">
        <v>377.55</v>
      </c>
    </row>
    <row r="292" spans="1:27">
      <c r="A292" s="343">
        <v>20251016</v>
      </c>
      <c r="B292" s="343">
        <v>99560.36</v>
      </c>
      <c r="C292" s="343">
        <v>327</v>
      </c>
      <c r="D292" s="343">
        <v>753</v>
      </c>
      <c r="E292" s="384">
        <v>45946</v>
      </c>
      <c r="F292" s="343" t="s">
        <v>235</v>
      </c>
      <c r="G292" s="343" t="s">
        <v>324</v>
      </c>
      <c r="Q292" s="343" t="s">
        <v>159</v>
      </c>
      <c r="R292" s="343" t="s">
        <v>160</v>
      </c>
      <c r="S292" s="384">
        <v>46202</v>
      </c>
      <c r="T292" s="384">
        <v>46208</v>
      </c>
      <c r="U292" s="343" t="s">
        <v>106</v>
      </c>
      <c r="V292" s="343">
        <v>12</v>
      </c>
      <c r="W292" s="343">
        <v>1751.5</v>
      </c>
      <c r="X292" s="343">
        <v>0</v>
      </c>
      <c r="Y292" s="343">
        <v>0</v>
      </c>
      <c r="Z292" s="343">
        <v>1751.5</v>
      </c>
      <c r="AA292" s="343">
        <v>0</v>
      </c>
    </row>
    <row r="293" spans="1:27">
      <c r="A293" s="343">
        <v>20251017</v>
      </c>
      <c r="B293" s="343">
        <v>98730.46</v>
      </c>
      <c r="C293" s="343">
        <v>371</v>
      </c>
      <c r="D293" s="343">
        <v>820</v>
      </c>
      <c r="E293" s="384">
        <v>45947</v>
      </c>
      <c r="F293" s="343" t="s">
        <v>236</v>
      </c>
      <c r="G293" s="343" t="s">
        <v>324</v>
      </c>
      <c r="Q293" s="343" t="s">
        <v>159</v>
      </c>
      <c r="R293" s="343" t="s">
        <v>160</v>
      </c>
      <c r="S293" s="384">
        <v>46202</v>
      </c>
      <c r="T293" s="384">
        <v>46208</v>
      </c>
      <c r="U293" s="343" t="s">
        <v>273</v>
      </c>
      <c r="V293" s="343">
        <v>1</v>
      </c>
      <c r="W293" s="343">
        <v>3.5</v>
      </c>
      <c r="X293" s="343">
        <v>0</v>
      </c>
      <c r="Y293" s="343">
        <v>0</v>
      </c>
      <c r="Z293" s="343">
        <v>3.5</v>
      </c>
      <c r="AA293" s="343">
        <v>0.32</v>
      </c>
    </row>
    <row r="294" spans="1:27">
      <c r="A294" s="343">
        <v>20251018</v>
      </c>
      <c r="B294" s="343">
        <v>117860.95</v>
      </c>
      <c r="C294" s="343">
        <v>404</v>
      </c>
      <c r="D294" s="343">
        <v>919</v>
      </c>
      <c r="E294" s="384">
        <v>45948</v>
      </c>
      <c r="F294" s="343" t="s">
        <v>244</v>
      </c>
      <c r="G294" s="343" t="s">
        <v>324</v>
      </c>
      <c r="Q294" s="343" t="s">
        <v>159</v>
      </c>
      <c r="R294" s="343" t="s">
        <v>160</v>
      </c>
      <c r="S294" s="384">
        <v>46202</v>
      </c>
      <c r="T294" s="384">
        <v>46208</v>
      </c>
      <c r="U294" s="343" t="s">
        <v>277</v>
      </c>
      <c r="V294" s="343">
        <v>207</v>
      </c>
      <c r="W294" s="343">
        <v>33637</v>
      </c>
      <c r="X294" s="343">
        <v>0</v>
      </c>
      <c r="Y294" s="343">
        <v>0</v>
      </c>
      <c r="Z294" s="343">
        <v>33637</v>
      </c>
      <c r="AA294" s="343">
        <v>3027.33</v>
      </c>
    </row>
    <row r="295" spans="1:27">
      <c r="A295" s="343">
        <v>20251019</v>
      </c>
      <c r="B295" s="343">
        <v>89467.85</v>
      </c>
      <c r="C295" s="343">
        <v>207</v>
      </c>
      <c r="D295" s="343">
        <v>569</v>
      </c>
      <c r="E295" s="384">
        <v>45949</v>
      </c>
      <c r="F295" s="343" t="s">
        <v>245</v>
      </c>
      <c r="G295" s="343" t="s">
        <v>324</v>
      </c>
      <c r="Q295" s="343" t="s">
        <v>159</v>
      </c>
      <c r="R295" s="343" t="s">
        <v>160</v>
      </c>
      <c r="S295" s="384">
        <v>46202</v>
      </c>
      <c r="T295" s="384">
        <v>46208</v>
      </c>
      <c r="U295" s="343" t="s">
        <v>287</v>
      </c>
      <c r="V295" s="343">
        <v>710</v>
      </c>
      <c r="W295" s="343">
        <v>13155</v>
      </c>
      <c r="X295" s="343">
        <v>327</v>
      </c>
      <c r="Y295" s="343">
        <v>0</v>
      </c>
      <c r="Z295" s="343">
        <v>13482</v>
      </c>
      <c r="AA295" s="343">
        <v>1183.95</v>
      </c>
    </row>
    <row r="296" spans="1:27">
      <c r="A296" s="343">
        <v>20251020</v>
      </c>
      <c r="B296" s="343">
        <v>100302.95</v>
      </c>
      <c r="C296" s="343">
        <v>223</v>
      </c>
      <c r="D296" s="343">
        <v>577</v>
      </c>
      <c r="E296" s="384">
        <v>45950</v>
      </c>
      <c r="F296" s="343" t="s">
        <v>232</v>
      </c>
      <c r="G296" s="343" t="s">
        <v>325</v>
      </c>
      <c r="Q296" s="343" t="s">
        <v>159</v>
      </c>
      <c r="R296" s="343" t="s">
        <v>161</v>
      </c>
      <c r="S296" s="384">
        <v>46209</v>
      </c>
      <c r="T296" s="384">
        <v>46215</v>
      </c>
      <c r="U296" s="343" t="s">
        <v>279</v>
      </c>
      <c r="V296" s="343">
        <v>378</v>
      </c>
      <c r="W296" s="343">
        <v>4591</v>
      </c>
      <c r="X296" s="343">
        <v>15</v>
      </c>
      <c r="Y296" s="343">
        <v>0</v>
      </c>
      <c r="Z296" s="343">
        <v>4606</v>
      </c>
      <c r="AA296" s="343">
        <v>413.19</v>
      </c>
    </row>
    <row r="297" spans="1:27">
      <c r="A297" s="343">
        <v>20251021</v>
      </c>
      <c r="B297" s="343">
        <v>89573.6</v>
      </c>
      <c r="C297" s="343">
        <v>225</v>
      </c>
      <c r="D297" s="343">
        <v>600</v>
      </c>
      <c r="E297" s="384">
        <v>45951</v>
      </c>
      <c r="F297" s="343" t="s">
        <v>233</v>
      </c>
      <c r="G297" s="343" t="s">
        <v>325</v>
      </c>
      <c r="Q297" s="343" t="s">
        <v>159</v>
      </c>
      <c r="R297" s="343" t="s">
        <v>161</v>
      </c>
      <c r="S297" s="384">
        <v>46209</v>
      </c>
      <c r="T297" s="384">
        <v>46215</v>
      </c>
      <c r="U297" s="343" t="s">
        <v>285</v>
      </c>
      <c r="V297" s="343">
        <v>16859.099999999999</v>
      </c>
      <c r="W297" s="343">
        <v>354681.75</v>
      </c>
      <c r="X297" s="343">
        <v>10304.700000000001</v>
      </c>
      <c r="Y297" s="343">
        <v>0</v>
      </c>
      <c r="Z297" s="343">
        <v>364986.45</v>
      </c>
      <c r="AA297" s="343">
        <v>31921.52</v>
      </c>
    </row>
    <row r="298" spans="1:27">
      <c r="A298" s="343">
        <v>20251022</v>
      </c>
      <c r="B298" s="343">
        <v>62702.3</v>
      </c>
      <c r="C298" s="343">
        <v>228</v>
      </c>
      <c r="D298" s="343">
        <v>503</v>
      </c>
      <c r="E298" s="384">
        <v>45952</v>
      </c>
      <c r="F298" s="343" t="s">
        <v>234</v>
      </c>
      <c r="G298" s="343" t="s">
        <v>325</v>
      </c>
      <c r="Q298" s="343" t="s">
        <v>159</v>
      </c>
      <c r="R298" s="343" t="s">
        <v>161</v>
      </c>
      <c r="S298" s="384">
        <v>46209</v>
      </c>
      <c r="T298" s="384">
        <v>46215</v>
      </c>
      <c r="U298" s="343" t="s">
        <v>275</v>
      </c>
      <c r="V298" s="343">
        <v>304</v>
      </c>
      <c r="W298" s="343">
        <v>34237.5</v>
      </c>
      <c r="X298" s="343">
        <v>907.5</v>
      </c>
      <c r="Y298" s="343">
        <v>0</v>
      </c>
      <c r="Z298" s="343">
        <v>35145</v>
      </c>
      <c r="AA298" s="343">
        <v>3081.38</v>
      </c>
    </row>
    <row r="299" spans="1:27">
      <c r="A299" s="343">
        <v>20251023</v>
      </c>
      <c r="B299" s="343">
        <v>87070.05</v>
      </c>
      <c r="C299" s="343">
        <v>269</v>
      </c>
      <c r="D299" s="343">
        <v>641</v>
      </c>
      <c r="E299" s="384">
        <v>45953</v>
      </c>
      <c r="F299" s="343" t="s">
        <v>235</v>
      </c>
      <c r="G299" s="343" t="s">
        <v>325</v>
      </c>
      <c r="Q299" s="343" t="s">
        <v>159</v>
      </c>
      <c r="R299" s="343" t="s">
        <v>161</v>
      </c>
      <c r="S299" s="384">
        <v>46209</v>
      </c>
      <c r="T299" s="384">
        <v>46215</v>
      </c>
      <c r="U299" s="343" t="s">
        <v>281</v>
      </c>
      <c r="V299" s="343">
        <v>5273</v>
      </c>
      <c r="W299" s="343">
        <v>119498</v>
      </c>
      <c r="X299" s="343">
        <v>3870</v>
      </c>
      <c r="Y299" s="343">
        <v>0</v>
      </c>
      <c r="Z299" s="343">
        <v>123368</v>
      </c>
      <c r="AA299" s="343">
        <v>10754.82</v>
      </c>
    </row>
    <row r="300" spans="1:27">
      <c r="A300" s="343">
        <v>20251024</v>
      </c>
      <c r="B300" s="343">
        <v>103269.85</v>
      </c>
      <c r="C300" s="343">
        <v>342</v>
      </c>
      <c r="D300" s="343">
        <v>818</v>
      </c>
      <c r="E300" s="384">
        <v>45954</v>
      </c>
      <c r="F300" s="343" t="s">
        <v>236</v>
      </c>
      <c r="G300" s="343" t="s">
        <v>325</v>
      </c>
      <c r="Q300" s="343" t="s">
        <v>159</v>
      </c>
      <c r="R300" s="343" t="s">
        <v>161</v>
      </c>
      <c r="S300" s="384">
        <v>46209</v>
      </c>
      <c r="T300" s="384">
        <v>46215</v>
      </c>
      <c r="U300" s="343" t="s">
        <v>283</v>
      </c>
      <c r="V300" s="343">
        <v>2674</v>
      </c>
      <c r="W300" s="343">
        <v>27907.5</v>
      </c>
      <c r="X300" s="343">
        <v>314.5</v>
      </c>
      <c r="Y300" s="343">
        <v>0</v>
      </c>
      <c r="Z300" s="343">
        <v>28222</v>
      </c>
      <c r="AA300" s="343">
        <v>2511.69</v>
      </c>
    </row>
    <row r="301" spans="1:27">
      <c r="A301" s="343">
        <v>20251025</v>
      </c>
      <c r="B301" s="343">
        <v>117531.48</v>
      </c>
      <c r="C301" s="343">
        <v>445</v>
      </c>
      <c r="D301" s="343">
        <v>931</v>
      </c>
      <c r="E301" s="384">
        <v>45955</v>
      </c>
      <c r="F301" s="343" t="s">
        <v>244</v>
      </c>
      <c r="G301" s="343" t="s">
        <v>325</v>
      </c>
      <c r="Q301" s="343" t="s">
        <v>159</v>
      </c>
      <c r="R301" s="343" t="s">
        <v>161</v>
      </c>
      <c r="S301" s="384">
        <v>46209</v>
      </c>
      <c r="T301" s="384">
        <v>46215</v>
      </c>
      <c r="U301" s="343" t="s">
        <v>293</v>
      </c>
      <c r="V301" s="343">
        <v>47</v>
      </c>
      <c r="W301" s="343">
        <v>21732</v>
      </c>
      <c r="X301" s="343">
        <v>0</v>
      </c>
      <c r="Y301" s="343">
        <v>0</v>
      </c>
      <c r="Z301" s="343">
        <v>21732</v>
      </c>
      <c r="AA301" s="343">
        <v>1915.49</v>
      </c>
    </row>
    <row r="302" spans="1:27">
      <c r="A302" s="343">
        <v>20251026</v>
      </c>
      <c r="B302" s="343">
        <v>56653.4</v>
      </c>
      <c r="C302" s="343">
        <v>207</v>
      </c>
      <c r="D302" s="343">
        <v>470</v>
      </c>
      <c r="E302" s="384">
        <v>45956</v>
      </c>
      <c r="F302" s="343" t="s">
        <v>245</v>
      </c>
      <c r="G302" s="343" t="s">
        <v>325</v>
      </c>
      <c r="Q302" s="343" t="s">
        <v>159</v>
      </c>
      <c r="R302" s="343" t="s">
        <v>161</v>
      </c>
      <c r="S302" s="384">
        <v>46209</v>
      </c>
      <c r="T302" s="384">
        <v>46215</v>
      </c>
      <c r="U302" s="343" t="s">
        <v>106</v>
      </c>
      <c r="V302" s="343">
        <v>12</v>
      </c>
      <c r="W302" s="343">
        <v>4506.5</v>
      </c>
      <c r="X302" s="343">
        <v>0</v>
      </c>
      <c r="Y302" s="343">
        <v>0</v>
      </c>
      <c r="Z302" s="343">
        <v>4506.5</v>
      </c>
      <c r="AA302" s="343">
        <v>0</v>
      </c>
    </row>
    <row r="303" spans="1:27">
      <c r="A303" s="343">
        <v>20251027</v>
      </c>
      <c r="B303" s="343">
        <v>46894.8</v>
      </c>
      <c r="C303" s="343">
        <v>139</v>
      </c>
      <c r="D303" s="343">
        <v>305</v>
      </c>
      <c r="E303" s="384">
        <v>45957</v>
      </c>
      <c r="F303" s="343" t="s">
        <v>232</v>
      </c>
      <c r="G303" s="343" t="s">
        <v>326</v>
      </c>
      <c r="Q303" s="343" t="s">
        <v>159</v>
      </c>
      <c r="R303" s="343" t="s">
        <v>161</v>
      </c>
      <c r="S303" s="384">
        <v>46209</v>
      </c>
      <c r="T303" s="384">
        <v>46215</v>
      </c>
      <c r="U303" s="343" t="s">
        <v>277</v>
      </c>
      <c r="V303" s="343">
        <v>320</v>
      </c>
      <c r="W303" s="343">
        <v>71095</v>
      </c>
      <c r="X303" s="343">
        <v>292</v>
      </c>
      <c r="Y303" s="343">
        <v>0</v>
      </c>
      <c r="Z303" s="343">
        <v>71387</v>
      </c>
      <c r="AA303" s="343">
        <v>6398.55</v>
      </c>
    </row>
    <row r="304" spans="1:27">
      <c r="A304" s="343">
        <v>20251028</v>
      </c>
      <c r="B304" s="343">
        <v>64477.68</v>
      </c>
      <c r="C304" s="343">
        <v>185</v>
      </c>
      <c r="D304" s="343">
        <v>441</v>
      </c>
      <c r="E304" s="384">
        <v>45958</v>
      </c>
      <c r="F304" s="343" t="s">
        <v>233</v>
      </c>
      <c r="G304" s="343" t="s">
        <v>326</v>
      </c>
      <c r="Q304" s="343" t="s">
        <v>159</v>
      </c>
      <c r="R304" s="343" t="s">
        <v>161</v>
      </c>
      <c r="S304" s="384">
        <v>46209</v>
      </c>
      <c r="T304" s="384">
        <v>46215</v>
      </c>
      <c r="U304" s="343" t="s">
        <v>287</v>
      </c>
      <c r="V304" s="343">
        <v>694</v>
      </c>
      <c r="W304" s="343">
        <v>14559</v>
      </c>
      <c r="X304" s="343">
        <v>314</v>
      </c>
      <c r="Y304" s="343">
        <v>0</v>
      </c>
      <c r="Z304" s="343">
        <v>14873</v>
      </c>
      <c r="AA304" s="343">
        <v>1310.31</v>
      </c>
    </row>
    <row r="305" spans="1:27">
      <c r="A305" s="343">
        <v>20251029</v>
      </c>
      <c r="B305" s="343">
        <v>64066.7</v>
      </c>
      <c r="C305" s="343">
        <v>229</v>
      </c>
      <c r="D305" s="343">
        <v>520</v>
      </c>
      <c r="E305" s="384">
        <v>45959</v>
      </c>
      <c r="F305" s="343" t="s">
        <v>234</v>
      </c>
      <c r="G305" s="343" t="s">
        <v>326</v>
      </c>
      <c r="Q305" s="343" t="s">
        <v>159</v>
      </c>
      <c r="R305" s="343" t="s">
        <v>162</v>
      </c>
      <c r="S305" s="384">
        <v>46216</v>
      </c>
      <c r="T305" s="384">
        <v>46222</v>
      </c>
      <c r="U305" s="343" t="s">
        <v>279</v>
      </c>
      <c r="V305" s="343">
        <v>278</v>
      </c>
      <c r="W305" s="343">
        <v>3354</v>
      </c>
      <c r="X305" s="343">
        <v>36</v>
      </c>
      <c r="Y305" s="343">
        <v>0</v>
      </c>
      <c r="Z305" s="343">
        <v>3390</v>
      </c>
      <c r="AA305" s="343">
        <v>301.86</v>
      </c>
    </row>
    <row r="306" spans="1:27">
      <c r="A306" s="343">
        <v>20251030</v>
      </c>
      <c r="B306" s="343">
        <v>96501.25</v>
      </c>
      <c r="C306" s="343">
        <v>329</v>
      </c>
      <c r="D306" s="343">
        <v>741</v>
      </c>
      <c r="E306" s="384">
        <v>45960</v>
      </c>
      <c r="F306" s="343" t="s">
        <v>235</v>
      </c>
      <c r="G306" s="343" t="s">
        <v>326</v>
      </c>
      <c r="Q306" s="343" t="s">
        <v>159</v>
      </c>
      <c r="R306" s="343" t="s">
        <v>162</v>
      </c>
      <c r="S306" s="384">
        <v>46216</v>
      </c>
      <c r="T306" s="384">
        <v>46222</v>
      </c>
      <c r="U306" s="343" t="s">
        <v>335</v>
      </c>
      <c r="V306" s="343">
        <v>0</v>
      </c>
      <c r="W306" s="343">
        <v>-116.4</v>
      </c>
      <c r="X306" s="343">
        <v>0</v>
      </c>
      <c r="Y306" s="343">
        <v>116</v>
      </c>
      <c r="Z306" s="343">
        <v>0</v>
      </c>
      <c r="AA306" s="343">
        <v>0</v>
      </c>
    </row>
    <row r="307" spans="1:27">
      <c r="A307" s="343">
        <v>20251031</v>
      </c>
      <c r="B307" s="343">
        <v>109400.85</v>
      </c>
      <c r="C307" s="343">
        <v>379</v>
      </c>
      <c r="D307" s="343">
        <v>817</v>
      </c>
      <c r="E307" s="384">
        <v>45961</v>
      </c>
      <c r="F307" s="343" t="s">
        <v>236</v>
      </c>
      <c r="G307" s="343" t="s">
        <v>326</v>
      </c>
      <c r="Q307" s="343" t="s">
        <v>159</v>
      </c>
      <c r="R307" s="343" t="s">
        <v>162</v>
      </c>
      <c r="S307" s="384">
        <v>46216</v>
      </c>
      <c r="T307" s="384">
        <v>46222</v>
      </c>
      <c r="U307" s="343" t="s">
        <v>285</v>
      </c>
      <c r="V307" s="343">
        <v>15896.1</v>
      </c>
      <c r="W307" s="343">
        <v>333196.34000000003</v>
      </c>
      <c r="X307" s="343">
        <v>9918.67</v>
      </c>
      <c r="Y307" s="343">
        <v>0</v>
      </c>
      <c r="Z307" s="343">
        <v>343115.01</v>
      </c>
      <c r="AA307" s="343">
        <v>29987.88</v>
      </c>
    </row>
    <row r="308" spans="1:27">
      <c r="A308" s="343">
        <v>20251101</v>
      </c>
      <c r="B308" s="343">
        <v>121757.2</v>
      </c>
      <c r="C308" s="343">
        <v>362</v>
      </c>
      <c r="D308" s="343">
        <v>791</v>
      </c>
      <c r="E308" s="384">
        <v>45962</v>
      </c>
      <c r="F308" s="343" t="s">
        <v>244</v>
      </c>
      <c r="G308" s="343" t="s">
        <v>326</v>
      </c>
      <c r="Q308" s="343" t="s">
        <v>159</v>
      </c>
      <c r="R308" s="343" t="s">
        <v>162</v>
      </c>
      <c r="S308" s="384">
        <v>46216</v>
      </c>
      <c r="T308" s="384">
        <v>46222</v>
      </c>
      <c r="U308" s="343" t="s">
        <v>336</v>
      </c>
      <c r="V308" s="343">
        <v>3</v>
      </c>
      <c r="W308" s="343">
        <v>0</v>
      </c>
      <c r="X308" s="343">
        <v>0</v>
      </c>
      <c r="Y308" s="343">
        <v>0</v>
      </c>
      <c r="Z308" s="343">
        <v>0</v>
      </c>
      <c r="AA308" s="343">
        <v>0</v>
      </c>
    </row>
    <row r="309" spans="1:27">
      <c r="A309" s="343">
        <v>20251102</v>
      </c>
      <c r="B309" s="343">
        <v>71318.75</v>
      </c>
      <c r="C309" s="343">
        <v>216</v>
      </c>
      <c r="D309" s="343">
        <v>516</v>
      </c>
      <c r="E309" s="384">
        <v>45963</v>
      </c>
      <c r="F309" s="343" t="s">
        <v>245</v>
      </c>
      <c r="G309" s="343" t="s">
        <v>326</v>
      </c>
      <c r="Q309" s="343" t="s">
        <v>159</v>
      </c>
      <c r="R309" s="343" t="s">
        <v>162</v>
      </c>
      <c r="S309" s="384">
        <v>46216</v>
      </c>
      <c r="T309" s="384">
        <v>46222</v>
      </c>
      <c r="U309" s="343" t="s">
        <v>275</v>
      </c>
      <c r="V309" s="343">
        <v>201</v>
      </c>
      <c r="W309" s="343">
        <v>22223.5</v>
      </c>
      <c r="X309" s="343">
        <v>677.5</v>
      </c>
      <c r="Y309" s="343">
        <v>0</v>
      </c>
      <c r="Z309" s="343">
        <v>22901</v>
      </c>
      <c r="AA309" s="343">
        <v>2000.12</v>
      </c>
    </row>
    <row r="310" spans="1:27">
      <c r="A310" s="343">
        <v>20251103</v>
      </c>
      <c r="B310" s="343">
        <v>80568.210000000006</v>
      </c>
      <c r="C310" s="343">
        <v>216</v>
      </c>
      <c r="D310" s="343">
        <v>468</v>
      </c>
      <c r="E310" s="384">
        <v>45964</v>
      </c>
      <c r="F310" s="343" t="s">
        <v>232</v>
      </c>
      <c r="G310" s="343" t="s">
        <v>327</v>
      </c>
      <c r="Q310" s="343" t="s">
        <v>159</v>
      </c>
      <c r="R310" s="343" t="s">
        <v>162</v>
      </c>
      <c r="S310" s="384">
        <v>46216</v>
      </c>
      <c r="T310" s="384">
        <v>46222</v>
      </c>
      <c r="U310" s="343" t="s">
        <v>281</v>
      </c>
      <c r="V310" s="343">
        <v>5116</v>
      </c>
      <c r="W310" s="343">
        <v>115744</v>
      </c>
      <c r="X310" s="343">
        <v>2767.8</v>
      </c>
      <c r="Y310" s="343">
        <v>0</v>
      </c>
      <c r="Z310" s="343">
        <v>118511.8</v>
      </c>
      <c r="AA310" s="343">
        <v>10416.969999999999</v>
      </c>
    </row>
    <row r="311" spans="1:27">
      <c r="A311" s="343">
        <v>20251104</v>
      </c>
      <c r="B311" s="343">
        <v>88114.1</v>
      </c>
      <c r="C311" s="343">
        <v>198</v>
      </c>
      <c r="D311" s="343">
        <v>488</v>
      </c>
      <c r="E311" s="384">
        <v>45965</v>
      </c>
      <c r="F311" s="343" t="s">
        <v>233</v>
      </c>
      <c r="G311" s="343" t="s">
        <v>327</v>
      </c>
      <c r="Q311" s="343" t="s">
        <v>159</v>
      </c>
      <c r="R311" s="343" t="s">
        <v>162</v>
      </c>
      <c r="S311" s="384">
        <v>46216</v>
      </c>
      <c r="T311" s="384">
        <v>46222</v>
      </c>
      <c r="U311" s="343" t="s">
        <v>283</v>
      </c>
      <c r="V311" s="343">
        <v>2604</v>
      </c>
      <c r="W311" s="343">
        <v>27107.5</v>
      </c>
      <c r="X311" s="343">
        <v>699.5</v>
      </c>
      <c r="Y311" s="343">
        <v>0</v>
      </c>
      <c r="Z311" s="343">
        <v>27807</v>
      </c>
      <c r="AA311" s="343">
        <v>2439.69</v>
      </c>
    </row>
    <row r="312" spans="1:27">
      <c r="A312" s="343">
        <v>20251105</v>
      </c>
      <c r="B312" s="343">
        <v>79569.149999999994</v>
      </c>
      <c r="C312" s="343">
        <v>274</v>
      </c>
      <c r="D312" s="343">
        <v>603</v>
      </c>
      <c r="E312" s="384">
        <v>45966</v>
      </c>
      <c r="F312" s="343" t="s">
        <v>234</v>
      </c>
      <c r="G312" s="343" t="s">
        <v>327</v>
      </c>
      <c r="Q312" s="343" t="s">
        <v>159</v>
      </c>
      <c r="R312" s="343" t="s">
        <v>162</v>
      </c>
      <c r="S312" s="384">
        <v>46216</v>
      </c>
      <c r="T312" s="384">
        <v>46222</v>
      </c>
      <c r="U312" s="343" t="s">
        <v>293</v>
      </c>
      <c r="V312" s="343">
        <v>12</v>
      </c>
      <c r="W312" s="343">
        <v>1370</v>
      </c>
      <c r="X312" s="343">
        <v>0</v>
      </c>
      <c r="Y312" s="343">
        <v>0</v>
      </c>
      <c r="Z312" s="343">
        <v>1370</v>
      </c>
      <c r="AA312" s="343">
        <v>123.3</v>
      </c>
    </row>
    <row r="313" spans="1:27">
      <c r="A313" s="343">
        <v>20251106</v>
      </c>
      <c r="B313" s="343">
        <v>100443.1</v>
      </c>
      <c r="C313" s="343">
        <v>380</v>
      </c>
      <c r="D313" s="343">
        <v>815</v>
      </c>
      <c r="E313" s="384">
        <v>45967</v>
      </c>
      <c r="F313" s="343" t="s">
        <v>235</v>
      </c>
      <c r="G313" s="343" t="s">
        <v>327</v>
      </c>
      <c r="Q313" s="343" t="s">
        <v>159</v>
      </c>
      <c r="R313" s="343" t="s">
        <v>162</v>
      </c>
      <c r="S313" s="384">
        <v>46216</v>
      </c>
      <c r="T313" s="384">
        <v>46222</v>
      </c>
      <c r="U313" s="343" t="s">
        <v>106</v>
      </c>
      <c r="V313" s="343">
        <v>11</v>
      </c>
      <c r="W313" s="343">
        <v>1525.57</v>
      </c>
      <c r="X313" s="343">
        <v>0</v>
      </c>
      <c r="Y313" s="343">
        <v>0</v>
      </c>
      <c r="Z313" s="343">
        <v>1525.57</v>
      </c>
      <c r="AA313" s="343">
        <v>0</v>
      </c>
    </row>
    <row r="314" spans="1:27">
      <c r="A314" s="343">
        <v>20251107</v>
      </c>
      <c r="B314" s="343">
        <v>126571</v>
      </c>
      <c r="C314" s="343">
        <v>370</v>
      </c>
      <c r="D314" s="343">
        <v>945</v>
      </c>
      <c r="E314" s="384">
        <v>45968</v>
      </c>
      <c r="F314" s="343" t="s">
        <v>236</v>
      </c>
      <c r="G314" s="343" t="s">
        <v>327</v>
      </c>
      <c r="Q314" s="343" t="s">
        <v>159</v>
      </c>
      <c r="R314" s="343" t="s">
        <v>162</v>
      </c>
      <c r="S314" s="384">
        <v>46216</v>
      </c>
      <c r="T314" s="384">
        <v>46222</v>
      </c>
      <c r="U314" s="343" t="s">
        <v>277</v>
      </c>
      <c r="V314" s="343">
        <v>180</v>
      </c>
      <c r="W314" s="343">
        <v>22811.42</v>
      </c>
      <c r="X314" s="343">
        <v>233.58</v>
      </c>
      <c r="Y314" s="343">
        <v>0</v>
      </c>
      <c r="Z314" s="343">
        <v>23045</v>
      </c>
      <c r="AA314" s="343">
        <v>2053.0300000000002</v>
      </c>
    </row>
    <row r="315" spans="1:27">
      <c r="A315" s="343">
        <v>20251108</v>
      </c>
      <c r="B315" s="343">
        <v>142711.20000000001</v>
      </c>
      <c r="C315" s="343">
        <v>465</v>
      </c>
      <c r="D315" s="343">
        <v>1080</v>
      </c>
      <c r="E315" s="384">
        <v>45969</v>
      </c>
      <c r="F315" s="343" t="s">
        <v>244</v>
      </c>
      <c r="G315" s="343" t="s">
        <v>327</v>
      </c>
      <c r="Q315" s="343" t="s">
        <v>159</v>
      </c>
      <c r="R315" s="343" t="s">
        <v>162</v>
      </c>
      <c r="S315" s="384">
        <v>46216</v>
      </c>
      <c r="T315" s="384">
        <v>46222</v>
      </c>
      <c r="U315" s="343" t="s">
        <v>287</v>
      </c>
      <c r="V315" s="343">
        <v>794</v>
      </c>
      <c r="W315" s="343">
        <v>15462</v>
      </c>
      <c r="X315" s="343">
        <v>274</v>
      </c>
      <c r="Y315" s="343">
        <v>0</v>
      </c>
      <c r="Z315" s="343">
        <v>15736</v>
      </c>
      <c r="AA315" s="343">
        <v>1391.58</v>
      </c>
    </row>
    <row r="316" spans="1:27">
      <c r="A316" s="343">
        <v>20251109</v>
      </c>
      <c r="B316" s="343">
        <v>69655</v>
      </c>
      <c r="C316" s="343">
        <v>257</v>
      </c>
      <c r="D316" s="343">
        <v>551</v>
      </c>
      <c r="E316" s="384">
        <v>45970</v>
      </c>
      <c r="F316" s="343" t="s">
        <v>245</v>
      </c>
      <c r="G316" s="343" t="s">
        <v>327</v>
      </c>
      <c r="Q316" s="343" t="s">
        <v>159</v>
      </c>
      <c r="R316" s="343" t="s">
        <v>163</v>
      </c>
      <c r="S316" s="384">
        <v>46223</v>
      </c>
      <c r="T316" s="384">
        <v>46229</v>
      </c>
      <c r="U316" s="343" t="s">
        <v>279</v>
      </c>
      <c r="V316" s="343">
        <v>232</v>
      </c>
      <c r="W316" s="343">
        <v>2799</v>
      </c>
      <c r="X316" s="343">
        <v>51</v>
      </c>
      <c r="Y316" s="343">
        <v>0</v>
      </c>
      <c r="Z316" s="343">
        <v>2850</v>
      </c>
      <c r="AA316" s="343">
        <v>251.91</v>
      </c>
    </row>
    <row r="317" spans="1:27">
      <c r="A317" s="343">
        <v>20251110</v>
      </c>
      <c r="B317" s="343">
        <v>93311.05</v>
      </c>
      <c r="C317" s="343">
        <v>246</v>
      </c>
      <c r="D317" s="343">
        <v>591</v>
      </c>
      <c r="E317" s="384">
        <v>45971</v>
      </c>
      <c r="F317" s="343" t="s">
        <v>232</v>
      </c>
      <c r="G317" s="343" t="s">
        <v>328</v>
      </c>
      <c r="Q317" s="343" t="s">
        <v>159</v>
      </c>
      <c r="R317" s="343" t="s">
        <v>163</v>
      </c>
      <c r="S317" s="384">
        <v>46223</v>
      </c>
      <c r="T317" s="384">
        <v>46229</v>
      </c>
      <c r="U317" s="343" t="s">
        <v>285</v>
      </c>
      <c r="V317" s="343">
        <v>16710.05</v>
      </c>
      <c r="W317" s="343">
        <v>313555.75</v>
      </c>
      <c r="X317" s="343">
        <v>9904.75</v>
      </c>
      <c r="Y317" s="343">
        <v>0</v>
      </c>
      <c r="Z317" s="343">
        <v>323460.5</v>
      </c>
      <c r="AA317" s="343">
        <v>28220.14</v>
      </c>
    </row>
    <row r="318" spans="1:27">
      <c r="A318" s="343">
        <v>20251111</v>
      </c>
      <c r="B318" s="343">
        <v>90745.1</v>
      </c>
      <c r="C318" s="343">
        <v>211</v>
      </c>
      <c r="D318" s="343">
        <v>575</v>
      </c>
      <c r="E318" s="384">
        <v>45972</v>
      </c>
      <c r="F318" s="343" t="s">
        <v>233</v>
      </c>
      <c r="G318" s="343" t="s">
        <v>328</v>
      </c>
      <c r="Q318" s="343" t="s">
        <v>159</v>
      </c>
      <c r="R318" s="343" t="s">
        <v>163</v>
      </c>
      <c r="S318" s="384">
        <v>46223</v>
      </c>
      <c r="T318" s="384">
        <v>46229</v>
      </c>
      <c r="U318" s="343" t="s">
        <v>336</v>
      </c>
      <c r="V318" s="343">
        <v>3</v>
      </c>
      <c r="W318" s="343">
        <v>0</v>
      </c>
      <c r="X318" s="343">
        <v>0</v>
      </c>
      <c r="Y318" s="343">
        <v>0</v>
      </c>
      <c r="Z318" s="343">
        <v>0</v>
      </c>
      <c r="AA318" s="343">
        <v>0</v>
      </c>
    </row>
    <row r="319" spans="1:27">
      <c r="A319" s="343">
        <v>20251112</v>
      </c>
      <c r="B319" s="343">
        <v>148749.65</v>
      </c>
      <c r="C319" s="343">
        <v>191</v>
      </c>
      <c r="D319" s="343">
        <v>525</v>
      </c>
      <c r="E319" s="384">
        <v>45973</v>
      </c>
      <c r="F319" s="343" t="s">
        <v>234</v>
      </c>
      <c r="G319" s="343" t="s">
        <v>328</v>
      </c>
      <c r="Q319" s="343" t="s">
        <v>159</v>
      </c>
      <c r="R319" s="343" t="s">
        <v>163</v>
      </c>
      <c r="S319" s="384">
        <v>46223</v>
      </c>
      <c r="T319" s="384">
        <v>46229</v>
      </c>
      <c r="U319" s="343" t="s">
        <v>275</v>
      </c>
      <c r="V319" s="343">
        <v>339</v>
      </c>
      <c r="W319" s="343">
        <v>33308.5</v>
      </c>
      <c r="X319" s="343">
        <v>957.5</v>
      </c>
      <c r="Y319" s="343">
        <v>0</v>
      </c>
      <c r="Z319" s="343">
        <v>34266</v>
      </c>
      <c r="AA319" s="343">
        <v>2997.77</v>
      </c>
    </row>
    <row r="320" spans="1:27">
      <c r="A320" s="343">
        <v>20251113</v>
      </c>
      <c r="B320" s="343">
        <v>107087.25</v>
      </c>
      <c r="C320" s="343">
        <v>332</v>
      </c>
      <c r="D320" s="343">
        <v>736</v>
      </c>
      <c r="E320" s="384">
        <v>45974</v>
      </c>
      <c r="F320" s="343" t="s">
        <v>235</v>
      </c>
      <c r="G320" s="343" t="s">
        <v>328</v>
      </c>
      <c r="Q320" s="343" t="s">
        <v>159</v>
      </c>
      <c r="R320" s="343" t="s">
        <v>163</v>
      </c>
      <c r="S320" s="384">
        <v>46223</v>
      </c>
      <c r="T320" s="384">
        <v>46229</v>
      </c>
      <c r="U320" s="343" t="s">
        <v>281</v>
      </c>
      <c r="V320" s="343">
        <v>5004</v>
      </c>
      <c r="W320" s="343">
        <v>111837</v>
      </c>
      <c r="X320" s="343">
        <v>3051</v>
      </c>
      <c r="Y320" s="343">
        <v>0</v>
      </c>
      <c r="Z320" s="343">
        <v>114888</v>
      </c>
      <c r="AA320" s="343">
        <v>10065.33</v>
      </c>
    </row>
    <row r="321" spans="1:27">
      <c r="A321" s="343">
        <v>20251114</v>
      </c>
      <c r="B321" s="343">
        <v>129184.5</v>
      </c>
      <c r="C321" s="343">
        <v>395</v>
      </c>
      <c r="D321" s="343">
        <v>904</v>
      </c>
      <c r="E321" s="384">
        <v>45975</v>
      </c>
      <c r="F321" s="343" t="s">
        <v>236</v>
      </c>
      <c r="G321" s="343" t="s">
        <v>328</v>
      </c>
      <c r="Q321" s="343" t="s">
        <v>159</v>
      </c>
      <c r="R321" s="343" t="s">
        <v>163</v>
      </c>
      <c r="S321" s="384">
        <v>46223</v>
      </c>
      <c r="T321" s="384">
        <v>46229</v>
      </c>
      <c r="U321" s="343" t="s">
        <v>283</v>
      </c>
      <c r="V321" s="343">
        <v>2713</v>
      </c>
      <c r="W321" s="343">
        <v>27932.75</v>
      </c>
      <c r="X321" s="343">
        <v>1070.25</v>
      </c>
      <c r="Y321" s="343">
        <v>0</v>
      </c>
      <c r="Z321" s="343">
        <v>29003</v>
      </c>
      <c r="AA321" s="343">
        <v>2513.98</v>
      </c>
    </row>
    <row r="322" spans="1:27">
      <c r="A322" s="343">
        <v>20251115</v>
      </c>
      <c r="B322" s="343">
        <v>119234.85</v>
      </c>
      <c r="C322" s="343">
        <v>475</v>
      </c>
      <c r="D322" s="343">
        <v>1066</v>
      </c>
      <c r="E322" s="384">
        <v>45976</v>
      </c>
      <c r="F322" s="343" t="s">
        <v>244</v>
      </c>
      <c r="G322" s="343" t="s">
        <v>328</v>
      </c>
      <c r="Q322" s="343" t="s">
        <v>159</v>
      </c>
      <c r="R322" s="343" t="s">
        <v>163</v>
      </c>
      <c r="S322" s="384">
        <v>46223</v>
      </c>
      <c r="T322" s="384">
        <v>46229</v>
      </c>
      <c r="U322" s="343" t="s">
        <v>293</v>
      </c>
      <c r="V322" s="343">
        <v>23</v>
      </c>
      <c r="W322" s="343">
        <v>3182</v>
      </c>
      <c r="X322" s="343">
        <v>0</v>
      </c>
      <c r="Y322" s="343">
        <v>0</v>
      </c>
      <c r="Z322" s="343">
        <v>3182</v>
      </c>
      <c r="AA322" s="343">
        <v>286.38</v>
      </c>
    </row>
    <row r="323" spans="1:27">
      <c r="A323" s="343">
        <v>20251116</v>
      </c>
      <c r="B323" s="343">
        <v>60761</v>
      </c>
      <c r="C323" s="343">
        <v>233</v>
      </c>
      <c r="D323" s="343">
        <v>509</v>
      </c>
      <c r="E323" s="384">
        <v>45977</v>
      </c>
      <c r="F323" s="343" t="s">
        <v>245</v>
      </c>
      <c r="G323" s="343" t="s">
        <v>328</v>
      </c>
      <c r="Q323" s="343" t="s">
        <v>159</v>
      </c>
      <c r="R323" s="343" t="s">
        <v>163</v>
      </c>
      <c r="S323" s="384">
        <v>46223</v>
      </c>
      <c r="T323" s="384">
        <v>46229</v>
      </c>
      <c r="U323" s="343" t="s">
        <v>106</v>
      </c>
      <c r="V323" s="343">
        <v>11</v>
      </c>
      <c r="W323" s="343">
        <v>1392.8</v>
      </c>
      <c r="X323" s="343">
        <v>0</v>
      </c>
      <c r="Y323" s="343">
        <v>0</v>
      </c>
      <c r="Z323" s="343">
        <v>1392.8</v>
      </c>
      <c r="AA323" s="343">
        <v>0</v>
      </c>
    </row>
    <row r="324" spans="1:27">
      <c r="A324" s="343">
        <v>20251117</v>
      </c>
      <c r="B324" s="343">
        <v>50808</v>
      </c>
      <c r="C324" s="343">
        <v>181</v>
      </c>
      <c r="D324" s="343">
        <v>362</v>
      </c>
      <c r="E324" s="384">
        <v>45978</v>
      </c>
      <c r="F324" s="343" t="s">
        <v>232</v>
      </c>
      <c r="G324" s="343" t="s">
        <v>329</v>
      </c>
      <c r="Q324" s="343" t="s">
        <v>159</v>
      </c>
      <c r="R324" s="343" t="s">
        <v>163</v>
      </c>
      <c r="S324" s="384">
        <v>46223</v>
      </c>
      <c r="T324" s="384">
        <v>46229</v>
      </c>
      <c r="U324" s="343" t="s">
        <v>277</v>
      </c>
      <c r="V324" s="343">
        <v>147</v>
      </c>
      <c r="W324" s="343">
        <v>24543</v>
      </c>
      <c r="X324" s="343">
        <v>0</v>
      </c>
      <c r="Y324" s="343">
        <v>0</v>
      </c>
      <c r="Z324" s="343">
        <v>24543</v>
      </c>
      <c r="AA324" s="343">
        <v>2208.87</v>
      </c>
    </row>
    <row r="325" spans="1:27">
      <c r="A325" s="343">
        <v>20251118</v>
      </c>
      <c r="B325" s="343">
        <v>66550.55</v>
      </c>
      <c r="C325" s="343">
        <v>179</v>
      </c>
      <c r="D325" s="343">
        <v>397</v>
      </c>
      <c r="E325" s="384">
        <v>45979</v>
      </c>
      <c r="F325" s="343" t="s">
        <v>233</v>
      </c>
      <c r="G325" s="343" t="s">
        <v>329</v>
      </c>
      <c r="Q325" s="343" t="s">
        <v>159</v>
      </c>
      <c r="R325" s="343" t="s">
        <v>163</v>
      </c>
      <c r="S325" s="384">
        <v>46223</v>
      </c>
      <c r="T325" s="384">
        <v>46229</v>
      </c>
      <c r="U325" s="343" t="s">
        <v>287</v>
      </c>
      <c r="V325" s="343">
        <v>751</v>
      </c>
      <c r="W325" s="343">
        <v>16217</v>
      </c>
      <c r="X325" s="343">
        <v>212</v>
      </c>
      <c r="Y325" s="343">
        <v>0</v>
      </c>
      <c r="Z325" s="343">
        <v>16429</v>
      </c>
      <c r="AA325" s="343">
        <v>1459.53</v>
      </c>
    </row>
    <row r="326" spans="1:27">
      <c r="A326" s="343">
        <v>20251119</v>
      </c>
      <c r="B326" s="343">
        <v>58650.35</v>
      </c>
      <c r="C326" s="343">
        <v>176</v>
      </c>
      <c r="D326" s="343">
        <v>371</v>
      </c>
      <c r="E326" s="384">
        <v>45980</v>
      </c>
      <c r="F326" s="343" t="s">
        <v>234</v>
      </c>
      <c r="G326" s="343" t="s">
        <v>329</v>
      </c>
      <c r="Q326" s="343" t="s">
        <v>165</v>
      </c>
      <c r="R326" s="343" t="s">
        <v>166</v>
      </c>
      <c r="S326" s="384">
        <v>46230</v>
      </c>
      <c r="T326" s="384">
        <v>46236</v>
      </c>
      <c r="U326" s="343" t="s">
        <v>279</v>
      </c>
      <c r="V326" s="343">
        <v>184</v>
      </c>
      <c r="W326" s="343">
        <v>2227</v>
      </c>
      <c r="X326" s="343">
        <v>54</v>
      </c>
      <c r="Y326" s="343">
        <v>0</v>
      </c>
      <c r="Z326" s="343">
        <v>2281</v>
      </c>
      <c r="AA326" s="343">
        <v>200.43</v>
      </c>
    </row>
    <row r="327" spans="1:27">
      <c r="A327" s="343">
        <v>20251120</v>
      </c>
      <c r="B327" s="343">
        <v>112534.85</v>
      </c>
      <c r="C327" s="343">
        <v>376</v>
      </c>
      <c r="D327" s="343">
        <v>818</v>
      </c>
      <c r="E327" s="384">
        <v>45981</v>
      </c>
      <c r="F327" s="343" t="s">
        <v>235</v>
      </c>
      <c r="G327" s="343" t="s">
        <v>329</v>
      </c>
      <c r="Q327" s="343" t="s">
        <v>165</v>
      </c>
      <c r="R327" s="343" t="s">
        <v>166</v>
      </c>
      <c r="S327" s="384">
        <v>46230</v>
      </c>
      <c r="T327" s="384">
        <v>46236</v>
      </c>
      <c r="U327" s="343" t="s">
        <v>285</v>
      </c>
      <c r="V327" s="343">
        <v>15578.62</v>
      </c>
      <c r="W327" s="343">
        <v>295395.09999999998</v>
      </c>
      <c r="X327" s="343">
        <v>10595.4</v>
      </c>
      <c r="Y327" s="343">
        <v>0</v>
      </c>
      <c r="Z327" s="343">
        <v>305990.5</v>
      </c>
      <c r="AA327" s="343">
        <v>26585.7</v>
      </c>
    </row>
    <row r="328" spans="1:27">
      <c r="A328" s="343">
        <v>20251121</v>
      </c>
      <c r="B328" s="343">
        <v>120956.3</v>
      </c>
      <c r="C328" s="343">
        <v>464</v>
      </c>
      <c r="D328" s="343">
        <v>965</v>
      </c>
      <c r="E328" s="384">
        <v>45982</v>
      </c>
      <c r="F328" s="343" t="s">
        <v>236</v>
      </c>
      <c r="G328" s="343" t="s">
        <v>329</v>
      </c>
      <c r="Q328" s="343" t="s">
        <v>165</v>
      </c>
      <c r="R328" s="343" t="s">
        <v>166</v>
      </c>
      <c r="S328" s="384">
        <v>46230</v>
      </c>
      <c r="T328" s="384">
        <v>46236</v>
      </c>
      <c r="U328" s="343" t="s">
        <v>336</v>
      </c>
      <c r="V328" s="343">
        <v>1</v>
      </c>
      <c r="W328" s="343">
        <v>0</v>
      </c>
      <c r="X328" s="343">
        <v>0</v>
      </c>
      <c r="Y328" s="343">
        <v>0</v>
      </c>
      <c r="Z328" s="343">
        <v>0</v>
      </c>
      <c r="AA328" s="343">
        <v>0</v>
      </c>
    </row>
    <row r="329" spans="1:27">
      <c r="A329" s="343">
        <v>20251122</v>
      </c>
      <c r="B329" s="343">
        <v>97341</v>
      </c>
      <c r="C329" s="343">
        <v>392</v>
      </c>
      <c r="D329" s="343">
        <v>838</v>
      </c>
      <c r="E329" s="384">
        <v>45983</v>
      </c>
      <c r="F329" s="343" t="s">
        <v>244</v>
      </c>
      <c r="G329" s="343" t="s">
        <v>329</v>
      </c>
      <c r="Q329" s="343" t="s">
        <v>165</v>
      </c>
      <c r="R329" s="343" t="s">
        <v>166</v>
      </c>
      <c r="S329" s="384">
        <v>46230</v>
      </c>
      <c r="T329" s="384">
        <v>46236</v>
      </c>
      <c r="U329" s="343" t="s">
        <v>275</v>
      </c>
      <c r="V329" s="343">
        <v>304</v>
      </c>
      <c r="W329" s="343">
        <v>31401</v>
      </c>
      <c r="X329" s="343">
        <v>625</v>
      </c>
      <c r="Y329" s="343">
        <v>0</v>
      </c>
      <c r="Z329" s="343">
        <v>32026</v>
      </c>
      <c r="AA329" s="343">
        <v>2826.09</v>
      </c>
    </row>
    <row r="330" spans="1:27">
      <c r="A330" s="343">
        <v>20251123</v>
      </c>
      <c r="B330" s="343">
        <v>53542.5</v>
      </c>
      <c r="C330" s="343">
        <v>203</v>
      </c>
      <c r="D330" s="343">
        <v>440</v>
      </c>
      <c r="E330" s="384">
        <v>45984</v>
      </c>
      <c r="F330" s="343" t="s">
        <v>245</v>
      </c>
      <c r="G330" s="343" t="s">
        <v>329</v>
      </c>
      <c r="Q330" s="343" t="s">
        <v>165</v>
      </c>
      <c r="R330" s="343" t="s">
        <v>166</v>
      </c>
      <c r="S330" s="384">
        <v>46230</v>
      </c>
      <c r="T330" s="384">
        <v>46236</v>
      </c>
      <c r="U330" s="343" t="s">
        <v>281</v>
      </c>
      <c r="V330" s="343">
        <v>4793</v>
      </c>
      <c r="W330" s="343">
        <v>105546</v>
      </c>
      <c r="X330" s="343">
        <v>2772</v>
      </c>
      <c r="Y330" s="343">
        <v>0</v>
      </c>
      <c r="Z330" s="343">
        <v>108318</v>
      </c>
      <c r="AA330" s="343">
        <v>9499.1</v>
      </c>
    </row>
    <row r="331" spans="1:27">
      <c r="A331" s="343">
        <v>20251124</v>
      </c>
      <c r="B331" s="343">
        <v>52294</v>
      </c>
      <c r="C331" s="343">
        <v>181</v>
      </c>
      <c r="D331" s="343">
        <v>428</v>
      </c>
      <c r="E331" s="384">
        <v>45985</v>
      </c>
      <c r="F331" s="343" t="s">
        <v>232</v>
      </c>
      <c r="G331" s="343" t="s">
        <v>330</v>
      </c>
      <c r="Q331" s="343" t="s">
        <v>165</v>
      </c>
      <c r="R331" s="343" t="s">
        <v>166</v>
      </c>
      <c r="S331" s="384">
        <v>46230</v>
      </c>
      <c r="T331" s="384">
        <v>46236</v>
      </c>
      <c r="U331" s="343" t="s">
        <v>283</v>
      </c>
      <c r="V331" s="343">
        <v>2454</v>
      </c>
      <c r="W331" s="343">
        <v>25102.799999999999</v>
      </c>
      <c r="X331" s="343">
        <v>983.2</v>
      </c>
      <c r="Y331" s="343">
        <v>0</v>
      </c>
      <c r="Z331" s="343">
        <v>26086</v>
      </c>
      <c r="AA331" s="343">
        <v>2259.2600000000002</v>
      </c>
    </row>
    <row r="332" spans="1:27">
      <c r="A332" s="343">
        <v>20251125</v>
      </c>
      <c r="B332" s="343">
        <v>50053.5</v>
      </c>
      <c r="C332" s="343">
        <v>216</v>
      </c>
      <c r="D332" s="343">
        <v>429</v>
      </c>
      <c r="E332" s="384">
        <v>45986</v>
      </c>
      <c r="F332" s="343" t="s">
        <v>233</v>
      </c>
      <c r="G332" s="343" t="s">
        <v>330</v>
      </c>
      <c r="Q332" s="343" t="s">
        <v>165</v>
      </c>
      <c r="R332" s="343" t="s">
        <v>166</v>
      </c>
      <c r="S332" s="384">
        <v>46230</v>
      </c>
      <c r="T332" s="384">
        <v>46236</v>
      </c>
      <c r="U332" s="343" t="s">
        <v>293</v>
      </c>
      <c r="V332" s="343">
        <v>19</v>
      </c>
      <c r="W332" s="343">
        <v>2390</v>
      </c>
      <c r="X332" s="343">
        <v>0</v>
      </c>
      <c r="Y332" s="343">
        <v>0</v>
      </c>
      <c r="Z332" s="343">
        <v>2390</v>
      </c>
      <c r="AA332" s="343">
        <v>215.1</v>
      </c>
    </row>
    <row r="333" spans="1:27">
      <c r="A333" s="343">
        <v>20251126</v>
      </c>
      <c r="B333" s="343">
        <v>70312.06</v>
      </c>
      <c r="C333" s="343">
        <v>288</v>
      </c>
      <c r="D333" s="343">
        <v>656</v>
      </c>
      <c r="E333" s="384">
        <v>45987</v>
      </c>
      <c r="F333" s="343" t="s">
        <v>234</v>
      </c>
      <c r="G333" s="343" t="s">
        <v>330</v>
      </c>
      <c r="Q333" s="343" t="s">
        <v>165</v>
      </c>
      <c r="R333" s="343" t="s">
        <v>166</v>
      </c>
      <c r="S333" s="384">
        <v>46230</v>
      </c>
      <c r="T333" s="384">
        <v>46236</v>
      </c>
      <c r="U333" s="343" t="s">
        <v>106</v>
      </c>
      <c r="V333" s="343">
        <v>9</v>
      </c>
      <c r="W333" s="343">
        <v>1577.7</v>
      </c>
      <c r="X333" s="343">
        <v>0</v>
      </c>
      <c r="Y333" s="343">
        <v>0</v>
      </c>
      <c r="Z333" s="343">
        <v>1577.7</v>
      </c>
      <c r="AA333" s="343">
        <v>0</v>
      </c>
    </row>
    <row r="334" spans="1:27">
      <c r="A334" s="343">
        <v>20251127</v>
      </c>
      <c r="B334" s="343">
        <v>88517</v>
      </c>
      <c r="C334" s="343">
        <v>332</v>
      </c>
      <c r="D334" s="343">
        <v>754</v>
      </c>
      <c r="E334" s="384">
        <v>45988</v>
      </c>
      <c r="F334" s="343" t="s">
        <v>235</v>
      </c>
      <c r="G334" s="343" t="s">
        <v>330</v>
      </c>
      <c r="Q334" s="343" t="s">
        <v>165</v>
      </c>
      <c r="R334" s="343" t="s">
        <v>166</v>
      </c>
      <c r="S334" s="384">
        <v>46230</v>
      </c>
      <c r="T334" s="384">
        <v>46236</v>
      </c>
      <c r="U334" s="343" t="s">
        <v>277</v>
      </c>
      <c r="V334" s="343">
        <v>164</v>
      </c>
      <c r="W334" s="343">
        <v>23388</v>
      </c>
      <c r="X334" s="343">
        <v>46</v>
      </c>
      <c r="Y334" s="343">
        <v>0</v>
      </c>
      <c r="Z334" s="343">
        <v>23434</v>
      </c>
      <c r="AA334" s="343">
        <v>2104.92</v>
      </c>
    </row>
    <row r="335" spans="1:27">
      <c r="A335" s="343">
        <v>20251128</v>
      </c>
      <c r="B335" s="343">
        <v>105173.5</v>
      </c>
      <c r="C335" s="343">
        <v>368</v>
      </c>
      <c r="D335" s="343">
        <v>851</v>
      </c>
      <c r="E335" s="384">
        <v>45989</v>
      </c>
      <c r="F335" s="343" t="s">
        <v>236</v>
      </c>
      <c r="G335" s="343" t="s">
        <v>330</v>
      </c>
      <c r="Q335" s="343" t="s">
        <v>165</v>
      </c>
      <c r="R335" s="343" t="s">
        <v>166</v>
      </c>
      <c r="S335" s="384">
        <v>46230</v>
      </c>
      <c r="T335" s="384">
        <v>46236</v>
      </c>
      <c r="U335" s="343" t="s">
        <v>287</v>
      </c>
      <c r="V335" s="343">
        <v>824</v>
      </c>
      <c r="W335" s="343">
        <v>14275</v>
      </c>
      <c r="X335" s="343">
        <v>522</v>
      </c>
      <c r="Y335" s="343">
        <v>0</v>
      </c>
      <c r="Z335" s="343">
        <v>14797</v>
      </c>
      <c r="AA335" s="343">
        <v>1284.75</v>
      </c>
    </row>
    <row r="336" spans="1:27">
      <c r="A336" s="343">
        <v>20251129</v>
      </c>
      <c r="B336" s="343">
        <v>108443.5</v>
      </c>
      <c r="C336" s="343">
        <v>375</v>
      </c>
      <c r="D336" s="343">
        <v>865</v>
      </c>
      <c r="E336" s="384">
        <v>45990</v>
      </c>
      <c r="F336" s="343" t="s">
        <v>244</v>
      </c>
      <c r="G336" s="343" t="s">
        <v>330</v>
      </c>
      <c r="Q336" s="343" t="s">
        <v>165</v>
      </c>
      <c r="R336" s="343" t="s">
        <v>167</v>
      </c>
      <c r="S336" s="384">
        <v>46237</v>
      </c>
      <c r="T336" s="384">
        <v>46243</v>
      </c>
      <c r="U336" s="343" t="s">
        <v>279</v>
      </c>
      <c r="V336" s="343">
        <v>217</v>
      </c>
      <c r="W336" s="343">
        <v>2616</v>
      </c>
      <c r="X336" s="343">
        <v>24</v>
      </c>
      <c r="Y336" s="343">
        <v>0</v>
      </c>
      <c r="Z336" s="343">
        <v>2640</v>
      </c>
      <c r="AA336" s="343">
        <v>235.44</v>
      </c>
    </row>
    <row r="337" spans="1:27">
      <c r="A337" s="343">
        <v>20251130</v>
      </c>
      <c r="B337" s="343">
        <v>53095</v>
      </c>
      <c r="C337" s="343">
        <v>189</v>
      </c>
      <c r="D337" s="343">
        <v>710</v>
      </c>
      <c r="E337" s="384">
        <v>45991</v>
      </c>
      <c r="F337" s="343" t="s">
        <v>245</v>
      </c>
      <c r="G337" s="343" t="s">
        <v>330</v>
      </c>
      <c r="Q337" s="343" t="s">
        <v>165</v>
      </c>
      <c r="R337" s="343" t="s">
        <v>167</v>
      </c>
      <c r="S337" s="384">
        <v>46237</v>
      </c>
      <c r="T337" s="384">
        <v>46243</v>
      </c>
      <c r="U337" s="343" t="s">
        <v>285</v>
      </c>
      <c r="V337" s="343">
        <v>16731.43</v>
      </c>
      <c r="W337" s="343">
        <v>312319.25</v>
      </c>
      <c r="X337" s="343">
        <v>8874.25</v>
      </c>
      <c r="Y337" s="343">
        <v>0</v>
      </c>
      <c r="Z337" s="343">
        <v>321193.5</v>
      </c>
      <c r="AA337" s="343">
        <v>28029.47</v>
      </c>
    </row>
    <row r="338" spans="1:27">
      <c r="A338" s="343">
        <v>20251201</v>
      </c>
      <c r="B338" s="343">
        <v>65250.400000000001</v>
      </c>
      <c r="C338" s="343">
        <v>211</v>
      </c>
      <c r="D338" s="343">
        <v>420</v>
      </c>
      <c r="E338" s="384">
        <v>45992</v>
      </c>
      <c r="F338" s="343" t="s">
        <v>232</v>
      </c>
      <c r="G338" s="343" t="s">
        <v>331</v>
      </c>
      <c r="Q338" s="343" t="s">
        <v>165</v>
      </c>
      <c r="R338" s="343" t="s">
        <v>167</v>
      </c>
      <c r="S338" s="384">
        <v>46237</v>
      </c>
      <c r="T338" s="384">
        <v>46243</v>
      </c>
      <c r="U338" s="343" t="s">
        <v>275</v>
      </c>
      <c r="V338" s="343">
        <v>349</v>
      </c>
      <c r="W338" s="343">
        <v>37047</v>
      </c>
      <c r="X338" s="343">
        <v>690</v>
      </c>
      <c r="Y338" s="343">
        <v>0</v>
      </c>
      <c r="Z338" s="343">
        <v>37737</v>
      </c>
      <c r="AA338" s="343">
        <v>3334.23</v>
      </c>
    </row>
    <row r="339" spans="1:27">
      <c r="A339" s="343">
        <v>20251202</v>
      </c>
      <c r="B339" s="343">
        <v>120528.6</v>
      </c>
      <c r="C339" s="343">
        <v>386</v>
      </c>
      <c r="D339" s="343">
        <v>819</v>
      </c>
      <c r="E339" s="384">
        <v>45993</v>
      </c>
      <c r="F339" s="343" t="s">
        <v>233</v>
      </c>
      <c r="G339" s="343" t="s">
        <v>331</v>
      </c>
      <c r="Q339" s="343" t="s">
        <v>165</v>
      </c>
      <c r="R339" s="343" t="s">
        <v>167</v>
      </c>
      <c r="S339" s="384">
        <v>46237</v>
      </c>
      <c r="T339" s="384">
        <v>46243</v>
      </c>
      <c r="U339" s="343" t="s">
        <v>281</v>
      </c>
      <c r="V339" s="343">
        <v>4815</v>
      </c>
      <c r="W339" s="343">
        <v>106036</v>
      </c>
      <c r="X339" s="343">
        <v>3081</v>
      </c>
      <c r="Y339" s="343">
        <v>0</v>
      </c>
      <c r="Z339" s="343">
        <v>109117</v>
      </c>
      <c r="AA339" s="343">
        <v>9528.1200000000008</v>
      </c>
    </row>
    <row r="340" spans="1:27">
      <c r="A340" s="343">
        <v>20251203</v>
      </c>
      <c r="B340" s="343">
        <v>138967.74</v>
      </c>
      <c r="C340" s="343">
        <v>394</v>
      </c>
      <c r="D340" s="343">
        <v>874</v>
      </c>
      <c r="E340" s="384">
        <v>45994</v>
      </c>
      <c r="F340" s="343" t="s">
        <v>234</v>
      </c>
      <c r="G340" s="343" t="s">
        <v>331</v>
      </c>
      <c r="Q340" s="343" t="s">
        <v>165</v>
      </c>
      <c r="R340" s="343" t="s">
        <v>167</v>
      </c>
      <c r="S340" s="384">
        <v>46237</v>
      </c>
      <c r="T340" s="384">
        <v>46243</v>
      </c>
      <c r="U340" s="343" t="s">
        <v>283</v>
      </c>
      <c r="V340" s="343">
        <v>2631</v>
      </c>
      <c r="W340" s="343">
        <v>26853.75</v>
      </c>
      <c r="X340" s="343">
        <v>718.25</v>
      </c>
      <c r="Y340" s="343">
        <v>0</v>
      </c>
      <c r="Z340" s="343">
        <v>27572</v>
      </c>
      <c r="AA340" s="343">
        <v>2406.6</v>
      </c>
    </row>
    <row r="341" spans="1:27">
      <c r="A341" s="343">
        <v>20251204</v>
      </c>
      <c r="B341" s="343">
        <v>447332.85</v>
      </c>
      <c r="C341" s="343">
        <v>312</v>
      </c>
      <c r="D341" s="343">
        <v>821</v>
      </c>
      <c r="E341" s="384">
        <v>45995</v>
      </c>
      <c r="F341" s="343" t="s">
        <v>235</v>
      </c>
      <c r="G341" s="343" t="s">
        <v>331</v>
      </c>
      <c r="Q341" s="343" t="s">
        <v>165</v>
      </c>
      <c r="R341" s="343" t="s">
        <v>167</v>
      </c>
      <c r="S341" s="384">
        <v>46237</v>
      </c>
      <c r="T341" s="384">
        <v>46243</v>
      </c>
      <c r="U341" s="343" t="s">
        <v>293</v>
      </c>
      <c r="V341" s="343">
        <v>20</v>
      </c>
      <c r="W341" s="343">
        <v>1880</v>
      </c>
      <c r="X341" s="343">
        <v>5</v>
      </c>
      <c r="Y341" s="343">
        <v>0</v>
      </c>
      <c r="Z341" s="343">
        <v>1885</v>
      </c>
      <c r="AA341" s="343">
        <v>168.85</v>
      </c>
    </row>
    <row r="342" spans="1:27">
      <c r="A342" s="343">
        <v>20251205</v>
      </c>
      <c r="B342" s="343">
        <v>232962.21</v>
      </c>
      <c r="C342" s="343">
        <v>460</v>
      </c>
      <c r="D342" s="343">
        <v>1039</v>
      </c>
      <c r="E342" s="384">
        <v>45996</v>
      </c>
      <c r="F342" s="343" t="s">
        <v>236</v>
      </c>
      <c r="G342" s="343" t="s">
        <v>331</v>
      </c>
      <c r="Q342" s="343" t="s">
        <v>165</v>
      </c>
      <c r="R342" s="343" t="s">
        <v>167</v>
      </c>
      <c r="S342" s="384">
        <v>46237</v>
      </c>
      <c r="T342" s="384">
        <v>46243</v>
      </c>
      <c r="U342" s="343" t="s">
        <v>106</v>
      </c>
      <c r="V342" s="343">
        <v>5</v>
      </c>
      <c r="W342" s="343">
        <v>557.75</v>
      </c>
      <c r="X342" s="343">
        <v>0</v>
      </c>
      <c r="Y342" s="343">
        <v>0</v>
      </c>
      <c r="Z342" s="343">
        <v>557.75</v>
      </c>
      <c r="AA342" s="343">
        <v>0</v>
      </c>
    </row>
    <row r="343" spans="1:27">
      <c r="A343" s="343">
        <v>20251206</v>
      </c>
      <c r="B343" s="343">
        <v>250451.41</v>
      </c>
      <c r="C343" s="343">
        <v>424</v>
      </c>
      <c r="D343" s="343">
        <v>1094</v>
      </c>
      <c r="E343" s="384">
        <v>45997</v>
      </c>
      <c r="F343" s="343" t="s">
        <v>244</v>
      </c>
      <c r="G343" s="343" t="s">
        <v>331</v>
      </c>
      <c r="Q343" s="343" t="s">
        <v>165</v>
      </c>
      <c r="R343" s="343" t="s">
        <v>167</v>
      </c>
      <c r="S343" s="384">
        <v>46237</v>
      </c>
      <c r="T343" s="384">
        <v>46243</v>
      </c>
      <c r="U343" s="343" t="s">
        <v>277</v>
      </c>
      <c r="V343" s="343">
        <v>200</v>
      </c>
      <c r="W343" s="343">
        <v>25252</v>
      </c>
      <c r="X343" s="343">
        <v>21</v>
      </c>
      <c r="Y343" s="343">
        <v>0</v>
      </c>
      <c r="Z343" s="343">
        <v>25273</v>
      </c>
      <c r="AA343" s="343">
        <v>2272.6799999999998</v>
      </c>
    </row>
    <row r="344" spans="1:27">
      <c r="A344" s="343">
        <v>20251207</v>
      </c>
      <c r="B344" s="343">
        <v>126884.2</v>
      </c>
      <c r="C344" s="343">
        <v>389</v>
      </c>
      <c r="D344" s="343">
        <v>808</v>
      </c>
      <c r="E344" s="384">
        <v>45998</v>
      </c>
      <c r="F344" s="343" t="s">
        <v>245</v>
      </c>
      <c r="G344" s="343" t="s">
        <v>331</v>
      </c>
      <c r="Q344" s="343" t="s">
        <v>165</v>
      </c>
      <c r="R344" s="343" t="s">
        <v>167</v>
      </c>
      <c r="S344" s="384">
        <v>46237</v>
      </c>
      <c r="T344" s="384">
        <v>46243</v>
      </c>
      <c r="U344" s="343" t="s">
        <v>287</v>
      </c>
      <c r="V344" s="343">
        <v>874</v>
      </c>
      <c r="W344" s="343">
        <v>14648</v>
      </c>
      <c r="X344" s="343">
        <v>427</v>
      </c>
      <c r="Y344" s="343">
        <v>0</v>
      </c>
      <c r="Z344" s="343">
        <v>15075</v>
      </c>
      <c r="AA344" s="343">
        <v>1318.32</v>
      </c>
    </row>
    <row r="345" spans="1:27">
      <c r="A345" s="343">
        <v>20251208</v>
      </c>
      <c r="B345" s="343">
        <v>92312.1</v>
      </c>
      <c r="C345" s="343">
        <v>251</v>
      </c>
      <c r="D345" s="343">
        <v>564</v>
      </c>
      <c r="E345" s="384">
        <v>45999</v>
      </c>
      <c r="F345" s="343" t="s">
        <v>232</v>
      </c>
      <c r="G345" s="343" t="s">
        <v>332</v>
      </c>
      <c r="Q345" s="343" t="s">
        <v>165</v>
      </c>
      <c r="R345" s="343" t="s">
        <v>168</v>
      </c>
      <c r="S345" s="384">
        <v>46244</v>
      </c>
      <c r="T345" s="384">
        <v>46250</v>
      </c>
      <c r="U345" s="343" t="s">
        <v>106</v>
      </c>
      <c r="V345" s="343">
        <v>5</v>
      </c>
      <c r="W345" s="343">
        <v>533.25</v>
      </c>
      <c r="X345" s="343">
        <v>0</v>
      </c>
      <c r="Y345" s="343">
        <v>0</v>
      </c>
      <c r="Z345" s="343">
        <v>533.25</v>
      </c>
      <c r="AA345" s="343">
        <v>0</v>
      </c>
    </row>
    <row r="346" spans="1:27">
      <c r="A346" s="343">
        <v>20251209</v>
      </c>
      <c r="B346" s="343">
        <v>72863</v>
      </c>
      <c r="C346" s="343">
        <v>281</v>
      </c>
      <c r="D346" s="343">
        <v>583</v>
      </c>
      <c r="E346" s="384">
        <v>46000</v>
      </c>
      <c r="F346" s="343" t="s">
        <v>233</v>
      </c>
      <c r="G346" s="343" t="s">
        <v>332</v>
      </c>
      <c r="Q346" s="343" t="s">
        <v>165</v>
      </c>
      <c r="R346" s="343" t="s">
        <v>101</v>
      </c>
      <c r="S346" s="384">
        <v>46251</v>
      </c>
      <c r="T346" s="384">
        <v>46257</v>
      </c>
      <c r="U346" s="343" t="s">
        <v>106</v>
      </c>
      <c r="V346" s="343">
        <v>16</v>
      </c>
      <c r="W346" s="343">
        <v>1283.27</v>
      </c>
      <c r="X346" s="343">
        <v>0</v>
      </c>
      <c r="Y346" s="343">
        <v>0</v>
      </c>
      <c r="Z346" s="343">
        <v>1283.27</v>
      </c>
      <c r="AA346" s="343">
        <v>0</v>
      </c>
    </row>
    <row r="347" spans="1:27">
      <c r="A347" s="343">
        <v>20251210</v>
      </c>
      <c r="B347" s="343">
        <v>106583.08</v>
      </c>
      <c r="C347" s="343">
        <v>274</v>
      </c>
      <c r="D347" s="343">
        <v>653</v>
      </c>
      <c r="E347" s="384">
        <v>46001</v>
      </c>
      <c r="F347" s="343" t="s">
        <v>234</v>
      </c>
      <c r="G347" s="343" t="s">
        <v>332</v>
      </c>
    </row>
    <row r="348" spans="1:27">
      <c r="A348" s="343">
        <v>20251211</v>
      </c>
      <c r="B348" s="343">
        <v>106474.06</v>
      </c>
      <c r="C348" s="343">
        <v>268</v>
      </c>
      <c r="D348" s="343">
        <v>689</v>
      </c>
      <c r="E348" s="384">
        <v>46002</v>
      </c>
      <c r="F348" s="343" t="s">
        <v>235</v>
      </c>
      <c r="G348" s="343" t="s">
        <v>332</v>
      </c>
    </row>
    <row r="349" spans="1:27">
      <c r="A349" s="343">
        <v>20251212</v>
      </c>
      <c r="B349" s="343">
        <v>142107.6</v>
      </c>
      <c r="C349" s="343">
        <v>349</v>
      </c>
      <c r="D349" s="343">
        <v>857</v>
      </c>
      <c r="E349" s="384">
        <v>46003</v>
      </c>
      <c r="F349" s="343" t="s">
        <v>236</v>
      </c>
      <c r="G349" s="343" t="s">
        <v>332</v>
      </c>
    </row>
    <row r="350" spans="1:27">
      <c r="A350" s="343">
        <v>20251213</v>
      </c>
      <c r="B350" s="343">
        <v>128135.13</v>
      </c>
      <c r="C350" s="343">
        <v>416</v>
      </c>
      <c r="D350" s="343">
        <v>932</v>
      </c>
      <c r="E350" s="384">
        <v>46004</v>
      </c>
      <c r="F350" s="343" t="s">
        <v>244</v>
      </c>
      <c r="G350" s="343" t="s">
        <v>332</v>
      </c>
    </row>
    <row r="351" spans="1:27">
      <c r="A351" s="343">
        <v>20251214</v>
      </c>
      <c r="B351" s="343">
        <v>70707</v>
      </c>
      <c r="C351" s="343">
        <v>259</v>
      </c>
      <c r="D351" s="343">
        <v>538</v>
      </c>
      <c r="E351" s="384">
        <v>46005</v>
      </c>
      <c r="F351" s="343" t="s">
        <v>245</v>
      </c>
      <c r="G351" s="343" t="s">
        <v>332</v>
      </c>
    </row>
    <row r="352" spans="1:27">
      <c r="A352" s="343">
        <v>20251215</v>
      </c>
      <c r="B352" s="343">
        <v>49514</v>
      </c>
      <c r="C352" s="343">
        <v>186</v>
      </c>
      <c r="D352" s="343">
        <v>392</v>
      </c>
      <c r="E352" s="384">
        <v>46006</v>
      </c>
      <c r="F352" s="343" t="s">
        <v>232</v>
      </c>
      <c r="G352" s="343" t="s">
        <v>333</v>
      </c>
    </row>
    <row r="353" spans="1:7">
      <c r="A353" s="343">
        <v>20251216</v>
      </c>
      <c r="B353" s="343">
        <v>78918.12</v>
      </c>
      <c r="C353" s="343">
        <v>215</v>
      </c>
      <c r="D353" s="343">
        <v>547</v>
      </c>
      <c r="E353" s="384">
        <v>46007</v>
      </c>
      <c r="F353" s="343" t="s">
        <v>233</v>
      </c>
      <c r="G353" s="343" t="s">
        <v>333</v>
      </c>
    </row>
    <row r="354" spans="1:7">
      <c r="A354" s="343">
        <v>20251217</v>
      </c>
      <c r="B354" s="343">
        <v>62013.9</v>
      </c>
      <c r="C354" s="343">
        <v>230</v>
      </c>
      <c r="D354" s="343">
        <v>495</v>
      </c>
      <c r="E354" s="384">
        <v>46008</v>
      </c>
      <c r="F354" s="343" t="s">
        <v>234</v>
      </c>
      <c r="G354" s="343" t="s">
        <v>333</v>
      </c>
    </row>
    <row r="355" spans="1:7">
      <c r="A355" s="343">
        <v>20251218</v>
      </c>
      <c r="B355" s="343">
        <v>98705.279999999999</v>
      </c>
      <c r="C355" s="343">
        <v>396</v>
      </c>
      <c r="D355" s="343">
        <v>767</v>
      </c>
      <c r="E355" s="384">
        <v>46009</v>
      </c>
      <c r="F355" s="343" t="s">
        <v>235</v>
      </c>
      <c r="G355" s="343" t="s">
        <v>333</v>
      </c>
    </row>
    <row r="356" spans="1:7">
      <c r="A356" s="343">
        <v>20251219</v>
      </c>
      <c r="B356" s="343">
        <v>102744.16</v>
      </c>
      <c r="C356" s="343">
        <v>384</v>
      </c>
      <c r="D356" s="343">
        <v>828</v>
      </c>
      <c r="E356" s="384">
        <v>46010</v>
      </c>
      <c r="F356" s="343" t="s">
        <v>236</v>
      </c>
      <c r="G356" s="343" t="s">
        <v>333</v>
      </c>
    </row>
    <row r="357" spans="1:7">
      <c r="A357" s="343">
        <v>20251220</v>
      </c>
      <c r="B357" s="343">
        <v>114565.22</v>
      </c>
      <c r="C357" s="343">
        <v>415</v>
      </c>
      <c r="D357" s="343">
        <v>941</v>
      </c>
      <c r="E357" s="384">
        <v>46011</v>
      </c>
      <c r="F357" s="343" t="s">
        <v>244</v>
      </c>
      <c r="G357" s="343" t="s">
        <v>333</v>
      </c>
    </row>
    <row r="358" spans="1:7">
      <c r="A358" s="343">
        <v>20251221</v>
      </c>
      <c r="B358" s="343">
        <v>75794.539999999994</v>
      </c>
      <c r="C358" s="343">
        <v>261</v>
      </c>
      <c r="D358" s="343">
        <v>622</v>
      </c>
      <c r="E358" s="384">
        <v>46012</v>
      </c>
      <c r="F358" s="343" t="s">
        <v>245</v>
      </c>
      <c r="G358" s="343" t="s">
        <v>333</v>
      </c>
    </row>
    <row r="359" spans="1:7">
      <c r="A359" s="343">
        <v>20251222</v>
      </c>
      <c r="B359" s="343">
        <v>72023.95</v>
      </c>
      <c r="C359" s="343">
        <v>242</v>
      </c>
      <c r="D359" s="343">
        <v>600</v>
      </c>
      <c r="E359" s="384">
        <v>46013</v>
      </c>
      <c r="F359" s="343" t="s">
        <v>232</v>
      </c>
      <c r="G359" s="343" t="s">
        <v>334</v>
      </c>
    </row>
    <row r="360" spans="1:7">
      <c r="A360" s="343">
        <v>20251223</v>
      </c>
      <c r="B360" s="343">
        <v>67676.5</v>
      </c>
      <c r="C360" s="343">
        <v>280</v>
      </c>
      <c r="D360" s="343">
        <v>616</v>
      </c>
      <c r="E360" s="384">
        <v>46014</v>
      </c>
      <c r="F360" s="343" t="s">
        <v>233</v>
      </c>
      <c r="G360" s="343" t="s">
        <v>334</v>
      </c>
    </row>
    <row r="361" spans="1:7">
      <c r="A361" s="343">
        <v>20251224</v>
      </c>
      <c r="B361" s="343">
        <v>109821.3</v>
      </c>
      <c r="C361" s="343">
        <v>384</v>
      </c>
      <c r="D361" s="343">
        <v>937</v>
      </c>
      <c r="E361" s="384">
        <v>46015</v>
      </c>
      <c r="F361" s="343" t="s">
        <v>234</v>
      </c>
      <c r="G361" s="343" t="s">
        <v>334</v>
      </c>
    </row>
    <row r="362" spans="1:7">
      <c r="A362" s="343">
        <v>20251225</v>
      </c>
      <c r="B362" s="343">
        <v>102664.5</v>
      </c>
      <c r="C362" s="343">
        <v>337</v>
      </c>
      <c r="D362" s="343">
        <v>860</v>
      </c>
      <c r="E362" s="384">
        <v>46016</v>
      </c>
      <c r="F362" s="343" t="s">
        <v>235</v>
      </c>
      <c r="G362" s="343" t="s">
        <v>334</v>
      </c>
    </row>
    <row r="363" spans="1:7">
      <c r="A363" s="343">
        <v>20251226</v>
      </c>
      <c r="B363" s="343">
        <v>119064.7</v>
      </c>
      <c r="C363" s="343">
        <v>429</v>
      </c>
      <c r="D363" s="343">
        <v>967</v>
      </c>
      <c r="E363" s="384">
        <v>46017</v>
      </c>
      <c r="F363" s="343" t="s">
        <v>236</v>
      </c>
      <c r="G363" s="343" t="s">
        <v>334</v>
      </c>
    </row>
    <row r="364" spans="1:7">
      <c r="A364" s="343">
        <v>20251227</v>
      </c>
      <c r="B364" s="343">
        <v>121283.95</v>
      </c>
      <c r="C364" s="343">
        <v>396</v>
      </c>
      <c r="D364" s="343">
        <v>953</v>
      </c>
      <c r="E364" s="384">
        <v>46018</v>
      </c>
      <c r="F364" s="343" t="s">
        <v>244</v>
      </c>
      <c r="G364" s="343" t="s">
        <v>334</v>
      </c>
    </row>
    <row r="365" spans="1:7">
      <c r="A365" s="343">
        <v>20251228</v>
      </c>
      <c r="B365" s="343">
        <v>100357.5</v>
      </c>
      <c r="C365" s="343">
        <v>369</v>
      </c>
      <c r="D365" s="343">
        <v>824</v>
      </c>
      <c r="E365" s="384">
        <v>46019</v>
      </c>
      <c r="F365" s="343" t="s">
        <v>245</v>
      </c>
      <c r="G365" s="343" t="s">
        <v>334</v>
      </c>
    </row>
    <row r="366" spans="1:7">
      <c r="A366" s="343">
        <v>20251229</v>
      </c>
      <c r="B366" s="343">
        <v>132875.45000000001</v>
      </c>
      <c r="C366" s="343">
        <v>447</v>
      </c>
      <c r="D366" s="343">
        <v>1037</v>
      </c>
      <c r="E366" s="384">
        <v>46020</v>
      </c>
      <c r="F366" s="343" t="s">
        <v>232</v>
      </c>
      <c r="G366" s="343" t="s">
        <v>122</v>
      </c>
    </row>
    <row r="367" spans="1:7">
      <c r="A367" s="343">
        <v>20251230</v>
      </c>
      <c r="B367" s="343">
        <v>136094.29999999999</v>
      </c>
      <c r="C367" s="343">
        <v>533</v>
      </c>
      <c r="D367" s="343">
        <v>1193</v>
      </c>
      <c r="E367" s="384">
        <v>46021</v>
      </c>
      <c r="F367" s="343" t="s">
        <v>233</v>
      </c>
      <c r="G367" s="343" t="s">
        <v>122</v>
      </c>
    </row>
    <row r="368" spans="1:7">
      <c r="A368" s="343">
        <v>20251231</v>
      </c>
      <c r="B368" s="343">
        <v>325376.46000000002</v>
      </c>
      <c r="C368" s="343">
        <v>311</v>
      </c>
      <c r="D368" s="343">
        <v>697</v>
      </c>
      <c r="E368" s="384">
        <v>46022</v>
      </c>
      <c r="F368" s="343" t="s">
        <v>234</v>
      </c>
      <c r="G368" s="343" t="s">
        <v>122</v>
      </c>
    </row>
    <row r="369" spans="1:7">
      <c r="A369" s="343">
        <v>20260101</v>
      </c>
      <c r="B369" s="343">
        <v>122943</v>
      </c>
      <c r="C369" s="343">
        <v>450</v>
      </c>
      <c r="D369" s="343">
        <v>1043</v>
      </c>
      <c r="E369" s="384">
        <v>46023</v>
      </c>
      <c r="F369" s="343" t="s">
        <v>235</v>
      </c>
      <c r="G369" s="343" t="s">
        <v>122</v>
      </c>
    </row>
    <row r="370" spans="1:7">
      <c r="A370" s="343">
        <v>20260102</v>
      </c>
      <c r="B370" s="343">
        <v>129361</v>
      </c>
      <c r="C370" s="343">
        <v>464</v>
      </c>
      <c r="D370" s="343">
        <v>1095</v>
      </c>
      <c r="E370" s="384">
        <v>46024</v>
      </c>
      <c r="F370" s="343" t="s">
        <v>236</v>
      </c>
      <c r="G370" s="343" t="s">
        <v>122</v>
      </c>
    </row>
    <row r="371" spans="1:7">
      <c r="A371" s="343">
        <v>20260103</v>
      </c>
      <c r="B371" s="343">
        <v>128299.01</v>
      </c>
      <c r="C371" s="343">
        <v>495</v>
      </c>
      <c r="D371" s="343">
        <v>1064</v>
      </c>
      <c r="E371" s="384">
        <v>46025</v>
      </c>
      <c r="F371" s="343" t="s">
        <v>244</v>
      </c>
      <c r="G371" s="343" t="s">
        <v>122</v>
      </c>
    </row>
    <row r="372" spans="1:7">
      <c r="A372" s="343">
        <v>20260104</v>
      </c>
      <c r="B372" s="343">
        <v>79991.5</v>
      </c>
      <c r="C372" s="343">
        <v>292</v>
      </c>
      <c r="D372" s="343">
        <v>636</v>
      </c>
      <c r="E372" s="384">
        <v>46026</v>
      </c>
      <c r="F372" s="343" t="s">
        <v>245</v>
      </c>
      <c r="G372" s="343" t="s">
        <v>122</v>
      </c>
    </row>
    <row r="373" spans="1:7">
      <c r="A373" s="343">
        <v>20260105</v>
      </c>
      <c r="B373" s="343">
        <v>117892.95</v>
      </c>
      <c r="C373" s="343">
        <v>282</v>
      </c>
      <c r="D373" s="343">
        <v>643</v>
      </c>
      <c r="E373" s="384">
        <v>46027</v>
      </c>
      <c r="F373" s="343" t="s">
        <v>232</v>
      </c>
      <c r="G373" s="343" t="s">
        <v>123</v>
      </c>
    </row>
    <row r="374" spans="1:7">
      <c r="A374" s="343">
        <v>20260106</v>
      </c>
      <c r="B374" s="343">
        <v>77862.149999999994</v>
      </c>
      <c r="C374" s="343">
        <v>262</v>
      </c>
      <c r="D374" s="343">
        <v>575</v>
      </c>
      <c r="E374" s="384">
        <v>46028</v>
      </c>
      <c r="F374" s="343" t="s">
        <v>233</v>
      </c>
      <c r="G374" s="343" t="s">
        <v>123</v>
      </c>
    </row>
    <row r="375" spans="1:7">
      <c r="A375" s="343">
        <v>20260107</v>
      </c>
      <c r="B375" s="343">
        <v>170163.82</v>
      </c>
      <c r="C375" s="343">
        <v>11</v>
      </c>
      <c r="D375" s="343">
        <v>285</v>
      </c>
      <c r="E375" s="384">
        <v>46029</v>
      </c>
      <c r="F375" s="343" t="s">
        <v>234</v>
      </c>
      <c r="G375" s="343" t="s">
        <v>123</v>
      </c>
    </row>
    <row r="376" spans="1:7">
      <c r="A376" s="343">
        <v>20260108</v>
      </c>
      <c r="B376" s="343">
        <v>92407.5</v>
      </c>
      <c r="C376" s="343">
        <v>337</v>
      </c>
      <c r="D376" s="343">
        <v>766</v>
      </c>
      <c r="E376" s="384">
        <v>46030</v>
      </c>
      <c r="F376" s="343" t="s">
        <v>235</v>
      </c>
      <c r="G376" s="343" t="s">
        <v>123</v>
      </c>
    </row>
    <row r="377" spans="1:7">
      <c r="A377" s="343">
        <v>20260109</v>
      </c>
      <c r="B377" s="343">
        <v>126267.39</v>
      </c>
      <c r="C377" s="343">
        <v>401</v>
      </c>
      <c r="D377" s="343">
        <v>841</v>
      </c>
      <c r="E377" s="384">
        <v>46031</v>
      </c>
      <c r="F377" s="343" t="s">
        <v>236</v>
      </c>
      <c r="G377" s="343" t="s">
        <v>123</v>
      </c>
    </row>
    <row r="378" spans="1:7">
      <c r="A378" s="343">
        <v>20260110</v>
      </c>
      <c r="B378" s="343">
        <v>137148.24</v>
      </c>
      <c r="C378" s="343">
        <v>456</v>
      </c>
      <c r="D378" s="343">
        <v>995</v>
      </c>
      <c r="E378" s="384">
        <v>46032</v>
      </c>
      <c r="F378" s="343" t="s">
        <v>244</v>
      </c>
      <c r="G378" s="343" t="s">
        <v>123</v>
      </c>
    </row>
    <row r="379" spans="1:7">
      <c r="A379" s="343">
        <v>20260111</v>
      </c>
      <c r="B379" s="343">
        <v>105069.3</v>
      </c>
      <c r="C379" s="343">
        <v>270</v>
      </c>
      <c r="D379" s="343">
        <v>659</v>
      </c>
      <c r="E379" s="384">
        <v>46033</v>
      </c>
      <c r="F379" s="343" t="s">
        <v>245</v>
      </c>
      <c r="G379" s="343" t="s">
        <v>123</v>
      </c>
    </row>
    <row r="380" spans="1:7">
      <c r="A380" s="343">
        <v>20260112</v>
      </c>
      <c r="B380" s="343">
        <v>133478.25</v>
      </c>
      <c r="C380" s="343">
        <v>270</v>
      </c>
      <c r="D380" s="343">
        <v>712</v>
      </c>
      <c r="E380" s="384">
        <v>46034</v>
      </c>
      <c r="F380" s="343" t="s">
        <v>232</v>
      </c>
      <c r="G380" s="343" t="s">
        <v>124</v>
      </c>
    </row>
    <row r="381" spans="1:7">
      <c r="A381" s="343">
        <v>20260113</v>
      </c>
      <c r="B381" s="343">
        <v>104285.9</v>
      </c>
      <c r="C381" s="343">
        <v>265</v>
      </c>
      <c r="D381" s="343">
        <v>612</v>
      </c>
      <c r="E381" s="384">
        <v>46035</v>
      </c>
      <c r="F381" s="343" t="s">
        <v>233</v>
      </c>
      <c r="G381" s="343" t="s">
        <v>124</v>
      </c>
    </row>
    <row r="382" spans="1:7">
      <c r="A382" s="343">
        <v>20260114</v>
      </c>
      <c r="B382" s="343">
        <v>83862.2</v>
      </c>
      <c r="C382" s="343">
        <v>286</v>
      </c>
      <c r="D382" s="343">
        <v>656</v>
      </c>
      <c r="E382" s="384">
        <v>46036</v>
      </c>
      <c r="F382" s="343" t="s">
        <v>234</v>
      </c>
      <c r="G382" s="343" t="s">
        <v>124</v>
      </c>
    </row>
    <row r="383" spans="1:7">
      <c r="A383" s="343">
        <v>20260115</v>
      </c>
      <c r="B383" s="343">
        <v>155143</v>
      </c>
      <c r="C383" s="343">
        <v>231</v>
      </c>
      <c r="D383" s="343">
        <v>596</v>
      </c>
      <c r="E383" s="384">
        <v>46037</v>
      </c>
      <c r="F383" s="343" t="s">
        <v>235</v>
      </c>
      <c r="G383" s="343" t="s">
        <v>124</v>
      </c>
    </row>
    <row r="384" spans="1:7">
      <c r="A384" s="343">
        <v>20260116</v>
      </c>
      <c r="B384" s="343">
        <v>147384.75</v>
      </c>
      <c r="C384" s="343">
        <v>461</v>
      </c>
      <c r="D384" s="343">
        <v>1132</v>
      </c>
      <c r="E384" s="384">
        <v>46038</v>
      </c>
      <c r="F384" s="343" t="s">
        <v>236</v>
      </c>
      <c r="G384" s="343" t="s">
        <v>124</v>
      </c>
    </row>
    <row r="385" spans="1:7">
      <c r="A385" s="343">
        <v>20260117</v>
      </c>
      <c r="B385" s="343">
        <v>143667.18</v>
      </c>
      <c r="C385" s="343">
        <v>414</v>
      </c>
      <c r="D385" s="343">
        <v>1041</v>
      </c>
      <c r="E385" s="384">
        <v>46039</v>
      </c>
      <c r="F385" s="343" t="s">
        <v>244</v>
      </c>
      <c r="G385" s="343" t="s">
        <v>124</v>
      </c>
    </row>
    <row r="386" spans="1:7">
      <c r="A386" s="343">
        <v>20260118</v>
      </c>
      <c r="B386" s="343">
        <v>92916.85</v>
      </c>
      <c r="C386" s="343">
        <v>319</v>
      </c>
      <c r="D386" s="343">
        <v>727</v>
      </c>
      <c r="E386" s="384">
        <v>46040</v>
      </c>
      <c r="F386" s="343" t="s">
        <v>245</v>
      </c>
      <c r="G386" s="343" t="s">
        <v>124</v>
      </c>
    </row>
    <row r="387" spans="1:7">
      <c r="A387" s="343">
        <v>20260119</v>
      </c>
      <c r="B387" s="343">
        <v>70215</v>
      </c>
      <c r="C387" s="343">
        <v>208</v>
      </c>
      <c r="D387" s="343">
        <v>496</v>
      </c>
      <c r="E387" s="384">
        <v>46041</v>
      </c>
      <c r="F387" s="343" t="s">
        <v>232</v>
      </c>
      <c r="G387" s="343" t="s">
        <v>125</v>
      </c>
    </row>
    <row r="388" spans="1:7">
      <c r="A388" s="343">
        <v>20260120</v>
      </c>
      <c r="B388" s="343">
        <v>76790.45</v>
      </c>
      <c r="C388" s="343">
        <v>253</v>
      </c>
      <c r="D388" s="343">
        <v>526</v>
      </c>
      <c r="E388" s="384">
        <v>46042</v>
      </c>
      <c r="F388" s="343" t="s">
        <v>233</v>
      </c>
      <c r="G388" s="343" t="s">
        <v>125</v>
      </c>
    </row>
    <row r="389" spans="1:7">
      <c r="A389" s="343">
        <v>20260121</v>
      </c>
      <c r="B389" s="343">
        <v>96012.75</v>
      </c>
      <c r="C389" s="343">
        <v>169</v>
      </c>
      <c r="D389" s="343">
        <v>454</v>
      </c>
      <c r="E389" s="384">
        <v>46043</v>
      </c>
      <c r="F389" s="343" t="s">
        <v>234</v>
      </c>
      <c r="G389" s="343" t="s">
        <v>125</v>
      </c>
    </row>
    <row r="390" spans="1:7">
      <c r="A390" s="343">
        <v>20260122</v>
      </c>
      <c r="B390" s="343">
        <v>98259.35</v>
      </c>
      <c r="C390" s="343">
        <v>330</v>
      </c>
      <c r="D390" s="343">
        <v>729</v>
      </c>
      <c r="E390" s="384">
        <v>46044</v>
      </c>
      <c r="F390" s="343" t="s">
        <v>235</v>
      </c>
      <c r="G390" s="343" t="s">
        <v>125</v>
      </c>
    </row>
    <row r="391" spans="1:7">
      <c r="A391" s="343">
        <v>20260123</v>
      </c>
      <c r="B391" s="343">
        <v>139309.9</v>
      </c>
      <c r="C391" s="343">
        <v>435</v>
      </c>
      <c r="D391" s="343">
        <v>994</v>
      </c>
      <c r="E391" s="384">
        <v>46045</v>
      </c>
      <c r="F391" s="343" t="s">
        <v>236</v>
      </c>
      <c r="G391" s="343" t="s">
        <v>125</v>
      </c>
    </row>
    <row r="392" spans="1:7">
      <c r="A392" s="343">
        <v>20260124</v>
      </c>
      <c r="B392" s="343">
        <v>127397.65</v>
      </c>
      <c r="C392" s="343">
        <v>431</v>
      </c>
      <c r="D392" s="343">
        <v>1016</v>
      </c>
      <c r="E392" s="384">
        <v>46046</v>
      </c>
      <c r="F392" s="343" t="s">
        <v>244</v>
      </c>
      <c r="G392" s="343" t="s">
        <v>125</v>
      </c>
    </row>
    <row r="393" spans="1:7">
      <c r="A393" s="343">
        <v>20260125</v>
      </c>
      <c r="B393" s="343">
        <v>95273.47</v>
      </c>
      <c r="C393" s="343">
        <v>348</v>
      </c>
      <c r="D393" s="343">
        <v>723</v>
      </c>
      <c r="E393" s="384">
        <v>46047</v>
      </c>
      <c r="F393" s="343" t="s">
        <v>245</v>
      </c>
      <c r="G393" s="343" t="s">
        <v>125</v>
      </c>
    </row>
    <row r="394" spans="1:7">
      <c r="A394" s="343">
        <v>20260126</v>
      </c>
      <c r="B394" s="343">
        <v>104318.6</v>
      </c>
      <c r="C394" s="343">
        <v>304</v>
      </c>
      <c r="D394" s="343">
        <v>723</v>
      </c>
      <c r="E394" s="384">
        <v>46048</v>
      </c>
      <c r="F394" s="343" t="s">
        <v>232</v>
      </c>
      <c r="G394" s="343" t="s">
        <v>128</v>
      </c>
    </row>
    <row r="395" spans="1:7">
      <c r="A395" s="343">
        <v>20260127</v>
      </c>
      <c r="B395" s="343">
        <v>106775.15</v>
      </c>
      <c r="C395" s="343">
        <v>288</v>
      </c>
      <c r="D395" s="343">
        <v>756</v>
      </c>
      <c r="E395" s="384">
        <v>46049</v>
      </c>
      <c r="F395" s="343" t="s">
        <v>233</v>
      </c>
      <c r="G395" s="343" t="s">
        <v>128</v>
      </c>
    </row>
    <row r="396" spans="1:7">
      <c r="A396" s="343">
        <v>20260128</v>
      </c>
      <c r="B396" s="343">
        <v>108587.85</v>
      </c>
      <c r="C396" s="343">
        <v>300</v>
      </c>
      <c r="D396" s="343">
        <v>721</v>
      </c>
      <c r="E396" s="384">
        <v>46050</v>
      </c>
      <c r="F396" s="343" t="s">
        <v>234</v>
      </c>
      <c r="G396" s="343" t="s">
        <v>128</v>
      </c>
    </row>
    <row r="397" spans="1:7">
      <c r="A397" s="343">
        <v>20260129</v>
      </c>
      <c r="B397" s="343">
        <v>117469.65</v>
      </c>
      <c r="C397" s="343">
        <v>350</v>
      </c>
      <c r="D397" s="343">
        <v>827</v>
      </c>
      <c r="E397" s="384">
        <v>46051</v>
      </c>
      <c r="F397" s="343" t="s">
        <v>235</v>
      </c>
      <c r="G397" s="343" t="s">
        <v>128</v>
      </c>
    </row>
    <row r="398" spans="1:7">
      <c r="A398" s="343">
        <v>20260130</v>
      </c>
      <c r="B398" s="343">
        <v>140919.65</v>
      </c>
      <c r="C398" s="343">
        <v>400</v>
      </c>
      <c r="D398" s="343">
        <v>1060</v>
      </c>
      <c r="E398" s="384">
        <v>46052</v>
      </c>
      <c r="F398" s="343" t="s">
        <v>236</v>
      </c>
      <c r="G398" s="343" t="s">
        <v>128</v>
      </c>
    </row>
    <row r="399" spans="1:7">
      <c r="A399" s="343">
        <v>20260131</v>
      </c>
      <c r="B399" s="343">
        <v>125117.45</v>
      </c>
      <c r="C399" s="343">
        <v>404</v>
      </c>
      <c r="D399" s="343">
        <v>1015</v>
      </c>
      <c r="E399" s="384">
        <v>46053</v>
      </c>
      <c r="F399" s="343" t="s">
        <v>244</v>
      </c>
      <c r="G399" s="343" t="s">
        <v>128</v>
      </c>
    </row>
    <row r="400" spans="1:7">
      <c r="A400" s="343">
        <v>20260201</v>
      </c>
      <c r="B400" s="343">
        <v>75586</v>
      </c>
      <c r="C400" s="343">
        <v>245</v>
      </c>
      <c r="D400" s="343">
        <v>556</v>
      </c>
      <c r="E400" s="384">
        <v>46054</v>
      </c>
      <c r="F400" s="343" t="s">
        <v>245</v>
      </c>
      <c r="G400" s="343" t="s">
        <v>128</v>
      </c>
    </row>
    <row r="401" spans="1:7">
      <c r="A401" s="343">
        <v>20260202</v>
      </c>
      <c r="B401" s="343">
        <v>93835.06</v>
      </c>
      <c r="C401" s="343">
        <v>211</v>
      </c>
      <c r="D401" s="343">
        <v>556</v>
      </c>
      <c r="E401" s="384">
        <v>46055</v>
      </c>
      <c r="F401" s="343" t="s">
        <v>232</v>
      </c>
      <c r="G401" s="343" t="s">
        <v>129</v>
      </c>
    </row>
    <row r="402" spans="1:7">
      <c r="A402" s="343">
        <v>20260203</v>
      </c>
      <c r="B402" s="343">
        <v>92669.9</v>
      </c>
      <c r="C402" s="343">
        <v>249</v>
      </c>
      <c r="D402" s="343">
        <v>618</v>
      </c>
      <c r="E402" s="384">
        <v>46056</v>
      </c>
      <c r="F402" s="343" t="s">
        <v>233</v>
      </c>
      <c r="G402" s="343" t="s">
        <v>129</v>
      </c>
    </row>
    <row r="403" spans="1:7">
      <c r="A403" s="343">
        <v>20260204</v>
      </c>
      <c r="B403" s="343">
        <v>90205.5</v>
      </c>
      <c r="C403" s="343">
        <v>231</v>
      </c>
      <c r="D403" s="343">
        <v>552</v>
      </c>
      <c r="E403" s="384">
        <v>46057</v>
      </c>
      <c r="F403" s="343" t="s">
        <v>234</v>
      </c>
      <c r="G403" s="343" t="s">
        <v>129</v>
      </c>
    </row>
    <row r="404" spans="1:7">
      <c r="A404" s="343">
        <v>20260205</v>
      </c>
      <c r="B404" s="343">
        <v>104001.25</v>
      </c>
      <c r="C404" s="343">
        <v>422</v>
      </c>
      <c r="D404" s="343">
        <v>905</v>
      </c>
      <c r="E404" s="384">
        <v>46058</v>
      </c>
      <c r="F404" s="343" t="s">
        <v>235</v>
      </c>
      <c r="G404" s="343" t="s">
        <v>129</v>
      </c>
    </row>
    <row r="405" spans="1:7">
      <c r="A405" s="343">
        <v>20260206</v>
      </c>
      <c r="B405" s="343">
        <v>133025.75</v>
      </c>
      <c r="C405" s="343">
        <v>430</v>
      </c>
      <c r="D405" s="343">
        <v>1055</v>
      </c>
      <c r="E405" s="384">
        <v>46059</v>
      </c>
      <c r="F405" s="343" t="s">
        <v>236</v>
      </c>
      <c r="G405" s="343" t="s">
        <v>129</v>
      </c>
    </row>
    <row r="406" spans="1:7">
      <c r="A406" s="343">
        <v>20260207</v>
      </c>
      <c r="B406" s="343">
        <v>123271.65</v>
      </c>
      <c r="C406" s="343">
        <v>444</v>
      </c>
      <c r="D406" s="343">
        <v>992</v>
      </c>
      <c r="E406" s="384">
        <v>46060</v>
      </c>
      <c r="F406" s="343" t="s">
        <v>244</v>
      </c>
      <c r="G406" s="343" t="s">
        <v>129</v>
      </c>
    </row>
    <row r="407" spans="1:7">
      <c r="A407" s="343">
        <v>20260208</v>
      </c>
      <c r="B407" s="343">
        <v>54321.5</v>
      </c>
      <c r="C407" s="343">
        <v>188</v>
      </c>
      <c r="D407" s="343">
        <v>424</v>
      </c>
      <c r="E407" s="384">
        <v>46061</v>
      </c>
      <c r="F407" s="343" t="s">
        <v>245</v>
      </c>
      <c r="G407" s="343" t="s">
        <v>129</v>
      </c>
    </row>
    <row r="408" spans="1:7">
      <c r="A408" s="343">
        <v>20260209</v>
      </c>
      <c r="B408" s="343">
        <v>101967.45</v>
      </c>
      <c r="C408" s="343">
        <v>238</v>
      </c>
      <c r="D408" s="343">
        <v>597</v>
      </c>
      <c r="E408" s="384">
        <v>46062</v>
      </c>
      <c r="F408" s="343" t="s">
        <v>232</v>
      </c>
      <c r="G408" s="343" t="s">
        <v>130</v>
      </c>
    </row>
    <row r="409" spans="1:7">
      <c r="A409" s="343">
        <v>20260210</v>
      </c>
      <c r="B409" s="343">
        <v>105579.2</v>
      </c>
      <c r="C409" s="343">
        <v>221</v>
      </c>
      <c r="D409" s="343">
        <v>611</v>
      </c>
      <c r="E409" s="384">
        <v>46063</v>
      </c>
      <c r="F409" s="343" t="s">
        <v>233</v>
      </c>
      <c r="G409" s="343" t="s">
        <v>130</v>
      </c>
    </row>
    <row r="410" spans="1:7">
      <c r="A410" s="343">
        <v>20260211</v>
      </c>
      <c r="B410" s="343">
        <v>86500.2</v>
      </c>
      <c r="C410" s="343">
        <v>287</v>
      </c>
      <c r="D410" s="343">
        <v>659</v>
      </c>
      <c r="E410" s="384">
        <v>46064</v>
      </c>
      <c r="F410" s="343" t="s">
        <v>234</v>
      </c>
      <c r="G410" s="343" t="s">
        <v>130</v>
      </c>
    </row>
    <row r="411" spans="1:7">
      <c r="A411" s="343">
        <v>20260212</v>
      </c>
      <c r="B411" s="343">
        <v>122852.45</v>
      </c>
      <c r="C411" s="343">
        <v>433</v>
      </c>
      <c r="D411" s="343">
        <v>933</v>
      </c>
      <c r="E411" s="384">
        <v>46065</v>
      </c>
      <c r="F411" s="343" t="s">
        <v>235</v>
      </c>
      <c r="G411" s="343" t="s">
        <v>130</v>
      </c>
    </row>
    <row r="412" spans="1:7">
      <c r="A412" s="343">
        <v>20260213</v>
      </c>
      <c r="B412" s="343">
        <v>137251.85999999999</v>
      </c>
      <c r="C412" s="343">
        <v>429</v>
      </c>
      <c r="D412" s="343">
        <v>1041</v>
      </c>
      <c r="E412" s="384">
        <v>46066</v>
      </c>
      <c r="F412" s="343" t="s">
        <v>236</v>
      </c>
      <c r="G412" s="343" t="s">
        <v>130</v>
      </c>
    </row>
    <row r="413" spans="1:7">
      <c r="A413" s="343">
        <v>20260214</v>
      </c>
      <c r="B413" s="343">
        <v>164803.04999999999</v>
      </c>
      <c r="C413" s="343">
        <v>241</v>
      </c>
      <c r="D413" s="343">
        <v>617</v>
      </c>
      <c r="E413" s="384">
        <v>46067</v>
      </c>
      <c r="F413" s="343" t="s">
        <v>244</v>
      </c>
      <c r="G413" s="343" t="s">
        <v>130</v>
      </c>
    </row>
    <row r="414" spans="1:7">
      <c r="A414" s="343">
        <v>20260215</v>
      </c>
      <c r="B414" s="343">
        <v>84517</v>
      </c>
      <c r="C414" s="343">
        <v>322</v>
      </c>
      <c r="D414" s="343">
        <v>679</v>
      </c>
      <c r="E414" s="384">
        <v>46068</v>
      </c>
      <c r="F414" s="343" t="s">
        <v>245</v>
      </c>
      <c r="G414" s="343" t="s">
        <v>130</v>
      </c>
    </row>
    <row r="415" spans="1:7">
      <c r="A415" s="343">
        <v>20260216</v>
      </c>
      <c r="B415" s="343">
        <v>102003.75</v>
      </c>
      <c r="C415" s="343">
        <v>345</v>
      </c>
      <c r="D415" s="343">
        <v>762</v>
      </c>
      <c r="E415" s="384">
        <v>46069</v>
      </c>
      <c r="F415" s="343" t="s">
        <v>232</v>
      </c>
      <c r="G415" s="343" t="s">
        <v>131</v>
      </c>
    </row>
    <row r="416" spans="1:7">
      <c r="A416" s="343">
        <v>20260217</v>
      </c>
      <c r="B416" s="343">
        <v>88720.68</v>
      </c>
      <c r="C416" s="343">
        <v>268</v>
      </c>
      <c r="D416" s="343">
        <v>633</v>
      </c>
      <c r="E416" s="384">
        <v>46070</v>
      </c>
      <c r="F416" s="343" t="s">
        <v>233</v>
      </c>
      <c r="G416" s="343" t="s">
        <v>131</v>
      </c>
    </row>
    <row r="417" spans="1:7">
      <c r="A417" s="343">
        <v>20260218</v>
      </c>
      <c r="B417" s="343">
        <v>87256.55</v>
      </c>
      <c r="C417" s="343">
        <v>302</v>
      </c>
      <c r="D417" s="343">
        <v>706</v>
      </c>
      <c r="E417" s="384">
        <v>46071</v>
      </c>
      <c r="F417" s="343" t="s">
        <v>234</v>
      </c>
      <c r="G417" s="343" t="s">
        <v>131</v>
      </c>
    </row>
    <row r="418" spans="1:7">
      <c r="A418" s="343">
        <v>20260219</v>
      </c>
      <c r="B418" s="343">
        <v>117364.1</v>
      </c>
      <c r="C418" s="343">
        <v>371</v>
      </c>
      <c r="D418" s="343">
        <v>853</v>
      </c>
      <c r="E418" s="384">
        <v>46072</v>
      </c>
      <c r="F418" s="343" t="s">
        <v>235</v>
      </c>
      <c r="G418" s="343" t="s">
        <v>131</v>
      </c>
    </row>
    <row r="419" spans="1:7">
      <c r="A419" s="343">
        <v>20260220</v>
      </c>
      <c r="B419" s="343">
        <v>124682.71</v>
      </c>
      <c r="C419" s="343">
        <v>370</v>
      </c>
      <c r="D419" s="343">
        <v>950</v>
      </c>
      <c r="E419" s="384">
        <v>46073</v>
      </c>
      <c r="F419" s="343" t="s">
        <v>236</v>
      </c>
      <c r="G419" s="343" t="s">
        <v>131</v>
      </c>
    </row>
    <row r="420" spans="1:7">
      <c r="A420" s="343">
        <v>20260221</v>
      </c>
      <c r="B420" s="343">
        <v>150510.70000000001</v>
      </c>
      <c r="C420" s="343">
        <v>350</v>
      </c>
      <c r="D420" s="343">
        <v>905</v>
      </c>
      <c r="E420" s="384">
        <v>46074</v>
      </c>
      <c r="F420" s="343" t="s">
        <v>244</v>
      </c>
      <c r="G420" s="343" t="s">
        <v>131</v>
      </c>
    </row>
    <row r="421" spans="1:7">
      <c r="A421" s="343">
        <v>20260222</v>
      </c>
      <c r="B421" s="343">
        <v>82290.880000000005</v>
      </c>
      <c r="C421" s="343">
        <v>318</v>
      </c>
      <c r="D421" s="343">
        <v>657</v>
      </c>
      <c r="E421" s="384">
        <v>46075</v>
      </c>
      <c r="F421" s="343" t="s">
        <v>245</v>
      </c>
      <c r="G421" s="343" t="s">
        <v>131</v>
      </c>
    </row>
    <row r="422" spans="1:7">
      <c r="A422" s="343">
        <v>20260223</v>
      </c>
      <c r="B422" s="343">
        <v>100403.1</v>
      </c>
      <c r="C422" s="343">
        <v>8</v>
      </c>
      <c r="D422" s="343">
        <v>170</v>
      </c>
      <c r="E422" s="384">
        <v>46076</v>
      </c>
      <c r="F422" s="343" t="s">
        <v>232</v>
      </c>
      <c r="G422" s="343" t="s">
        <v>134</v>
      </c>
    </row>
    <row r="423" spans="1:7">
      <c r="A423" s="343">
        <v>20260224</v>
      </c>
      <c r="B423" s="343">
        <v>135426.4</v>
      </c>
      <c r="C423" s="343">
        <v>231</v>
      </c>
      <c r="D423" s="343">
        <v>717</v>
      </c>
      <c r="E423" s="384">
        <v>46077</v>
      </c>
      <c r="F423" s="343" t="s">
        <v>233</v>
      </c>
      <c r="G423" s="343" t="s">
        <v>134</v>
      </c>
    </row>
    <row r="424" spans="1:7">
      <c r="A424" s="343">
        <v>20260225</v>
      </c>
      <c r="B424" s="343">
        <v>123267.65</v>
      </c>
      <c r="C424" s="343">
        <v>282</v>
      </c>
      <c r="D424" s="343">
        <v>766</v>
      </c>
      <c r="E424" s="384">
        <v>46078</v>
      </c>
      <c r="F424" s="343" t="s">
        <v>234</v>
      </c>
      <c r="G424" s="343" t="s">
        <v>134</v>
      </c>
    </row>
    <row r="425" spans="1:7">
      <c r="A425" s="343">
        <v>20260226</v>
      </c>
      <c r="B425" s="343">
        <v>139042</v>
      </c>
      <c r="C425" s="343">
        <v>389</v>
      </c>
      <c r="D425" s="343">
        <v>913</v>
      </c>
      <c r="E425" s="384">
        <v>46079</v>
      </c>
      <c r="F425" s="343" t="s">
        <v>235</v>
      </c>
      <c r="G425" s="343" t="s">
        <v>134</v>
      </c>
    </row>
    <row r="426" spans="1:7">
      <c r="A426" s="343">
        <v>20260227</v>
      </c>
      <c r="B426" s="343">
        <v>127742.1</v>
      </c>
      <c r="C426" s="343">
        <v>400</v>
      </c>
      <c r="D426" s="343">
        <v>1005</v>
      </c>
      <c r="E426" s="384">
        <v>46080</v>
      </c>
      <c r="F426" s="343" t="s">
        <v>236</v>
      </c>
      <c r="G426" s="343" t="s">
        <v>134</v>
      </c>
    </row>
    <row r="427" spans="1:7">
      <c r="A427" s="343">
        <v>20260228</v>
      </c>
      <c r="B427" s="343">
        <v>126724.9</v>
      </c>
      <c r="C427" s="343">
        <v>383</v>
      </c>
      <c r="D427" s="343">
        <v>990</v>
      </c>
      <c r="E427" s="384">
        <v>46081</v>
      </c>
      <c r="F427" s="343" t="s">
        <v>244</v>
      </c>
      <c r="G427" s="343" t="s">
        <v>134</v>
      </c>
    </row>
    <row r="428" spans="1:7">
      <c r="A428" s="343">
        <v>20260301</v>
      </c>
      <c r="B428" s="343">
        <v>88208</v>
      </c>
      <c r="C428" s="343">
        <v>307</v>
      </c>
      <c r="D428" s="343">
        <v>686</v>
      </c>
      <c r="E428" s="384">
        <v>46082</v>
      </c>
      <c r="F428" s="343" t="s">
        <v>245</v>
      </c>
      <c r="G428" s="343" t="s">
        <v>134</v>
      </c>
    </row>
    <row r="429" spans="1:7">
      <c r="A429" s="343">
        <v>20260302</v>
      </c>
      <c r="B429" s="343">
        <v>117448.85</v>
      </c>
      <c r="C429" s="343">
        <v>274</v>
      </c>
      <c r="D429" s="343">
        <v>703</v>
      </c>
      <c r="E429" s="384">
        <v>46083</v>
      </c>
      <c r="F429" s="343" t="s">
        <v>232</v>
      </c>
      <c r="G429" s="343" t="s">
        <v>135</v>
      </c>
    </row>
    <row r="430" spans="1:7">
      <c r="A430" s="343">
        <v>20260303</v>
      </c>
      <c r="B430" s="343">
        <v>106178.6</v>
      </c>
      <c r="C430" s="343">
        <v>318</v>
      </c>
      <c r="D430" s="343">
        <v>692</v>
      </c>
      <c r="E430" s="384">
        <v>46084</v>
      </c>
      <c r="F430" s="343" t="s">
        <v>233</v>
      </c>
      <c r="G430" s="343" t="s">
        <v>135</v>
      </c>
    </row>
    <row r="431" spans="1:7">
      <c r="A431" s="343">
        <v>20260304</v>
      </c>
      <c r="B431" s="343">
        <v>108958.39999999999</v>
      </c>
      <c r="C431" s="343">
        <v>296</v>
      </c>
      <c r="D431" s="343">
        <v>753</v>
      </c>
      <c r="E431" s="384">
        <v>46085</v>
      </c>
      <c r="F431" s="343" t="s">
        <v>234</v>
      </c>
      <c r="G431" s="343" t="s">
        <v>135</v>
      </c>
    </row>
    <row r="432" spans="1:7">
      <c r="A432" s="343">
        <v>20260305</v>
      </c>
      <c r="B432" s="343">
        <v>118705.3</v>
      </c>
      <c r="C432" s="343">
        <v>367</v>
      </c>
      <c r="D432" s="343">
        <v>894</v>
      </c>
      <c r="E432" s="384">
        <v>46086</v>
      </c>
      <c r="F432" s="343" t="s">
        <v>235</v>
      </c>
      <c r="G432" s="343" t="s">
        <v>135</v>
      </c>
    </row>
    <row r="433" spans="1:7">
      <c r="A433" s="343">
        <v>20260306</v>
      </c>
      <c r="B433" s="343">
        <v>133783.14000000001</v>
      </c>
      <c r="C433" s="343">
        <v>420</v>
      </c>
      <c r="D433" s="343">
        <v>1023</v>
      </c>
      <c r="E433" s="384">
        <v>46087</v>
      </c>
      <c r="F433" s="343" t="s">
        <v>236</v>
      </c>
      <c r="G433" s="343" t="s">
        <v>135</v>
      </c>
    </row>
    <row r="434" spans="1:7">
      <c r="A434" s="343">
        <v>20260307</v>
      </c>
      <c r="B434" s="343">
        <v>133749.25</v>
      </c>
      <c r="C434" s="343">
        <v>391</v>
      </c>
      <c r="D434" s="343">
        <v>1006</v>
      </c>
      <c r="E434" s="384">
        <v>46088</v>
      </c>
      <c r="F434" s="343" t="s">
        <v>244</v>
      </c>
      <c r="G434" s="343" t="s">
        <v>135</v>
      </c>
    </row>
    <row r="435" spans="1:7">
      <c r="A435" s="343">
        <v>20260308</v>
      </c>
      <c r="B435" s="343">
        <v>89441</v>
      </c>
      <c r="C435" s="343">
        <v>304</v>
      </c>
      <c r="D435" s="343">
        <v>695</v>
      </c>
      <c r="E435" s="384">
        <v>46089</v>
      </c>
      <c r="F435" s="343" t="s">
        <v>245</v>
      </c>
      <c r="G435" s="343" t="s">
        <v>135</v>
      </c>
    </row>
    <row r="436" spans="1:7">
      <c r="A436" s="343">
        <v>20260309</v>
      </c>
      <c r="B436" s="343">
        <v>123858</v>
      </c>
      <c r="C436" s="343">
        <v>163</v>
      </c>
      <c r="D436" s="343">
        <v>522</v>
      </c>
      <c r="E436" s="384">
        <v>46090</v>
      </c>
      <c r="F436" s="343" t="s">
        <v>232</v>
      </c>
      <c r="G436" s="343" t="s">
        <v>136</v>
      </c>
    </row>
    <row r="437" spans="1:7">
      <c r="A437" s="343">
        <v>20260310</v>
      </c>
      <c r="B437" s="343">
        <v>174673.8</v>
      </c>
      <c r="C437" s="343">
        <v>10</v>
      </c>
      <c r="D437" s="343">
        <v>330</v>
      </c>
      <c r="E437" s="384">
        <v>46091</v>
      </c>
      <c r="F437" s="343" t="s">
        <v>233</v>
      </c>
      <c r="G437" s="343" t="s">
        <v>136</v>
      </c>
    </row>
    <row r="438" spans="1:7">
      <c r="A438" s="343">
        <v>20260311</v>
      </c>
      <c r="B438" s="343">
        <v>90739.05</v>
      </c>
      <c r="C438" s="343">
        <v>322</v>
      </c>
      <c r="D438" s="343">
        <v>726</v>
      </c>
      <c r="E438" s="384">
        <v>46092</v>
      </c>
      <c r="F438" s="343" t="s">
        <v>234</v>
      </c>
      <c r="G438" s="343" t="s">
        <v>136</v>
      </c>
    </row>
    <row r="439" spans="1:7">
      <c r="A439" s="343">
        <v>20260312</v>
      </c>
      <c r="B439" s="343">
        <v>105913.61</v>
      </c>
      <c r="C439" s="343">
        <v>364</v>
      </c>
      <c r="D439" s="343">
        <v>847</v>
      </c>
      <c r="E439" s="384">
        <v>46093</v>
      </c>
      <c r="F439" s="343" t="s">
        <v>235</v>
      </c>
      <c r="G439" s="343" t="s">
        <v>136</v>
      </c>
    </row>
    <row r="440" spans="1:7">
      <c r="A440" s="343">
        <v>20260313</v>
      </c>
      <c r="B440" s="343">
        <v>123077.42</v>
      </c>
      <c r="C440" s="343">
        <v>396</v>
      </c>
      <c r="D440" s="343">
        <v>943</v>
      </c>
      <c r="E440" s="384">
        <v>46094</v>
      </c>
      <c r="F440" s="343" t="s">
        <v>236</v>
      </c>
      <c r="G440" s="343" t="s">
        <v>136</v>
      </c>
    </row>
    <row r="441" spans="1:7">
      <c r="A441" s="343">
        <v>20260314</v>
      </c>
      <c r="B441" s="343">
        <v>112664</v>
      </c>
      <c r="C441" s="343">
        <v>382</v>
      </c>
      <c r="D441" s="343">
        <v>887</v>
      </c>
      <c r="E441" s="384">
        <v>46095</v>
      </c>
      <c r="F441" s="343" t="s">
        <v>244</v>
      </c>
      <c r="G441" s="343" t="s">
        <v>136</v>
      </c>
    </row>
    <row r="442" spans="1:7">
      <c r="A442" s="343">
        <v>20260315</v>
      </c>
      <c r="B442" s="343">
        <v>75569.45</v>
      </c>
      <c r="C442" s="343">
        <v>261</v>
      </c>
      <c r="D442" s="343">
        <v>632</v>
      </c>
      <c r="E442" s="384">
        <v>46096</v>
      </c>
      <c r="F442" s="343" t="s">
        <v>245</v>
      </c>
      <c r="G442" s="343" t="s">
        <v>136</v>
      </c>
    </row>
    <row r="443" spans="1:7">
      <c r="A443" s="343">
        <v>20260316</v>
      </c>
      <c r="B443" s="343">
        <v>130341.65</v>
      </c>
      <c r="C443" s="343">
        <v>269</v>
      </c>
      <c r="D443" s="343">
        <v>693</v>
      </c>
      <c r="E443" s="384">
        <v>46097</v>
      </c>
      <c r="F443" s="343" t="s">
        <v>232</v>
      </c>
      <c r="G443" s="343" t="s">
        <v>137</v>
      </c>
    </row>
    <row r="444" spans="1:7">
      <c r="A444" s="343">
        <v>20260317</v>
      </c>
      <c r="B444" s="343">
        <v>117016</v>
      </c>
      <c r="C444" s="343">
        <v>199</v>
      </c>
      <c r="D444" s="343">
        <v>616</v>
      </c>
      <c r="E444" s="384">
        <v>46098</v>
      </c>
      <c r="F444" s="343" t="s">
        <v>233</v>
      </c>
      <c r="G444" s="343" t="s">
        <v>137</v>
      </c>
    </row>
    <row r="445" spans="1:7">
      <c r="A445" s="343">
        <v>20260318</v>
      </c>
      <c r="B445" s="343">
        <v>122437.55</v>
      </c>
      <c r="C445" s="343">
        <v>231</v>
      </c>
      <c r="D445" s="343">
        <v>668</v>
      </c>
      <c r="E445" s="384">
        <v>46099</v>
      </c>
      <c r="F445" s="343" t="s">
        <v>234</v>
      </c>
      <c r="G445" s="343" t="s">
        <v>137</v>
      </c>
    </row>
    <row r="446" spans="1:7">
      <c r="A446" s="343">
        <v>20260319</v>
      </c>
      <c r="B446" s="343">
        <v>116708.88</v>
      </c>
      <c r="C446" s="343">
        <v>389</v>
      </c>
      <c r="D446" s="343">
        <v>942</v>
      </c>
      <c r="E446" s="384">
        <v>46100</v>
      </c>
      <c r="F446" s="343" t="s">
        <v>235</v>
      </c>
      <c r="G446" s="343" t="s">
        <v>137</v>
      </c>
    </row>
    <row r="447" spans="1:7">
      <c r="A447" s="343">
        <v>20260320</v>
      </c>
      <c r="B447" s="343">
        <v>124237.94</v>
      </c>
      <c r="C447" s="343">
        <v>352</v>
      </c>
      <c r="D447" s="343">
        <v>999</v>
      </c>
      <c r="E447" s="384">
        <v>46101</v>
      </c>
      <c r="F447" s="343" t="s">
        <v>236</v>
      </c>
      <c r="G447" s="343" t="s">
        <v>137</v>
      </c>
    </row>
    <row r="448" spans="1:7">
      <c r="A448" s="343">
        <v>20260321</v>
      </c>
      <c r="B448" s="343">
        <v>131723.85</v>
      </c>
      <c r="C448" s="343">
        <v>382</v>
      </c>
      <c r="D448" s="343">
        <v>974</v>
      </c>
      <c r="E448" s="384">
        <v>46102</v>
      </c>
      <c r="F448" s="343" t="s">
        <v>244</v>
      </c>
      <c r="G448" s="343" t="s">
        <v>137</v>
      </c>
    </row>
    <row r="449" spans="1:7">
      <c r="A449" s="343">
        <v>20260322</v>
      </c>
      <c r="B449" s="343">
        <v>83751.5</v>
      </c>
      <c r="C449" s="343">
        <v>314</v>
      </c>
      <c r="D449" s="343">
        <v>701</v>
      </c>
      <c r="E449" s="384">
        <v>46103</v>
      </c>
      <c r="F449" s="343" t="s">
        <v>245</v>
      </c>
      <c r="G449" s="343" t="s">
        <v>137</v>
      </c>
    </row>
    <row r="450" spans="1:7">
      <c r="A450" s="343">
        <v>20260323</v>
      </c>
      <c r="B450" s="343">
        <v>84256.3</v>
      </c>
      <c r="C450" s="343">
        <v>266</v>
      </c>
      <c r="D450" s="343">
        <v>596</v>
      </c>
      <c r="E450" s="384">
        <v>46104</v>
      </c>
      <c r="F450" s="343" t="s">
        <v>232</v>
      </c>
      <c r="G450" s="343" t="s">
        <v>138</v>
      </c>
    </row>
    <row r="451" spans="1:7">
      <c r="A451" s="343">
        <v>20260324</v>
      </c>
      <c r="B451" s="343">
        <v>93361</v>
      </c>
      <c r="C451" s="343">
        <v>338</v>
      </c>
      <c r="D451" s="343">
        <v>734</v>
      </c>
      <c r="E451" s="384">
        <v>46105</v>
      </c>
      <c r="F451" s="343" t="s">
        <v>233</v>
      </c>
      <c r="G451" s="343" t="s">
        <v>138</v>
      </c>
    </row>
    <row r="452" spans="1:7">
      <c r="A452" s="343">
        <v>20260325</v>
      </c>
      <c r="B452" s="343">
        <v>108626.1</v>
      </c>
      <c r="C452" s="343">
        <v>355</v>
      </c>
      <c r="D452" s="343">
        <v>825</v>
      </c>
      <c r="E452" s="384">
        <v>46106</v>
      </c>
      <c r="F452" s="343" t="s">
        <v>234</v>
      </c>
      <c r="G452" s="343" t="s">
        <v>138</v>
      </c>
    </row>
    <row r="453" spans="1:7">
      <c r="A453" s="343">
        <v>20260326</v>
      </c>
      <c r="B453" s="343">
        <v>126505.85</v>
      </c>
      <c r="C453" s="343">
        <v>393</v>
      </c>
      <c r="D453" s="343">
        <v>956</v>
      </c>
      <c r="E453" s="384">
        <v>46107</v>
      </c>
      <c r="F453" s="343" t="s">
        <v>235</v>
      </c>
      <c r="G453" s="343" t="s">
        <v>138</v>
      </c>
    </row>
    <row r="454" spans="1:7">
      <c r="A454" s="343">
        <v>20260327</v>
      </c>
      <c r="B454" s="343">
        <v>154111.22</v>
      </c>
      <c r="C454" s="343">
        <v>394</v>
      </c>
      <c r="D454" s="343">
        <v>1012</v>
      </c>
      <c r="E454" s="384">
        <v>46108</v>
      </c>
      <c r="F454" s="343" t="s">
        <v>236</v>
      </c>
      <c r="G454" s="343" t="s">
        <v>138</v>
      </c>
    </row>
    <row r="455" spans="1:7">
      <c r="A455" s="343">
        <v>20260328</v>
      </c>
      <c r="B455" s="343">
        <v>134597.54999999999</v>
      </c>
      <c r="C455" s="343">
        <v>406</v>
      </c>
      <c r="D455" s="343">
        <v>946</v>
      </c>
      <c r="E455" s="384">
        <v>46109</v>
      </c>
      <c r="F455" s="343" t="s">
        <v>244</v>
      </c>
      <c r="G455" s="343" t="s">
        <v>138</v>
      </c>
    </row>
    <row r="456" spans="1:7">
      <c r="A456" s="343">
        <v>20260329</v>
      </c>
      <c r="B456" s="343">
        <v>102004.25</v>
      </c>
      <c r="C456" s="343">
        <v>296</v>
      </c>
      <c r="D456" s="343">
        <v>739</v>
      </c>
      <c r="E456" s="384">
        <v>46110</v>
      </c>
      <c r="F456" s="343" t="s">
        <v>245</v>
      </c>
      <c r="G456" s="343" t="s">
        <v>138</v>
      </c>
    </row>
    <row r="457" spans="1:7">
      <c r="A457" s="343">
        <v>20260330</v>
      </c>
      <c r="B457" s="343">
        <v>98923.49</v>
      </c>
      <c r="C457" s="343">
        <v>308</v>
      </c>
      <c r="D457" s="343">
        <v>748</v>
      </c>
      <c r="E457" s="384">
        <v>46111</v>
      </c>
      <c r="F457" s="343" t="s">
        <v>232</v>
      </c>
      <c r="G457" s="343" t="s">
        <v>141</v>
      </c>
    </row>
    <row r="458" spans="1:7">
      <c r="A458" s="343">
        <v>20260331</v>
      </c>
      <c r="B458" s="343">
        <v>99678</v>
      </c>
      <c r="C458" s="343">
        <v>355</v>
      </c>
      <c r="D458" s="343">
        <v>764</v>
      </c>
      <c r="E458" s="384">
        <v>46112</v>
      </c>
      <c r="F458" s="343" t="s">
        <v>233</v>
      </c>
      <c r="G458" s="343" t="s">
        <v>141</v>
      </c>
    </row>
    <row r="459" spans="1:7">
      <c r="A459" s="343">
        <v>20260401</v>
      </c>
      <c r="B459" s="343">
        <v>67118.33</v>
      </c>
      <c r="C459" s="343">
        <v>262</v>
      </c>
      <c r="D459" s="343">
        <v>616</v>
      </c>
      <c r="E459" s="384">
        <v>46113</v>
      </c>
      <c r="F459" s="343" t="s">
        <v>234</v>
      </c>
      <c r="G459" s="343" t="s">
        <v>141</v>
      </c>
    </row>
    <row r="460" spans="1:7">
      <c r="A460" s="343">
        <v>20260402</v>
      </c>
      <c r="B460" s="343">
        <v>106678.05</v>
      </c>
      <c r="C460" s="343">
        <v>344</v>
      </c>
      <c r="D460" s="343">
        <v>811</v>
      </c>
      <c r="E460" s="384">
        <v>46114</v>
      </c>
      <c r="F460" s="343" t="s">
        <v>235</v>
      </c>
      <c r="G460" s="343" t="s">
        <v>141</v>
      </c>
    </row>
    <row r="461" spans="1:7">
      <c r="A461" s="343">
        <v>20260403</v>
      </c>
      <c r="B461" s="343">
        <v>135656.20000000001</v>
      </c>
      <c r="C461" s="343">
        <v>417</v>
      </c>
      <c r="D461" s="343">
        <v>1088</v>
      </c>
      <c r="E461" s="384">
        <v>46115</v>
      </c>
      <c r="F461" s="343" t="s">
        <v>236</v>
      </c>
      <c r="G461" s="343" t="s">
        <v>141</v>
      </c>
    </row>
    <row r="462" spans="1:7">
      <c r="A462" s="343">
        <v>20260404</v>
      </c>
      <c r="B462" s="343">
        <v>130715.9</v>
      </c>
      <c r="C462" s="343">
        <v>393</v>
      </c>
      <c r="D462" s="343">
        <v>979</v>
      </c>
      <c r="E462" s="384">
        <v>46116</v>
      </c>
      <c r="F462" s="343" t="s">
        <v>244</v>
      </c>
      <c r="G462" s="343" t="s">
        <v>141</v>
      </c>
    </row>
    <row r="463" spans="1:7">
      <c r="A463" s="343">
        <v>20260405</v>
      </c>
      <c r="B463" s="343">
        <v>88027</v>
      </c>
      <c r="C463" s="343">
        <v>265</v>
      </c>
      <c r="D463" s="343">
        <v>709</v>
      </c>
      <c r="E463" s="384">
        <v>46117</v>
      </c>
      <c r="F463" s="343" t="s">
        <v>245</v>
      </c>
      <c r="G463" s="343" t="s">
        <v>141</v>
      </c>
    </row>
    <row r="464" spans="1:7">
      <c r="A464" s="343">
        <v>20260406</v>
      </c>
      <c r="B464" s="343">
        <v>74972.759999999995</v>
      </c>
      <c r="C464" s="343">
        <v>247</v>
      </c>
      <c r="D464" s="343">
        <v>595</v>
      </c>
      <c r="E464" s="384">
        <v>46118</v>
      </c>
      <c r="F464" s="343" t="s">
        <v>232</v>
      </c>
      <c r="G464" s="343" t="s">
        <v>142</v>
      </c>
    </row>
    <row r="465" spans="1:7">
      <c r="A465" s="343">
        <v>20260407</v>
      </c>
      <c r="B465" s="343">
        <v>78136.5</v>
      </c>
      <c r="C465" s="343">
        <v>260</v>
      </c>
      <c r="D465" s="343">
        <v>644</v>
      </c>
      <c r="E465" s="384">
        <v>46119</v>
      </c>
      <c r="F465" s="343" t="s">
        <v>233</v>
      </c>
      <c r="G465" s="343" t="s">
        <v>142</v>
      </c>
    </row>
    <row r="466" spans="1:7">
      <c r="A466" s="343">
        <v>20260408</v>
      </c>
      <c r="B466" s="343">
        <v>76763.5</v>
      </c>
      <c r="C466" s="343">
        <v>280</v>
      </c>
      <c r="D466" s="343">
        <v>676</v>
      </c>
      <c r="E466" s="384">
        <v>46120</v>
      </c>
      <c r="F466" s="343" t="s">
        <v>234</v>
      </c>
      <c r="G466" s="343" t="s">
        <v>142</v>
      </c>
    </row>
    <row r="467" spans="1:7">
      <c r="A467" s="343">
        <v>20260409</v>
      </c>
      <c r="B467" s="343">
        <v>116616.8</v>
      </c>
      <c r="C467" s="343">
        <v>334</v>
      </c>
      <c r="D467" s="343">
        <v>825</v>
      </c>
      <c r="E467" s="384">
        <v>46121</v>
      </c>
      <c r="F467" s="343" t="s">
        <v>235</v>
      </c>
      <c r="G467" s="343" t="s">
        <v>142</v>
      </c>
    </row>
    <row r="468" spans="1:7">
      <c r="A468" s="343">
        <v>20260410</v>
      </c>
      <c r="B468" s="343">
        <v>131289.79999999999</v>
      </c>
      <c r="C468" s="343">
        <v>354</v>
      </c>
      <c r="D468" s="343">
        <v>933</v>
      </c>
      <c r="E468" s="384">
        <v>46122</v>
      </c>
      <c r="F468" s="343" t="s">
        <v>236</v>
      </c>
      <c r="G468" s="343" t="s">
        <v>142</v>
      </c>
    </row>
    <row r="469" spans="1:7">
      <c r="A469" s="343">
        <v>20260411</v>
      </c>
      <c r="B469" s="343">
        <v>126073.8</v>
      </c>
      <c r="C469" s="343">
        <v>388</v>
      </c>
      <c r="D469" s="343">
        <v>971</v>
      </c>
      <c r="E469" s="384">
        <v>46123</v>
      </c>
      <c r="F469" s="343" t="s">
        <v>244</v>
      </c>
      <c r="G469" s="343" t="s">
        <v>142</v>
      </c>
    </row>
    <row r="470" spans="1:7">
      <c r="A470" s="343">
        <v>20260412</v>
      </c>
      <c r="B470" s="343">
        <v>85208.85</v>
      </c>
      <c r="C470" s="343">
        <v>280</v>
      </c>
      <c r="D470" s="343">
        <v>682</v>
      </c>
      <c r="E470" s="384">
        <v>46124</v>
      </c>
      <c r="F470" s="343" t="s">
        <v>245</v>
      </c>
      <c r="G470" s="343" t="s">
        <v>142</v>
      </c>
    </row>
    <row r="471" spans="1:7">
      <c r="A471" s="343">
        <v>20260413</v>
      </c>
      <c r="B471" s="343">
        <v>87642.73</v>
      </c>
      <c r="C471" s="343">
        <v>283</v>
      </c>
      <c r="D471" s="343">
        <v>665</v>
      </c>
      <c r="E471" s="384">
        <v>46125</v>
      </c>
      <c r="F471" s="343" t="s">
        <v>232</v>
      </c>
      <c r="G471" s="343" t="s">
        <v>143</v>
      </c>
    </row>
    <row r="472" spans="1:7">
      <c r="A472" s="343">
        <v>20260414</v>
      </c>
      <c r="B472" s="343">
        <v>115672.33</v>
      </c>
      <c r="C472" s="343">
        <v>276</v>
      </c>
      <c r="D472" s="343">
        <v>637</v>
      </c>
      <c r="E472" s="384">
        <v>46126</v>
      </c>
      <c r="F472" s="343" t="s">
        <v>233</v>
      </c>
      <c r="G472" s="343" t="s">
        <v>143</v>
      </c>
    </row>
    <row r="473" spans="1:7">
      <c r="A473" s="343">
        <v>20260415</v>
      </c>
      <c r="B473" s="343">
        <v>88694.15</v>
      </c>
      <c r="C473" s="343">
        <v>272</v>
      </c>
      <c r="D473" s="343">
        <v>667</v>
      </c>
      <c r="E473" s="384">
        <v>46127</v>
      </c>
      <c r="F473" s="343" t="s">
        <v>234</v>
      </c>
      <c r="G473" s="343" t="s">
        <v>143</v>
      </c>
    </row>
    <row r="474" spans="1:7">
      <c r="A474" s="343">
        <v>20260416</v>
      </c>
      <c r="B474" s="343">
        <v>145363.85</v>
      </c>
      <c r="C474" s="343">
        <v>289</v>
      </c>
      <c r="D474" s="343">
        <v>837</v>
      </c>
      <c r="E474" s="384">
        <v>46128</v>
      </c>
      <c r="F474" s="343" t="s">
        <v>235</v>
      </c>
      <c r="G474" s="343" t="s">
        <v>143</v>
      </c>
    </row>
    <row r="475" spans="1:7">
      <c r="A475" s="343">
        <v>20260417</v>
      </c>
      <c r="B475" s="343">
        <v>135214.79999999999</v>
      </c>
      <c r="C475" s="343">
        <v>399</v>
      </c>
      <c r="D475" s="343">
        <v>997</v>
      </c>
      <c r="E475" s="384">
        <v>46129</v>
      </c>
      <c r="F475" s="343" t="s">
        <v>236</v>
      </c>
      <c r="G475" s="343" t="s">
        <v>143</v>
      </c>
    </row>
    <row r="476" spans="1:7">
      <c r="A476" s="343">
        <v>20260418</v>
      </c>
      <c r="B476" s="343">
        <v>146440.54</v>
      </c>
      <c r="C476" s="343">
        <v>380</v>
      </c>
      <c r="D476" s="343">
        <v>950</v>
      </c>
      <c r="E476" s="384">
        <v>46130</v>
      </c>
      <c r="F476" s="343" t="s">
        <v>244</v>
      </c>
      <c r="G476" s="343" t="s">
        <v>143</v>
      </c>
    </row>
    <row r="477" spans="1:7">
      <c r="A477" s="343">
        <v>20260419</v>
      </c>
      <c r="B477" s="343">
        <v>72329.5</v>
      </c>
      <c r="C477" s="343">
        <v>251</v>
      </c>
      <c r="D477" s="343">
        <v>589</v>
      </c>
      <c r="E477" s="384">
        <v>46131</v>
      </c>
      <c r="F477" s="343" t="s">
        <v>245</v>
      </c>
      <c r="G477" s="343" t="s">
        <v>143</v>
      </c>
    </row>
    <row r="478" spans="1:7">
      <c r="A478" s="343">
        <v>20260420</v>
      </c>
      <c r="B478" s="343">
        <v>70011.7</v>
      </c>
      <c r="C478" s="343">
        <v>195</v>
      </c>
      <c r="D478" s="343">
        <v>478</v>
      </c>
      <c r="E478" s="384">
        <v>46132</v>
      </c>
      <c r="F478" s="343" t="s">
        <v>232</v>
      </c>
      <c r="G478" s="343" t="s">
        <v>144</v>
      </c>
    </row>
    <row r="479" spans="1:7">
      <c r="A479" s="343">
        <v>20260421</v>
      </c>
      <c r="B479" s="343">
        <v>96039.13</v>
      </c>
      <c r="C479" s="343">
        <v>258</v>
      </c>
      <c r="D479" s="343">
        <v>627</v>
      </c>
      <c r="E479" s="384">
        <v>46133</v>
      </c>
      <c r="F479" s="343" t="s">
        <v>233</v>
      </c>
      <c r="G479" s="343" t="s">
        <v>144</v>
      </c>
    </row>
    <row r="480" spans="1:7">
      <c r="A480" s="343">
        <v>20260422</v>
      </c>
      <c r="B480" s="343">
        <v>101170.1</v>
      </c>
      <c r="C480" s="343">
        <v>268</v>
      </c>
      <c r="D480" s="343">
        <v>684</v>
      </c>
      <c r="E480" s="384">
        <v>46134</v>
      </c>
      <c r="F480" s="343" t="s">
        <v>234</v>
      </c>
      <c r="G480" s="343" t="s">
        <v>144</v>
      </c>
    </row>
    <row r="481" spans="1:7">
      <c r="A481" s="343">
        <v>20260423</v>
      </c>
      <c r="B481" s="343">
        <v>118676.68</v>
      </c>
      <c r="C481" s="343">
        <v>389</v>
      </c>
      <c r="D481" s="343">
        <v>997</v>
      </c>
      <c r="E481" s="384">
        <v>46135</v>
      </c>
      <c r="F481" s="343" t="s">
        <v>235</v>
      </c>
      <c r="G481" s="343" t="s">
        <v>144</v>
      </c>
    </row>
    <row r="482" spans="1:7">
      <c r="A482" s="343">
        <v>20260424</v>
      </c>
      <c r="B482" s="343">
        <v>131285.70000000001</v>
      </c>
      <c r="C482" s="343">
        <v>16</v>
      </c>
      <c r="D482" s="343">
        <v>252</v>
      </c>
      <c r="E482" s="384">
        <v>46136</v>
      </c>
      <c r="F482" s="343" t="s">
        <v>236</v>
      </c>
      <c r="G482" s="343" t="s">
        <v>144</v>
      </c>
    </row>
    <row r="483" spans="1:7">
      <c r="A483" s="343">
        <v>20260425</v>
      </c>
      <c r="B483" s="343">
        <v>133087.35</v>
      </c>
      <c r="C483" s="343">
        <v>404</v>
      </c>
      <c r="D483" s="343">
        <v>1058</v>
      </c>
      <c r="E483" s="384">
        <v>46137</v>
      </c>
      <c r="F483" s="343" t="s">
        <v>244</v>
      </c>
      <c r="G483" s="343" t="s">
        <v>144</v>
      </c>
    </row>
    <row r="484" spans="1:7">
      <c r="A484" s="343">
        <v>20260426</v>
      </c>
      <c r="B484" s="343">
        <v>85739</v>
      </c>
      <c r="C484" s="343">
        <v>302</v>
      </c>
      <c r="D484" s="343">
        <v>691</v>
      </c>
      <c r="E484" s="384">
        <v>46138</v>
      </c>
      <c r="F484" s="343" t="s">
        <v>245</v>
      </c>
      <c r="G484" s="343" t="s">
        <v>144</v>
      </c>
    </row>
    <row r="485" spans="1:7">
      <c r="A485" s="343">
        <v>20260427</v>
      </c>
      <c r="B485" s="343">
        <v>101493.15</v>
      </c>
      <c r="C485" s="343">
        <v>245</v>
      </c>
      <c r="D485" s="343">
        <v>613</v>
      </c>
      <c r="E485" s="384">
        <v>46139</v>
      </c>
      <c r="F485" s="343" t="s">
        <v>232</v>
      </c>
      <c r="G485" s="343" t="s">
        <v>147</v>
      </c>
    </row>
    <row r="486" spans="1:7">
      <c r="A486" s="343">
        <v>20260428</v>
      </c>
      <c r="B486" s="343">
        <v>109452.3</v>
      </c>
      <c r="C486" s="343">
        <v>274</v>
      </c>
      <c r="D486" s="343">
        <v>729</v>
      </c>
      <c r="E486" s="384">
        <v>46140</v>
      </c>
      <c r="F486" s="343" t="s">
        <v>233</v>
      </c>
      <c r="G486" s="343" t="s">
        <v>147</v>
      </c>
    </row>
    <row r="487" spans="1:7">
      <c r="A487" s="343">
        <v>20260429</v>
      </c>
      <c r="B487" s="343">
        <v>118929.98</v>
      </c>
      <c r="C487" s="343">
        <v>323</v>
      </c>
      <c r="D487" s="343">
        <v>751</v>
      </c>
      <c r="E487" s="384">
        <v>46141</v>
      </c>
      <c r="F487" s="343" t="s">
        <v>234</v>
      </c>
      <c r="G487" s="343" t="s">
        <v>147</v>
      </c>
    </row>
    <row r="488" spans="1:7">
      <c r="A488" s="343">
        <v>20260430</v>
      </c>
      <c r="B488" s="343">
        <v>134503.75</v>
      </c>
      <c r="C488" s="343">
        <v>372</v>
      </c>
      <c r="D488" s="343">
        <v>889</v>
      </c>
      <c r="E488" s="384">
        <v>46142</v>
      </c>
      <c r="F488" s="343" t="s">
        <v>235</v>
      </c>
      <c r="G488" s="343" t="s">
        <v>147</v>
      </c>
    </row>
    <row r="489" spans="1:7">
      <c r="A489" s="343">
        <v>20260501</v>
      </c>
      <c r="B489" s="343">
        <v>226400.22</v>
      </c>
      <c r="C489" s="343">
        <v>381</v>
      </c>
      <c r="D489" s="343">
        <v>1011</v>
      </c>
      <c r="E489" s="384">
        <v>46143</v>
      </c>
      <c r="F489" s="343" t="s">
        <v>236</v>
      </c>
      <c r="G489" s="343" t="s">
        <v>147</v>
      </c>
    </row>
    <row r="490" spans="1:7">
      <c r="A490" s="343">
        <v>20260502</v>
      </c>
      <c r="B490" s="343">
        <v>225247.46</v>
      </c>
      <c r="C490" s="343">
        <v>352</v>
      </c>
      <c r="D490" s="343">
        <v>954</v>
      </c>
      <c r="E490" s="384">
        <v>46144</v>
      </c>
      <c r="F490" s="343" t="s">
        <v>244</v>
      </c>
      <c r="G490" s="343" t="s">
        <v>147</v>
      </c>
    </row>
    <row r="491" spans="1:7">
      <c r="A491" s="343">
        <v>20260503</v>
      </c>
      <c r="B491" s="343">
        <v>122353.8</v>
      </c>
      <c r="C491" s="343">
        <v>326</v>
      </c>
      <c r="D491" s="343">
        <v>742</v>
      </c>
      <c r="E491" s="384">
        <v>46145</v>
      </c>
      <c r="F491" s="343" t="s">
        <v>245</v>
      </c>
      <c r="G491" s="343" t="s">
        <v>147</v>
      </c>
    </row>
    <row r="492" spans="1:7">
      <c r="A492" s="343">
        <v>20260504</v>
      </c>
      <c r="B492" s="343">
        <v>103771.05</v>
      </c>
      <c r="C492" s="343">
        <v>269</v>
      </c>
      <c r="D492" s="343">
        <v>699</v>
      </c>
      <c r="E492" s="384">
        <v>46146</v>
      </c>
      <c r="F492" s="343" t="s">
        <v>232</v>
      </c>
      <c r="G492" s="343" t="s">
        <v>148</v>
      </c>
    </row>
    <row r="493" spans="1:7">
      <c r="A493" s="343">
        <v>20260505</v>
      </c>
      <c r="B493" s="343">
        <v>154489.54999999999</v>
      </c>
      <c r="C493" s="343">
        <v>211</v>
      </c>
      <c r="D493" s="343">
        <v>804</v>
      </c>
      <c r="E493" s="384">
        <v>46147</v>
      </c>
      <c r="F493" s="343" t="s">
        <v>233</v>
      </c>
      <c r="G493" s="343" t="s">
        <v>148</v>
      </c>
    </row>
    <row r="494" spans="1:7">
      <c r="A494" s="343">
        <v>20260506</v>
      </c>
      <c r="B494" s="343">
        <v>135889.79</v>
      </c>
      <c r="C494" s="343">
        <v>220</v>
      </c>
      <c r="D494" s="343">
        <v>666</v>
      </c>
      <c r="E494" s="384">
        <v>46148</v>
      </c>
      <c r="F494" s="343" t="s">
        <v>234</v>
      </c>
      <c r="G494" s="343" t="s">
        <v>148</v>
      </c>
    </row>
    <row r="495" spans="1:7">
      <c r="A495" s="343">
        <v>20260507</v>
      </c>
      <c r="B495" s="343">
        <v>147398.75</v>
      </c>
      <c r="C495" s="343">
        <v>364</v>
      </c>
      <c r="D495" s="343">
        <v>1317</v>
      </c>
      <c r="E495" s="384">
        <v>46149</v>
      </c>
      <c r="F495" s="343" t="s">
        <v>235</v>
      </c>
      <c r="G495" s="343" t="s">
        <v>148</v>
      </c>
    </row>
    <row r="496" spans="1:7">
      <c r="A496" s="343">
        <v>20260508</v>
      </c>
      <c r="B496" s="343">
        <v>119621.52</v>
      </c>
      <c r="C496" s="343">
        <v>401</v>
      </c>
      <c r="D496" s="343">
        <v>961</v>
      </c>
      <c r="E496" s="384">
        <v>46150</v>
      </c>
      <c r="F496" s="343" t="s">
        <v>236</v>
      </c>
      <c r="G496" s="343" t="s">
        <v>148</v>
      </c>
    </row>
    <row r="497" spans="1:7">
      <c r="A497" s="343">
        <v>20260509</v>
      </c>
      <c r="B497" s="343">
        <v>114522.33</v>
      </c>
      <c r="C497" s="343">
        <v>379</v>
      </c>
      <c r="D497" s="343">
        <v>973</v>
      </c>
      <c r="E497" s="384">
        <v>46151</v>
      </c>
      <c r="F497" s="343" t="s">
        <v>244</v>
      </c>
      <c r="G497" s="343" t="s">
        <v>148</v>
      </c>
    </row>
    <row r="498" spans="1:7">
      <c r="A498" s="343">
        <v>20260510</v>
      </c>
      <c r="B498" s="343">
        <v>80467.08</v>
      </c>
      <c r="C498" s="343">
        <v>255</v>
      </c>
      <c r="D498" s="343">
        <v>673</v>
      </c>
      <c r="E498" s="384">
        <v>46152</v>
      </c>
      <c r="F498" s="343" t="s">
        <v>245</v>
      </c>
      <c r="G498" s="343" t="s">
        <v>148</v>
      </c>
    </row>
    <row r="499" spans="1:7">
      <c r="A499" s="343">
        <v>20260511</v>
      </c>
      <c r="B499" s="343">
        <v>102731.25</v>
      </c>
      <c r="C499" s="343">
        <v>209</v>
      </c>
      <c r="D499" s="343">
        <v>624</v>
      </c>
      <c r="E499" s="384">
        <v>46153</v>
      </c>
      <c r="F499" s="343" t="s">
        <v>232</v>
      </c>
      <c r="G499" s="343" t="s">
        <v>149</v>
      </c>
    </row>
    <row r="500" spans="1:7">
      <c r="A500" s="343">
        <v>20260512</v>
      </c>
      <c r="B500" s="343">
        <v>77293.5</v>
      </c>
      <c r="C500" s="343">
        <v>238</v>
      </c>
      <c r="D500" s="343">
        <v>574</v>
      </c>
      <c r="E500" s="384">
        <v>46154</v>
      </c>
      <c r="F500" s="343" t="s">
        <v>233</v>
      </c>
      <c r="G500" s="343" t="s">
        <v>149</v>
      </c>
    </row>
    <row r="501" spans="1:7">
      <c r="A501" s="343">
        <v>20260513</v>
      </c>
      <c r="B501" s="343">
        <v>86880.75</v>
      </c>
      <c r="C501" s="343">
        <v>254</v>
      </c>
      <c r="D501" s="343">
        <v>650</v>
      </c>
      <c r="E501" s="384">
        <v>46155</v>
      </c>
      <c r="F501" s="343" t="s">
        <v>234</v>
      </c>
      <c r="G501" s="343" t="s">
        <v>149</v>
      </c>
    </row>
    <row r="502" spans="1:7">
      <c r="A502" s="343">
        <v>20260514</v>
      </c>
      <c r="B502" s="343">
        <v>88326.15</v>
      </c>
      <c r="C502" s="343">
        <v>299</v>
      </c>
      <c r="D502" s="343">
        <v>737</v>
      </c>
      <c r="E502" s="384">
        <v>46156</v>
      </c>
      <c r="F502" s="343" t="s">
        <v>235</v>
      </c>
      <c r="G502" s="343" t="s">
        <v>149</v>
      </c>
    </row>
    <row r="503" spans="1:7">
      <c r="A503" s="343">
        <v>20260515</v>
      </c>
      <c r="B503" s="343">
        <v>126115.48</v>
      </c>
      <c r="C503" s="343">
        <v>348</v>
      </c>
      <c r="D503" s="343">
        <v>895</v>
      </c>
      <c r="E503" s="384">
        <v>46157</v>
      </c>
      <c r="F503" s="343" t="s">
        <v>236</v>
      </c>
      <c r="G503" s="343" t="s">
        <v>149</v>
      </c>
    </row>
    <row r="504" spans="1:7">
      <c r="A504" s="343">
        <v>20260516</v>
      </c>
      <c r="B504" s="343">
        <v>117628.6</v>
      </c>
      <c r="C504" s="343">
        <v>375</v>
      </c>
      <c r="D504" s="343">
        <v>1021</v>
      </c>
      <c r="E504" s="384">
        <v>46158</v>
      </c>
      <c r="F504" s="343" t="s">
        <v>244</v>
      </c>
      <c r="G504" s="343" t="s">
        <v>149</v>
      </c>
    </row>
    <row r="505" spans="1:7">
      <c r="A505" s="343">
        <v>20260517</v>
      </c>
      <c r="B505" s="343">
        <v>75692</v>
      </c>
      <c r="C505" s="343">
        <v>284</v>
      </c>
      <c r="D505" s="343">
        <v>606</v>
      </c>
      <c r="E505" s="384">
        <v>46159</v>
      </c>
      <c r="F505" s="343" t="s">
        <v>245</v>
      </c>
      <c r="G505" s="343" t="s">
        <v>149</v>
      </c>
    </row>
    <row r="506" spans="1:7">
      <c r="A506" s="343">
        <v>20260518</v>
      </c>
      <c r="B506" s="343">
        <v>81775.649999999994</v>
      </c>
      <c r="C506" s="343">
        <v>236</v>
      </c>
      <c r="D506" s="343">
        <v>572</v>
      </c>
      <c r="E506" s="384">
        <v>46160</v>
      </c>
      <c r="F506" s="343" t="s">
        <v>232</v>
      </c>
      <c r="G506" s="343" t="s">
        <v>150</v>
      </c>
    </row>
    <row r="507" spans="1:7">
      <c r="A507" s="343">
        <v>20260519</v>
      </c>
      <c r="B507" s="343">
        <v>93965.9</v>
      </c>
      <c r="C507" s="343">
        <v>238</v>
      </c>
      <c r="D507" s="343">
        <v>546</v>
      </c>
      <c r="E507" s="384">
        <v>46161</v>
      </c>
      <c r="F507" s="343" t="s">
        <v>233</v>
      </c>
      <c r="G507" s="343" t="s">
        <v>150</v>
      </c>
    </row>
    <row r="508" spans="1:7">
      <c r="A508" s="343">
        <v>20260520</v>
      </c>
      <c r="B508" s="343">
        <v>67354.600000000006</v>
      </c>
      <c r="C508" s="343">
        <v>215</v>
      </c>
      <c r="D508" s="343">
        <v>527</v>
      </c>
      <c r="E508" s="384">
        <v>46162</v>
      </c>
      <c r="F508" s="343" t="s">
        <v>234</v>
      </c>
      <c r="G508" s="343" t="s">
        <v>150</v>
      </c>
    </row>
    <row r="509" spans="1:7">
      <c r="A509" s="343">
        <v>20260521</v>
      </c>
      <c r="B509" s="343">
        <v>93795.45</v>
      </c>
      <c r="C509" s="343">
        <v>316</v>
      </c>
      <c r="D509" s="343">
        <v>750</v>
      </c>
      <c r="E509" s="384">
        <v>46163</v>
      </c>
      <c r="F509" s="343" t="s">
        <v>235</v>
      </c>
      <c r="G509" s="343" t="s">
        <v>150</v>
      </c>
    </row>
    <row r="510" spans="1:7">
      <c r="A510" s="343">
        <v>20260522</v>
      </c>
      <c r="B510" s="343">
        <v>132236.04</v>
      </c>
      <c r="C510" s="343">
        <v>398</v>
      </c>
      <c r="D510" s="343">
        <v>1041</v>
      </c>
      <c r="E510" s="384">
        <v>46164</v>
      </c>
      <c r="F510" s="343" t="s">
        <v>236</v>
      </c>
      <c r="G510" s="343" t="s">
        <v>150</v>
      </c>
    </row>
    <row r="511" spans="1:7">
      <c r="A511" s="343">
        <v>20260523</v>
      </c>
      <c r="B511" s="343">
        <v>131445.54999999999</v>
      </c>
      <c r="C511" s="343">
        <v>424</v>
      </c>
      <c r="D511" s="343">
        <v>1051</v>
      </c>
      <c r="E511" s="384">
        <v>46165</v>
      </c>
      <c r="F511" s="343" t="s">
        <v>244</v>
      </c>
      <c r="G511" s="343" t="s">
        <v>150</v>
      </c>
    </row>
    <row r="512" spans="1:7">
      <c r="A512" s="343">
        <v>20260524</v>
      </c>
      <c r="B512" s="343">
        <v>93391.58</v>
      </c>
      <c r="C512" s="343">
        <v>362</v>
      </c>
      <c r="D512" s="343">
        <v>806</v>
      </c>
      <c r="E512" s="384">
        <v>46166</v>
      </c>
      <c r="F512" s="343" t="s">
        <v>245</v>
      </c>
      <c r="G512" s="343" t="s">
        <v>150</v>
      </c>
    </row>
    <row r="513" spans="1:7">
      <c r="A513" s="343">
        <v>20260525</v>
      </c>
      <c r="B513" s="343">
        <v>90704.5</v>
      </c>
      <c r="C513" s="343">
        <v>320</v>
      </c>
      <c r="D513" s="343">
        <v>706</v>
      </c>
      <c r="E513" s="384">
        <v>46167</v>
      </c>
      <c r="F513" s="343" t="s">
        <v>232</v>
      </c>
      <c r="G513" s="343" t="s">
        <v>153</v>
      </c>
    </row>
    <row r="514" spans="1:7">
      <c r="A514" s="343">
        <v>20260526</v>
      </c>
      <c r="B514" s="343">
        <v>73597.5</v>
      </c>
      <c r="C514" s="343">
        <v>262</v>
      </c>
      <c r="D514" s="343">
        <v>615</v>
      </c>
      <c r="E514" s="384">
        <v>46168</v>
      </c>
      <c r="F514" s="343" t="s">
        <v>233</v>
      </c>
      <c r="G514" s="343" t="s">
        <v>153</v>
      </c>
    </row>
    <row r="515" spans="1:7">
      <c r="A515" s="343">
        <v>20260527</v>
      </c>
      <c r="B515" s="343">
        <v>71929.100000000006</v>
      </c>
      <c r="C515" s="343">
        <v>296</v>
      </c>
      <c r="D515" s="343">
        <v>662</v>
      </c>
      <c r="E515" s="384">
        <v>46169</v>
      </c>
      <c r="F515" s="343" t="s">
        <v>234</v>
      </c>
      <c r="G515" s="343" t="s">
        <v>153</v>
      </c>
    </row>
    <row r="516" spans="1:7">
      <c r="A516" s="343">
        <v>20260528</v>
      </c>
      <c r="B516" s="343">
        <v>116520.9</v>
      </c>
      <c r="C516" s="343">
        <v>234</v>
      </c>
      <c r="D516" s="343">
        <v>617</v>
      </c>
      <c r="E516" s="384">
        <v>46170</v>
      </c>
      <c r="F516" s="343" t="s">
        <v>235</v>
      </c>
      <c r="G516" s="343" t="s">
        <v>153</v>
      </c>
    </row>
    <row r="517" spans="1:7">
      <c r="A517" s="343">
        <v>20260529</v>
      </c>
      <c r="B517" s="343">
        <v>94190.23</v>
      </c>
      <c r="C517" s="343">
        <v>382</v>
      </c>
      <c r="D517" s="343">
        <v>1035</v>
      </c>
      <c r="E517" s="384">
        <v>46171</v>
      </c>
      <c r="F517" s="343" t="s">
        <v>236</v>
      </c>
      <c r="G517" s="343" t="s">
        <v>153</v>
      </c>
    </row>
    <row r="518" spans="1:7">
      <c r="A518" s="343">
        <v>20260530</v>
      </c>
      <c r="B518" s="343">
        <v>135866.16</v>
      </c>
      <c r="C518" s="343">
        <v>389</v>
      </c>
      <c r="D518" s="343">
        <v>1036</v>
      </c>
      <c r="E518" s="384">
        <v>46172</v>
      </c>
      <c r="F518" s="343" t="s">
        <v>244</v>
      </c>
      <c r="G518" s="343" t="s">
        <v>153</v>
      </c>
    </row>
    <row r="519" spans="1:7">
      <c r="A519" s="343">
        <v>20260531</v>
      </c>
      <c r="B519" s="343">
        <v>77841.5</v>
      </c>
      <c r="C519" s="343">
        <v>259</v>
      </c>
      <c r="D519" s="343">
        <v>614</v>
      </c>
      <c r="E519" s="384">
        <v>46173</v>
      </c>
      <c r="F519" s="343" t="s">
        <v>245</v>
      </c>
      <c r="G519" s="343" t="s">
        <v>153</v>
      </c>
    </row>
    <row r="520" spans="1:7">
      <c r="A520" s="343">
        <v>20260601</v>
      </c>
      <c r="B520" s="343">
        <v>80192.100000000006</v>
      </c>
      <c r="C520" s="343">
        <v>208</v>
      </c>
      <c r="D520" s="343">
        <v>562</v>
      </c>
      <c r="E520" s="384">
        <v>46174</v>
      </c>
      <c r="F520" s="343" t="s">
        <v>232</v>
      </c>
      <c r="G520" s="343" t="s">
        <v>154</v>
      </c>
    </row>
    <row r="521" spans="1:7">
      <c r="A521" s="343">
        <v>20260602</v>
      </c>
      <c r="B521" s="343">
        <v>63694.6</v>
      </c>
      <c r="C521" s="343">
        <v>200</v>
      </c>
      <c r="D521" s="343">
        <v>453</v>
      </c>
      <c r="E521" s="384">
        <v>46175</v>
      </c>
      <c r="F521" s="343" t="s">
        <v>233</v>
      </c>
      <c r="G521" s="343" t="s">
        <v>154</v>
      </c>
    </row>
    <row r="522" spans="1:7">
      <c r="A522" s="343">
        <v>20260603</v>
      </c>
      <c r="B522" s="343">
        <v>84724.44</v>
      </c>
      <c r="C522" s="343">
        <v>228</v>
      </c>
      <c r="D522" s="343">
        <v>680</v>
      </c>
      <c r="E522" s="384">
        <v>46176</v>
      </c>
      <c r="F522" s="343" t="s">
        <v>234</v>
      </c>
      <c r="G522" s="343" t="s">
        <v>154</v>
      </c>
    </row>
    <row r="523" spans="1:7">
      <c r="A523" s="343">
        <v>20260604</v>
      </c>
      <c r="B523" s="343">
        <v>102263.7</v>
      </c>
      <c r="C523" s="343">
        <v>13</v>
      </c>
      <c r="D523" s="343">
        <v>243</v>
      </c>
      <c r="E523" s="384">
        <v>46177</v>
      </c>
      <c r="F523" s="343" t="s">
        <v>235</v>
      </c>
      <c r="G523" s="343" t="s">
        <v>154</v>
      </c>
    </row>
    <row r="524" spans="1:7">
      <c r="A524" s="343">
        <v>20260605</v>
      </c>
      <c r="B524" s="343">
        <v>111868.3</v>
      </c>
      <c r="C524" s="343">
        <v>380</v>
      </c>
      <c r="D524" s="343">
        <v>1040</v>
      </c>
      <c r="E524" s="384">
        <v>46178</v>
      </c>
      <c r="F524" s="343" t="s">
        <v>236</v>
      </c>
      <c r="G524" s="343" t="s">
        <v>154</v>
      </c>
    </row>
    <row r="525" spans="1:7">
      <c r="A525" s="343">
        <v>20260606</v>
      </c>
      <c r="B525" s="343">
        <v>103343.7</v>
      </c>
      <c r="C525" s="343">
        <v>373</v>
      </c>
      <c r="D525" s="343">
        <v>954</v>
      </c>
      <c r="E525" s="384">
        <v>46179</v>
      </c>
      <c r="F525" s="343" t="s">
        <v>244</v>
      </c>
      <c r="G525" s="343" t="s">
        <v>154</v>
      </c>
    </row>
    <row r="526" spans="1:7">
      <c r="A526" s="343">
        <v>20260607</v>
      </c>
      <c r="B526" s="343">
        <v>56065.51</v>
      </c>
      <c r="C526" s="343">
        <v>184</v>
      </c>
      <c r="D526" s="343">
        <v>435</v>
      </c>
      <c r="E526" s="384">
        <v>46180</v>
      </c>
      <c r="F526" s="343" t="s">
        <v>245</v>
      </c>
      <c r="G526" s="343" t="s">
        <v>154</v>
      </c>
    </row>
    <row r="527" spans="1:7">
      <c r="A527" s="343">
        <v>20260608</v>
      </c>
      <c r="B527" s="343">
        <v>79649.100000000006</v>
      </c>
      <c r="C527" s="343">
        <v>173</v>
      </c>
      <c r="D527" s="343">
        <v>456</v>
      </c>
      <c r="E527" s="384">
        <v>46181</v>
      </c>
      <c r="F527" s="343" t="s">
        <v>232</v>
      </c>
      <c r="G527" s="343" t="s">
        <v>155</v>
      </c>
    </row>
    <row r="528" spans="1:7">
      <c r="A528" s="343">
        <v>20260609</v>
      </c>
      <c r="B528" s="343">
        <v>52238</v>
      </c>
      <c r="C528" s="343">
        <v>200</v>
      </c>
      <c r="D528" s="343">
        <v>412</v>
      </c>
      <c r="E528" s="384">
        <v>46182</v>
      </c>
      <c r="F528" s="343" t="s">
        <v>233</v>
      </c>
      <c r="G528" s="343" t="s">
        <v>155</v>
      </c>
    </row>
    <row r="529" spans="1:7">
      <c r="A529" s="343">
        <v>20260610</v>
      </c>
      <c r="B529" s="343">
        <v>51877.1</v>
      </c>
      <c r="C529" s="343">
        <v>169</v>
      </c>
      <c r="D529" s="343">
        <v>386</v>
      </c>
      <c r="E529" s="384">
        <v>46183</v>
      </c>
      <c r="F529" s="343" t="s">
        <v>234</v>
      </c>
      <c r="G529" s="343" t="s">
        <v>155</v>
      </c>
    </row>
    <row r="530" spans="1:7">
      <c r="A530" s="343">
        <v>20260611</v>
      </c>
      <c r="B530" s="343">
        <v>89007.45</v>
      </c>
      <c r="C530" s="343">
        <v>283</v>
      </c>
      <c r="D530" s="343">
        <v>736</v>
      </c>
      <c r="E530" s="384">
        <v>46184</v>
      </c>
      <c r="F530" s="343" t="s">
        <v>235</v>
      </c>
      <c r="G530" s="343" t="s">
        <v>155</v>
      </c>
    </row>
    <row r="531" spans="1:7">
      <c r="A531" s="343">
        <v>20260612</v>
      </c>
      <c r="B531" s="343">
        <v>95157.7</v>
      </c>
      <c r="C531" s="343">
        <v>289</v>
      </c>
      <c r="D531" s="343">
        <v>812</v>
      </c>
      <c r="E531" s="384">
        <v>46185</v>
      </c>
      <c r="F531" s="343" t="s">
        <v>236</v>
      </c>
      <c r="G531" s="343" t="s">
        <v>155</v>
      </c>
    </row>
    <row r="532" spans="1:7">
      <c r="A532" s="343">
        <v>20260613</v>
      </c>
      <c r="B532" s="343">
        <v>99304.07</v>
      </c>
      <c r="C532" s="343">
        <v>284</v>
      </c>
      <c r="D532" s="343">
        <v>1018</v>
      </c>
      <c r="E532" s="384">
        <v>46186</v>
      </c>
      <c r="F532" s="343" t="s">
        <v>244</v>
      </c>
      <c r="G532" s="343" t="s">
        <v>155</v>
      </c>
    </row>
    <row r="533" spans="1:7">
      <c r="A533" s="343">
        <v>20260614</v>
      </c>
      <c r="B533" s="343">
        <v>63234.5</v>
      </c>
      <c r="C533" s="343">
        <v>235</v>
      </c>
      <c r="D533" s="343">
        <v>564</v>
      </c>
      <c r="E533" s="384">
        <v>46187</v>
      </c>
      <c r="F533" s="343" t="s">
        <v>245</v>
      </c>
      <c r="G533" s="343" t="s">
        <v>155</v>
      </c>
    </row>
    <row r="534" spans="1:7">
      <c r="A534" s="343">
        <v>20260615</v>
      </c>
      <c r="B534" s="343">
        <v>81266.8</v>
      </c>
      <c r="C534" s="343">
        <v>209</v>
      </c>
      <c r="D534" s="343">
        <v>541</v>
      </c>
      <c r="E534" s="384">
        <v>46188</v>
      </c>
      <c r="F534" s="343" t="s">
        <v>232</v>
      </c>
      <c r="G534" s="343" t="s">
        <v>156</v>
      </c>
    </row>
    <row r="535" spans="1:7">
      <c r="A535" s="343">
        <v>20260616</v>
      </c>
      <c r="B535" s="343">
        <v>52635.45</v>
      </c>
      <c r="C535" s="343">
        <v>180</v>
      </c>
      <c r="D535" s="343">
        <v>401</v>
      </c>
      <c r="E535" s="384">
        <v>46189</v>
      </c>
      <c r="F535" s="343" t="s">
        <v>233</v>
      </c>
      <c r="G535" s="343" t="s">
        <v>156</v>
      </c>
    </row>
    <row r="536" spans="1:7">
      <c r="A536" s="343">
        <v>20260617</v>
      </c>
      <c r="B536" s="343">
        <v>70222</v>
      </c>
      <c r="C536" s="343">
        <v>221</v>
      </c>
      <c r="D536" s="343">
        <v>508</v>
      </c>
      <c r="E536" s="384">
        <v>46190</v>
      </c>
      <c r="F536" s="343" t="s">
        <v>234</v>
      </c>
      <c r="G536" s="343" t="s">
        <v>156</v>
      </c>
    </row>
    <row r="537" spans="1:7">
      <c r="A537" s="343">
        <v>20260618</v>
      </c>
      <c r="B537" s="343">
        <v>79475</v>
      </c>
      <c r="C537" s="343">
        <v>297</v>
      </c>
      <c r="D537" s="343">
        <v>644</v>
      </c>
      <c r="E537" s="384">
        <v>46191</v>
      </c>
      <c r="F537" s="343" t="s">
        <v>235</v>
      </c>
      <c r="G537" s="343" t="s">
        <v>156</v>
      </c>
    </row>
    <row r="538" spans="1:7">
      <c r="A538" s="343">
        <v>20260619</v>
      </c>
      <c r="B538" s="343">
        <v>137952.54</v>
      </c>
      <c r="C538" s="343">
        <v>276</v>
      </c>
      <c r="D538" s="343">
        <v>750</v>
      </c>
      <c r="E538" s="384">
        <v>46192</v>
      </c>
      <c r="F538" s="343" t="s">
        <v>236</v>
      </c>
      <c r="G538" s="343" t="s">
        <v>156</v>
      </c>
    </row>
    <row r="539" spans="1:7">
      <c r="A539" s="343">
        <v>20260620</v>
      </c>
      <c r="B539" s="343">
        <v>103658.1</v>
      </c>
      <c r="C539" s="343">
        <v>334</v>
      </c>
      <c r="D539" s="343">
        <v>836</v>
      </c>
      <c r="E539" s="384">
        <v>46193</v>
      </c>
      <c r="F539" s="343" t="s">
        <v>244</v>
      </c>
      <c r="G539" s="343" t="s">
        <v>156</v>
      </c>
    </row>
    <row r="540" spans="1:7">
      <c r="A540" s="343">
        <v>20260621</v>
      </c>
      <c r="B540" s="343">
        <v>66903</v>
      </c>
      <c r="C540" s="343">
        <v>196</v>
      </c>
      <c r="D540" s="343">
        <v>462</v>
      </c>
      <c r="E540" s="384">
        <v>46194</v>
      </c>
      <c r="F540" s="343" t="s">
        <v>245</v>
      </c>
      <c r="G540" s="343" t="s">
        <v>156</v>
      </c>
    </row>
    <row r="541" spans="1:7">
      <c r="A541" s="343">
        <v>20260622</v>
      </c>
      <c r="B541" s="343">
        <v>75714.850000000006</v>
      </c>
      <c r="C541" s="343">
        <v>208</v>
      </c>
      <c r="D541" s="343">
        <v>739</v>
      </c>
      <c r="E541" s="384">
        <v>46195</v>
      </c>
      <c r="F541" s="343" t="s">
        <v>232</v>
      </c>
      <c r="G541" s="343" t="s">
        <v>157</v>
      </c>
    </row>
    <row r="542" spans="1:7">
      <c r="A542" s="343">
        <v>20260623</v>
      </c>
      <c r="B542" s="343">
        <v>91987.35</v>
      </c>
      <c r="C542" s="343">
        <v>239</v>
      </c>
      <c r="D542" s="343">
        <v>602</v>
      </c>
      <c r="E542" s="384">
        <v>46196</v>
      </c>
      <c r="F542" s="343" t="s">
        <v>233</v>
      </c>
      <c r="G542" s="343" t="s">
        <v>157</v>
      </c>
    </row>
    <row r="543" spans="1:7">
      <c r="A543" s="343">
        <v>20260624</v>
      </c>
      <c r="B543" s="343">
        <v>62147.7</v>
      </c>
      <c r="C543" s="343">
        <v>182</v>
      </c>
      <c r="D543" s="343">
        <v>452</v>
      </c>
      <c r="E543" s="384">
        <v>46197</v>
      </c>
      <c r="F543" s="343" t="s">
        <v>234</v>
      </c>
      <c r="G543" s="343" t="s">
        <v>157</v>
      </c>
    </row>
    <row r="544" spans="1:7">
      <c r="A544" s="343">
        <v>20260625</v>
      </c>
      <c r="B544" s="343">
        <v>96097.3</v>
      </c>
      <c r="C544" s="343">
        <v>322</v>
      </c>
      <c r="D544" s="343">
        <v>717</v>
      </c>
      <c r="E544" s="384">
        <v>46198</v>
      </c>
      <c r="F544" s="343" t="s">
        <v>235</v>
      </c>
      <c r="G544" s="343" t="s">
        <v>157</v>
      </c>
    </row>
    <row r="545" spans="1:7">
      <c r="A545" s="343">
        <v>20260626</v>
      </c>
      <c r="B545" s="343">
        <v>119314.9</v>
      </c>
      <c r="C545" s="343">
        <v>400</v>
      </c>
      <c r="D545" s="343">
        <v>910</v>
      </c>
      <c r="E545" s="384">
        <v>46199</v>
      </c>
      <c r="F545" s="343" t="s">
        <v>236</v>
      </c>
      <c r="G545" s="343" t="s">
        <v>157</v>
      </c>
    </row>
    <row r="546" spans="1:7">
      <c r="A546" s="343">
        <v>20260627</v>
      </c>
      <c r="B546" s="343">
        <v>94125.6</v>
      </c>
      <c r="C546" s="343">
        <v>311</v>
      </c>
      <c r="D546" s="343">
        <v>741</v>
      </c>
      <c r="E546" s="384">
        <v>46200</v>
      </c>
      <c r="F546" s="343" t="s">
        <v>244</v>
      </c>
      <c r="G546" s="343" t="s">
        <v>157</v>
      </c>
    </row>
    <row r="547" spans="1:7">
      <c r="A547" s="343">
        <v>20260628</v>
      </c>
      <c r="B547" s="343">
        <v>73684</v>
      </c>
      <c r="C547" s="343">
        <v>243</v>
      </c>
      <c r="D547" s="343">
        <v>549</v>
      </c>
      <c r="E547" s="384">
        <v>46201</v>
      </c>
      <c r="F547" s="343" t="s">
        <v>245</v>
      </c>
      <c r="G547" s="343" t="s">
        <v>157</v>
      </c>
    </row>
    <row r="548" spans="1:7">
      <c r="A548" s="343">
        <v>20260629</v>
      </c>
      <c r="B548" s="343">
        <v>56590</v>
      </c>
      <c r="C548" s="343">
        <v>195</v>
      </c>
      <c r="D548" s="343">
        <v>450</v>
      </c>
      <c r="E548" s="384">
        <v>46202</v>
      </c>
      <c r="F548" s="343" t="s">
        <v>232</v>
      </c>
      <c r="G548" s="343" t="s">
        <v>160</v>
      </c>
    </row>
    <row r="549" spans="1:7">
      <c r="A549" s="343">
        <v>20260630</v>
      </c>
      <c r="B549" s="343">
        <v>66929.100000000006</v>
      </c>
      <c r="C549" s="343">
        <v>219</v>
      </c>
      <c r="D549" s="343">
        <v>509</v>
      </c>
      <c r="E549" s="384">
        <v>46203</v>
      </c>
      <c r="F549" s="343" t="s">
        <v>233</v>
      </c>
      <c r="G549" s="343" t="s">
        <v>160</v>
      </c>
    </row>
    <row r="550" spans="1:7">
      <c r="A550" s="343">
        <v>20260701</v>
      </c>
      <c r="B550" s="343">
        <v>77009.600000000006</v>
      </c>
      <c r="C550" s="343">
        <v>241</v>
      </c>
      <c r="D550" s="343">
        <v>546</v>
      </c>
      <c r="E550" s="384">
        <v>46204</v>
      </c>
      <c r="F550" s="343" t="s">
        <v>234</v>
      </c>
      <c r="G550" s="343" t="s">
        <v>160</v>
      </c>
    </row>
    <row r="551" spans="1:7">
      <c r="A551" s="343">
        <v>20260702</v>
      </c>
      <c r="B551" s="343">
        <v>96286.75</v>
      </c>
      <c r="C551" s="343">
        <v>324</v>
      </c>
      <c r="D551" s="343">
        <v>743</v>
      </c>
      <c r="E551" s="384">
        <v>46205</v>
      </c>
      <c r="F551" s="343" t="s">
        <v>235</v>
      </c>
      <c r="G551" s="343" t="s">
        <v>160</v>
      </c>
    </row>
    <row r="552" spans="1:7">
      <c r="A552" s="343">
        <v>20260703</v>
      </c>
      <c r="B552" s="343">
        <v>93126.65</v>
      </c>
      <c r="C552" s="343">
        <v>337</v>
      </c>
      <c r="D552" s="343">
        <v>748</v>
      </c>
      <c r="E552" s="384">
        <v>46206</v>
      </c>
      <c r="F552" s="343" t="s">
        <v>236</v>
      </c>
      <c r="G552" s="343" t="s">
        <v>160</v>
      </c>
    </row>
    <row r="553" spans="1:7">
      <c r="A553" s="343">
        <v>20260704</v>
      </c>
      <c r="B553" s="343">
        <v>86502.399999999994</v>
      </c>
      <c r="C553" s="343">
        <v>299</v>
      </c>
      <c r="D553" s="343">
        <v>673</v>
      </c>
      <c r="E553" s="384">
        <v>46207</v>
      </c>
      <c r="F553" s="343" t="s">
        <v>244</v>
      </c>
      <c r="G553" s="343" t="s">
        <v>160</v>
      </c>
    </row>
    <row r="554" spans="1:7">
      <c r="A554" s="343">
        <v>20260705</v>
      </c>
      <c r="B554" s="343">
        <v>67866</v>
      </c>
      <c r="C554" s="343">
        <v>239</v>
      </c>
      <c r="D554" s="343">
        <v>561</v>
      </c>
      <c r="E554" s="384">
        <v>46208</v>
      </c>
      <c r="F554" s="343" t="s">
        <v>245</v>
      </c>
      <c r="G554" s="343" t="s">
        <v>160</v>
      </c>
    </row>
    <row r="555" spans="1:7">
      <c r="A555" s="343">
        <v>20260706</v>
      </c>
      <c r="B555" s="343">
        <v>50154.75</v>
      </c>
      <c r="C555" s="343">
        <v>154</v>
      </c>
      <c r="D555" s="343">
        <v>619</v>
      </c>
      <c r="E555" s="384">
        <v>46209</v>
      </c>
      <c r="F555" s="343" t="s">
        <v>232</v>
      </c>
      <c r="G555" s="343" t="s">
        <v>161</v>
      </c>
    </row>
    <row r="556" spans="1:7">
      <c r="A556" s="343">
        <v>20260707</v>
      </c>
      <c r="B556" s="343">
        <v>59318.35</v>
      </c>
      <c r="C556" s="343">
        <v>211</v>
      </c>
      <c r="D556" s="343">
        <v>466</v>
      </c>
      <c r="E556" s="384">
        <v>46210</v>
      </c>
      <c r="F556" s="343" t="s">
        <v>233</v>
      </c>
      <c r="G556" s="343" t="s">
        <v>161</v>
      </c>
    </row>
    <row r="557" spans="1:7">
      <c r="A557" s="343">
        <v>20260708</v>
      </c>
      <c r="B557" s="343">
        <v>73612.399999999994</v>
      </c>
      <c r="C557" s="343">
        <v>258</v>
      </c>
      <c r="D557" s="343">
        <v>515</v>
      </c>
      <c r="E557" s="384">
        <v>46211</v>
      </c>
      <c r="F557" s="343" t="s">
        <v>234</v>
      </c>
      <c r="G557" s="343" t="s">
        <v>161</v>
      </c>
    </row>
    <row r="558" spans="1:7">
      <c r="A558" s="343">
        <v>20260709</v>
      </c>
      <c r="B558" s="343">
        <v>98992.25</v>
      </c>
      <c r="C558" s="343">
        <v>303</v>
      </c>
      <c r="D558" s="343">
        <v>750</v>
      </c>
      <c r="E558" s="384">
        <v>46212</v>
      </c>
      <c r="F558" s="343" t="s">
        <v>235</v>
      </c>
      <c r="G558" s="343" t="s">
        <v>161</v>
      </c>
    </row>
    <row r="559" spans="1:7">
      <c r="A559" s="343">
        <v>20260710</v>
      </c>
      <c r="B559" s="343">
        <v>149294.20000000001</v>
      </c>
      <c r="C559" s="343">
        <v>269</v>
      </c>
      <c r="D559" s="343">
        <v>627</v>
      </c>
      <c r="E559" s="384">
        <v>46213</v>
      </c>
      <c r="F559" s="343" t="s">
        <v>236</v>
      </c>
      <c r="G559" s="343" t="s">
        <v>161</v>
      </c>
    </row>
    <row r="560" spans="1:7">
      <c r="A560" s="343">
        <v>20260711</v>
      </c>
      <c r="B560" s="343">
        <v>95608.6</v>
      </c>
      <c r="C560" s="343">
        <v>324</v>
      </c>
      <c r="D560" s="343">
        <v>699</v>
      </c>
      <c r="E560" s="384">
        <v>46214</v>
      </c>
      <c r="F560" s="343" t="s">
        <v>244</v>
      </c>
      <c r="G560" s="343" t="s">
        <v>161</v>
      </c>
    </row>
    <row r="561" spans="1:7">
      <c r="A561" s="343">
        <v>20260712</v>
      </c>
      <c r="B561" s="343">
        <v>88316.2</v>
      </c>
      <c r="C561" s="343">
        <v>255</v>
      </c>
      <c r="D561" s="343">
        <v>637</v>
      </c>
      <c r="E561" s="384">
        <v>46215</v>
      </c>
      <c r="F561" s="343" t="s">
        <v>245</v>
      </c>
      <c r="G561" s="343" t="s">
        <v>161</v>
      </c>
    </row>
    <row r="562" spans="1:7">
      <c r="A562" s="343">
        <v>20260713</v>
      </c>
      <c r="B562" s="343">
        <v>60177.1</v>
      </c>
      <c r="C562" s="343">
        <v>197</v>
      </c>
      <c r="D562" s="343">
        <v>457</v>
      </c>
      <c r="E562" s="384">
        <v>46216</v>
      </c>
      <c r="F562" s="343" t="s">
        <v>232</v>
      </c>
      <c r="G562" s="343" t="s">
        <v>162</v>
      </c>
    </row>
    <row r="563" spans="1:7">
      <c r="A563" s="343">
        <v>20260714</v>
      </c>
      <c r="B563" s="343">
        <v>53896.75</v>
      </c>
      <c r="C563" s="343">
        <v>183</v>
      </c>
      <c r="D563" s="343">
        <v>410</v>
      </c>
      <c r="E563" s="384">
        <v>46217</v>
      </c>
      <c r="F563" s="343" t="s">
        <v>233</v>
      </c>
      <c r="G563" s="343" t="s">
        <v>162</v>
      </c>
    </row>
    <row r="564" spans="1:7">
      <c r="A564" s="343">
        <v>20260715</v>
      </c>
      <c r="B564" s="343">
        <v>47906.21</v>
      </c>
      <c r="C564" s="343">
        <v>195</v>
      </c>
      <c r="D564" s="343">
        <v>409</v>
      </c>
      <c r="E564" s="384">
        <v>46218</v>
      </c>
      <c r="F564" s="343" t="s">
        <v>234</v>
      </c>
      <c r="G564" s="343" t="s">
        <v>162</v>
      </c>
    </row>
    <row r="565" spans="1:7">
      <c r="A565" s="343">
        <v>20260716</v>
      </c>
      <c r="B565" s="343">
        <v>95199.12</v>
      </c>
      <c r="C565" s="343">
        <v>315</v>
      </c>
      <c r="D565" s="343">
        <v>725</v>
      </c>
      <c r="E565" s="384">
        <v>46219</v>
      </c>
      <c r="F565" s="343" t="s">
        <v>235</v>
      </c>
      <c r="G565" s="343" t="s">
        <v>162</v>
      </c>
    </row>
    <row r="566" spans="1:7">
      <c r="A566" s="343">
        <v>20260717</v>
      </c>
      <c r="B566" s="343">
        <v>115574.5</v>
      </c>
      <c r="C566" s="343">
        <v>395</v>
      </c>
      <c r="D566" s="343">
        <v>891</v>
      </c>
      <c r="E566" s="384">
        <v>46220</v>
      </c>
      <c r="F566" s="343" t="s">
        <v>236</v>
      </c>
      <c r="G566" s="343" t="s">
        <v>162</v>
      </c>
    </row>
    <row r="567" spans="1:7">
      <c r="A567" s="343">
        <v>20260718</v>
      </c>
      <c r="B567" s="343">
        <v>95244.25</v>
      </c>
      <c r="C567" s="343">
        <v>353</v>
      </c>
      <c r="D567" s="343">
        <v>754</v>
      </c>
      <c r="E567" s="384">
        <v>46221</v>
      </c>
      <c r="F567" s="343" t="s">
        <v>244</v>
      </c>
      <c r="G567" s="343" t="s">
        <v>162</v>
      </c>
    </row>
    <row r="568" spans="1:7">
      <c r="A568" s="343">
        <v>20260719</v>
      </c>
      <c r="B568" s="343">
        <v>51176</v>
      </c>
      <c r="C568" s="343">
        <v>177</v>
      </c>
      <c r="D568" s="343">
        <v>418</v>
      </c>
      <c r="E568" s="384">
        <v>46222</v>
      </c>
      <c r="F568" s="343" t="s">
        <v>245</v>
      </c>
      <c r="G568" s="343" t="s">
        <v>162</v>
      </c>
    </row>
    <row r="569" spans="1:7">
      <c r="A569" s="343">
        <v>20260720</v>
      </c>
      <c r="B569" s="343">
        <v>51911.5</v>
      </c>
      <c r="C569" s="343">
        <v>182</v>
      </c>
      <c r="D569" s="343">
        <v>422</v>
      </c>
      <c r="E569" s="384">
        <v>46223</v>
      </c>
      <c r="F569" s="343" t="s">
        <v>232</v>
      </c>
      <c r="G569" s="343" t="s">
        <v>163</v>
      </c>
    </row>
    <row r="570" spans="1:7">
      <c r="A570" s="343">
        <v>20260721</v>
      </c>
      <c r="B570" s="343">
        <v>57645.4</v>
      </c>
      <c r="C570" s="343">
        <v>190</v>
      </c>
      <c r="D570" s="343">
        <v>425</v>
      </c>
      <c r="E570" s="384">
        <v>46224</v>
      </c>
      <c r="F570" s="343" t="s">
        <v>233</v>
      </c>
      <c r="G570" s="343" t="s">
        <v>163</v>
      </c>
    </row>
    <row r="571" spans="1:7">
      <c r="A571" s="343">
        <v>20260722</v>
      </c>
      <c r="B571" s="343">
        <v>45440</v>
      </c>
      <c r="C571" s="343">
        <v>184</v>
      </c>
      <c r="D571" s="343">
        <v>385</v>
      </c>
      <c r="E571" s="384">
        <v>46225</v>
      </c>
      <c r="F571" s="343" t="s">
        <v>234</v>
      </c>
      <c r="G571" s="343" t="s">
        <v>163</v>
      </c>
    </row>
    <row r="572" spans="1:7">
      <c r="A572" s="343">
        <v>20260723</v>
      </c>
      <c r="B572" s="343">
        <v>77650</v>
      </c>
      <c r="C572" s="343">
        <v>285</v>
      </c>
      <c r="D572" s="343">
        <v>617</v>
      </c>
      <c r="E572" s="384">
        <v>46226</v>
      </c>
      <c r="F572" s="343" t="s">
        <v>235</v>
      </c>
      <c r="G572" s="343" t="s">
        <v>163</v>
      </c>
    </row>
    <row r="573" spans="1:7">
      <c r="A573" s="343">
        <v>20260724</v>
      </c>
      <c r="B573" s="343">
        <v>93555.1</v>
      </c>
      <c r="C573" s="343">
        <v>323</v>
      </c>
      <c r="D573" s="343">
        <v>777</v>
      </c>
      <c r="E573" s="384">
        <v>46227</v>
      </c>
      <c r="F573" s="343" t="s">
        <v>236</v>
      </c>
      <c r="G573" s="343" t="s">
        <v>163</v>
      </c>
    </row>
    <row r="574" spans="1:7">
      <c r="A574" s="343">
        <v>20260725</v>
      </c>
      <c r="B574" s="343">
        <v>104721.4</v>
      </c>
      <c r="C574" s="343">
        <v>357</v>
      </c>
      <c r="D574" s="343">
        <v>842</v>
      </c>
      <c r="E574" s="384">
        <v>46228</v>
      </c>
      <c r="F574" s="343" t="s">
        <v>244</v>
      </c>
      <c r="G574" s="343" t="s">
        <v>163</v>
      </c>
    </row>
    <row r="575" spans="1:7">
      <c r="A575" s="343">
        <v>20260726</v>
      </c>
      <c r="B575" s="343">
        <v>67421.95</v>
      </c>
      <c r="C575" s="343">
        <v>217</v>
      </c>
      <c r="D575" s="343">
        <v>515</v>
      </c>
      <c r="E575" s="384">
        <v>46229</v>
      </c>
      <c r="F575" s="343" t="s">
        <v>245</v>
      </c>
      <c r="G575" s="343" t="s">
        <v>163</v>
      </c>
    </row>
    <row r="576" spans="1:7">
      <c r="A576" s="343">
        <v>20260727</v>
      </c>
      <c r="B576" s="343">
        <v>50096.95</v>
      </c>
      <c r="C576" s="343">
        <v>162</v>
      </c>
      <c r="D576" s="343">
        <v>379</v>
      </c>
      <c r="E576" s="384">
        <v>46230</v>
      </c>
      <c r="F576" s="343" t="s">
        <v>232</v>
      </c>
      <c r="G576" s="343" t="s">
        <v>166</v>
      </c>
    </row>
    <row r="577" spans="1:7">
      <c r="A577" s="343">
        <v>20260728</v>
      </c>
      <c r="B577" s="343">
        <v>40391.75</v>
      </c>
      <c r="C577" s="343">
        <v>176</v>
      </c>
      <c r="D577" s="343">
        <v>368</v>
      </c>
      <c r="E577" s="384">
        <v>46231</v>
      </c>
      <c r="F577" s="343" t="s">
        <v>233</v>
      </c>
      <c r="G577" s="343" t="s">
        <v>166</v>
      </c>
    </row>
    <row r="578" spans="1:7">
      <c r="A578" s="343">
        <v>20260729</v>
      </c>
      <c r="B578" s="343">
        <v>54899.5</v>
      </c>
      <c r="C578" s="343">
        <v>190</v>
      </c>
      <c r="D578" s="343">
        <v>434</v>
      </c>
      <c r="E578" s="384">
        <v>46232</v>
      </c>
      <c r="F578" s="343" t="s">
        <v>234</v>
      </c>
      <c r="G578" s="343" t="s">
        <v>166</v>
      </c>
    </row>
    <row r="579" spans="1:7">
      <c r="A579" s="343">
        <v>20260730</v>
      </c>
      <c r="B579" s="343">
        <v>78272.649999999994</v>
      </c>
      <c r="C579" s="343">
        <v>273</v>
      </c>
      <c r="D579" s="343">
        <v>804</v>
      </c>
      <c r="E579" s="384">
        <v>46233</v>
      </c>
      <c r="F579" s="343" t="s">
        <v>235</v>
      </c>
      <c r="G579" s="343" t="s">
        <v>166</v>
      </c>
    </row>
    <row r="580" spans="1:7">
      <c r="A580" s="343">
        <v>20260731</v>
      </c>
      <c r="B580" s="343">
        <v>92207.45</v>
      </c>
      <c r="C580" s="343">
        <v>318</v>
      </c>
      <c r="D580" s="343">
        <v>737</v>
      </c>
      <c r="E580" s="384">
        <v>46234</v>
      </c>
      <c r="F580" s="343" t="s">
        <v>236</v>
      </c>
      <c r="G580" s="343" t="s">
        <v>166</v>
      </c>
    </row>
    <row r="581" spans="1:7">
      <c r="A581" s="343">
        <v>20260801</v>
      </c>
      <c r="B581" s="343">
        <v>95408.35</v>
      </c>
      <c r="C581" s="343">
        <v>359</v>
      </c>
      <c r="D581" s="343">
        <v>783</v>
      </c>
      <c r="E581" s="384">
        <v>46235</v>
      </c>
      <c r="F581" s="343" t="s">
        <v>244</v>
      </c>
      <c r="G581" s="343" t="s">
        <v>166</v>
      </c>
    </row>
    <row r="582" spans="1:7">
      <c r="A582" s="343">
        <v>20260802</v>
      </c>
      <c r="B582" s="343">
        <v>55501.95</v>
      </c>
      <c r="C582" s="343">
        <v>215</v>
      </c>
      <c r="D582" s="343">
        <v>502</v>
      </c>
      <c r="E582" s="384">
        <v>46236</v>
      </c>
      <c r="F582" s="343" t="s">
        <v>245</v>
      </c>
      <c r="G582" s="343" t="s">
        <v>166</v>
      </c>
    </row>
    <row r="583" spans="1:7">
      <c r="A583" s="343">
        <v>20260803</v>
      </c>
      <c r="B583" s="343">
        <v>53791.75</v>
      </c>
      <c r="C583" s="343">
        <v>185</v>
      </c>
      <c r="D583" s="343">
        <v>413</v>
      </c>
      <c r="E583" s="384">
        <v>46237</v>
      </c>
      <c r="F583" s="343" t="s">
        <v>232</v>
      </c>
      <c r="G583" s="343" t="s">
        <v>167</v>
      </c>
    </row>
    <row r="584" spans="1:7">
      <c r="A584" s="343">
        <v>20260804</v>
      </c>
      <c r="B584" s="343">
        <v>52142</v>
      </c>
      <c r="C584" s="343">
        <v>185</v>
      </c>
      <c r="D584" s="343">
        <v>434</v>
      </c>
      <c r="E584" s="384">
        <v>46238</v>
      </c>
      <c r="F584" s="343" t="s">
        <v>233</v>
      </c>
      <c r="G584" s="343" t="s">
        <v>167</v>
      </c>
    </row>
    <row r="585" spans="1:7">
      <c r="A585" s="343">
        <v>20260805</v>
      </c>
      <c r="B585" s="343">
        <v>48688.5</v>
      </c>
      <c r="C585" s="343">
        <v>206</v>
      </c>
      <c r="D585" s="343">
        <v>401</v>
      </c>
      <c r="E585" s="384">
        <v>46239</v>
      </c>
      <c r="F585" s="343" t="s">
        <v>234</v>
      </c>
      <c r="G585" s="343" t="s">
        <v>167</v>
      </c>
    </row>
    <row r="586" spans="1:7">
      <c r="A586" s="343">
        <v>20260806</v>
      </c>
      <c r="B586" s="343">
        <v>72577</v>
      </c>
      <c r="C586" s="343">
        <v>294</v>
      </c>
      <c r="D586" s="343">
        <v>662</v>
      </c>
      <c r="E586" s="384">
        <v>46240</v>
      </c>
      <c r="F586" s="343" t="s">
        <v>235</v>
      </c>
      <c r="G586" s="343" t="s">
        <v>167</v>
      </c>
    </row>
    <row r="587" spans="1:7">
      <c r="A587" s="343">
        <v>20260807</v>
      </c>
      <c r="B587" s="343">
        <v>99499.7</v>
      </c>
      <c r="C587" s="343">
        <v>354</v>
      </c>
      <c r="D587" s="343">
        <v>799</v>
      </c>
      <c r="E587" s="384">
        <v>46241</v>
      </c>
      <c r="F587" s="343" t="s">
        <v>236</v>
      </c>
      <c r="G587" s="343" t="s">
        <v>167</v>
      </c>
    </row>
    <row r="588" spans="1:7">
      <c r="A588" s="343">
        <v>20260808</v>
      </c>
      <c r="B588" s="343">
        <v>98568.7</v>
      </c>
      <c r="C588" s="343">
        <v>389</v>
      </c>
      <c r="D588" s="343">
        <v>827</v>
      </c>
      <c r="E588" s="384">
        <v>46242</v>
      </c>
      <c r="F588" s="343" t="s">
        <v>244</v>
      </c>
      <c r="G588" s="343" t="s">
        <v>167</v>
      </c>
    </row>
    <row r="589" spans="1:7">
      <c r="A589" s="343">
        <v>20260809</v>
      </c>
      <c r="B589" s="343">
        <v>61537</v>
      </c>
      <c r="C589" s="343">
        <v>237</v>
      </c>
      <c r="D589" s="343">
        <v>543</v>
      </c>
      <c r="E589" s="384">
        <v>46243</v>
      </c>
      <c r="F589" s="343" t="s">
        <v>245</v>
      </c>
      <c r="G589" s="343" t="s">
        <v>167</v>
      </c>
    </row>
    <row r="590" spans="1:7">
      <c r="A590" s="343">
        <v>20260810</v>
      </c>
      <c r="B590" s="343">
        <v>61054.25</v>
      </c>
      <c r="C590" s="343">
        <v>220</v>
      </c>
      <c r="D590" s="343">
        <v>474</v>
      </c>
      <c r="E590" s="384">
        <v>46244</v>
      </c>
      <c r="F590" s="343" t="s">
        <v>232</v>
      </c>
      <c r="G590" s="343" t="s">
        <v>168</v>
      </c>
    </row>
    <row r="591" spans="1:7">
      <c r="A591" s="343">
        <v>20260811</v>
      </c>
      <c r="B591" s="343">
        <v>50969.5</v>
      </c>
      <c r="C591" s="343">
        <v>197</v>
      </c>
      <c r="D591" s="343">
        <v>442</v>
      </c>
      <c r="E591" s="384">
        <v>46245</v>
      </c>
      <c r="F591" s="343" t="s">
        <v>233</v>
      </c>
      <c r="G591" s="343" t="s">
        <v>168</v>
      </c>
    </row>
    <row r="592" spans="1:7">
      <c r="A592" s="343">
        <v>20260812</v>
      </c>
      <c r="B592" s="343">
        <v>49262</v>
      </c>
      <c r="C592" s="343">
        <v>192</v>
      </c>
      <c r="D592" s="343">
        <v>421</v>
      </c>
      <c r="E592" s="384">
        <v>46246</v>
      </c>
      <c r="F592" s="343" t="s">
        <v>234</v>
      </c>
      <c r="G592" s="343" t="s">
        <v>168</v>
      </c>
    </row>
    <row r="593" spans="1:7">
      <c r="A593" s="343">
        <v>20260813</v>
      </c>
      <c r="B593" s="343">
        <v>75953.3</v>
      </c>
      <c r="C593" s="343">
        <v>292</v>
      </c>
      <c r="D593" s="343">
        <v>684</v>
      </c>
      <c r="E593" s="384">
        <v>46247</v>
      </c>
      <c r="F593" s="343" t="s">
        <v>235</v>
      </c>
      <c r="G593" s="343" t="s">
        <v>168</v>
      </c>
    </row>
    <row r="594" spans="1:7">
      <c r="A594" s="343">
        <v>20260814</v>
      </c>
      <c r="B594" s="343">
        <v>93143.7</v>
      </c>
      <c r="C594" s="343">
        <v>385</v>
      </c>
      <c r="D594" s="343">
        <v>797</v>
      </c>
      <c r="E594" s="384">
        <v>46248</v>
      </c>
      <c r="F594" s="343" t="s">
        <v>236</v>
      </c>
      <c r="G594" s="343" t="s">
        <v>168</v>
      </c>
    </row>
    <row r="595" spans="1:7">
      <c r="A595" s="343">
        <v>20260815</v>
      </c>
      <c r="B595" s="343">
        <v>102004.3</v>
      </c>
      <c r="C595" s="343">
        <v>361</v>
      </c>
      <c r="D595" s="343">
        <v>845</v>
      </c>
      <c r="E595" s="384">
        <v>46249</v>
      </c>
      <c r="F595" s="343" t="s">
        <v>244</v>
      </c>
      <c r="G595" s="343" t="s">
        <v>168</v>
      </c>
    </row>
    <row r="596" spans="1:7">
      <c r="A596" s="343">
        <v>20260816</v>
      </c>
      <c r="B596" s="343">
        <v>59209</v>
      </c>
      <c r="C596" s="343">
        <v>221</v>
      </c>
      <c r="D596" s="343">
        <v>516</v>
      </c>
      <c r="E596" s="384">
        <v>46250</v>
      </c>
      <c r="F596" s="343" t="s">
        <v>245</v>
      </c>
      <c r="G596" s="343" t="s">
        <v>168</v>
      </c>
    </row>
    <row r="597" spans="1:7">
      <c r="A597" s="343">
        <v>20260817</v>
      </c>
      <c r="B597" s="343">
        <v>54075.25</v>
      </c>
      <c r="C597" s="343">
        <v>213</v>
      </c>
      <c r="D597" s="343">
        <v>473</v>
      </c>
      <c r="E597" s="384">
        <v>46251</v>
      </c>
      <c r="F597" s="343" t="s">
        <v>232</v>
      </c>
      <c r="G597" s="343" t="s">
        <v>101</v>
      </c>
    </row>
    <row r="598" spans="1:7">
      <c r="A598" s="343">
        <v>20260818</v>
      </c>
      <c r="B598" s="343">
        <v>62948.05</v>
      </c>
      <c r="C598" s="343">
        <v>207</v>
      </c>
      <c r="D598" s="343">
        <v>513</v>
      </c>
      <c r="E598" s="384">
        <v>46252</v>
      </c>
      <c r="F598" s="343" t="s">
        <v>233</v>
      </c>
      <c r="G598" s="343" t="s">
        <v>101</v>
      </c>
    </row>
    <row r="599" spans="1:7">
      <c r="A599" s="343">
        <v>20260819</v>
      </c>
      <c r="B599" s="343">
        <v>51304.25</v>
      </c>
      <c r="C599" s="343">
        <v>220</v>
      </c>
      <c r="D599" s="343">
        <v>445</v>
      </c>
      <c r="E599" s="384">
        <v>46253</v>
      </c>
      <c r="F599" s="343" t="s">
        <v>234</v>
      </c>
      <c r="G599" s="343" t="s">
        <v>101</v>
      </c>
    </row>
    <row r="600" spans="1:7">
      <c r="A600" s="343">
        <v>20260820</v>
      </c>
      <c r="B600" s="343">
        <v>83852.5</v>
      </c>
      <c r="C600" s="343">
        <v>333</v>
      </c>
      <c r="D600" s="343">
        <v>751</v>
      </c>
      <c r="E600" s="384">
        <v>46254</v>
      </c>
      <c r="F600" s="343" t="s">
        <v>235</v>
      </c>
      <c r="G600" s="343" t="s">
        <v>101</v>
      </c>
    </row>
    <row r="601" spans="1:7">
      <c r="A601" s="343">
        <v>20260821</v>
      </c>
      <c r="B601" s="343">
        <v>95042.8</v>
      </c>
      <c r="C601" s="343">
        <v>339</v>
      </c>
      <c r="D601" s="343">
        <v>852</v>
      </c>
      <c r="E601" s="384">
        <v>46255</v>
      </c>
      <c r="F601" s="343" t="s">
        <v>236</v>
      </c>
      <c r="G601" s="343" t="s">
        <v>101</v>
      </c>
    </row>
    <row r="602" spans="1:7">
      <c r="A602" s="343">
        <v>20260822</v>
      </c>
      <c r="B602" s="343">
        <v>100827.42</v>
      </c>
      <c r="C602" s="343">
        <v>355</v>
      </c>
      <c r="D602" s="343">
        <v>857</v>
      </c>
      <c r="E602" s="384">
        <v>46256</v>
      </c>
      <c r="F602" s="343" t="s">
        <v>244</v>
      </c>
      <c r="G602" s="343" t="s">
        <v>101</v>
      </c>
    </row>
    <row r="603" spans="1:7">
      <c r="A603" s="343">
        <v>20260823</v>
      </c>
      <c r="B603" s="343">
        <v>60723</v>
      </c>
      <c r="C603" s="343">
        <v>228</v>
      </c>
      <c r="D603" s="343">
        <v>534</v>
      </c>
      <c r="E603" s="384">
        <v>46257</v>
      </c>
      <c r="F603" s="343" t="s">
        <v>245</v>
      </c>
      <c r="G603" s="343" t="s">
        <v>101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65FC-4EC1-48AB-82FE-5D71A4FC655E}">
  <dimension ref="A1:AI319"/>
  <sheetViews>
    <sheetView workbookViewId="0">
      <selection activeCell="R23" sqref="R23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9.140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9.140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10.7109375" style="343" bestFit="1" customWidth="1"/>
    <col min="18" max="18" width="9.140625" style="343" bestFit="1" customWidth="1"/>
    <col min="19" max="19" width="11.140625" style="343" bestFit="1" customWidth="1"/>
    <col min="20" max="20" width="11" style="343" bestFit="1" customWidth="1"/>
    <col min="21" max="21" width="9.140625" style="343" bestFit="1" customWidth="1"/>
    <col min="22" max="22" width="11.42578125" style="343" bestFit="1" customWidth="1"/>
    <col min="23" max="23" width="8.140625" style="343" bestFit="1" customWidth="1"/>
    <col min="24" max="24" width="9.140625" style="343"/>
    <col min="25" max="25" width="7.7109375" style="343" bestFit="1" customWidth="1"/>
    <col min="26" max="26" width="8.140625" style="343" bestFit="1" customWidth="1"/>
    <col min="27" max="27" width="9.85546875" style="343" bestFit="1" customWidth="1"/>
    <col min="28" max="28" width="9.140625" style="343" bestFit="1" customWidth="1"/>
    <col min="29" max="29" width="19.7109375" style="343" bestFit="1" customWidth="1"/>
    <col min="30" max="30" width="7" style="343" bestFit="1" customWidth="1"/>
    <col min="31" max="31" width="9.140625" style="343" bestFit="1" customWidth="1"/>
    <col min="32" max="32" width="14.5703125" style="343" bestFit="1" customWidth="1"/>
    <col min="33" max="33" width="13.42578125" style="343" bestFit="1" customWidth="1"/>
    <col min="34" max="34" width="10.28515625" style="343" bestFit="1" customWidth="1"/>
    <col min="35" max="35" width="10.85546875" style="343" bestFit="1" customWidth="1"/>
    <col min="36" max="16384" width="9.140625" style="343"/>
  </cols>
  <sheetData>
    <row r="1" spans="1:35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115</v>
      </c>
      <c r="R1" s="343" t="s">
        <v>116</v>
      </c>
      <c r="S1" s="343" t="s">
        <v>117</v>
      </c>
      <c r="T1" s="343" t="s">
        <v>118</v>
      </c>
      <c r="U1" s="343" t="s">
        <v>119</v>
      </c>
      <c r="V1" s="343" t="s">
        <v>108</v>
      </c>
      <c r="W1" s="343" t="s">
        <v>100</v>
      </c>
      <c r="Y1" s="343" t="s">
        <v>102</v>
      </c>
      <c r="Z1" s="343" t="s">
        <v>100</v>
      </c>
      <c r="AA1" s="343" t="s">
        <v>112</v>
      </c>
      <c r="AB1" s="343" t="s">
        <v>113</v>
      </c>
      <c r="AC1" s="343" t="s">
        <v>266</v>
      </c>
      <c r="AD1" s="343" t="s">
        <v>267</v>
      </c>
      <c r="AE1" s="343" t="s">
        <v>116</v>
      </c>
      <c r="AF1" s="343" t="s">
        <v>268</v>
      </c>
      <c r="AG1" s="343" t="s">
        <v>269</v>
      </c>
      <c r="AH1" s="343" t="s">
        <v>270</v>
      </c>
      <c r="AI1" s="343" t="s">
        <v>271</v>
      </c>
    </row>
    <row r="2" spans="1:35">
      <c r="A2" s="343">
        <v>20251230</v>
      </c>
      <c r="B2" s="343">
        <v>7711</v>
      </c>
      <c r="C2" s="343">
        <v>12</v>
      </c>
      <c r="D2" s="343">
        <v>22</v>
      </c>
      <c r="E2" s="384">
        <v>46021</v>
      </c>
      <c r="F2" s="343" t="s">
        <v>233</v>
      </c>
      <c r="G2" s="343" t="s">
        <v>122</v>
      </c>
      <c r="I2" s="343">
        <v>20251229</v>
      </c>
      <c r="J2" s="343">
        <v>23506</v>
      </c>
      <c r="K2" s="343">
        <v>94</v>
      </c>
      <c r="L2" s="343">
        <v>204</v>
      </c>
      <c r="M2" s="384">
        <v>46020</v>
      </c>
      <c r="N2" s="343" t="s">
        <v>232</v>
      </c>
      <c r="O2" s="343" t="s">
        <v>122</v>
      </c>
      <c r="Q2" s="343">
        <v>20251229</v>
      </c>
      <c r="R2" s="343">
        <v>101827.75</v>
      </c>
      <c r="S2" s="343">
        <v>213</v>
      </c>
      <c r="T2" s="343">
        <v>390</v>
      </c>
      <c r="U2" s="384">
        <v>46020</v>
      </c>
      <c r="V2" s="343" t="s">
        <v>232</v>
      </c>
      <c r="W2" s="343" t="s">
        <v>122</v>
      </c>
      <c r="Y2" s="343" t="s">
        <v>121</v>
      </c>
      <c r="Z2" s="343" t="s">
        <v>122</v>
      </c>
      <c r="AA2" s="384">
        <v>46020</v>
      </c>
      <c r="AB2" s="384">
        <v>46026</v>
      </c>
      <c r="AC2" s="343" t="s">
        <v>337</v>
      </c>
      <c r="AD2" s="343">
        <v>39</v>
      </c>
      <c r="AE2" s="343">
        <v>13955</v>
      </c>
      <c r="AF2" s="343">
        <v>0</v>
      </c>
      <c r="AG2" s="343">
        <v>0</v>
      </c>
      <c r="AH2" s="343">
        <v>13955</v>
      </c>
      <c r="AI2" s="343">
        <v>976.85</v>
      </c>
    </row>
    <row r="3" spans="1:35">
      <c r="A3" s="343">
        <v>20251231</v>
      </c>
      <c r="B3" s="343">
        <v>13876</v>
      </c>
      <c r="C3" s="343">
        <v>9</v>
      </c>
      <c r="D3" s="343">
        <v>21</v>
      </c>
      <c r="E3" s="384">
        <v>46022</v>
      </c>
      <c r="F3" s="343" t="s">
        <v>234</v>
      </c>
      <c r="G3" s="343" t="s">
        <v>122</v>
      </c>
      <c r="I3" s="343">
        <v>20251230</v>
      </c>
      <c r="J3" s="343">
        <v>22842</v>
      </c>
      <c r="K3" s="343">
        <v>121</v>
      </c>
      <c r="L3" s="343">
        <v>710</v>
      </c>
      <c r="M3" s="384">
        <v>46021</v>
      </c>
      <c r="N3" s="343" t="s">
        <v>233</v>
      </c>
      <c r="O3" s="343" t="s">
        <v>122</v>
      </c>
      <c r="Q3" s="343">
        <v>20251230</v>
      </c>
      <c r="R3" s="343">
        <v>96053.8</v>
      </c>
      <c r="S3" s="343">
        <v>243</v>
      </c>
      <c r="T3" s="343">
        <v>411</v>
      </c>
      <c r="U3" s="384">
        <v>46021</v>
      </c>
      <c r="V3" s="343" t="s">
        <v>233</v>
      </c>
      <c r="W3" s="343" t="s">
        <v>122</v>
      </c>
      <c r="Y3" s="343" t="s">
        <v>121</v>
      </c>
      <c r="Z3" s="343" t="s">
        <v>122</v>
      </c>
      <c r="AA3" s="384">
        <v>46020</v>
      </c>
      <c r="AB3" s="384">
        <v>46026</v>
      </c>
      <c r="AC3" s="343" t="s">
        <v>293</v>
      </c>
      <c r="AD3" s="343">
        <v>3</v>
      </c>
      <c r="AE3" s="343">
        <v>405</v>
      </c>
      <c r="AF3" s="343">
        <v>0</v>
      </c>
      <c r="AG3" s="343">
        <v>0</v>
      </c>
      <c r="AH3" s="343">
        <v>405</v>
      </c>
      <c r="AI3" s="343">
        <v>36.450000000000003</v>
      </c>
    </row>
    <row r="4" spans="1:35">
      <c r="A4" s="343">
        <v>20260101</v>
      </c>
      <c r="B4" s="343">
        <v>3430</v>
      </c>
      <c r="C4" s="343">
        <v>7</v>
      </c>
      <c r="D4" s="343">
        <v>11</v>
      </c>
      <c r="E4" s="384">
        <v>46023</v>
      </c>
      <c r="F4" s="343" t="s">
        <v>235</v>
      </c>
      <c r="G4" s="343" t="s">
        <v>122</v>
      </c>
      <c r="I4" s="343">
        <v>20251231</v>
      </c>
      <c r="J4" s="343">
        <v>56181</v>
      </c>
      <c r="K4" s="343">
        <v>72</v>
      </c>
      <c r="L4" s="343">
        <v>134</v>
      </c>
      <c r="M4" s="384">
        <v>46022</v>
      </c>
      <c r="N4" s="343" t="s">
        <v>234</v>
      </c>
      <c r="O4" s="343" t="s">
        <v>122</v>
      </c>
      <c r="Q4" s="343">
        <v>20251231</v>
      </c>
      <c r="R4" s="343">
        <v>153317</v>
      </c>
      <c r="S4" s="343">
        <v>182</v>
      </c>
      <c r="T4" s="343">
        <v>342</v>
      </c>
      <c r="U4" s="384">
        <v>46022</v>
      </c>
      <c r="V4" s="343" t="s">
        <v>234</v>
      </c>
      <c r="W4" s="343" t="s">
        <v>122</v>
      </c>
      <c r="Y4" s="343" t="s">
        <v>121</v>
      </c>
      <c r="Z4" s="343" t="s">
        <v>122</v>
      </c>
      <c r="AA4" s="384">
        <v>46020</v>
      </c>
      <c r="AB4" s="384">
        <v>46026</v>
      </c>
      <c r="AC4" s="343" t="s">
        <v>106</v>
      </c>
      <c r="AD4" s="343">
        <v>1</v>
      </c>
      <c r="AE4" s="343">
        <v>320.75</v>
      </c>
      <c r="AF4" s="343">
        <v>0</v>
      </c>
      <c r="AG4" s="343">
        <v>0</v>
      </c>
      <c r="AH4" s="343">
        <v>320.75</v>
      </c>
      <c r="AI4" s="343">
        <v>0</v>
      </c>
    </row>
    <row r="5" spans="1:35">
      <c r="A5" s="343">
        <v>20260102</v>
      </c>
      <c r="B5" s="343">
        <v>6869</v>
      </c>
      <c r="C5" s="343">
        <v>9</v>
      </c>
      <c r="D5" s="343">
        <v>21</v>
      </c>
      <c r="E5" s="384">
        <v>46024</v>
      </c>
      <c r="F5" s="343" t="s">
        <v>236</v>
      </c>
      <c r="G5" s="343" t="s">
        <v>122</v>
      </c>
      <c r="I5" s="343">
        <v>20260101</v>
      </c>
      <c r="J5" s="343">
        <v>12908</v>
      </c>
      <c r="K5" s="343">
        <v>49</v>
      </c>
      <c r="L5" s="343">
        <v>97</v>
      </c>
      <c r="M5" s="384">
        <v>46023</v>
      </c>
      <c r="N5" s="343" t="s">
        <v>235</v>
      </c>
      <c r="O5" s="343" t="s">
        <v>122</v>
      </c>
      <c r="Q5" s="343">
        <v>20260101</v>
      </c>
      <c r="R5" s="343">
        <v>72263</v>
      </c>
      <c r="S5" s="343">
        <v>218</v>
      </c>
      <c r="T5" s="343">
        <v>433</v>
      </c>
      <c r="U5" s="384">
        <v>46023</v>
      </c>
      <c r="V5" s="343" t="s">
        <v>235</v>
      </c>
      <c r="W5" s="343" t="s">
        <v>122</v>
      </c>
      <c r="Y5" s="343" t="s">
        <v>121</v>
      </c>
      <c r="Z5" s="343" t="s">
        <v>122</v>
      </c>
      <c r="AA5" s="384">
        <v>46020</v>
      </c>
      <c r="AB5" s="384">
        <v>46026</v>
      </c>
      <c r="AC5" s="343" t="s">
        <v>289</v>
      </c>
      <c r="AD5" s="343">
        <v>38</v>
      </c>
      <c r="AE5" s="343">
        <v>53575</v>
      </c>
      <c r="AF5" s="343">
        <v>0</v>
      </c>
      <c r="AG5" s="343">
        <v>0</v>
      </c>
      <c r="AH5" s="343">
        <v>53575</v>
      </c>
      <c r="AI5" s="343">
        <v>4821.75</v>
      </c>
    </row>
    <row r="6" spans="1:35">
      <c r="A6" s="343">
        <v>20260103</v>
      </c>
      <c r="B6" s="343">
        <v>5384</v>
      </c>
      <c r="C6" s="343">
        <v>10</v>
      </c>
      <c r="D6" s="343">
        <v>18</v>
      </c>
      <c r="E6" s="384">
        <v>46025</v>
      </c>
      <c r="F6" s="343" t="s">
        <v>244</v>
      </c>
      <c r="G6" s="343" t="s">
        <v>122</v>
      </c>
      <c r="I6" s="343">
        <v>20260102</v>
      </c>
      <c r="J6" s="343">
        <v>29736</v>
      </c>
      <c r="K6" s="343">
        <v>134</v>
      </c>
      <c r="L6" s="343">
        <v>247</v>
      </c>
      <c r="M6" s="384">
        <v>46024</v>
      </c>
      <c r="N6" s="343" t="s">
        <v>236</v>
      </c>
      <c r="O6" s="343" t="s">
        <v>122</v>
      </c>
      <c r="Q6" s="343">
        <v>20260102</v>
      </c>
      <c r="R6" s="343">
        <v>96715</v>
      </c>
      <c r="S6" s="343">
        <v>250</v>
      </c>
      <c r="T6" s="343">
        <v>462</v>
      </c>
      <c r="U6" s="384">
        <v>46024</v>
      </c>
      <c r="V6" s="343" t="s">
        <v>236</v>
      </c>
      <c r="W6" s="343" t="s">
        <v>122</v>
      </c>
      <c r="Y6" s="343" t="s">
        <v>121</v>
      </c>
      <c r="Z6" s="343" t="s">
        <v>123</v>
      </c>
      <c r="AA6" s="384">
        <v>46027</v>
      </c>
      <c r="AB6" s="384">
        <v>46033</v>
      </c>
      <c r="AC6" s="343" t="s">
        <v>337</v>
      </c>
      <c r="AD6" s="343">
        <v>18</v>
      </c>
      <c r="AE6" s="343">
        <v>25000</v>
      </c>
      <c r="AF6" s="343">
        <v>0</v>
      </c>
      <c r="AG6" s="343">
        <v>0</v>
      </c>
      <c r="AH6" s="343">
        <v>25000</v>
      </c>
      <c r="AI6" s="343">
        <v>1765</v>
      </c>
    </row>
    <row r="7" spans="1:35">
      <c r="A7" s="343">
        <v>20260107</v>
      </c>
      <c r="B7" s="343">
        <v>2630</v>
      </c>
      <c r="C7" s="343">
        <v>7</v>
      </c>
      <c r="D7" s="343">
        <v>10</v>
      </c>
      <c r="E7" s="384">
        <v>46029</v>
      </c>
      <c r="F7" s="343" t="s">
        <v>234</v>
      </c>
      <c r="G7" s="343" t="s">
        <v>123</v>
      </c>
      <c r="I7" s="343">
        <v>20260103</v>
      </c>
      <c r="J7" s="343">
        <v>26498</v>
      </c>
      <c r="K7" s="343">
        <v>145</v>
      </c>
      <c r="L7" s="343">
        <v>711</v>
      </c>
      <c r="M7" s="384">
        <v>46025</v>
      </c>
      <c r="N7" s="343" t="s">
        <v>244</v>
      </c>
      <c r="O7" s="343" t="s">
        <v>122</v>
      </c>
      <c r="Q7" s="343">
        <v>20260103</v>
      </c>
      <c r="R7" s="343">
        <v>72415</v>
      </c>
      <c r="S7" s="343">
        <v>290</v>
      </c>
      <c r="T7" s="343">
        <v>490</v>
      </c>
      <c r="U7" s="384">
        <v>46025</v>
      </c>
      <c r="V7" s="343" t="s">
        <v>244</v>
      </c>
      <c r="W7" s="343" t="s">
        <v>122</v>
      </c>
      <c r="Y7" s="343" t="s">
        <v>121</v>
      </c>
      <c r="Z7" s="343" t="s">
        <v>123</v>
      </c>
      <c r="AA7" s="384">
        <v>46027</v>
      </c>
      <c r="AB7" s="384">
        <v>46033</v>
      </c>
      <c r="AC7" s="343" t="s">
        <v>106</v>
      </c>
      <c r="AD7" s="343">
        <v>7</v>
      </c>
      <c r="AE7" s="343">
        <v>9011.83</v>
      </c>
      <c r="AF7" s="343">
        <v>0</v>
      </c>
      <c r="AG7" s="343">
        <v>0</v>
      </c>
      <c r="AH7" s="343">
        <v>9011.83</v>
      </c>
      <c r="AI7" s="343">
        <v>0</v>
      </c>
    </row>
    <row r="8" spans="1:35">
      <c r="A8" s="343">
        <v>20260108</v>
      </c>
      <c r="B8" s="343">
        <v>4517</v>
      </c>
      <c r="C8" s="343">
        <v>11</v>
      </c>
      <c r="D8" s="343">
        <v>21</v>
      </c>
      <c r="E8" s="384">
        <v>46030</v>
      </c>
      <c r="F8" s="343" t="s">
        <v>235</v>
      </c>
      <c r="G8" s="343" t="s">
        <v>123</v>
      </c>
      <c r="I8" s="343">
        <v>20260106</v>
      </c>
      <c r="K8" s="343">
        <v>1</v>
      </c>
      <c r="L8" s="343">
        <v>1</v>
      </c>
      <c r="M8" s="384">
        <v>46028</v>
      </c>
      <c r="N8" s="343" t="s">
        <v>233</v>
      </c>
      <c r="O8" s="343" t="s">
        <v>123</v>
      </c>
      <c r="Q8" s="343">
        <v>20260106</v>
      </c>
      <c r="S8" s="343">
        <v>5</v>
      </c>
      <c r="T8" s="343">
        <v>4</v>
      </c>
      <c r="U8" s="384">
        <v>46028</v>
      </c>
      <c r="V8" s="343" t="s">
        <v>233</v>
      </c>
      <c r="W8" s="343" t="s">
        <v>123</v>
      </c>
      <c r="Y8" s="343" t="s">
        <v>121</v>
      </c>
      <c r="Z8" s="343" t="s">
        <v>123</v>
      </c>
      <c r="AA8" s="384">
        <v>46027</v>
      </c>
      <c r="AB8" s="384">
        <v>46033</v>
      </c>
      <c r="AC8" s="343" t="s">
        <v>289</v>
      </c>
      <c r="AD8" s="343">
        <v>22</v>
      </c>
      <c r="AE8" s="343">
        <v>15445</v>
      </c>
      <c r="AF8" s="343">
        <v>0</v>
      </c>
      <c r="AG8" s="343">
        <v>0</v>
      </c>
      <c r="AH8" s="343">
        <v>15445</v>
      </c>
      <c r="AI8" s="343">
        <v>1390.05</v>
      </c>
    </row>
    <row r="9" spans="1:35">
      <c r="A9" s="343">
        <v>20260109</v>
      </c>
      <c r="B9" s="343">
        <v>6170</v>
      </c>
      <c r="C9" s="343">
        <v>10</v>
      </c>
      <c r="D9" s="343">
        <v>19</v>
      </c>
      <c r="E9" s="384">
        <v>46031</v>
      </c>
      <c r="F9" s="343" t="s">
        <v>236</v>
      </c>
      <c r="G9" s="343" t="s">
        <v>123</v>
      </c>
      <c r="I9" s="343">
        <v>20260107</v>
      </c>
      <c r="K9" s="343">
        <v>1</v>
      </c>
      <c r="L9" s="343">
        <v>8</v>
      </c>
      <c r="M9" s="384">
        <v>46029</v>
      </c>
      <c r="N9" s="343" t="s">
        <v>234</v>
      </c>
      <c r="O9" s="343" t="s">
        <v>123</v>
      </c>
      <c r="Q9" s="343">
        <v>20260108</v>
      </c>
      <c r="R9" s="343">
        <v>42451</v>
      </c>
      <c r="S9" s="343">
        <v>160</v>
      </c>
      <c r="T9" s="343">
        <v>319</v>
      </c>
      <c r="U9" s="384">
        <v>46030</v>
      </c>
      <c r="V9" s="343" t="s">
        <v>235</v>
      </c>
      <c r="W9" s="343" t="s">
        <v>123</v>
      </c>
      <c r="Y9" s="343" t="s">
        <v>121</v>
      </c>
      <c r="Z9" s="343" t="s">
        <v>124</v>
      </c>
      <c r="AA9" s="384">
        <v>46034</v>
      </c>
      <c r="AB9" s="384">
        <v>46040</v>
      </c>
      <c r="AC9" s="343" t="s">
        <v>337</v>
      </c>
      <c r="AD9" s="343">
        <v>16</v>
      </c>
      <c r="AE9" s="343">
        <v>8307</v>
      </c>
      <c r="AF9" s="343">
        <v>0</v>
      </c>
      <c r="AG9" s="343">
        <v>0</v>
      </c>
      <c r="AH9" s="343">
        <v>8307</v>
      </c>
      <c r="AI9" s="343">
        <v>621.49</v>
      </c>
    </row>
    <row r="10" spans="1:35">
      <c r="A10" s="343">
        <v>20260110</v>
      </c>
      <c r="B10" s="343">
        <v>5480</v>
      </c>
      <c r="C10" s="343">
        <v>10</v>
      </c>
      <c r="D10" s="343">
        <v>18</v>
      </c>
      <c r="E10" s="384">
        <v>46032</v>
      </c>
      <c r="F10" s="343" t="s">
        <v>244</v>
      </c>
      <c r="G10" s="343" t="s">
        <v>123</v>
      </c>
      <c r="I10" s="343">
        <v>20260108</v>
      </c>
      <c r="J10" s="343">
        <v>8175</v>
      </c>
      <c r="K10" s="343">
        <v>49</v>
      </c>
      <c r="L10" s="343">
        <v>76</v>
      </c>
      <c r="M10" s="384">
        <v>46030</v>
      </c>
      <c r="N10" s="343" t="s">
        <v>235</v>
      </c>
      <c r="O10" s="343" t="s">
        <v>123</v>
      </c>
      <c r="Q10" s="343">
        <v>20260109</v>
      </c>
      <c r="R10" s="343">
        <v>56653</v>
      </c>
      <c r="S10" s="343">
        <v>275</v>
      </c>
      <c r="T10" s="343">
        <v>429</v>
      </c>
      <c r="U10" s="384">
        <v>46031</v>
      </c>
      <c r="V10" s="343" t="s">
        <v>236</v>
      </c>
      <c r="W10" s="343" t="s">
        <v>123</v>
      </c>
      <c r="Y10" s="343" t="s">
        <v>121</v>
      </c>
      <c r="Z10" s="343" t="s">
        <v>124</v>
      </c>
      <c r="AA10" s="384">
        <v>46034</v>
      </c>
      <c r="AB10" s="384">
        <v>46040</v>
      </c>
      <c r="AC10" s="343" t="s">
        <v>335</v>
      </c>
      <c r="AD10" s="343">
        <v>0</v>
      </c>
      <c r="AE10" s="343">
        <v>-2000</v>
      </c>
      <c r="AF10" s="343">
        <v>0</v>
      </c>
      <c r="AG10" s="343">
        <v>2000</v>
      </c>
      <c r="AH10" s="343">
        <v>0</v>
      </c>
      <c r="AI10" s="343">
        <v>0</v>
      </c>
    </row>
    <row r="11" spans="1:35">
      <c r="A11" s="343">
        <v>20260113</v>
      </c>
      <c r="B11" s="343">
        <v>433</v>
      </c>
      <c r="C11" s="343">
        <v>2</v>
      </c>
      <c r="D11" s="343">
        <v>2</v>
      </c>
      <c r="E11" s="384">
        <v>46035</v>
      </c>
      <c r="F11" s="343" t="s">
        <v>233</v>
      </c>
      <c r="G11" s="343" t="s">
        <v>124</v>
      </c>
      <c r="I11" s="343">
        <v>20260109</v>
      </c>
      <c r="J11" s="343">
        <v>19442</v>
      </c>
      <c r="K11" s="343">
        <v>124</v>
      </c>
      <c r="L11" s="343">
        <v>224</v>
      </c>
      <c r="M11" s="384">
        <v>46031</v>
      </c>
      <c r="N11" s="343" t="s">
        <v>236</v>
      </c>
      <c r="O11" s="343" t="s">
        <v>123</v>
      </c>
      <c r="Q11" s="343">
        <v>20260110</v>
      </c>
      <c r="R11" s="343">
        <v>126268.05</v>
      </c>
      <c r="S11" s="343">
        <v>167</v>
      </c>
      <c r="T11" s="343">
        <v>455</v>
      </c>
      <c r="U11" s="384">
        <v>46032</v>
      </c>
      <c r="V11" s="343" t="s">
        <v>244</v>
      </c>
      <c r="W11" s="343" t="s">
        <v>123</v>
      </c>
      <c r="Y11" s="343" t="s">
        <v>121</v>
      </c>
      <c r="Z11" s="343" t="s">
        <v>124</v>
      </c>
      <c r="AA11" s="384">
        <v>46034</v>
      </c>
      <c r="AB11" s="384">
        <v>46040</v>
      </c>
      <c r="AC11" s="343" t="s">
        <v>106</v>
      </c>
      <c r="AD11" s="343">
        <v>8</v>
      </c>
      <c r="AE11" s="343">
        <v>9050.5</v>
      </c>
      <c r="AF11" s="343">
        <v>0</v>
      </c>
      <c r="AG11" s="343">
        <v>0</v>
      </c>
      <c r="AH11" s="343">
        <v>9050.5</v>
      </c>
      <c r="AI11" s="343">
        <v>0</v>
      </c>
    </row>
    <row r="12" spans="1:35">
      <c r="A12" s="343">
        <v>20260114</v>
      </c>
      <c r="B12" s="343">
        <v>4372.75</v>
      </c>
      <c r="C12" s="343">
        <v>8</v>
      </c>
      <c r="D12" s="343">
        <v>17</v>
      </c>
      <c r="E12" s="384">
        <v>46036</v>
      </c>
      <c r="F12" s="343" t="s">
        <v>234</v>
      </c>
      <c r="G12" s="343" t="s">
        <v>124</v>
      </c>
      <c r="I12" s="343">
        <v>20260110</v>
      </c>
      <c r="J12" s="343">
        <v>48847</v>
      </c>
      <c r="K12" s="343">
        <v>114</v>
      </c>
      <c r="L12" s="343">
        <v>208</v>
      </c>
      <c r="M12" s="384">
        <v>46032</v>
      </c>
      <c r="N12" s="343" t="s">
        <v>244</v>
      </c>
      <c r="O12" s="343" t="s">
        <v>123</v>
      </c>
      <c r="Q12" s="343">
        <v>20260111</v>
      </c>
      <c r="R12" s="343">
        <v>38677.279999999999</v>
      </c>
      <c r="S12" s="343">
        <v>1</v>
      </c>
      <c r="T12" s="343">
        <v>2</v>
      </c>
      <c r="U12" s="384">
        <v>46033</v>
      </c>
      <c r="V12" s="343" t="s">
        <v>245</v>
      </c>
      <c r="W12" s="343" t="s">
        <v>123</v>
      </c>
      <c r="Y12" s="343" t="s">
        <v>121</v>
      </c>
      <c r="Z12" s="343" t="s">
        <v>124</v>
      </c>
      <c r="AA12" s="384">
        <v>46034</v>
      </c>
      <c r="AB12" s="384">
        <v>46040</v>
      </c>
      <c r="AC12" s="343" t="s">
        <v>289</v>
      </c>
      <c r="AD12" s="343">
        <v>42</v>
      </c>
      <c r="AE12" s="343">
        <v>46170</v>
      </c>
      <c r="AF12" s="343">
        <v>0</v>
      </c>
      <c r="AG12" s="343">
        <v>0</v>
      </c>
      <c r="AH12" s="343">
        <v>46170</v>
      </c>
      <c r="AI12" s="343">
        <v>4155.3</v>
      </c>
    </row>
    <row r="13" spans="1:35">
      <c r="A13" s="343">
        <v>20260115</v>
      </c>
      <c r="B13" s="343">
        <v>1794</v>
      </c>
      <c r="C13" s="343">
        <v>4</v>
      </c>
      <c r="D13" s="343">
        <v>6</v>
      </c>
      <c r="E13" s="384">
        <v>46037</v>
      </c>
      <c r="F13" s="343" t="s">
        <v>235</v>
      </c>
      <c r="G13" s="343" t="s">
        <v>124</v>
      </c>
      <c r="I13" s="343">
        <v>20260111</v>
      </c>
      <c r="J13" s="343">
        <v>31500</v>
      </c>
      <c r="K13" s="343">
        <v>1</v>
      </c>
      <c r="L13" s="343">
        <v>82</v>
      </c>
      <c r="M13" s="384">
        <v>46033</v>
      </c>
      <c r="N13" s="343" t="s">
        <v>245</v>
      </c>
      <c r="O13" s="343" t="s">
        <v>123</v>
      </c>
      <c r="Q13" s="343">
        <v>20260112</v>
      </c>
      <c r="R13" s="343">
        <v>98610.55</v>
      </c>
      <c r="S13" s="343">
        <v>3</v>
      </c>
      <c r="T13" s="343">
        <v>154</v>
      </c>
      <c r="U13" s="384">
        <v>46034</v>
      </c>
      <c r="V13" s="343" t="s">
        <v>232</v>
      </c>
      <c r="W13" s="343" t="s">
        <v>124</v>
      </c>
      <c r="Y13" s="343" t="s">
        <v>121</v>
      </c>
      <c r="Z13" s="343" t="s">
        <v>125</v>
      </c>
      <c r="AA13" s="384">
        <v>46041</v>
      </c>
      <c r="AB13" s="384">
        <v>46047</v>
      </c>
      <c r="AC13" s="343" t="s">
        <v>337</v>
      </c>
      <c r="AD13" s="343">
        <v>39</v>
      </c>
      <c r="AE13" s="343">
        <v>13955</v>
      </c>
      <c r="AF13" s="343">
        <v>0</v>
      </c>
      <c r="AG13" s="343">
        <v>0</v>
      </c>
      <c r="AH13" s="343">
        <v>13955</v>
      </c>
      <c r="AI13" s="343">
        <v>976.85</v>
      </c>
    </row>
    <row r="14" spans="1:35">
      <c r="A14" s="343">
        <v>20260116</v>
      </c>
      <c r="B14" s="343">
        <v>7160</v>
      </c>
      <c r="C14" s="343">
        <v>6</v>
      </c>
      <c r="D14" s="343">
        <v>22</v>
      </c>
      <c r="E14" s="384">
        <v>46038</v>
      </c>
      <c r="F14" s="343" t="s">
        <v>236</v>
      </c>
      <c r="G14" s="343" t="s">
        <v>124</v>
      </c>
      <c r="I14" s="343">
        <v>20260113</v>
      </c>
      <c r="J14" s="343">
        <v>6975</v>
      </c>
      <c r="K14" s="343">
        <v>12</v>
      </c>
      <c r="L14" s="343">
        <v>147</v>
      </c>
      <c r="M14" s="384">
        <v>46035</v>
      </c>
      <c r="N14" s="343" t="s">
        <v>233</v>
      </c>
      <c r="O14" s="343" t="s">
        <v>124</v>
      </c>
      <c r="Q14" s="343">
        <v>20260113</v>
      </c>
      <c r="R14" s="343">
        <v>23652.400000000001</v>
      </c>
      <c r="S14" s="343">
        <v>4</v>
      </c>
      <c r="T14" s="343">
        <v>5</v>
      </c>
      <c r="U14" s="384">
        <v>46035</v>
      </c>
      <c r="V14" s="343" t="s">
        <v>233</v>
      </c>
      <c r="W14" s="343" t="s">
        <v>124</v>
      </c>
      <c r="Y14" s="343" t="s">
        <v>121</v>
      </c>
      <c r="Z14" s="343" t="s">
        <v>125</v>
      </c>
      <c r="AA14" s="384">
        <v>46041</v>
      </c>
      <c r="AB14" s="384">
        <v>46047</v>
      </c>
      <c r="AC14" s="343" t="s">
        <v>293</v>
      </c>
      <c r="AD14" s="343">
        <v>3</v>
      </c>
      <c r="AE14" s="343">
        <v>405</v>
      </c>
      <c r="AF14" s="343">
        <v>0</v>
      </c>
      <c r="AG14" s="343">
        <v>0</v>
      </c>
      <c r="AH14" s="343">
        <v>405</v>
      </c>
      <c r="AI14" s="343">
        <v>36.450000000000003</v>
      </c>
    </row>
    <row r="15" spans="1:35">
      <c r="A15" s="343">
        <v>20260117</v>
      </c>
      <c r="B15" s="343">
        <v>5785</v>
      </c>
      <c r="C15" s="343">
        <v>12</v>
      </c>
      <c r="D15" s="343">
        <v>19</v>
      </c>
      <c r="E15" s="384">
        <v>46039</v>
      </c>
      <c r="F15" s="343" t="s">
        <v>244</v>
      </c>
      <c r="G15" s="343" t="s">
        <v>124</v>
      </c>
      <c r="I15" s="343">
        <v>20260114</v>
      </c>
      <c r="J15" s="343">
        <v>11289</v>
      </c>
      <c r="K15" s="343">
        <v>64</v>
      </c>
      <c r="L15" s="343">
        <v>101</v>
      </c>
      <c r="M15" s="384">
        <v>46036</v>
      </c>
      <c r="N15" s="343" t="s">
        <v>234</v>
      </c>
      <c r="O15" s="343" t="s">
        <v>124</v>
      </c>
      <c r="Q15" s="343">
        <v>20260114</v>
      </c>
      <c r="R15" s="343">
        <v>22463.5</v>
      </c>
      <c r="S15" s="343">
        <v>125</v>
      </c>
      <c r="T15" s="343">
        <v>218</v>
      </c>
      <c r="U15" s="384">
        <v>46036</v>
      </c>
      <c r="V15" s="343" t="s">
        <v>234</v>
      </c>
      <c r="W15" s="343" t="s">
        <v>124</v>
      </c>
      <c r="Y15" s="343" t="s">
        <v>121</v>
      </c>
      <c r="Z15" s="343" t="s">
        <v>125</v>
      </c>
      <c r="AA15" s="384">
        <v>46041</v>
      </c>
      <c r="AB15" s="384">
        <v>46047</v>
      </c>
      <c r="AC15" s="343" t="s">
        <v>106</v>
      </c>
      <c r="AD15" s="343">
        <v>1</v>
      </c>
      <c r="AE15" s="343">
        <v>320.75</v>
      </c>
      <c r="AF15" s="343">
        <v>0</v>
      </c>
      <c r="AG15" s="343">
        <v>0</v>
      </c>
      <c r="AH15" s="343">
        <v>320.75</v>
      </c>
      <c r="AI15" s="343">
        <v>0</v>
      </c>
    </row>
    <row r="16" spans="1:35">
      <c r="A16" s="343">
        <v>20260120</v>
      </c>
      <c r="B16" s="343">
        <v>1870</v>
      </c>
      <c r="C16" s="343">
        <v>5</v>
      </c>
      <c r="D16" s="343">
        <v>7</v>
      </c>
      <c r="E16" s="384">
        <v>46042</v>
      </c>
      <c r="F16" s="343" t="s">
        <v>233</v>
      </c>
      <c r="G16" s="343" t="s">
        <v>125</v>
      </c>
      <c r="I16" s="343">
        <v>20260115</v>
      </c>
      <c r="J16" s="343">
        <v>22888.9</v>
      </c>
      <c r="K16" s="343">
        <v>43</v>
      </c>
      <c r="L16" s="343">
        <v>87</v>
      </c>
      <c r="M16" s="384">
        <v>46037</v>
      </c>
      <c r="N16" s="343" t="s">
        <v>235</v>
      </c>
      <c r="O16" s="343" t="s">
        <v>124</v>
      </c>
      <c r="Q16" s="343">
        <v>20260115</v>
      </c>
      <c r="R16" s="343">
        <v>92968.05</v>
      </c>
      <c r="S16" s="343">
        <v>180</v>
      </c>
      <c r="T16" s="343">
        <v>376</v>
      </c>
      <c r="U16" s="384">
        <v>46037</v>
      </c>
      <c r="V16" s="343" t="s">
        <v>235</v>
      </c>
      <c r="W16" s="343" t="s">
        <v>124</v>
      </c>
      <c r="Y16" s="343" t="s">
        <v>121</v>
      </c>
      <c r="Z16" s="343" t="s">
        <v>125</v>
      </c>
      <c r="AA16" s="384">
        <v>46041</v>
      </c>
      <c r="AB16" s="384">
        <v>46047</v>
      </c>
      <c r="AC16" s="343" t="s">
        <v>289</v>
      </c>
      <c r="AD16" s="343">
        <v>38</v>
      </c>
      <c r="AE16" s="343">
        <v>53575</v>
      </c>
      <c r="AF16" s="343">
        <v>0</v>
      </c>
      <c r="AG16" s="343">
        <v>0</v>
      </c>
      <c r="AH16" s="343">
        <v>53575</v>
      </c>
      <c r="AI16" s="343">
        <v>4821.75</v>
      </c>
    </row>
    <row r="17" spans="1:35">
      <c r="A17" s="343">
        <v>20260121</v>
      </c>
      <c r="B17" s="343">
        <v>3420</v>
      </c>
      <c r="C17" s="343">
        <v>5</v>
      </c>
      <c r="D17" s="343">
        <v>10</v>
      </c>
      <c r="E17" s="384">
        <v>46043</v>
      </c>
      <c r="F17" s="343" t="s">
        <v>234</v>
      </c>
      <c r="G17" s="343" t="s">
        <v>125</v>
      </c>
      <c r="I17" s="343">
        <v>20260116</v>
      </c>
      <c r="J17" s="343">
        <v>19720</v>
      </c>
      <c r="K17" s="343">
        <v>116</v>
      </c>
      <c r="L17" s="343">
        <v>203</v>
      </c>
      <c r="M17" s="384">
        <v>46038</v>
      </c>
      <c r="N17" s="343" t="s">
        <v>236</v>
      </c>
      <c r="O17" s="343" t="s">
        <v>124</v>
      </c>
      <c r="Q17" s="343">
        <v>20260116</v>
      </c>
      <c r="R17" s="343">
        <v>91747.75</v>
      </c>
      <c r="S17" s="343">
        <v>235</v>
      </c>
      <c r="T17" s="343">
        <v>456</v>
      </c>
      <c r="U17" s="384">
        <v>46038</v>
      </c>
      <c r="V17" s="343" t="s">
        <v>236</v>
      </c>
      <c r="W17" s="343" t="s">
        <v>124</v>
      </c>
      <c r="Y17" s="343" t="s">
        <v>127</v>
      </c>
      <c r="Z17" s="343" t="s">
        <v>128</v>
      </c>
      <c r="AA17" s="384">
        <v>46048</v>
      </c>
      <c r="AB17" s="384">
        <v>46054</v>
      </c>
      <c r="AC17" s="343" t="s">
        <v>337</v>
      </c>
      <c r="AD17" s="343">
        <v>16</v>
      </c>
      <c r="AE17" s="343">
        <v>13837</v>
      </c>
      <c r="AF17" s="343">
        <v>0</v>
      </c>
      <c r="AG17" s="343">
        <v>0</v>
      </c>
      <c r="AH17" s="343">
        <v>13837</v>
      </c>
      <c r="AI17" s="343">
        <v>973.59</v>
      </c>
    </row>
    <row r="18" spans="1:35">
      <c r="A18" s="343">
        <v>20260122</v>
      </c>
      <c r="B18" s="343">
        <v>3235</v>
      </c>
      <c r="C18" s="343">
        <v>6</v>
      </c>
      <c r="D18" s="343">
        <v>10</v>
      </c>
      <c r="E18" s="384">
        <v>46044</v>
      </c>
      <c r="F18" s="343" t="s">
        <v>235</v>
      </c>
      <c r="G18" s="343" t="s">
        <v>125</v>
      </c>
      <c r="I18" s="343">
        <v>20260117</v>
      </c>
      <c r="J18" s="343">
        <v>33555</v>
      </c>
      <c r="K18" s="343">
        <v>114</v>
      </c>
      <c r="L18" s="343">
        <v>202</v>
      </c>
      <c r="M18" s="384">
        <v>46039</v>
      </c>
      <c r="N18" s="343" t="s">
        <v>244</v>
      </c>
      <c r="O18" s="343" t="s">
        <v>124</v>
      </c>
      <c r="Q18" s="343">
        <v>20260117</v>
      </c>
      <c r="R18" s="343">
        <v>84955.5</v>
      </c>
      <c r="S18" s="343">
        <v>204</v>
      </c>
      <c r="T18" s="343">
        <v>405</v>
      </c>
      <c r="U18" s="384">
        <v>46039</v>
      </c>
      <c r="V18" s="343" t="s">
        <v>244</v>
      </c>
      <c r="W18" s="343" t="s">
        <v>124</v>
      </c>
      <c r="Y18" s="343" t="s">
        <v>127</v>
      </c>
      <c r="Z18" s="343" t="s">
        <v>128</v>
      </c>
      <c r="AA18" s="384">
        <v>46048</v>
      </c>
      <c r="AB18" s="384">
        <v>46054</v>
      </c>
      <c r="AC18" s="343" t="s">
        <v>106</v>
      </c>
      <c r="AD18" s="343">
        <v>8</v>
      </c>
      <c r="AE18" s="343">
        <v>6316.18</v>
      </c>
      <c r="AF18" s="343">
        <v>0</v>
      </c>
      <c r="AG18" s="343">
        <v>0</v>
      </c>
      <c r="AH18" s="343">
        <v>6316.18</v>
      </c>
      <c r="AI18" s="343">
        <v>0</v>
      </c>
    </row>
    <row r="19" spans="1:35">
      <c r="A19" s="343">
        <v>20260123</v>
      </c>
      <c r="B19" s="343">
        <v>6734</v>
      </c>
      <c r="C19" s="343">
        <v>12</v>
      </c>
      <c r="D19" s="343">
        <v>20</v>
      </c>
      <c r="E19" s="384">
        <v>46045</v>
      </c>
      <c r="F19" s="343" t="s">
        <v>236</v>
      </c>
      <c r="G19" s="343" t="s">
        <v>125</v>
      </c>
      <c r="I19" s="343">
        <v>20260118</v>
      </c>
      <c r="J19" s="343">
        <v>12232</v>
      </c>
      <c r="K19" s="343">
        <v>29</v>
      </c>
      <c r="L19" s="343">
        <v>82</v>
      </c>
      <c r="M19" s="384">
        <v>46040</v>
      </c>
      <c r="N19" s="343" t="s">
        <v>245</v>
      </c>
      <c r="O19" s="343" t="s">
        <v>124</v>
      </c>
      <c r="Q19" s="343">
        <v>20260118</v>
      </c>
      <c r="R19" s="343">
        <v>21830.5</v>
      </c>
      <c r="S19" s="343">
        <v>55</v>
      </c>
      <c r="T19" s="343">
        <v>143</v>
      </c>
      <c r="U19" s="384">
        <v>46040</v>
      </c>
      <c r="V19" s="343" t="s">
        <v>245</v>
      </c>
      <c r="W19" s="343" t="s">
        <v>124</v>
      </c>
      <c r="Y19" s="343" t="s">
        <v>127</v>
      </c>
      <c r="Z19" s="343" t="s">
        <v>128</v>
      </c>
      <c r="AA19" s="384">
        <v>46048</v>
      </c>
      <c r="AB19" s="384">
        <v>46054</v>
      </c>
      <c r="AC19" s="343" t="s">
        <v>289</v>
      </c>
      <c r="AD19" s="343">
        <v>19</v>
      </c>
      <c r="AE19" s="343">
        <v>14900</v>
      </c>
      <c r="AF19" s="343">
        <v>0</v>
      </c>
      <c r="AG19" s="343">
        <v>0</v>
      </c>
      <c r="AH19" s="343">
        <v>14900</v>
      </c>
      <c r="AI19" s="343">
        <v>1341</v>
      </c>
    </row>
    <row r="20" spans="1:35">
      <c r="A20" s="343">
        <v>20260124</v>
      </c>
      <c r="B20" s="343">
        <v>4735</v>
      </c>
      <c r="C20" s="343">
        <v>10</v>
      </c>
      <c r="D20" s="343">
        <v>18</v>
      </c>
      <c r="E20" s="384">
        <v>46046</v>
      </c>
      <c r="F20" s="343" t="s">
        <v>244</v>
      </c>
      <c r="G20" s="343" t="s">
        <v>125</v>
      </c>
      <c r="I20" s="343">
        <v>20260120</v>
      </c>
      <c r="J20" s="343">
        <v>15212.4</v>
      </c>
      <c r="K20" s="343">
        <v>3</v>
      </c>
      <c r="L20" s="343">
        <v>56</v>
      </c>
      <c r="M20" s="384">
        <v>46042</v>
      </c>
      <c r="N20" s="343" t="s">
        <v>233</v>
      </c>
      <c r="O20" s="343" t="s">
        <v>125</v>
      </c>
      <c r="Q20" s="343">
        <v>20260120</v>
      </c>
      <c r="R20" s="343">
        <v>5747</v>
      </c>
      <c r="S20" s="343">
        <v>44</v>
      </c>
      <c r="T20" s="343">
        <v>68</v>
      </c>
      <c r="U20" s="384">
        <v>46042</v>
      </c>
      <c r="V20" s="343" t="s">
        <v>233</v>
      </c>
      <c r="W20" s="343" t="s">
        <v>125</v>
      </c>
      <c r="Y20" s="343" t="s">
        <v>127</v>
      </c>
      <c r="Z20" s="343" t="s">
        <v>129</v>
      </c>
      <c r="AA20" s="384">
        <v>46055</v>
      </c>
      <c r="AB20" s="384">
        <v>46061</v>
      </c>
      <c r="AC20" s="343" t="s">
        <v>337</v>
      </c>
      <c r="AD20" s="343">
        <v>17</v>
      </c>
      <c r="AE20" s="343">
        <v>4535</v>
      </c>
      <c r="AF20" s="343">
        <v>0</v>
      </c>
      <c r="AG20" s="343">
        <v>0</v>
      </c>
      <c r="AH20" s="343">
        <v>4535</v>
      </c>
      <c r="AI20" s="343">
        <v>317.45</v>
      </c>
    </row>
    <row r="21" spans="1:35">
      <c r="A21" s="343">
        <v>20260127</v>
      </c>
      <c r="B21" s="343">
        <v>6050</v>
      </c>
      <c r="C21" s="343">
        <v>6</v>
      </c>
      <c r="D21" s="343">
        <v>14</v>
      </c>
      <c r="E21" s="384">
        <v>46049</v>
      </c>
      <c r="F21" s="343" t="s">
        <v>233</v>
      </c>
      <c r="G21" s="343" t="s">
        <v>128</v>
      </c>
      <c r="I21" s="343">
        <v>20260121</v>
      </c>
      <c r="J21" s="343">
        <v>17276.650000000001</v>
      </c>
      <c r="K21" s="343">
        <v>48</v>
      </c>
      <c r="L21" s="343">
        <v>115</v>
      </c>
      <c r="M21" s="384">
        <v>46043</v>
      </c>
      <c r="N21" s="343" t="s">
        <v>234</v>
      </c>
      <c r="O21" s="343" t="s">
        <v>125</v>
      </c>
      <c r="Q21" s="343">
        <v>20260121</v>
      </c>
      <c r="R21" s="343">
        <v>26702.2</v>
      </c>
      <c r="S21" s="343">
        <v>105</v>
      </c>
      <c r="T21" s="343">
        <v>220</v>
      </c>
      <c r="U21" s="384">
        <v>46043</v>
      </c>
      <c r="V21" s="343" t="s">
        <v>234</v>
      </c>
      <c r="W21" s="343" t="s">
        <v>125</v>
      </c>
      <c r="Y21" s="343" t="s">
        <v>127</v>
      </c>
      <c r="Z21" s="343" t="s">
        <v>129</v>
      </c>
      <c r="AA21" s="384">
        <v>46055</v>
      </c>
      <c r="AB21" s="384">
        <v>46061</v>
      </c>
      <c r="AC21" s="343" t="s">
        <v>106</v>
      </c>
      <c r="AD21" s="343">
        <v>5</v>
      </c>
      <c r="AE21" s="343">
        <v>3156</v>
      </c>
      <c r="AF21" s="343">
        <v>0</v>
      </c>
      <c r="AG21" s="343">
        <v>0</v>
      </c>
      <c r="AH21" s="343">
        <v>3156</v>
      </c>
      <c r="AI21" s="343">
        <v>0</v>
      </c>
    </row>
    <row r="22" spans="1:35">
      <c r="A22" s="343">
        <v>20260128</v>
      </c>
      <c r="B22" s="343">
        <v>2367</v>
      </c>
      <c r="C22" s="343">
        <v>4</v>
      </c>
      <c r="D22" s="343">
        <v>9</v>
      </c>
      <c r="E22" s="384">
        <v>46050</v>
      </c>
      <c r="F22" s="343" t="s">
        <v>234</v>
      </c>
      <c r="G22" s="343" t="s">
        <v>128</v>
      </c>
      <c r="I22" s="343">
        <v>20260122</v>
      </c>
      <c r="J22" s="343">
        <v>12073.92</v>
      </c>
      <c r="K22" s="343">
        <v>45</v>
      </c>
      <c r="L22" s="343">
        <v>87</v>
      </c>
      <c r="M22" s="384">
        <v>46044</v>
      </c>
      <c r="N22" s="343" t="s">
        <v>235</v>
      </c>
      <c r="O22" s="343" t="s">
        <v>125</v>
      </c>
      <c r="Q22" s="343">
        <v>20260122</v>
      </c>
      <c r="R22" s="343">
        <v>65634</v>
      </c>
      <c r="S22" s="343">
        <v>177</v>
      </c>
      <c r="T22" s="343">
        <v>361</v>
      </c>
      <c r="U22" s="384">
        <v>46044</v>
      </c>
      <c r="V22" s="343" t="s">
        <v>235</v>
      </c>
      <c r="W22" s="343" t="s">
        <v>125</v>
      </c>
      <c r="Y22" s="343" t="s">
        <v>127</v>
      </c>
      <c r="Z22" s="343" t="s">
        <v>129</v>
      </c>
      <c r="AA22" s="384">
        <v>46055</v>
      </c>
      <c r="AB22" s="384">
        <v>46061</v>
      </c>
      <c r="AC22" s="343" t="s">
        <v>289</v>
      </c>
      <c r="AD22" s="343">
        <v>21</v>
      </c>
      <c r="AE22" s="343">
        <v>29300</v>
      </c>
      <c r="AF22" s="343">
        <v>0</v>
      </c>
      <c r="AG22" s="343">
        <v>0</v>
      </c>
      <c r="AH22" s="343">
        <v>29300</v>
      </c>
      <c r="AI22" s="343">
        <v>2637</v>
      </c>
    </row>
    <row r="23" spans="1:35">
      <c r="A23" s="343">
        <v>20260129</v>
      </c>
      <c r="B23" s="343">
        <v>5444</v>
      </c>
      <c r="C23" s="343">
        <v>11</v>
      </c>
      <c r="D23" s="343">
        <v>19</v>
      </c>
      <c r="E23" s="384">
        <v>46051</v>
      </c>
      <c r="F23" s="343" t="s">
        <v>235</v>
      </c>
      <c r="G23" s="343" t="s">
        <v>128</v>
      </c>
      <c r="I23" s="343">
        <v>20260123</v>
      </c>
      <c r="J23" s="343">
        <v>33706.5</v>
      </c>
      <c r="K23" s="343">
        <v>128</v>
      </c>
      <c r="L23" s="343">
        <v>224</v>
      </c>
      <c r="M23" s="384">
        <v>46045</v>
      </c>
      <c r="N23" s="343" t="s">
        <v>236</v>
      </c>
      <c r="O23" s="343" t="s">
        <v>125</v>
      </c>
      <c r="Q23" s="343">
        <v>20260123</v>
      </c>
      <c r="R23" s="343">
        <v>103843.75</v>
      </c>
      <c r="S23" s="343">
        <v>232</v>
      </c>
      <c r="T23" s="343">
        <v>471</v>
      </c>
      <c r="U23" s="384">
        <v>46045</v>
      </c>
      <c r="V23" s="343" t="s">
        <v>236</v>
      </c>
      <c r="W23" s="343" t="s">
        <v>125</v>
      </c>
      <c r="Y23" s="343" t="s">
        <v>127</v>
      </c>
      <c r="Z23" s="343" t="s">
        <v>130</v>
      </c>
      <c r="AA23" s="384">
        <v>46062</v>
      </c>
      <c r="AB23" s="384">
        <v>46068</v>
      </c>
      <c r="AC23" s="343" t="s">
        <v>337</v>
      </c>
      <c r="AD23" s="343">
        <v>16</v>
      </c>
      <c r="AE23" s="343">
        <v>11066.1</v>
      </c>
      <c r="AF23" s="343">
        <v>0</v>
      </c>
      <c r="AG23" s="343">
        <v>0</v>
      </c>
      <c r="AH23" s="343">
        <v>11066.1</v>
      </c>
      <c r="AI23" s="343">
        <v>779.62</v>
      </c>
    </row>
    <row r="24" spans="1:35">
      <c r="A24" s="343">
        <v>20260130</v>
      </c>
      <c r="B24" s="343">
        <v>8554</v>
      </c>
      <c r="C24" s="343">
        <v>12</v>
      </c>
      <c r="D24" s="343">
        <v>21</v>
      </c>
      <c r="E24" s="384">
        <v>46052</v>
      </c>
      <c r="F24" s="343" t="s">
        <v>236</v>
      </c>
      <c r="G24" s="343" t="s">
        <v>128</v>
      </c>
      <c r="I24" s="343">
        <v>20260124</v>
      </c>
      <c r="J24" s="343">
        <v>21216.1</v>
      </c>
      <c r="K24" s="343">
        <v>110</v>
      </c>
      <c r="L24" s="343">
        <v>195</v>
      </c>
      <c r="M24" s="384">
        <v>46046</v>
      </c>
      <c r="N24" s="343" t="s">
        <v>244</v>
      </c>
      <c r="O24" s="343" t="s">
        <v>125</v>
      </c>
      <c r="Q24" s="343">
        <v>20260124</v>
      </c>
      <c r="R24" s="343">
        <v>66104.5</v>
      </c>
      <c r="S24" s="343">
        <v>227</v>
      </c>
      <c r="T24" s="343">
        <v>424</v>
      </c>
      <c r="U24" s="384">
        <v>46046</v>
      </c>
      <c r="V24" s="343" t="s">
        <v>244</v>
      </c>
      <c r="W24" s="343" t="s">
        <v>125</v>
      </c>
      <c r="Y24" s="343" t="s">
        <v>127</v>
      </c>
      <c r="Z24" s="343" t="s">
        <v>130</v>
      </c>
      <c r="AA24" s="384">
        <v>46062</v>
      </c>
      <c r="AB24" s="384">
        <v>46068</v>
      </c>
      <c r="AC24" s="343" t="s">
        <v>106</v>
      </c>
      <c r="AD24" s="343">
        <v>3</v>
      </c>
      <c r="AE24" s="343">
        <v>1843.15</v>
      </c>
      <c r="AF24" s="343">
        <v>0</v>
      </c>
      <c r="AG24" s="343">
        <v>0</v>
      </c>
      <c r="AH24" s="343">
        <v>1843.15</v>
      </c>
      <c r="AI24" s="343">
        <v>0</v>
      </c>
    </row>
    <row r="25" spans="1:35">
      <c r="A25" s="343">
        <v>20260131</v>
      </c>
      <c r="B25" s="343">
        <v>6208</v>
      </c>
      <c r="C25" s="343">
        <v>11</v>
      </c>
      <c r="D25" s="343">
        <v>22</v>
      </c>
      <c r="E25" s="384">
        <v>46053</v>
      </c>
      <c r="F25" s="343" t="s">
        <v>244</v>
      </c>
      <c r="G25" s="343" t="s">
        <v>128</v>
      </c>
      <c r="I25" s="343">
        <v>20260127</v>
      </c>
      <c r="J25" s="343">
        <v>15842.4</v>
      </c>
      <c r="K25" s="343">
        <v>3</v>
      </c>
      <c r="L25" s="343">
        <v>7</v>
      </c>
      <c r="M25" s="384">
        <v>46049</v>
      </c>
      <c r="N25" s="343" t="s">
        <v>233</v>
      </c>
      <c r="O25" s="343" t="s">
        <v>128</v>
      </c>
      <c r="Q25" s="343">
        <v>20260126</v>
      </c>
      <c r="S25" s="343">
        <v>1</v>
      </c>
      <c r="T25" s="343">
        <v>1</v>
      </c>
      <c r="U25" s="384">
        <v>46048</v>
      </c>
      <c r="V25" s="343" t="s">
        <v>232</v>
      </c>
      <c r="W25" s="343" t="s">
        <v>128</v>
      </c>
      <c r="Y25" s="343" t="s">
        <v>127</v>
      </c>
      <c r="Z25" s="343" t="s">
        <v>130</v>
      </c>
      <c r="AA25" s="384">
        <v>46062</v>
      </c>
      <c r="AB25" s="384">
        <v>46068</v>
      </c>
      <c r="AC25" s="343" t="s">
        <v>289</v>
      </c>
      <c r="AD25" s="343">
        <v>16</v>
      </c>
      <c r="AE25" s="343">
        <v>22200</v>
      </c>
      <c r="AF25" s="343">
        <v>0</v>
      </c>
      <c r="AG25" s="343">
        <v>0</v>
      </c>
      <c r="AH25" s="343">
        <v>22200</v>
      </c>
      <c r="AI25" s="343">
        <v>1998</v>
      </c>
    </row>
    <row r="26" spans="1:35">
      <c r="A26" s="343">
        <v>20260203</v>
      </c>
      <c r="B26" s="343">
        <v>1399</v>
      </c>
      <c r="C26" s="343">
        <v>2</v>
      </c>
      <c r="D26" s="343">
        <v>5</v>
      </c>
      <c r="E26" s="384">
        <v>46056</v>
      </c>
      <c r="F26" s="343" t="s">
        <v>233</v>
      </c>
      <c r="G26" s="343" t="s">
        <v>129</v>
      </c>
      <c r="I26" s="343">
        <v>20260128</v>
      </c>
      <c r="J26" s="343">
        <v>14118.75</v>
      </c>
      <c r="K26" s="343">
        <v>47</v>
      </c>
      <c r="L26" s="343">
        <v>106</v>
      </c>
      <c r="M26" s="384">
        <v>46050</v>
      </c>
      <c r="N26" s="343" t="s">
        <v>234</v>
      </c>
      <c r="O26" s="343" t="s">
        <v>128</v>
      </c>
      <c r="Q26" s="343">
        <v>20260127</v>
      </c>
      <c r="R26" s="343">
        <v>36750</v>
      </c>
      <c r="S26" s="343">
        <v>6</v>
      </c>
      <c r="T26" s="343">
        <v>5</v>
      </c>
      <c r="U26" s="384">
        <v>46049</v>
      </c>
      <c r="V26" s="343" t="s">
        <v>233</v>
      </c>
      <c r="W26" s="343" t="s">
        <v>128</v>
      </c>
      <c r="Y26" s="343" t="s">
        <v>127</v>
      </c>
      <c r="Z26" s="343" t="s">
        <v>131</v>
      </c>
      <c r="AA26" s="384">
        <v>46069</v>
      </c>
      <c r="AB26" s="384">
        <v>46075</v>
      </c>
      <c r="AC26" s="343" t="s">
        <v>337</v>
      </c>
      <c r="AD26" s="343">
        <v>10</v>
      </c>
      <c r="AE26" s="343">
        <v>7982.36</v>
      </c>
      <c r="AF26" s="343">
        <v>0</v>
      </c>
      <c r="AG26" s="343">
        <v>0</v>
      </c>
      <c r="AH26" s="343">
        <v>7982.36</v>
      </c>
      <c r="AI26" s="343">
        <v>558.77</v>
      </c>
    </row>
    <row r="27" spans="1:35">
      <c r="A27" s="343">
        <v>20260204</v>
      </c>
      <c r="B27" s="343">
        <v>4314</v>
      </c>
      <c r="C27" s="343">
        <v>7</v>
      </c>
      <c r="D27" s="343">
        <v>11</v>
      </c>
      <c r="E27" s="384">
        <v>46057</v>
      </c>
      <c r="F27" s="343" t="s">
        <v>234</v>
      </c>
      <c r="G27" s="343" t="s">
        <v>129</v>
      </c>
      <c r="I27" s="343">
        <v>20260129</v>
      </c>
      <c r="J27" s="343">
        <v>19511.150000000001</v>
      </c>
      <c r="K27" s="343">
        <v>65</v>
      </c>
      <c r="L27" s="343">
        <v>155</v>
      </c>
      <c r="M27" s="384">
        <v>46051</v>
      </c>
      <c r="N27" s="343" t="s">
        <v>235</v>
      </c>
      <c r="O27" s="343" t="s">
        <v>128</v>
      </c>
      <c r="Q27" s="343">
        <v>20260128</v>
      </c>
      <c r="R27" s="343">
        <v>43330</v>
      </c>
      <c r="S27" s="343">
        <v>99</v>
      </c>
      <c r="T27" s="343">
        <v>204</v>
      </c>
      <c r="U27" s="384">
        <v>46050</v>
      </c>
      <c r="V27" s="343" t="s">
        <v>234</v>
      </c>
      <c r="W27" s="343" t="s">
        <v>128</v>
      </c>
      <c r="Y27" s="343" t="s">
        <v>127</v>
      </c>
      <c r="Z27" s="343" t="s">
        <v>131</v>
      </c>
      <c r="AA27" s="384">
        <v>46069</v>
      </c>
      <c r="AB27" s="384">
        <v>46075</v>
      </c>
      <c r="AC27" s="343" t="s">
        <v>106</v>
      </c>
      <c r="AD27" s="343">
        <v>3</v>
      </c>
      <c r="AE27" s="343">
        <v>2372.0500000000002</v>
      </c>
      <c r="AF27" s="343">
        <v>0</v>
      </c>
      <c r="AG27" s="343">
        <v>0</v>
      </c>
      <c r="AH27" s="343">
        <v>2372.0500000000002</v>
      </c>
      <c r="AI27" s="343">
        <v>0</v>
      </c>
    </row>
    <row r="28" spans="1:35">
      <c r="A28" s="343">
        <v>20260205</v>
      </c>
      <c r="B28" s="343">
        <v>4991</v>
      </c>
      <c r="C28" s="343">
        <v>9</v>
      </c>
      <c r="D28" s="343">
        <v>19</v>
      </c>
      <c r="E28" s="384">
        <v>46058</v>
      </c>
      <c r="F28" s="343" t="s">
        <v>235</v>
      </c>
      <c r="G28" s="343" t="s">
        <v>129</v>
      </c>
      <c r="I28" s="343">
        <v>20260130</v>
      </c>
      <c r="J28" s="343">
        <v>18669</v>
      </c>
      <c r="K28" s="343">
        <v>107</v>
      </c>
      <c r="L28" s="343">
        <v>171</v>
      </c>
      <c r="M28" s="384">
        <v>46052</v>
      </c>
      <c r="N28" s="343" t="s">
        <v>236</v>
      </c>
      <c r="O28" s="343" t="s">
        <v>128</v>
      </c>
      <c r="Q28" s="343">
        <v>20260129</v>
      </c>
      <c r="R28" s="343">
        <v>68980.600000000006</v>
      </c>
      <c r="S28" s="343">
        <v>196</v>
      </c>
      <c r="T28" s="343">
        <v>409</v>
      </c>
      <c r="U28" s="384">
        <v>46051</v>
      </c>
      <c r="V28" s="343" t="s">
        <v>235</v>
      </c>
      <c r="W28" s="343" t="s">
        <v>128</v>
      </c>
      <c r="Y28" s="343" t="s">
        <v>127</v>
      </c>
      <c r="Z28" s="343" t="s">
        <v>131</v>
      </c>
      <c r="AA28" s="384">
        <v>46069</v>
      </c>
      <c r="AB28" s="384">
        <v>46075</v>
      </c>
      <c r="AC28" s="343" t="s">
        <v>289</v>
      </c>
      <c r="AD28" s="343">
        <v>11</v>
      </c>
      <c r="AE28" s="343">
        <v>21550</v>
      </c>
      <c r="AF28" s="343">
        <v>0</v>
      </c>
      <c r="AG28" s="343">
        <v>0</v>
      </c>
      <c r="AH28" s="343">
        <v>21550</v>
      </c>
      <c r="AI28" s="343">
        <v>1939.5</v>
      </c>
    </row>
    <row r="29" spans="1:35">
      <c r="A29" s="343">
        <v>20260206</v>
      </c>
      <c r="B29" s="343">
        <v>5015</v>
      </c>
      <c r="C29" s="343">
        <v>7</v>
      </c>
      <c r="D29" s="343">
        <v>17</v>
      </c>
      <c r="E29" s="384">
        <v>46059</v>
      </c>
      <c r="F29" s="343" t="s">
        <v>236</v>
      </c>
      <c r="G29" s="343" t="s">
        <v>129</v>
      </c>
      <c r="I29" s="343">
        <v>20260131</v>
      </c>
      <c r="J29" s="343">
        <v>25357</v>
      </c>
      <c r="K29" s="343">
        <v>124</v>
      </c>
      <c r="L29" s="343">
        <v>220</v>
      </c>
      <c r="M29" s="384">
        <v>46053</v>
      </c>
      <c r="N29" s="343" t="s">
        <v>244</v>
      </c>
      <c r="O29" s="343" t="s">
        <v>128</v>
      </c>
      <c r="Q29" s="343">
        <v>20260130</v>
      </c>
      <c r="R29" s="343">
        <v>93793.48</v>
      </c>
      <c r="S29" s="343">
        <v>152</v>
      </c>
      <c r="T29" s="343">
        <v>334</v>
      </c>
      <c r="U29" s="384">
        <v>46052</v>
      </c>
      <c r="V29" s="343" t="s">
        <v>236</v>
      </c>
      <c r="W29" s="343" t="s">
        <v>128</v>
      </c>
      <c r="Y29" s="343" t="s">
        <v>133</v>
      </c>
      <c r="Z29" s="343" t="s">
        <v>134</v>
      </c>
      <c r="AA29" s="384">
        <v>46076</v>
      </c>
      <c r="AB29" s="384">
        <v>46082</v>
      </c>
      <c r="AC29" s="343" t="s">
        <v>337</v>
      </c>
      <c r="AD29" s="343">
        <v>16</v>
      </c>
      <c r="AE29" s="343">
        <v>23704.32</v>
      </c>
      <c r="AF29" s="343">
        <v>0</v>
      </c>
      <c r="AG29" s="343">
        <v>0</v>
      </c>
      <c r="AH29" s="343">
        <v>23704.32</v>
      </c>
      <c r="AI29" s="343">
        <v>1664.3</v>
      </c>
    </row>
    <row r="30" spans="1:35">
      <c r="A30" s="343">
        <v>20260207</v>
      </c>
      <c r="B30" s="343">
        <v>6108</v>
      </c>
      <c r="C30" s="343">
        <v>10</v>
      </c>
      <c r="D30" s="343">
        <v>20</v>
      </c>
      <c r="E30" s="384">
        <v>46060</v>
      </c>
      <c r="F30" s="343" t="s">
        <v>244</v>
      </c>
      <c r="G30" s="343" t="s">
        <v>129</v>
      </c>
      <c r="I30" s="343">
        <v>20260204</v>
      </c>
      <c r="J30" s="343">
        <v>6916</v>
      </c>
      <c r="K30" s="343">
        <v>74</v>
      </c>
      <c r="L30" s="343">
        <v>117</v>
      </c>
      <c r="M30" s="384">
        <v>46057</v>
      </c>
      <c r="N30" s="343" t="s">
        <v>234</v>
      </c>
      <c r="O30" s="343" t="s">
        <v>129</v>
      </c>
      <c r="Q30" s="343">
        <v>20260131</v>
      </c>
      <c r="R30" s="343">
        <v>75282.3</v>
      </c>
      <c r="S30" s="343">
        <v>200</v>
      </c>
      <c r="T30" s="343">
        <v>407</v>
      </c>
      <c r="U30" s="384">
        <v>46053</v>
      </c>
      <c r="V30" s="343" t="s">
        <v>244</v>
      </c>
      <c r="W30" s="343" t="s">
        <v>128</v>
      </c>
      <c r="Y30" s="343" t="s">
        <v>133</v>
      </c>
      <c r="Z30" s="343" t="s">
        <v>134</v>
      </c>
      <c r="AA30" s="384">
        <v>46076</v>
      </c>
      <c r="AB30" s="384">
        <v>46082</v>
      </c>
      <c r="AC30" s="343" t="s">
        <v>106</v>
      </c>
      <c r="AD30" s="343">
        <v>14</v>
      </c>
      <c r="AE30" s="343">
        <v>9519.7999999999993</v>
      </c>
      <c r="AF30" s="343">
        <v>0</v>
      </c>
      <c r="AG30" s="343">
        <v>0</v>
      </c>
      <c r="AH30" s="343">
        <v>9519.7999999999993</v>
      </c>
      <c r="AI30" s="343">
        <v>0</v>
      </c>
    </row>
    <row r="31" spans="1:35">
      <c r="A31" s="343">
        <v>20260210</v>
      </c>
      <c r="B31" s="343">
        <v>2418</v>
      </c>
      <c r="C31" s="343">
        <v>5</v>
      </c>
      <c r="D31" s="343">
        <v>9</v>
      </c>
      <c r="E31" s="384">
        <v>46063</v>
      </c>
      <c r="F31" s="343" t="s">
        <v>233</v>
      </c>
      <c r="G31" s="343" t="s">
        <v>130</v>
      </c>
      <c r="I31" s="343">
        <v>20260205</v>
      </c>
      <c r="J31" s="343">
        <v>9828</v>
      </c>
      <c r="K31" s="343">
        <v>45</v>
      </c>
      <c r="L31" s="343">
        <v>85</v>
      </c>
      <c r="M31" s="384">
        <v>46058</v>
      </c>
      <c r="N31" s="343" t="s">
        <v>235</v>
      </c>
      <c r="O31" s="343" t="s">
        <v>129</v>
      </c>
      <c r="Q31" s="343">
        <v>20260203</v>
      </c>
      <c r="S31" s="343">
        <v>4</v>
      </c>
      <c r="T31" s="343">
        <v>4</v>
      </c>
      <c r="U31" s="384">
        <v>46056</v>
      </c>
      <c r="V31" s="343" t="s">
        <v>233</v>
      </c>
      <c r="W31" s="343" t="s">
        <v>129</v>
      </c>
      <c r="Y31" s="343" t="s">
        <v>133</v>
      </c>
      <c r="Z31" s="343" t="s">
        <v>134</v>
      </c>
      <c r="AA31" s="384">
        <v>46076</v>
      </c>
      <c r="AB31" s="384">
        <v>46082</v>
      </c>
      <c r="AC31" s="343" t="s">
        <v>289</v>
      </c>
      <c r="AD31" s="343">
        <v>16</v>
      </c>
      <c r="AE31" s="343">
        <v>33500</v>
      </c>
      <c r="AF31" s="343">
        <v>0</v>
      </c>
      <c r="AG31" s="343">
        <v>0</v>
      </c>
      <c r="AH31" s="343">
        <v>33500</v>
      </c>
      <c r="AI31" s="343">
        <v>3015</v>
      </c>
    </row>
    <row r="32" spans="1:35">
      <c r="A32" s="343">
        <v>20260211</v>
      </c>
      <c r="B32" s="343">
        <v>1435</v>
      </c>
      <c r="C32" s="343">
        <v>3</v>
      </c>
      <c r="D32" s="343">
        <v>4</v>
      </c>
      <c r="E32" s="384">
        <v>46064</v>
      </c>
      <c r="F32" s="343" t="s">
        <v>234</v>
      </c>
      <c r="G32" s="343" t="s">
        <v>130</v>
      </c>
      <c r="I32" s="343">
        <v>20260206</v>
      </c>
      <c r="J32" s="343">
        <v>29104</v>
      </c>
      <c r="K32" s="343">
        <v>137</v>
      </c>
      <c r="L32" s="343">
        <v>254</v>
      </c>
      <c r="M32" s="384">
        <v>46059</v>
      </c>
      <c r="N32" s="343" t="s">
        <v>236</v>
      </c>
      <c r="O32" s="343" t="s">
        <v>129</v>
      </c>
      <c r="Q32" s="343">
        <v>20260204</v>
      </c>
      <c r="R32" s="343">
        <v>80799.399999999994</v>
      </c>
      <c r="S32" s="343">
        <v>126</v>
      </c>
      <c r="T32" s="343">
        <v>295</v>
      </c>
      <c r="U32" s="384">
        <v>46057</v>
      </c>
      <c r="V32" s="343" t="s">
        <v>234</v>
      </c>
      <c r="W32" s="343" t="s">
        <v>129</v>
      </c>
      <c r="Y32" s="343" t="s">
        <v>133</v>
      </c>
      <c r="Z32" s="343" t="s">
        <v>135</v>
      </c>
      <c r="AA32" s="384">
        <v>46083</v>
      </c>
      <c r="AB32" s="384">
        <v>46089</v>
      </c>
      <c r="AC32" s="343" t="s">
        <v>337</v>
      </c>
      <c r="AD32" s="343">
        <v>11</v>
      </c>
      <c r="AE32" s="343">
        <v>4508.07</v>
      </c>
      <c r="AF32" s="343">
        <v>0</v>
      </c>
      <c r="AG32" s="343">
        <v>0</v>
      </c>
      <c r="AH32" s="343">
        <v>4508.07</v>
      </c>
      <c r="AI32" s="343">
        <v>399.81</v>
      </c>
    </row>
    <row r="33" spans="1:35">
      <c r="A33" s="343">
        <v>20260212</v>
      </c>
      <c r="B33" s="343">
        <v>5174</v>
      </c>
      <c r="C33" s="343">
        <v>10</v>
      </c>
      <c r="D33" s="343">
        <v>20</v>
      </c>
      <c r="E33" s="384">
        <v>46065</v>
      </c>
      <c r="F33" s="343" t="s">
        <v>235</v>
      </c>
      <c r="G33" s="343" t="s">
        <v>130</v>
      </c>
      <c r="I33" s="343">
        <v>20260207</v>
      </c>
      <c r="J33" s="343">
        <v>20318</v>
      </c>
      <c r="K33" s="343">
        <v>133</v>
      </c>
      <c r="L33" s="343">
        <v>216</v>
      </c>
      <c r="M33" s="384">
        <v>46060</v>
      </c>
      <c r="N33" s="343" t="s">
        <v>244</v>
      </c>
      <c r="O33" s="343" t="s">
        <v>129</v>
      </c>
      <c r="Q33" s="343">
        <v>20260205</v>
      </c>
      <c r="R33" s="343">
        <v>52869.65</v>
      </c>
      <c r="S33" s="343">
        <v>236</v>
      </c>
      <c r="T33" s="343">
        <v>392</v>
      </c>
      <c r="U33" s="384">
        <v>46058</v>
      </c>
      <c r="V33" s="343" t="s">
        <v>235</v>
      </c>
      <c r="W33" s="343" t="s">
        <v>129</v>
      </c>
      <c r="Y33" s="343" t="s">
        <v>133</v>
      </c>
      <c r="Z33" s="343" t="s">
        <v>135</v>
      </c>
      <c r="AA33" s="384">
        <v>46083</v>
      </c>
      <c r="AB33" s="384">
        <v>46089</v>
      </c>
      <c r="AC33" s="343" t="s">
        <v>335</v>
      </c>
      <c r="AD33" s="343">
        <v>0</v>
      </c>
      <c r="AE33" s="343">
        <v>-531.91999999999996</v>
      </c>
      <c r="AF33" s="343">
        <v>0</v>
      </c>
      <c r="AG33" s="343">
        <v>531.91999999999996</v>
      </c>
      <c r="AH33" s="343">
        <v>0</v>
      </c>
      <c r="AI33" s="343">
        <v>0</v>
      </c>
    </row>
    <row r="34" spans="1:35">
      <c r="A34" s="343">
        <v>20260213</v>
      </c>
      <c r="B34" s="343">
        <v>5908</v>
      </c>
      <c r="C34" s="343">
        <v>11</v>
      </c>
      <c r="D34" s="343">
        <v>21</v>
      </c>
      <c r="E34" s="384">
        <v>46066</v>
      </c>
      <c r="F34" s="343" t="s">
        <v>236</v>
      </c>
      <c r="G34" s="343" t="s">
        <v>130</v>
      </c>
      <c r="I34" s="343">
        <v>20260208</v>
      </c>
      <c r="J34" s="343">
        <v>6790</v>
      </c>
      <c r="K34" s="343">
        <v>17</v>
      </c>
      <c r="L34" s="343">
        <v>42</v>
      </c>
      <c r="M34" s="384">
        <v>46061</v>
      </c>
      <c r="N34" s="343" t="s">
        <v>245</v>
      </c>
      <c r="O34" s="343" t="s">
        <v>129</v>
      </c>
      <c r="Q34" s="343">
        <v>20260206</v>
      </c>
      <c r="R34" s="343">
        <v>92753.5</v>
      </c>
      <c r="S34" s="343">
        <v>248</v>
      </c>
      <c r="T34" s="343">
        <v>495</v>
      </c>
      <c r="U34" s="384">
        <v>46059</v>
      </c>
      <c r="V34" s="343" t="s">
        <v>236</v>
      </c>
      <c r="W34" s="343" t="s">
        <v>129</v>
      </c>
      <c r="Y34" s="343" t="s">
        <v>133</v>
      </c>
      <c r="Z34" s="343" t="s">
        <v>135</v>
      </c>
      <c r="AA34" s="384">
        <v>46083</v>
      </c>
      <c r="AB34" s="384">
        <v>46089</v>
      </c>
      <c r="AC34" s="343" t="s">
        <v>106</v>
      </c>
      <c r="AD34" s="343">
        <v>14</v>
      </c>
      <c r="AE34" s="343">
        <v>3652</v>
      </c>
      <c r="AF34" s="343">
        <v>0</v>
      </c>
      <c r="AG34" s="343">
        <v>0</v>
      </c>
      <c r="AH34" s="343">
        <v>3652</v>
      </c>
      <c r="AI34" s="343">
        <v>0</v>
      </c>
    </row>
    <row r="35" spans="1:35">
      <c r="A35" s="343">
        <v>20260214</v>
      </c>
      <c r="B35" s="343">
        <v>5706</v>
      </c>
      <c r="C35" s="343">
        <v>11</v>
      </c>
      <c r="D35" s="343">
        <v>20</v>
      </c>
      <c r="E35" s="384">
        <v>46067</v>
      </c>
      <c r="F35" s="343" t="s">
        <v>244</v>
      </c>
      <c r="G35" s="343" t="s">
        <v>130</v>
      </c>
      <c r="I35" s="343">
        <v>20260210</v>
      </c>
      <c r="J35" s="343">
        <v>21813.75</v>
      </c>
      <c r="K35" s="343">
        <v>1</v>
      </c>
      <c r="L35" s="343">
        <v>53</v>
      </c>
      <c r="M35" s="384">
        <v>46063</v>
      </c>
      <c r="N35" s="343" t="s">
        <v>233</v>
      </c>
      <c r="O35" s="343" t="s">
        <v>130</v>
      </c>
      <c r="Q35" s="343">
        <v>20260207</v>
      </c>
      <c r="R35" s="343">
        <v>85216.45</v>
      </c>
      <c r="S35" s="343">
        <v>213</v>
      </c>
      <c r="T35" s="343">
        <v>412</v>
      </c>
      <c r="U35" s="384">
        <v>46060</v>
      </c>
      <c r="V35" s="343" t="s">
        <v>244</v>
      </c>
      <c r="W35" s="343" t="s">
        <v>129</v>
      </c>
      <c r="Y35" s="343" t="s">
        <v>133</v>
      </c>
      <c r="Z35" s="343" t="s">
        <v>135</v>
      </c>
      <c r="AA35" s="384">
        <v>46083</v>
      </c>
      <c r="AB35" s="384">
        <v>46089</v>
      </c>
      <c r="AC35" s="343" t="s">
        <v>289</v>
      </c>
      <c r="AD35" s="343">
        <v>36</v>
      </c>
      <c r="AE35" s="343">
        <v>36200</v>
      </c>
      <c r="AF35" s="343">
        <v>0</v>
      </c>
      <c r="AG35" s="343">
        <v>0</v>
      </c>
      <c r="AH35" s="343">
        <v>36200</v>
      </c>
      <c r="AI35" s="343">
        <v>3258</v>
      </c>
    </row>
    <row r="36" spans="1:35">
      <c r="A36" s="343">
        <v>20260217</v>
      </c>
      <c r="B36" s="343">
        <v>2519</v>
      </c>
      <c r="C36" s="343">
        <v>6</v>
      </c>
      <c r="D36" s="343">
        <v>10</v>
      </c>
      <c r="E36" s="384">
        <v>46070</v>
      </c>
      <c r="F36" s="343" t="s">
        <v>233</v>
      </c>
      <c r="G36" s="343" t="s">
        <v>131</v>
      </c>
      <c r="I36" s="343">
        <v>20260211</v>
      </c>
      <c r="J36" s="343">
        <v>16500</v>
      </c>
      <c r="K36" s="343">
        <v>96</v>
      </c>
      <c r="L36" s="343">
        <v>156</v>
      </c>
      <c r="M36" s="384">
        <v>46064</v>
      </c>
      <c r="N36" s="343" t="s">
        <v>234</v>
      </c>
      <c r="O36" s="343" t="s">
        <v>130</v>
      </c>
      <c r="Q36" s="343">
        <v>20260208</v>
      </c>
      <c r="R36" s="343">
        <v>12229</v>
      </c>
      <c r="S36" s="343">
        <v>22</v>
      </c>
      <c r="T36" s="343">
        <v>58</v>
      </c>
      <c r="U36" s="384">
        <v>46061</v>
      </c>
      <c r="V36" s="343" t="s">
        <v>245</v>
      </c>
      <c r="W36" s="343" t="s">
        <v>129</v>
      </c>
      <c r="Y36" s="343" t="s">
        <v>133</v>
      </c>
      <c r="Z36" s="343" t="s">
        <v>136</v>
      </c>
      <c r="AA36" s="384">
        <v>46090</v>
      </c>
      <c r="AB36" s="384">
        <v>46096</v>
      </c>
      <c r="AC36" s="343" t="s">
        <v>337</v>
      </c>
      <c r="AD36" s="343">
        <v>6</v>
      </c>
      <c r="AE36" s="343">
        <v>5624</v>
      </c>
      <c r="AF36" s="343">
        <v>0</v>
      </c>
      <c r="AG36" s="343">
        <v>0</v>
      </c>
      <c r="AH36" s="343">
        <v>5624</v>
      </c>
      <c r="AI36" s="343">
        <v>506</v>
      </c>
    </row>
    <row r="37" spans="1:35">
      <c r="A37" s="343">
        <v>20260218</v>
      </c>
      <c r="B37" s="343">
        <v>7146</v>
      </c>
      <c r="C37" s="343">
        <v>9</v>
      </c>
      <c r="D37" s="343">
        <v>21</v>
      </c>
      <c r="E37" s="384">
        <v>46071</v>
      </c>
      <c r="F37" s="343" t="s">
        <v>234</v>
      </c>
      <c r="G37" s="343" t="s">
        <v>131</v>
      </c>
      <c r="I37" s="343">
        <v>20260212</v>
      </c>
      <c r="J37" s="343">
        <v>22788.95</v>
      </c>
      <c r="K37" s="343">
        <v>130</v>
      </c>
      <c r="L37" s="343">
        <v>248</v>
      </c>
      <c r="M37" s="384">
        <v>46065</v>
      </c>
      <c r="N37" s="343" t="s">
        <v>235</v>
      </c>
      <c r="O37" s="343" t="s">
        <v>130</v>
      </c>
      <c r="Q37" s="343">
        <v>20260209</v>
      </c>
      <c r="S37" s="343">
        <v>3</v>
      </c>
      <c r="T37" s="343">
        <v>3</v>
      </c>
      <c r="U37" s="384">
        <v>46062</v>
      </c>
      <c r="V37" s="343" t="s">
        <v>232</v>
      </c>
      <c r="W37" s="343" t="s">
        <v>130</v>
      </c>
      <c r="Y37" s="343" t="s">
        <v>133</v>
      </c>
      <c r="Z37" s="343" t="s">
        <v>136</v>
      </c>
      <c r="AA37" s="384">
        <v>46090</v>
      </c>
      <c r="AB37" s="384">
        <v>46096</v>
      </c>
      <c r="AC37" s="343" t="s">
        <v>106</v>
      </c>
      <c r="AD37" s="343">
        <v>5</v>
      </c>
      <c r="AE37" s="343">
        <v>1013.35</v>
      </c>
      <c r="AF37" s="343">
        <v>0</v>
      </c>
      <c r="AG37" s="343">
        <v>0</v>
      </c>
      <c r="AH37" s="343">
        <v>1013.35</v>
      </c>
      <c r="AI37" s="343">
        <v>0</v>
      </c>
    </row>
    <row r="38" spans="1:35">
      <c r="A38" s="343">
        <v>20260219</v>
      </c>
      <c r="B38" s="343">
        <v>11195</v>
      </c>
      <c r="C38" s="343">
        <v>11</v>
      </c>
      <c r="D38" s="343">
        <v>17</v>
      </c>
      <c r="E38" s="384">
        <v>46072</v>
      </c>
      <c r="F38" s="343" t="s">
        <v>235</v>
      </c>
      <c r="G38" s="343" t="s">
        <v>131</v>
      </c>
      <c r="I38" s="343">
        <v>20260213</v>
      </c>
      <c r="J38" s="343">
        <v>29468.6</v>
      </c>
      <c r="K38" s="343">
        <v>113</v>
      </c>
      <c r="L38" s="343">
        <v>219</v>
      </c>
      <c r="M38" s="384">
        <v>46066</v>
      </c>
      <c r="N38" s="343" t="s">
        <v>236</v>
      </c>
      <c r="O38" s="343" t="s">
        <v>130</v>
      </c>
      <c r="Q38" s="343">
        <v>20260211</v>
      </c>
      <c r="R38" s="343">
        <v>20546</v>
      </c>
      <c r="S38" s="343">
        <v>57</v>
      </c>
      <c r="T38" s="343">
        <v>157</v>
      </c>
      <c r="U38" s="384">
        <v>46064</v>
      </c>
      <c r="V38" s="343" t="s">
        <v>234</v>
      </c>
      <c r="W38" s="343" t="s">
        <v>130</v>
      </c>
      <c r="Y38" s="343" t="s">
        <v>133</v>
      </c>
      <c r="Z38" s="343" t="s">
        <v>136</v>
      </c>
      <c r="AA38" s="384">
        <v>46090</v>
      </c>
      <c r="AB38" s="384">
        <v>46096</v>
      </c>
      <c r="AC38" s="343" t="s">
        <v>289</v>
      </c>
      <c r="AD38" s="343">
        <v>9</v>
      </c>
      <c r="AE38" s="343">
        <v>8505</v>
      </c>
      <c r="AF38" s="343">
        <v>0</v>
      </c>
      <c r="AG38" s="343">
        <v>0</v>
      </c>
      <c r="AH38" s="343">
        <v>8505</v>
      </c>
      <c r="AI38" s="343">
        <v>765.45</v>
      </c>
    </row>
    <row r="39" spans="1:35">
      <c r="A39" s="343">
        <v>20260220</v>
      </c>
      <c r="B39" s="343">
        <v>10016</v>
      </c>
      <c r="C39" s="343">
        <v>11</v>
      </c>
      <c r="D39" s="343">
        <v>19</v>
      </c>
      <c r="E39" s="384">
        <v>46073</v>
      </c>
      <c r="F39" s="343" t="s">
        <v>236</v>
      </c>
      <c r="G39" s="343" t="s">
        <v>131</v>
      </c>
      <c r="I39" s="343">
        <v>20260214</v>
      </c>
      <c r="J39" s="343">
        <v>23394.720000000001</v>
      </c>
      <c r="K39" s="343">
        <v>115</v>
      </c>
      <c r="L39" s="343">
        <v>182</v>
      </c>
      <c r="M39" s="384">
        <v>46067</v>
      </c>
      <c r="N39" s="343" t="s">
        <v>244</v>
      </c>
      <c r="O39" s="343" t="s">
        <v>130</v>
      </c>
      <c r="Q39" s="343">
        <v>20260212</v>
      </c>
      <c r="R39" s="343">
        <v>65358</v>
      </c>
      <c r="S39" s="343">
        <v>202</v>
      </c>
      <c r="T39" s="343">
        <v>367</v>
      </c>
      <c r="U39" s="384">
        <v>46065</v>
      </c>
      <c r="V39" s="343" t="s">
        <v>235</v>
      </c>
      <c r="W39" s="343" t="s">
        <v>130</v>
      </c>
      <c r="Y39" s="343" t="s">
        <v>133</v>
      </c>
      <c r="Z39" s="343" t="s">
        <v>137</v>
      </c>
      <c r="AA39" s="384">
        <v>46097</v>
      </c>
      <c r="AB39" s="384">
        <v>46103</v>
      </c>
      <c r="AC39" s="343" t="s">
        <v>337</v>
      </c>
      <c r="AD39" s="343">
        <v>16</v>
      </c>
      <c r="AE39" s="343">
        <v>9002.43</v>
      </c>
      <c r="AF39" s="343">
        <v>0</v>
      </c>
      <c r="AG39" s="343">
        <v>0</v>
      </c>
      <c r="AH39" s="343">
        <v>9002.43</v>
      </c>
      <c r="AI39" s="343">
        <v>778.94</v>
      </c>
    </row>
    <row r="40" spans="1:35">
      <c r="A40" s="343">
        <v>20260221</v>
      </c>
      <c r="B40" s="343">
        <v>9451</v>
      </c>
      <c r="C40" s="343">
        <v>10</v>
      </c>
      <c r="D40" s="343">
        <v>19</v>
      </c>
      <c r="E40" s="384">
        <v>46074</v>
      </c>
      <c r="F40" s="343" t="s">
        <v>244</v>
      </c>
      <c r="G40" s="343" t="s">
        <v>131</v>
      </c>
      <c r="I40" s="343">
        <v>20260215</v>
      </c>
      <c r="J40" s="343">
        <v>13700</v>
      </c>
      <c r="K40" s="343">
        <v>50</v>
      </c>
      <c r="L40" s="343">
        <v>108</v>
      </c>
      <c r="M40" s="384">
        <v>46068</v>
      </c>
      <c r="N40" s="343" t="s">
        <v>245</v>
      </c>
      <c r="O40" s="343" t="s">
        <v>130</v>
      </c>
      <c r="Q40" s="343">
        <v>20260213</v>
      </c>
      <c r="R40" s="343">
        <v>83605.45</v>
      </c>
      <c r="S40" s="343">
        <v>227</v>
      </c>
      <c r="T40" s="343">
        <v>439</v>
      </c>
      <c r="U40" s="384">
        <v>46066</v>
      </c>
      <c r="V40" s="343" t="s">
        <v>236</v>
      </c>
      <c r="W40" s="343" t="s">
        <v>130</v>
      </c>
      <c r="Y40" s="343" t="s">
        <v>133</v>
      </c>
      <c r="Z40" s="343" t="s">
        <v>137</v>
      </c>
      <c r="AA40" s="384">
        <v>46097</v>
      </c>
      <c r="AB40" s="384">
        <v>46103</v>
      </c>
      <c r="AC40" s="343" t="s">
        <v>293</v>
      </c>
      <c r="AD40" s="343">
        <v>24</v>
      </c>
      <c r="AE40" s="343">
        <v>0</v>
      </c>
      <c r="AF40" s="343">
        <v>0</v>
      </c>
      <c r="AG40" s="343">
        <v>0</v>
      </c>
      <c r="AH40" s="343">
        <v>0</v>
      </c>
      <c r="AI40" s="343">
        <v>0</v>
      </c>
    </row>
    <row r="41" spans="1:35">
      <c r="A41" s="343">
        <v>20260224</v>
      </c>
      <c r="B41" s="343">
        <v>3685.01</v>
      </c>
      <c r="C41" s="343">
        <v>9</v>
      </c>
      <c r="D41" s="343">
        <v>18</v>
      </c>
      <c r="E41" s="384">
        <v>46077</v>
      </c>
      <c r="F41" s="343" t="s">
        <v>233</v>
      </c>
      <c r="G41" s="343" t="s">
        <v>134</v>
      </c>
      <c r="I41" s="343">
        <v>20260217</v>
      </c>
      <c r="J41" s="343">
        <v>8499</v>
      </c>
      <c r="K41" s="343">
        <v>17</v>
      </c>
      <c r="L41" s="343">
        <v>44</v>
      </c>
      <c r="M41" s="384">
        <v>46070</v>
      </c>
      <c r="N41" s="343" t="s">
        <v>233</v>
      </c>
      <c r="O41" s="343" t="s">
        <v>131</v>
      </c>
      <c r="Q41" s="343">
        <v>20260214</v>
      </c>
      <c r="R41" s="343">
        <v>80051.78</v>
      </c>
      <c r="S41" s="343">
        <v>237</v>
      </c>
      <c r="T41" s="343">
        <v>403</v>
      </c>
      <c r="U41" s="384">
        <v>46067</v>
      </c>
      <c r="V41" s="343" t="s">
        <v>244</v>
      </c>
      <c r="W41" s="343" t="s">
        <v>130</v>
      </c>
      <c r="Y41" s="343" t="s">
        <v>133</v>
      </c>
      <c r="Z41" s="343" t="s">
        <v>137</v>
      </c>
      <c r="AA41" s="384">
        <v>46097</v>
      </c>
      <c r="AB41" s="384">
        <v>46103</v>
      </c>
      <c r="AC41" s="343" t="s">
        <v>106</v>
      </c>
      <c r="AD41" s="343">
        <v>11</v>
      </c>
      <c r="AE41" s="343">
        <v>3935.25</v>
      </c>
      <c r="AF41" s="343">
        <v>0</v>
      </c>
      <c r="AG41" s="343">
        <v>0</v>
      </c>
      <c r="AH41" s="343">
        <v>3935.25</v>
      </c>
      <c r="AI41" s="343">
        <v>0</v>
      </c>
    </row>
    <row r="42" spans="1:35">
      <c r="A42" s="343">
        <v>20260225</v>
      </c>
      <c r="B42" s="343">
        <v>4558</v>
      </c>
      <c r="C42" s="343">
        <v>7</v>
      </c>
      <c r="D42" s="343">
        <v>11</v>
      </c>
      <c r="E42" s="384">
        <v>46078</v>
      </c>
      <c r="F42" s="343" t="s">
        <v>234</v>
      </c>
      <c r="G42" s="343" t="s">
        <v>134</v>
      </c>
      <c r="I42" s="343">
        <v>20260218</v>
      </c>
      <c r="J42" s="343">
        <v>24779</v>
      </c>
      <c r="K42" s="343">
        <v>56</v>
      </c>
      <c r="L42" s="343">
        <v>120</v>
      </c>
      <c r="M42" s="384">
        <v>46071</v>
      </c>
      <c r="N42" s="343" t="s">
        <v>234</v>
      </c>
      <c r="O42" s="343" t="s">
        <v>131</v>
      </c>
      <c r="Q42" s="343">
        <v>20260215</v>
      </c>
      <c r="R42" s="343">
        <v>25596</v>
      </c>
      <c r="S42" s="343">
        <v>97</v>
      </c>
      <c r="T42" s="343">
        <v>215</v>
      </c>
      <c r="U42" s="384">
        <v>46068</v>
      </c>
      <c r="V42" s="343" t="s">
        <v>245</v>
      </c>
      <c r="W42" s="343" t="s">
        <v>130</v>
      </c>
      <c r="Y42" s="343" t="s">
        <v>133</v>
      </c>
      <c r="Z42" s="343" t="s">
        <v>137</v>
      </c>
      <c r="AA42" s="384">
        <v>46097</v>
      </c>
      <c r="AB42" s="384">
        <v>46103</v>
      </c>
      <c r="AC42" s="343" t="s">
        <v>289</v>
      </c>
      <c r="AD42" s="343">
        <v>16</v>
      </c>
      <c r="AE42" s="343">
        <v>21960</v>
      </c>
      <c r="AF42" s="343">
        <v>0</v>
      </c>
      <c r="AG42" s="343">
        <v>0</v>
      </c>
      <c r="AH42" s="343">
        <v>21960</v>
      </c>
      <c r="AI42" s="343">
        <v>1976.4</v>
      </c>
    </row>
    <row r="43" spans="1:35">
      <c r="A43" s="343">
        <v>20260226</v>
      </c>
      <c r="B43" s="343">
        <v>1730</v>
      </c>
      <c r="C43" s="343">
        <v>4</v>
      </c>
      <c r="D43" s="343">
        <v>8</v>
      </c>
      <c r="E43" s="384">
        <v>46079</v>
      </c>
      <c r="F43" s="343" t="s">
        <v>235</v>
      </c>
      <c r="G43" s="343" t="s">
        <v>134</v>
      </c>
      <c r="I43" s="343">
        <v>20260219</v>
      </c>
      <c r="J43" s="343">
        <v>11349</v>
      </c>
      <c r="K43" s="343">
        <v>63</v>
      </c>
      <c r="L43" s="343">
        <v>116</v>
      </c>
      <c r="M43" s="384">
        <v>46072</v>
      </c>
      <c r="N43" s="343" t="s">
        <v>235</v>
      </c>
      <c r="O43" s="343" t="s">
        <v>131</v>
      </c>
      <c r="Q43" s="343">
        <v>20260217</v>
      </c>
      <c r="R43" s="343">
        <v>10081</v>
      </c>
      <c r="S43" s="343">
        <v>30</v>
      </c>
      <c r="T43" s="343">
        <v>75</v>
      </c>
      <c r="U43" s="384">
        <v>46070</v>
      </c>
      <c r="V43" s="343" t="s">
        <v>233</v>
      </c>
      <c r="W43" s="343" t="s">
        <v>131</v>
      </c>
      <c r="Y43" s="343" t="s">
        <v>133</v>
      </c>
      <c r="Z43" s="343" t="s">
        <v>138</v>
      </c>
      <c r="AA43" s="384">
        <v>46104</v>
      </c>
      <c r="AB43" s="384">
        <v>46110</v>
      </c>
      <c r="AC43" s="343" t="s">
        <v>337</v>
      </c>
      <c r="AD43" s="343">
        <v>21</v>
      </c>
      <c r="AE43" s="343">
        <v>8713.2999999999993</v>
      </c>
      <c r="AF43" s="343">
        <v>0</v>
      </c>
      <c r="AG43" s="343">
        <v>0</v>
      </c>
      <c r="AH43" s="343">
        <v>8713.2999999999993</v>
      </c>
      <c r="AI43" s="343">
        <v>781.62</v>
      </c>
    </row>
    <row r="44" spans="1:35">
      <c r="A44" s="343">
        <v>20260227</v>
      </c>
      <c r="B44" s="343">
        <v>5521</v>
      </c>
      <c r="C44" s="343">
        <v>11</v>
      </c>
      <c r="D44" s="343">
        <v>20</v>
      </c>
      <c r="E44" s="384">
        <v>46080</v>
      </c>
      <c r="F44" s="343" t="s">
        <v>236</v>
      </c>
      <c r="G44" s="343" t="s">
        <v>134</v>
      </c>
      <c r="I44" s="343">
        <v>20260220</v>
      </c>
      <c r="J44" s="343">
        <v>21620</v>
      </c>
      <c r="K44" s="343">
        <v>86</v>
      </c>
      <c r="L44" s="343">
        <v>169</v>
      </c>
      <c r="M44" s="384">
        <v>46073</v>
      </c>
      <c r="N44" s="343" t="s">
        <v>236</v>
      </c>
      <c r="O44" s="343" t="s">
        <v>131</v>
      </c>
      <c r="Q44" s="343">
        <v>20260218</v>
      </c>
      <c r="R44" s="343">
        <v>28895</v>
      </c>
      <c r="S44" s="343">
        <v>123</v>
      </c>
      <c r="T44" s="343">
        <v>228</v>
      </c>
      <c r="U44" s="384">
        <v>46071</v>
      </c>
      <c r="V44" s="343" t="s">
        <v>234</v>
      </c>
      <c r="W44" s="343" t="s">
        <v>131</v>
      </c>
      <c r="Y44" s="343" t="s">
        <v>133</v>
      </c>
      <c r="Z44" s="343" t="s">
        <v>138</v>
      </c>
      <c r="AA44" s="384">
        <v>46104</v>
      </c>
      <c r="AB44" s="384">
        <v>46110</v>
      </c>
      <c r="AC44" s="343" t="s">
        <v>293</v>
      </c>
      <c r="AD44" s="343">
        <v>25</v>
      </c>
      <c r="AE44" s="343">
        <v>0</v>
      </c>
      <c r="AF44" s="343">
        <v>0</v>
      </c>
      <c r="AG44" s="343">
        <v>0</v>
      </c>
      <c r="AH44" s="343">
        <v>0</v>
      </c>
      <c r="AI44" s="343">
        <v>0</v>
      </c>
    </row>
    <row r="45" spans="1:35">
      <c r="A45" s="343">
        <v>20260228</v>
      </c>
      <c r="B45" s="343">
        <v>5806</v>
      </c>
      <c r="C45" s="343">
        <v>8</v>
      </c>
      <c r="D45" s="343">
        <v>20</v>
      </c>
      <c r="E45" s="384">
        <v>46081</v>
      </c>
      <c r="F45" s="343" t="s">
        <v>244</v>
      </c>
      <c r="G45" s="343" t="s">
        <v>134</v>
      </c>
      <c r="I45" s="343">
        <v>20260221</v>
      </c>
      <c r="J45" s="343">
        <v>19436.36</v>
      </c>
      <c r="K45" s="343">
        <v>118</v>
      </c>
      <c r="L45" s="343">
        <v>206</v>
      </c>
      <c r="M45" s="384">
        <v>46074</v>
      </c>
      <c r="N45" s="343" t="s">
        <v>244</v>
      </c>
      <c r="O45" s="343" t="s">
        <v>131</v>
      </c>
      <c r="Q45" s="343">
        <v>20260219</v>
      </c>
      <c r="R45" s="343">
        <v>69629</v>
      </c>
      <c r="S45" s="343">
        <v>223</v>
      </c>
      <c r="T45" s="343">
        <v>425</v>
      </c>
      <c r="U45" s="384">
        <v>46072</v>
      </c>
      <c r="V45" s="343" t="s">
        <v>235</v>
      </c>
      <c r="W45" s="343" t="s">
        <v>131</v>
      </c>
      <c r="Y45" s="343" t="s">
        <v>133</v>
      </c>
      <c r="Z45" s="343" t="s">
        <v>138</v>
      </c>
      <c r="AA45" s="384">
        <v>46104</v>
      </c>
      <c r="AB45" s="384">
        <v>46110</v>
      </c>
      <c r="AC45" s="343" t="s">
        <v>106</v>
      </c>
      <c r="AD45" s="343">
        <v>9</v>
      </c>
      <c r="AE45" s="343">
        <v>1568.55</v>
      </c>
      <c r="AF45" s="343">
        <v>0</v>
      </c>
      <c r="AG45" s="343">
        <v>0</v>
      </c>
      <c r="AH45" s="343">
        <v>1568.55</v>
      </c>
      <c r="AI45" s="343">
        <v>0</v>
      </c>
    </row>
    <row r="46" spans="1:35">
      <c r="A46" s="343">
        <v>20260303</v>
      </c>
      <c r="B46" s="343">
        <v>3475</v>
      </c>
      <c r="C46" s="343">
        <v>7</v>
      </c>
      <c r="D46" s="343">
        <v>10</v>
      </c>
      <c r="E46" s="384">
        <v>46084</v>
      </c>
      <c r="F46" s="343" t="s">
        <v>233</v>
      </c>
      <c r="G46" s="343" t="s">
        <v>135</v>
      </c>
      <c r="I46" s="343">
        <v>20260223</v>
      </c>
      <c r="J46" s="343">
        <v>38650</v>
      </c>
      <c r="K46" s="343">
        <v>33</v>
      </c>
      <c r="L46" s="343">
        <v>143</v>
      </c>
      <c r="M46" s="384">
        <v>46076</v>
      </c>
      <c r="N46" s="343" t="s">
        <v>232</v>
      </c>
      <c r="O46" s="343" t="s">
        <v>134</v>
      </c>
      <c r="Q46" s="343">
        <v>20260220</v>
      </c>
      <c r="R46" s="343">
        <v>62038.75</v>
      </c>
      <c r="S46" s="343">
        <v>201</v>
      </c>
      <c r="T46" s="343">
        <v>405</v>
      </c>
      <c r="U46" s="384">
        <v>46073</v>
      </c>
      <c r="V46" s="343" t="s">
        <v>236</v>
      </c>
      <c r="W46" s="343" t="s">
        <v>131</v>
      </c>
      <c r="Y46" s="343" t="s">
        <v>133</v>
      </c>
      <c r="Z46" s="343" t="s">
        <v>138</v>
      </c>
      <c r="AA46" s="384">
        <v>46104</v>
      </c>
      <c r="AB46" s="384">
        <v>46110</v>
      </c>
      <c r="AC46" s="343" t="s">
        <v>289</v>
      </c>
      <c r="AD46" s="343">
        <v>22</v>
      </c>
      <c r="AE46" s="343">
        <v>26965</v>
      </c>
      <c r="AF46" s="343">
        <v>0</v>
      </c>
      <c r="AG46" s="343">
        <v>0</v>
      </c>
      <c r="AH46" s="343">
        <v>26965</v>
      </c>
      <c r="AI46" s="343">
        <v>2426.85</v>
      </c>
    </row>
    <row r="47" spans="1:35">
      <c r="A47" s="343">
        <v>20260304</v>
      </c>
      <c r="B47" s="343">
        <v>1856</v>
      </c>
      <c r="C47" s="343">
        <v>5</v>
      </c>
      <c r="D47" s="343">
        <v>7</v>
      </c>
      <c r="E47" s="384">
        <v>46085</v>
      </c>
      <c r="F47" s="343" t="s">
        <v>234</v>
      </c>
      <c r="G47" s="343" t="s">
        <v>135</v>
      </c>
      <c r="I47" s="343">
        <v>20260224</v>
      </c>
      <c r="J47" s="343">
        <v>13287</v>
      </c>
      <c r="K47" s="343">
        <v>35</v>
      </c>
      <c r="L47" s="343">
        <v>85</v>
      </c>
      <c r="M47" s="384">
        <v>46077</v>
      </c>
      <c r="N47" s="343" t="s">
        <v>233</v>
      </c>
      <c r="O47" s="343" t="s">
        <v>134</v>
      </c>
      <c r="Q47" s="343">
        <v>20260221</v>
      </c>
      <c r="R47" s="343">
        <v>91381</v>
      </c>
      <c r="S47" s="343">
        <v>214</v>
      </c>
      <c r="T47" s="343">
        <v>435</v>
      </c>
      <c r="U47" s="384">
        <v>46074</v>
      </c>
      <c r="V47" s="343" t="s">
        <v>244</v>
      </c>
      <c r="W47" s="343" t="s">
        <v>131</v>
      </c>
      <c r="Y47" s="343" t="s">
        <v>140</v>
      </c>
      <c r="Z47" s="343" t="s">
        <v>141</v>
      </c>
      <c r="AA47" s="384">
        <v>46111</v>
      </c>
      <c r="AB47" s="384">
        <v>46117</v>
      </c>
      <c r="AC47" s="343" t="s">
        <v>337</v>
      </c>
      <c r="AD47" s="343">
        <v>4</v>
      </c>
      <c r="AE47" s="343">
        <v>2450</v>
      </c>
      <c r="AF47" s="343">
        <v>0</v>
      </c>
      <c r="AG47" s="343">
        <v>0</v>
      </c>
      <c r="AH47" s="343">
        <v>2450</v>
      </c>
      <c r="AI47" s="343">
        <v>220.5</v>
      </c>
    </row>
    <row r="48" spans="1:35">
      <c r="A48" s="343">
        <v>20260305</v>
      </c>
      <c r="B48" s="343">
        <v>5345</v>
      </c>
      <c r="C48" s="343">
        <v>10</v>
      </c>
      <c r="D48" s="343">
        <v>17</v>
      </c>
      <c r="E48" s="384">
        <v>46086</v>
      </c>
      <c r="F48" s="343" t="s">
        <v>235</v>
      </c>
      <c r="G48" s="343" t="s">
        <v>135</v>
      </c>
      <c r="I48" s="343">
        <v>20260225</v>
      </c>
      <c r="J48" s="343">
        <v>23884</v>
      </c>
      <c r="K48" s="343">
        <v>115</v>
      </c>
      <c r="L48" s="343">
        <v>245</v>
      </c>
      <c r="M48" s="384">
        <v>46078</v>
      </c>
      <c r="N48" s="343" t="s">
        <v>234</v>
      </c>
      <c r="O48" s="343" t="s">
        <v>134</v>
      </c>
      <c r="Q48" s="343">
        <v>20260223</v>
      </c>
      <c r="R48" s="343">
        <v>25035.05</v>
      </c>
      <c r="S48" s="343">
        <v>63</v>
      </c>
      <c r="T48" s="343">
        <v>173</v>
      </c>
      <c r="U48" s="384">
        <v>46076</v>
      </c>
      <c r="V48" s="343" t="s">
        <v>232</v>
      </c>
      <c r="W48" s="343" t="s">
        <v>134</v>
      </c>
      <c r="Y48" s="343" t="s">
        <v>140</v>
      </c>
      <c r="Z48" s="343" t="s">
        <v>141</v>
      </c>
      <c r="AA48" s="384">
        <v>46111</v>
      </c>
      <c r="AB48" s="384">
        <v>46117</v>
      </c>
      <c r="AC48" s="343" t="s">
        <v>335</v>
      </c>
      <c r="AD48" s="343">
        <v>0</v>
      </c>
      <c r="AE48" s="343">
        <v>-282.52999999999997</v>
      </c>
      <c r="AF48" s="343">
        <v>0</v>
      </c>
      <c r="AG48" s="343">
        <v>282.52999999999997</v>
      </c>
      <c r="AH48" s="343">
        <v>0</v>
      </c>
      <c r="AI48" s="343">
        <v>0</v>
      </c>
    </row>
    <row r="49" spans="1:35">
      <c r="A49" s="343">
        <v>20260306</v>
      </c>
      <c r="B49" s="343">
        <v>6454</v>
      </c>
      <c r="C49" s="343">
        <v>12</v>
      </c>
      <c r="D49" s="343">
        <v>22</v>
      </c>
      <c r="E49" s="384">
        <v>46087</v>
      </c>
      <c r="F49" s="343" t="s">
        <v>236</v>
      </c>
      <c r="G49" s="343" t="s">
        <v>135</v>
      </c>
      <c r="I49" s="343">
        <v>20260226</v>
      </c>
      <c r="J49" s="343">
        <v>10196</v>
      </c>
      <c r="K49" s="343">
        <v>42</v>
      </c>
      <c r="L49" s="343">
        <v>81</v>
      </c>
      <c r="M49" s="384">
        <v>46079</v>
      </c>
      <c r="N49" s="343" t="s">
        <v>235</v>
      </c>
      <c r="O49" s="343" t="s">
        <v>134</v>
      </c>
      <c r="Q49" s="343">
        <v>20260224</v>
      </c>
      <c r="R49" s="343">
        <v>37886.1</v>
      </c>
      <c r="S49" s="343">
        <v>71</v>
      </c>
      <c r="T49" s="343">
        <v>193</v>
      </c>
      <c r="U49" s="384">
        <v>46077</v>
      </c>
      <c r="V49" s="343" t="s">
        <v>233</v>
      </c>
      <c r="W49" s="343" t="s">
        <v>134</v>
      </c>
      <c r="Y49" s="343" t="s">
        <v>140</v>
      </c>
      <c r="Z49" s="343" t="s">
        <v>141</v>
      </c>
      <c r="AA49" s="384">
        <v>46111</v>
      </c>
      <c r="AB49" s="384">
        <v>46117</v>
      </c>
      <c r="AC49" s="343" t="s">
        <v>106</v>
      </c>
      <c r="AD49" s="343">
        <v>2</v>
      </c>
      <c r="AE49" s="343">
        <v>340.95</v>
      </c>
      <c r="AF49" s="343">
        <v>0</v>
      </c>
      <c r="AG49" s="343">
        <v>0</v>
      </c>
      <c r="AH49" s="343">
        <v>340.95</v>
      </c>
      <c r="AI49" s="343">
        <v>0</v>
      </c>
    </row>
    <row r="50" spans="1:35">
      <c r="A50" s="343">
        <v>20260307</v>
      </c>
      <c r="B50" s="343">
        <v>5479</v>
      </c>
      <c r="C50" s="343">
        <v>10</v>
      </c>
      <c r="D50" s="343">
        <v>20</v>
      </c>
      <c r="E50" s="384">
        <v>46088</v>
      </c>
      <c r="F50" s="343" t="s">
        <v>244</v>
      </c>
      <c r="G50" s="343" t="s">
        <v>135</v>
      </c>
      <c r="I50" s="343">
        <v>20260227</v>
      </c>
      <c r="J50" s="343">
        <v>33542.519999999997</v>
      </c>
      <c r="K50" s="343">
        <v>93</v>
      </c>
      <c r="L50" s="343">
        <v>188</v>
      </c>
      <c r="M50" s="384">
        <v>46080</v>
      </c>
      <c r="N50" s="343" t="s">
        <v>236</v>
      </c>
      <c r="O50" s="343" t="s">
        <v>134</v>
      </c>
      <c r="Q50" s="343">
        <v>20260225</v>
      </c>
      <c r="R50" s="343">
        <v>68053.600000000006</v>
      </c>
      <c r="S50" s="343">
        <v>114</v>
      </c>
      <c r="T50" s="343">
        <v>366</v>
      </c>
      <c r="U50" s="384">
        <v>46078</v>
      </c>
      <c r="V50" s="343" t="s">
        <v>234</v>
      </c>
      <c r="W50" s="343" t="s">
        <v>134</v>
      </c>
      <c r="Y50" s="343" t="s">
        <v>140</v>
      </c>
      <c r="Z50" s="343" t="s">
        <v>141</v>
      </c>
      <c r="AA50" s="384">
        <v>46111</v>
      </c>
      <c r="AB50" s="384">
        <v>46117</v>
      </c>
      <c r="AC50" s="343" t="s">
        <v>289</v>
      </c>
      <c r="AD50" s="343">
        <v>6</v>
      </c>
      <c r="AE50" s="343">
        <v>10360</v>
      </c>
      <c r="AF50" s="343">
        <v>0</v>
      </c>
      <c r="AG50" s="343">
        <v>0</v>
      </c>
      <c r="AH50" s="343">
        <v>10360</v>
      </c>
      <c r="AI50" s="343">
        <v>932.4</v>
      </c>
    </row>
    <row r="51" spans="1:35">
      <c r="A51" s="343">
        <v>20260310</v>
      </c>
      <c r="B51" s="343">
        <v>3152</v>
      </c>
      <c r="C51" s="343">
        <v>9</v>
      </c>
      <c r="D51" s="343">
        <v>14</v>
      </c>
      <c r="E51" s="384">
        <v>46091</v>
      </c>
      <c r="F51" s="343" t="s">
        <v>233</v>
      </c>
      <c r="G51" s="343" t="s">
        <v>136</v>
      </c>
      <c r="I51" s="343">
        <v>20260228</v>
      </c>
      <c r="J51" s="343">
        <v>33138</v>
      </c>
      <c r="K51" s="343">
        <v>111</v>
      </c>
      <c r="L51" s="343">
        <v>210</v>
      </c>
      <c r="M51" s="384">
        <v>46081</v>
      </c>
      <c r="N51" s="343" t="s">
        <v>244</v>
      </c>
      <c r="O51" s="343" t="s">
        <v>134</v>
      </c>
      <c r="Q51" s="343">
        <v>20260226</v>
      </c>
      <c r="R51" s="343">
        <v>78056.399999999994</v>
      </c>
      <c r="S51" s="343">
        <v>154</v>
      </c>
      <c r="T51" s="343">
        <v>346</v>
      </c>
      <c r="U51" s="384">
        <v>46079</v>
      </c>
      <c r="V51" s="343" t="s">
        <v>235</v>
      </c>
      <c r="W51" s="343" t="s">
        <v>134</v>
      </c>
      <c r="Y51" s="343" t="s">
        <v>140</v>
      </c>
      <c r="Z51" s="343" t="s">
        <v>142</v>
      </c>
      <c r="AA51" s="384">
        <v>46118</v>
      </c>
      <c r="AB51" s="384">
        <v>46124</v>
      </c>
      <c r="AC51" s="343" t="s">
        <v>337</v>
      </c>
      <c r="AD51" s="343">
        <v>9</v>
      </c>
      <c r="AE51" s="343">
        <v>1602</v>
      </c>
      <c r="AF51" s="343">
        <v>0</v>
      </c>
      <c r="AG51" s="343">
        <v>0</v>
      </c>
      <c r="AH51" s="343">
        <v>1602</v>
      </c>
      <c r="AI51" s="343">
        <v>144.18</v>
      </c>
    </row>
    <row r="52" spans="1:35">
      <c r="A52" s="343">
        <v>20260311</v>
      </c>
      <c r="B52" s="343">
        <v>2017</v>
      </c>
      <c r="C52" s="343">
        <v>7</v>
      </c>
      <c r="D52" s="343">
        <v>13</v>
      </c>
      <c r="E52" s="384">
        <v>46092</v>
      </c>
      <c r="F52" s="343" t="s">
        <v>234</v>
      </c>
      <c r="G52" s="343" t="s">
        <v>136</v>
      </c>
      <c r="I52" s="343">
        <v>20260303</v>
      </c>
      <c r="J52" s="343">
        <v>20158.349999999999</v>
      </c>
      <c r="K52" s="343">
        <v>36</v>
      </c>
      <c r="L52" s="343">
        <v>125</v>
      </c>
      <c r="M52" s="384">
        <v>46084</v>
      </c>
      <c r="N52" s="343" t="s">
        <v>233</v>
      </c>
      <c r="O52" s="343" t="s">
        <v>135</v>
      </c>
      <c r="Q52" s="343">
        <v>20260227</v>
      </c>
      <c r="R52" s="343">
        <v>87075.8</v>
      </c>
      <c r="S52" s="343">
        <v>168</v>
      </c>
      <c r="T52" s="343">
        <v>372</v>
      </c>
      <c r="U52" s="384">
        <v>46080</v>
      </c>
      <c r="V52" s="343" t="s">
        <v>236</v>
      </c>
      <c r="W52" s="343" t="s">
        <v>134</v>
      </c>
      <c r="Y52" s="343" t="s">
        <v>140</v>
      </c>
      <c r="Z52" s="343" t="s">
        <v>142</v>
      </c>
      <c r="AA52" s="384">
        <v>46118</v>
      </c>
      <c r="AB52" s="384">
        <v>46124</v>
      </c>
      <c r="AC52" s="343" t="s">
        <v>106</v>
      </c>
      <c r="AD52" s="343">
        <v>4</v>
      </c>
      <c r="AE52" s="343">
        <v>613.85</v>
      </c>
      <c r="AF52" s="343">
        <v>0</v>
      </c>
      <c r="AG52" s="343">
        <v>0</v>
      </c>
      <c r="AH52" s="343">
        <v>613.85</v>
      </c>
      <c r="AI52" s="343">
        <v>0</v>
      </c>
    </row>
    <row r="53" spans="1:35">
      <c r="A53" s="343">
        <v>20260312</v>
      </c>
      <c r="B53" s="343">
        <v>4477.01</v>
      </c>
      <c r="C53" s="343">
        <v>10</v>
      </c>
      <c r="D53" s="343">
        <v>16</v>
      </c>
      <c r="E53" s="384">
        <v>46093</v>
      </c>
      <c r="F53" s="343" t="s">
        <v>235</v>
      </c>
      <c r="G53" s="343" t="s">
        <v>136</v>
      </c>
      <c r="I53" s="343">
        <v>20260304</v>
      </c>
      <c r="J53" s="343">
        <v>16555.849999999999</v>
      </c>
      <c r="K53" s="343">
        <v>54</v>
      </c>
      <c r="L53" s="343">
        <v>130</v>
      </c>
      <c r="M53" s="384">
        <v>46085</v>
      </c>
      <c r="N53" s="343" t="s">
        <v>234</v>
      </c>
      <c r="O53" s="343" t="s">
        <v>135</v>
      </c>
      <c r="Q53" s="343">
        <v>20260228</v>
      </c>
      <c r="R53" s="343">
        <v>100512.65</v>
      </c>
      <c r="S53" s="343">
        <v>192</v>
      </c>
      <c r="T53" s="343">
        <v>440</v>
      </c>
      <c r="U53" s="384">
        <v>46081</v>
      </c>
      <c r="V53" s="343" t="s">
        <v>244</v>
      </c>
      <c r="W53" s="343" t="s">
        <v>134</v>
      </c>
      <c r="Y53" s="343" t="s">
        <v>140</v>
      </c>
      <c r="Z53" s="343" t="s">
        <v>142</v>
      </c>
      <c r="AA53" s="384">
        <v>46118</v>
      </c>
      <c r="AB53" s="384">
        <v>46124</v>
      </c>
      <c r="AC53" s="343" t="s">
        <v>289</v>
      </c>
      <c r="AD53" s="343">
        <v>17</v>
      </c>
      <c r="AE53" s="343">
        <v>31125</v>
      </c>
      <c r="AF53" s="343">
        <v>0</v>
      </c>
      <c r="AG53" s="343">
        <v>0</v>
      </c>
      <c r="AH53" s="343">
        <v>31125</v>
      </c>
      <c r="AI53" s="343">
        <v>2801.25</v>
      </c>
    </row>
    <row r="54" spans="1:35">
      <c r="A54" s="343">
        <v>20260313</v>
      </c>
      <c r="B54" s="343">
        <v>7894</v>
      </c>
      <c r="C54" s="343">
        <v>9</v>
      </c>
      <c r="D54" s="343">
        <v>20</v>
      </c>
      <c r="E54" s="384">
        <v>46094</v>
      </c>
      <c r="F54" s="343" t="s">
        <v>236</v>
      </c>
      <c r="G54" s="343" t="s">
        <v>136</v>
      </c>
      <c r="I54" s="343">
        <v>20260305</v>
      </c>
      <c r="J54" s="343">
        <v>16837.900000000001</v>
      </c>
      <c r="K54" s="343">
        <v>38</v>
      </c>
      <c r="L54" s="343">
        <v>108</v>
      </c>
      <c r="M54" s="384">
        <v>46086</v>
      </c>
      <c r="N54" s="343" t="s">
        <v>235</v>
      </c>
      <c r="O54" s="343" t="s">
        <v>135</v>
      </c>
      <c r="Q54" s="343">
        <v>20260302</v>
      </c>
      <c r="R54" s="343">
        <v>-531.91999999999996</v>
      </c>
      <c r="U54" s="384">
        <v>46083</v>
      </c>
      <c r="V54" s="343" t="s">
        <v>232</v>
      </c>
      <c r="W54" s="343" t="s">
        <v>135</v>
      </c>
      <c r="Y54" s="343" t="s">
        <v>140</v>
      </c>
      <c r="Z54" s="343" t="s">
        <v>143</v>
      </c>
      <c r="AA54" s="384">
        <v>46125</v>
      </c>
      <c r="AB54" s="384">
        <v>46131</v>
      </c>
      <c r="AC54" s="343" t="s">
        <v>337</v>
      </c>
      <c r="AD54" s="343">
        <v>16</v>
      </c>
      <c r="AE54" s="343">
        <v>16752</v>
      </c>
      <c r="AF54" s="343">
        <v>0</v>
      </c>
      <c r="AG54" s="343">
        <v>0</v>
      </c>
      <c r="AH54" s="343">
        <v>16752</v>
      </c>
      <c r="AI54" s="343">
        <v>1466.7</v>
      </c>
    </row>
    <row r="55" spans="1:35">
      <c r="A55" s="343">
        <v>20260314</v>
      </c>
      <c r="B55" s="343">
        <v>7244</v>
      </c>
      <c r="C55" s="343">
        <v>10</v>
      </c>
      <c r="D55" s="343">
        <v>16</v>
      </c>
      <c r="E55" s="384">
        <v>46095</v>
      </c>
      <c r="F55" s="343" t="s">
        <v>244</v>
      </c>
      <c r="G55" s="343" t="s">
        <v>136</v>
      </c>
      <c r="I55" s="343">
        <v>20260306</v>
      </c>
      <c r="J55" s="343">
        <v>30666.7</v>
      </c>
      <c r="K55" s="343">
        <v>78</v>
      </c>
      <c r="L55" s="343">
        <v>173</v>
      </c>
      <c r="M55" s="384">
        <v>46087</v>
      </c>
      <c r="N55" s="343" t="s">
        <v>236</v>
      </c>
      <c r="O55" s="343" t="s">
        <v>135</v>
      </c>
      <c r="Q55" s="343">
        <v>20260303</v>
      </c>
      <c r="R55" s="343">
        <v>20940.25</v>
      </c>
      <c r="S55" s="343">
        <v>58</v>
      </c>
      <c r="T55" s="343">
        <v>160</v>
      </c>
      <c r="U55" s="384">
        <v>46084</v>
      </c>
      <c r="V55" s="343" t="s">
        <v>233</v>
      </c>
      <c r="W55" s="343" t="s">
        <v>135</v>
      </c>
      <c r="Y55" s="343" t="s">
        <v>140</v>
      </c>
      <c r="Z55" s="343" t="s">
        <v>143</v>
      </c>
      <c r="AA55" s="384">
        <v>46125</v>
      </c>
      <c r="AB55" s="384">
        <v>46131</v>
      </c>
      <c r="AC55" s="343" t="s">
        <v>106</v>
      </c>
      <c r="AD55" s="343">
        <v>9</v>
      </c>
      <c r="AE55" s="343">
        <v>4748.05</v>
      </c>
      <c r="AF55" s="343">
        <v>0</v>
      </c>
      <c r="AG55" s="343">
        <v>0</v>
      </c>
      <c r="AH55" s="343">
        <v>4748.05</v>
      </c>
      <c r="AI55" s="343">
        <v>0</v>
      </c>
    </row>
    <row r="56" spans="1:35">
      <c r="A56" s="343">
        <v>20260317</v>
      </c>
      <c r="B56" s="343">
        <v>959</v>
      </c>
      <c r="C56" s="343">
        <v>2</v>
      </c>
      <c r="D56" s="343">
        <v>4</v>
      </c>
      <c r="E56" s="384">
        <v>46098</v>
      </c>
      <c r="F56" s="343" t="s">
        <v>233</v>
      </c>
      <c r="G56" s="343" t="s">
        <v>137</v>
      </c>
      <c r="I56" s="343">
        <v>20260307</v>
      </c>
      <c r="J56" s="343">
        <v>21248.5</v>
      </c>
      <c r="K56" s="343">
        <v>93</v>
      </c>
      <c r="L56" s="343">
        <v>159</v>
      </c>
      <c r="M56" s="384">
        <v>46088</v>
      </c>
      <c r="N56" s="343" t="s">
        <v>244</v>
      </c>
      <c r="O56" s="343" t="s">
        <v>135</v>
      </c>
      <c r="Q56" s="343">
        <v>20260304</v>
      </c>
      <c r="R56" s="343">
        <v>25188.33</v>
      </c>
      <c r="S56" s="343">
        <v>100</v>
      </c>
      <c r="T56" s="343">
        <v>201</v>
      </c>
      <c r="U56" s="384">
        <v>46085</v>
      </c>
      <c r="V56" s="343" t="s">
        <v>234</v>
      </c>
      <c r="W56" s="343" t="s">
        <v>135</v>
      </c>
      <c r="Y56" s="343" t="s">
        <v>140</v>
      </c>
      <c r="Z56" s="343" t="s">
        <v>143</v>
      </c>
      <c r="AA56" s="384">
        <v>46125</v>
      </c>
      <c r="AB56" s="384">
        <v>46131</v>
      </c>
      <c r="AC56" s="343" t="s">
        <v>289</v>
      </c>
      <c r="AD56" s="343">
        <v>13</v>
      </c>
      <c r="AE56" s="343">
        <v>15360</v>
      </c>
      <c r="AF56" s="343">
        <v>0</v>
      </c>
      <c r="AG56" s="343">
        <v>0</v>
      </c>
      <c r="AH56" s="343">
        <v>15360</v>
      </c>
      <c r="AI56" s="343">
        <v>1382.4</v>
      </c>
    </row>
    <row r="57" spans="1:35">
      <c r="A57" s="343">
        <v>20260318</v>
      </c>
      <c r="B57" s="343">
        <v>4557</v>
      </c>
      <c r="C57" s="343">
        <v>3</v>
      </c>
      <c r="D57" s="343">
        <v>9</v>
      </c>
      <c r="E57" s="384">
        <v>46099</v>
      </c>
      <c r="F57" s="343" t="s">
        <v>234</v>
      </c>
      <c r="G57" s="343" t="s">
        <v>137</v>
      </c>
      <c r="I57" s="343">
        <v>20260308</v>
      </c>
      <c r="J57" s="343">
        <v>11025</v>
      </c>
      <c r="K57" s="343">
        <v>1</v>
      </c>
      <c r="L57" s="343">
        <v>1</v>
      </c>
      <c r="M57" s="384">
        <v>46089</v>
      </c>
      <c r="N57" s="343" t="s">
        <v>245</v>
      </c>
      <c r="O57" s="343" t="s">
        <v>135</v>
      </c>
      <c r="Q57" s="343">
        <v>20260305</v>
      </c>
      <c r="R57" s="343">
        <v>76487</v>
      </c>
      <c r="S57" s="343">
        <v>163</v>
      </c>
      <c r="T57" s="343">
        <v>379</v>
      </c>
      <c r="U57" s="384">
        <v>46086</v>
      </c>
      <c r="V57" s="343" t="s">
        <v>235</v>
      </c>
      <c r="W57" s="343" t="s">
        <v>135</v>
      </c>
      <c r="Y57" s="343" t="s">
        <v>140</v>
      </c>
      <c r="Z57" s="343" t="s">
        <v>144</v>
      </c>
      <c r="AA57" s="384">
        <v>46132</v>
      </c>
      <c r="AB57" s="384">
        <v>46138</v>
      </c>
      <c r="AC57" s="343" t="s">
        <v>337</v>
      </c>
      <c r="AD57" s="343">
        <v>9</v>
      </c>
      <c r="AE57" s="343">
        <v>1061</v>
      </c>
      <c r="AF57" s="343">
        <v>0</v>
      </c>
      <c r="AG57" s="343">
        <v>0</v>
      </c>
      <c r="AH57" s="343">
        <v>1061</v>
      </c>
      <c r="AI57" s="343">
        <v>93.73</v>
      </c>
    </row>
    <row r="58" spans="1:35">
      <c r="A58" s="343">
        <v>20260319</v>
      </c>
      <c r="B58" s="343">
        <v>3352.43</v>
      </c>
      <c r="C58" s="343">
        <v>8</v>
      </c>
      <c r="D58" s="343">
        <v>9</v>
      </c>
      <c r="E58" s="384">
        <v>46100</v>
      </c>
      <c r="F58" s="343" t="s">
        <v>235</v>
      </c>
      <c r="G58" s="343" t="s">
        <v>137</v>
      </c>
      <c r="I58" s="343">
        <v>20260309</v>
      </c>
      <c r="J58" s="343">
        <v>14756.2</v>
      </c>
      <c r="K58" s="343">
        <v>17</v>
      </c>
      <c r="L58" s="343">
        <v>88</v>
      </c>
      <c r="M58" s="384">
        <v>46090</v>
      </c>
      <c r="N58" s="343" t="s">
        <v>232</v>
      </c>
      <c r="O58" s="343" t="s">
        <v>136</v>
      </c>
      <c r="Q58" s="343">
        <v>20260306</v>
      </c>
      <c r="R58" s="343">
        <v>85011.4</v>
      </c>
      <c r="S58" s="343">
        <v>296</v>
      </c>
      <c r="T58" s="343">
        <v>490</v>
      </c>
      <c r="U58" s="384">
        <v>46087</v>
      </c>
      <c r="V58" s="343" t="s">
        <v>236</v>
      </c>
      <c r="W58" s="343" t="s">
        <v>135</v>
      </c>
      <c r="Y58" s="343" t="s">
        <v>140</v>
      </c>
      <c r="Z58" s="343" t="s">
        <v>144</v>
      </c>
      <c r="AA58" s="384">
        <v>46132</v>
      </c>
      <c r="AB58" s="384">
        <v>46138</v>
      </c>
      <c r="AC58" s="343" t="s">
        <v>106</v>
      </c>
      <c r="AD58" s="343">
        <v>9</v>
      </c>
      <c r="AE58" s="343">
        <v>1649.25</v>
      </c>
      <c r="AF58" s="343">
        <v>0</v>
      </c>
      <c r="AG58" s="343">
        <v>0</v>
      </c>
      <c r="AH58" s="343">
        <v>1649.25</v>
      </c>
      <c r="AI58" s="343">
        <v>0</v>
      </c>
    </row>
    <row r="59" spans="1:35">
      <c r="A59" s="343">
        <v>20260320</v>
      </c>
      <c r="B59" s="343">
        <v>6515</v>
      </c>
      <c r="C59" s="343">
        <v>14</v>
      </c>
      <c r="D59" s="343">
        <v>23</v>
      </c>
      <c r="E59" s="384">
        <v>46101</v>
      </c>
      <c r="F59" s="343" t="s">
        <v>236</v>
      </c>
      <c r="G59" s="343" t="s">
        <v>137</v>
      </c>
      <c r="I59" s="343">
        <v>20260310</v>
      </c>
      <c r="J59" s="343">
        <v>18188</v>
      </c>
      <c r="K59" s="343">
        <v>46</v>
      </c>
      <c r="L59" s="343">
        <v>142</v>
      </c>
      <c r="M59" s="384">
        <v>46091</v>
      </c>
      <c r="N59" s="343" t="s">
        <v>233</v>
      </c>
      <c r="O59" s="343" t="s">
        <v>136</v>
      </c>
      <c r="Q59" s="343">
        <v>20260307</v>
      </c>
      <c r="R59" s="343">
        <v>81482.289999999994</v>
      </c>
      <c r="S59" s="343">
        <v>181</v>
      </c>
      <c r="T59" s="343">
        <v>437</v>
      </c>
      <c r="U59" s="384">
        <v>46088</v>
      </c>
      <c r="V59" s="343" t="s">
        <v>244</v>
      </c>
      <c r="W59" s="343" t="s">
        <v>135</v>
      </c>
      <c r="Y59" s="343" t="s">
        <v>140</v>
      </c>
      <c r="Z59" s="343" t="s">
        <v>144</v>
      </c>
      <c r="AA59" s="384">
        <v>46132</v>
      </c>
      <c r="AB59" s="384">
        <v>46138</v>
      </c>
      <c r="AC59" s="343" t="s">
        <v>289</v>
      </c>
      <c r="AD59" s="343">
        <v>23</v>
      </c>
      <c r="AE59" s="343">
        <v>22775</v>
      </c>
      <c r="AF59" s="343">
        <v>0</v>
      </c>
      <c r="AG59" s="343">
        <v>0</v>
      </c>
      <c r="AH59" s="343">
        <v>22775</v>
      </c>
      <c r="AI59" s="343">
        <v>2049.75</v>
      </c>
    </row>
    <row r="60" spans="1:35">
      <c r="A60" s="343">
        <v>20260321</v>
      </c>
      <c r="B60" s="343">
        <v>6750</v>
      </c>
      <c r="C60" s="343">
        <v>10</v>
      </c>
      <c r="D60" s="343">
        <v>21</v>
      </c>
      <c r="E60" s="384">
        <v>46102</v>
      </c>
      <c r="F60" s="343" t="s">
        <v>244</v>
      </c>
      <c r="G60" s="343" t="s">
        <v>137</v>
      </c>
      <c r="I60" s="343">
        <v>20260311</v>
      </c>
      <c r="J60" s="343">
        <v>8595</v>
      </c>
      <c r="K60" s="343">
        <v>97</v>
      </c>
      <c r="L60" s="343">
        <v>162</v>
      </c>
      <c r="M60" s="384">
        <v>46092</v>
      </c>
      <c r="N60" s="343" t="s">
        <v>234</v>
      </c>
      <c r="O60" s="343" t="s">
        <v>136</v>
      </c>
      <c r="Q60" s="343">
        <v>20260309</v>
      </c>
      <c r="R60" s="343">
        <v>12857</v>
      </c>
      <c r="S60" s="343">
        <v>38</v>
      </c>
      <c r="T60" s="343">
        <v>130</v>
      </c>
      <c r="U60" s="384">
        <v>46090</v>
      </c>
      <c r="V60" s="343" t="s">
        <v>232</v>
      </c>
      <c r="W60" s="343" t="s">
        <v>136</v>
      </c>
      <c r="Y60" s="343" t="s">
        <v>146</v>
      </c>
      <c r="Z60" s="343" t="s">
        <v>147</v>
      </c>
      <c r="AA60" s="384">
        <v>46139</v>
      </c>
      <c r="AB60" s="384">
        <v>46145</v>
      </c>
      <c r="AC60" s="343" t="s">
        <v>337</v>
      </c>
      <c r="AD60" s="343">
        <v>23</v>
      </c>
      <c r="AE60" s="343">
        <v>24216.66</v>
      </c>
      <c r="AF60" s="343">
        <v>0</v>
      </c>
      <c r="AG60" s="343">
        <v>0</v>
      </c>
      <c r="AH60" s="343">
        <v>24216.66</v>
      </c>
      <c r="AI60" s="343">
        <v>2137.79</v>
      </c>
    </row>
    <row r="61" spans="1:35">
      <c r="A61" s="343">
        <v>20260324</v>
      </c>
      <c r="B61" s="343">
        <v>3827</v>
      </c>
      <c r="C61" s="343">
        <v>6</v>
      </c>
      <c r="D61" s="343">
        <v>14</v>
      </c>
      <c r="E61" s="384">
        <v>46105</v>
      </c>
      <c r="F61" s="343" t="s">
        <v>233</v>
      </c>
      <c r="G61" s="343" t="s">
        <v>138</v>
      </c>
      <c r="I61" s="343">
        <v>20260312</v>
      </c>
      <c r="J61" s="343">
        <v>16433</v>
      </c>
      <c r="K61" s="343">
        <v>52</v>
      </c>
      <c r="L61" s="343">
        <v>101</v>
      </c>
      <c r="M61" s="384">
        <v>46093</v>
      </c>
      <c r="N61" s="343" t="s">
        <v>235</v>
      </c>
      <c r="O61" s="343" t="s">
        <v>136</v>
      </c>
      <c r="Q61" s="343">
        <v>20260310</v>
      </c>
      <c r="R61" s="343">
        <v>21147.4</v>
      </c>
      <c r="S61" s="343">
        <v>83</v>
      </c>
      <c r="T61" s="343">
        <v>155</v>
      </c>
      <c r="U61" s="384">
        <v>46091</v>
      </c>
      <c r="V61" s="343" t="s">
        <v>233</v>
      </c>
      <c r="W61" s="343" t="s">
        <v>136</v>
      </c>
      <c r="Y61" s="343" t="s">
        <v>146</v>
      </c>
      <c r="Z61" s="343" t="s">
        <v>147</v>
      </c>
      <c r="AA61" s="384">
        <v>46139</v>
      </c>
      <c r="AB61" s="384">
        <v>46145</v>
      </c>
      <c r="AC61" s="343" t="s">
        <v>106</v>
      </c>
      <c r="AD61" s="343">
        <v>14</v>
      </c>
      <c r="AE61" s="343">
        <v>7521.53</v>
      </c>
      <c r="AF61" s="343">
        <v>0</v>
      </c>
      <c r="AG61" s="343">
        <v>0</v>
      </c>
      <c r="AH61" s="343">
        <v>7521.53</v>
      </c>
      <c r="AI61" s="343">
        <v>0</v>
      </c>
    </row>
    <row r="62" spans="1:35">
      <c r="A62" s="343">
        <v>20260325</v>
      </c>
      <c r="B62" s="343">
        <v>2529.6</v>
      </c>
      <c r="C62" s="343">
        <v>7</v>
      </c>
      <c r="D62" s="343">
        <v>14</v>
      </c>
      <c r="E62" s="384">
        <v>46106</v>
      </c>
      <c r="F62" s="343" t="s">
        <v>234</v>
      </c>
      <c r="G62" s="343" t="s">
        <v>138</v>
      </c>
      <c r="I62" s="343">
        <v>20260313</v>
      </c>
      <c r="J62" s="343">
        <v>15555</v>
      </c>
      <c r="K62" s="343">
        <v>83</v>
      </c>
      <c r="L62" s="343">
        <v>143</v>
      </c>
      <c r="M62" s="384">
        <v>46094</v>
      </c>
      <c r="N62" s="343" t="s">
        <v>236</v>
      </c>
      <c r="O62" s="343" t="s">
        <v>136</v>
      </c>
      <c r="Q62" s="343">
        <v>20260311</v>
      </c>
      <c r="R62" s="343">
        <v>12025</v>
      </c>
      <c r="S62" s="343">
        <v>56</v>
      </c>
      <c r="T62" s="343">
        <v>133</v>
      </c>
      <c r="U62" s="384">
        <v>46092</v>
      </c>
      <c r="V62" s="343" t="s">
        <v>234</v>
      </c>
      <c r="W62" s="343" t="s">
        <v>136</v>
      </c>
      <c r="Y62" s="343" t="s">
        <v>146</v>
      </c>
      <c r="Z62" s="343" t="s">
        <v>147</v>
      </c>
      <c r="AA62" s="384">
        <v>46139</v>
      </c>
      <c r="AB62" s="384">
        <v>46145</v>
      </c>
      <c r="AC62" s="343" t="s">
        <v>289</v>
      </c>
      <c r="AD62" s="343">
        <v>1</v>
      </c>
      <c r="AE62" s="343">
        <v>1005</v>
      </c>
      <c r="AF62" s="343">
        <v>0</v>
      </c>
      <c r="AG62" s="343">
        <v>0</v>
      </c>
      <c r="AH62" s="343">
        <v>1005</v>
      </c>
      <c r="AI62" s="343">
        <v>90.45</v>
      </c>
    </row>
    <row r="63" spans="1:35">
      <c r="A63" s="343">
        <v>20260326</v>
      </c>
      <c r="B63" s="343">
        <v>6080</v>
      </c>
      <c r="C63" s="343">
        <v>10</v>
      </c>
      <c r="D63" s="343">
        <v>21</v>
      </c>
      <c r="E63" s="384">
        <v>46107</v>
      </c>
      <c r="F63" s="343" t="s">
        <v>235</v>
      </c>
      <c r="G63" s="343" t="s">
        <v>138</v>
      </c>
      <c r="I63" s="343">
        <v>20260314</v>
      </c>
      <c r="J63" s="343">
        <v>11404</v>
      </c>
      <c r="K63" s="343">
        <v>62</v>
      </c>
      <c r="L63" s="343">
        <v>106</v>
      </c>
      <c r="M63" s="384">
        <v>46095</v>
      </c>
      <c r="N63" s="343" t="s">
        <v>244</v>
      </c>
      <c r="O63" s="343" t="s">
        <v>136</v>
      </c>
      <c r="Q63" s="343">
        <v>20260312</v>
      </c>
      <c r="R63" s="343">
        <v>50809.5</v>
      </c>
      <c r="S63" s="343">
        <v>137</v>
      </c>
      <c r="T63" s="343">
        <v>314</v>
      </c>
      <c r="U63" s="384">
        <v>46093</v>
      </c>
      <c r="V63" s="343" t="s">
        <v>235</v>
      </c>
      <c r="W63" s="343" t="s">
        <v>136</v>
      </c>
      <c r="Y63" s="343" t="s">
        <v>146</v>
      </c>
      <c r="Z63" s="343" t="s">
        <v>148</v>
      </c>
      <c r="AA63" s="384">
        <v>46146</v>
      </c>
      <c r="AB63" s="384">
        <v>46152</v>
      </c>
      <c r="AC63" s="343" t="s">
        <v>337</v>
      </c>
      <c r="AD63" s="343">
        <v>18</v>
      </c>
      <c r="AE63" s="343">
        <v>8126.33</v>
      </c>
      <c r="AF63" s="343">
        <v>0</v>
      </c>
      <c r="AG63" s="343">
        <v>0</v>
      </c>
      <c r="AH63" s="343">
        <v>8126.33</v>
      </c>
      <c r="AI63" s="343">
        <v>661.5</v>
      </c>
    </row>
    <row r="64" spans="1:35">
      <c r="A64" s="343">
        <v>20260327</v>
      </c>
      <c r="B64" s="343">
        <v>7332</v>
      </c>
      <c r="C64" s="343">
        <v>10</v>
      </c>
      <c r="D64" s="343">
        <v>21</v>
      </c>
      <c r="E64" s="384">
        <v>46108</v>
      </c>
      <c r="F64" s="343" t="s">
        <v>236</v>
      </c>
      <c r="G64" s="343" t="s">
        <v>138</v>
      </c>
      <c r="I64" s="343">
        <v>20260316</v>
      </c>
      <c r="J64" s="343">
        <v>7067</v>
      </c>
      <c r="K64" s="343">
        <v>18</v>
      </c>
      <c r="L64" s="343">
        <v>53</v>
      </c>
      <c r="M64" s="384">
        <v>46097</v>
      </c>
      <c r="N64" s="343" t="s">
        <v>232</v>
      </c>
      <c r="O64" s="343" t="s">
        <v>137</v>
      </c>
      <c r="Q64" s="343">
        <v>20260313</v>
      </c>
      <c r="R64" s="343">
        <v>48986.75</v>
      </c>
      <c r="S64" s="343">
        <v>243</v>
      </c>
      <c r="T64" s="343">
        <v>424</v>
      </c>
      <c r="U64" s="384">
        <v>46094</v>
      </c>
      <c r="V64" s="343" t="s">
        <v>236</v>
      </c>
      <c r="W64" s="343" t="s">
        <v>136</v>
      </c>
      <c r="Y64" s="343" t="s">
        <v>146</v>
      </c>
      <c r="Z64" s="343" t="s">
        <v>148</v>
      </c>
      <c r="AA64" s="384">
        <v>46146</v>
      </c>
      <c r="AB64" s="384">
        <v>46152</v>
      </c>
      <c r="AC64" s="343" t="s">
        <v>293</v>
      </c>
      <c r="AD64" s="343">
        <v>887</v>
      </c>
      <c r="AE64" s="343">
        <v>38610</v>
      </c>
      <c r="AF64" s="343">
        <v>0</v>
      </c>
      <c r="AG64" s="343">
        <v>0</v>
      </c>
      <c r="AH64" s="343">
        <v>38610</v>
      </c>
      <c r="AI64" s="343">
        <v>3474.9</v>
      </c>
    </row>
    <row r="65" spans="1:35">
      <c r="A65" s="343">
        <v>20260328</v>
      </c>
      <c r="B65" s="343">
        <v>7578</v>
      </c>
      <c r="C65" s="343">
        <v>7</v>
      </c>
      <c r="D65" s="343">
        <v>20</v>
      </c>
      <c r="E65" s="384">
        <v>46109</v>
      </c>
      <c r="F65" s="343" t="s">
        <v>244</v>
      </c>
      <c r="G65" s="343" t="s">
        <v>138</v>
      </c>
      <c r="I65" s="343">
        <v>20260317</v>
      </c>
      <c r="J65" s="343">
        <v>26692</v>
      </c>
      <c r="K65" s="343">
        <v>51</v>
      </c>
      <c r="L65" s="343">
        <v>166</v>
      </c>
      <c r="M65" s="384">
        <v>46098</v>
      </c>
      <c r="N65" s="343" t="s">
        <v>233</v>
      </c>
      <c r="O65" s="343" t="s">
        <v>137</v>
      </c>
      <c r="Q65" s="343">
        <v>20260314</v>
      </c>
      <c r="R65" s="343">
        <v>53714</v>
      </c>
      <c r="S65" s="343">
        <v>140</v>
      </c>
      <c r="T65" s="343">
        <v>316</v>
      </c>
      <c r="U65" s="384">
        <v>46095</v>
      </c>
      <c r="V65" s="343" t="s">
        <v>244</v>
      </c>
      <c r="W65" s="343" t="s">
        <v>136</v>
      </c>
      <c r="Y65" s="343" t="s">
        <v>146</v>
      </c>
      <c r="Z65" s="343" t="s">
        <v>148</v>
      </c>
      <c r="AA65" s="384">
        <v>46146</v>
      </c>
      <c r="AB65" s="384">
        <v>46152</v>
      </c>
      <c r="AC65" s="343" t="s">
        <v>106</v>
      </c>
      <c r="AD65" s="343">
        <v>11</v>
      </c>
      <c r="AE65" s="343">
        <v>11912.47</v>
      </c>
      <c r="AF65" s="343">
        <v>0</v>
      </c>
      <c r="AG65" s="343">
        <v>0</v>
      </c>
      <c r="AH65" s="343">
        <v>11912.47</v>
      </c>
      <c r="AI65" s="343">
        <v>0</v>
      </c>
    </row>
    <row r="66" spans="1:35">
      <c r="A66" s="343">
        <v>20260331</v>
      </c>
      <c r="B66" s="343">
        <v>6769</v>
      </c>
      <c r="C66" s="343">
        <v>7</v>
      </c>
      <c r="D66" s="343">
        <v>21</v>
      </c>
      <c r="E66" s="384">
        <v>46112</v>
      </c>
      <c r="F66" s="343" t="s">
        <v>233</v>
      </c>
      <c r="G66" s="343" t="s">
        <v>141</v>
      </c>
      <c r="I66" s="343">
        <v>20260318</v>
      </c>
      <c r="J66" s="343">
        <v>18306</v>
      </c>
      <c r="K66" s="343">
        <v>64</v>
      </c>
      <c r="L66" s="343">
        <v>155</v>
      </c>
      <c r="M66" s="384">
        <v>46099</v>
      </c>
      <c r="N66" s="343" t="s">
        <v>234</v>
      </c>
      <c r="O66" s="343" t="s">
        <v>137</v>
      </c>
      <c r="Q66" s="343">
        <v>20260316</v>
      </c>
      <c r="R66" s="343">
        <v>12444</v>
      </c>
      <c r="S66" s="343">
        <v>57</v>
      </c>
      <c r="T66" s="343">
        <v>123</v>
      </c>
      <c r="U66" s="384">
        <v>46097</v>
      </c>
      <c r="V66" s="343" t="s">
        <v>232</v>
      </c>
      <c r="W66" s="343" t="s">
        <v>137</v>
      </c>
      <c r="Y66" s="343" t="s">
        <v>146</v>
      </c>
      <c r="Z66" s="343" t="s">
        <v>148</v>
      </c>
      <c r="AA66" s="384">
        <v>46146</v>
      </c>
      <c r="AB66" s="384">
        <v>46152</v>
      </c>
      <c r="AC66" s="343" t="s">
        <v>289</v>
      </c>
      <c r="AD66" s="343">
        <v>15</v>
      </c>
      <c r="AE66" s="343">
        <v>20760</v>
      </c>
      <c r="AF66" s="343">
        <v>0</v>
      </c>
      <c r="AG66" s="343">
        <v>0</v>
      </c>
      <c r="AH66" s="343">
        <v>20760</v>
      </c>
      <c r="AI66" s="343">
        <v>1868.4</v>
      </c>
    </row>
    <row r="67" spans="1:35">
      <c r="A67" s="343">
        <v>20260401</v>
      </c>
      <c r="B67" s="343">
        <v>3202</v>
      </c>
      <c r="C67" s="343">
        <v>8</v>
      </c>
      <c r="D67" s="343">
        <v>11</v>
      </c>
      <c r="E67" s="384">
        <v>46113</v>
      </c>
      <c r="F67" s="343" t="s">
        <v>234</v>
      </c>
      <c r="G67" s="343" t="s">
        <v>141</v>
      </c>
      <c r="I67" s="343">
        <v>20260319</v>
      </c>
      <c r="J67" s="343">
        <v>14870</v>
      </c>
      <c r="K67" s="343">
        <v>54</v>
      </c>
      <c r="L67" s="343">
        <v>105</v>
      </c>
      <c r="M67" s="384">
        <v>46100</v>
      </c>
      <c r="N67" s="343" t="s">
        <v>235</v>
      </c>
      <c r="O67" s="343" t="s">
        <v>137</v>
      </c>
      <c r="Q67" s="343">
        <v>20260317</v>
      </c>
      <c r="R67" s="343">
        <v>23642.7</v>
      </c>
      <c r="S67" s="343">
        <v>79</v>
      </c>
      <c r="T67" s="343">
        <v>340</v>
      </c>
      <c r="U67" s="384">
        <v>46098</v>
      </c>
      <c r="V67" s="343" t="s">
        <v>233</v>
      </c>
      <c r="W67" s="343" t="s">
        <v>137</v>
      </c>
      <c r="Y67" s="343" t="s">
        <v>146</v>
      </c>
      <c r="Z67" s="343" t="s">
        <v>149</v>
      </c>
      <c r="AA67" s="384">
        <v>46153</v>
      </c>
      <c r="AB67" s="384">
        <v>46159</v>
      </c>
      <c r="AC67" s="343" t="s">
        <v>106</v>
      </c>
      <c r="AD67" s="343">
        <v>5</v>
      </c>
      <c r="AE67" s="343">
        <v>3039.55</v>
      </c>
      <c r="AF67" s="343">
        <v>0</v>
      </c>
      <c r="AG67" s="343">
        <v>0</v>
      </c>
      <c r="AH67" s="343">
        <v>3039.55</v>
      </c>
      <c r="AI67" s="343">
        <v>0</v>
      </c>
    </row>
    <row r="68" spans="1:35">
      <c r="A68" s="343">
        <v>20260402</v>
      </c>
      <c r="B68" s="343">
        <v>1913</v>
      </c>
      <c r="C68" s="343">
        <v>6</v>
      </c>
      <c r="D68" s="343">
        <v>10</v>
      </c>
      <c r="E68" s="384">
        <v>46114</v>
      </c>
      <c r="F68" s="343" t="s">
        <v>235</v>
      </c>
      <c r="G68" s="343" t="s">
        <v>141</v>
      </c>
      <c r="I68" s="343">
        <v>20260320</v>
      </c>
      <c r="J68" s="343">
        <v>27940.799999999999</v>
      </c>
      <c r="K68" s="343">
        <v>50</v>
      </c>
      <c r="L68" s="343">
        <v>199</v>
      </c>
      <c r="M68" s="384">
        <v>46101</v>
      </c>
      <c r="N68" s="343" t="s">
        <v>236</v>
      </c>
      <c r="O68" s="343" t="s">
        <v>137</v>
      </c>
      <c r="Q68" s="343">
        <v>20260318</v>
      </c>
      <c r="R68" s="343">
        <v>49968</v>
      </c>
      <c r="S68" s="343">
        <v>126</v>
      </c>
      <c r="T68" s="343">
        <v>278</v>
      </c>
      <c r="U68" s="384">
        <v>46099</v>
      </c>
      <c r="V68" s="343" t="s">
        <v>234</v>
      </c>
      <c r="W68" s="343" t="s">
        <v>137</v>
      </c>
      <c r="Y68" s="343" t="s">
        <v>146</v>
      </c>
      <c r="Z68" s="343" t="s">
        <v>149</v>
      </c>
      <c r="AA68" s="384">
        <v>46153</v>
      </c>
      <c r="AB68" s="384">
        <v>46159</v>
      </c>
      <c r="AC68" s="343" t="s">
        <v>289</v>
      </c>
      <c r="AD68" s="343">
        <v>9</v>
      </c>
      <c r="AE68" s="343">
        <v>7880</v>
      </c>
      <c r="AF68" s="343">
        <v>0</v>
      </c>
      <c r="AG68" s="343">
        <v>0</v>
      </c>
      <c r="AH68" s="343">
        <v>7880</v>
      </c>
      <c r="AI68" s="343">
        <v>709.2</v>
      </c>
    </row>
    <row r="69" spans="1:35">
      <c r="A69" s="343">
        <v>20260403</v>
      </c>
      <c r="B69" s="343">
        <v>8157.85</v>
      </c>
      <c r="C69" s="343">
        <v>8</v>
      </c>
      <c r="D69" s="343">
        <v>19</v>
      </c>
      <c r="E69" s="384">
        <v>46115</v>
      </c>
      <c r="F69" s="343" t="s">
        <v>236</v>
      </c>
      <c r="G69" s="343" t="s">
        <v>141</v>
      </c>
      <c r="I69" s="343">
        <v>20260321</v>
      </c>
      <c r="J69" s="343">
        <v>29217.7</v>
      </c>
      <c r="K69" s="343">
        <v>64</v>
      </c>
      <c r="L69" s="343">
        <v>178</v>
      </c>
      <c r="M69" s="384">
        <v>46102</v>
      </c>
      <c r="N69" s="343" t="s">
        <v>244</v>
      </c>
      <c r="O69" s="343" t="s">
        <v>137</v>
      </c>
      <c r="Q69" s="343">
        <v>20260319</v>
      </c>
      <c r="R69" s="343">
        <v>63957</v>
      </c>
      <c r="S69" s="343">
        <v>175</v>
      </c>
      <c r="T69" s="343">
        <v>367</v>
      </c>
      <c r="U69" s="384">
        <v>46100</v>
      </c>
      <c r="V69" s="343" t="s">
        <v>235</v>
      </c>
      <c r="W69" s="343" t="s">
        <v>137</v>
      </c>
      <c r="Y69" s="343" t="s">
        <v>146</v>
      </c>
      <c r="Z69" s="343" t="s">
        <v>150</v>
      </c>
      <c r="AA69" s="384">
        <v>46160</v>
      </c>
      <c r="AB69" s="384">
        <v>46166</v>
      </c>
      <c r="AC69" s="343" t="s">
        <v>337</v>
      </c>
      <c r="AD69" s="343">
        <v>13</v>
      </c>
      <c r="AE69" s="343">
        <v>4372.01</v>
      </c>
      <c r="AF69" s="343">
        <v>0</v>
      </c>
      <c r="AG69" s="343">
        <v>0</v>
      </c>
      <c r="AH69" s="343">
        <v>4372.01</v>
      </c>
      <c r="AI69" s="343">
        <v>393.48</v>
      </c>
    </row>
    <row r="70" spans="1:35">
      <c r="A70" s="343">
        <v>20260404</v>
      </c>
      <c r="B70" s="343">
        <v>6893</v>
      </c>
      <c r="C70" s="343">
        <v>10</v>
      </c>
      <c r="D70" s="343">
        <v>21</v>
      </c>
      <c r="E70" s="384">
        <v>46116</v>
      </c>
      <c r="F70" s="343" t="s">
        <v>244</v>
      </c>
      <c r="G70" s="343" t="s">
        <v>141</v>
      </c>
      <c r="I70" s="343">
        <v>20260324</v>
      </c>
      <c r="J70" s="343">
        <v>6437.4</v>
      </c>
      <c r="K70" s="343">
        <v>21</v>
      </c>
      <c r="L70" s="343">
        <v>52</v>
      </c>
      <c r="M70" s="384">
        <v>46105</v>
      </c>
      <c r="N70" s="343" t="s">
        <v>233</v>
      </c>
      <c r="O70" s="343" t="s">
        <v>138</v>
      </c>
      <c r="Q70" s="343">
        <v>20260320</v>
      </c>
      <c r="R70" s="343">
        <v>99212.7</v>
      </c>
      <c r="S70" s="343">
        <v>218</v>
      </c>
      <c r="T70" s="343">
        <v>423</v>
      </c>
      <c r="U70" s="384">
        <v>46101</v>
      </c>
      <c r="V70" s="343" t="s">
        <v>236</v>
      </c>
      <c r="W70" s="343" t="s">
        <v>137</v>
      </c>
      <c r="Y70" s="343" t="s">
        <v>146</v>
      </c>
      <c r="Z70" s="343" t="s">
        <v>150</v>
      </c>
      <c r="AA70" s="384">
        <v>46160</v>
      </c>
      <c r="AB70" s="384">
        <v>46166</v>
      </c>
      <c r="AC70" s="343" t="s">
        <v>106</v>
      </c>
      <c r="AD70" s="343">
        <v>5</v>
      </c>
      <c r="AE70" s="343">
        <v>807.8</v>
      </c>
      <c r="AF70" s="343">
        <v>0</v>
      </c>
      <c r="AG70" s="343">
        <v>0</v>
      </c>
      <c r="AH70" s="343">
        <v>807.8</v>
      </c>
      <c r="AI70" s="343">
        <v>0</v>
      </c>
    </row>
    <row r="71" spans="1:35">
      <c r="A71" s="343">
        <v>20260407</v>
      </c>
      <c r="B71" s="343">
        <v>5731.01</v>
      </c>
      <c r="C71" s="343">
        <v>10</v>
      </c>
      <c r="D71" s="343">
        <v>18</v>
      </c>
      <c r="E71" s="384">
        <v>46119</v>
      </c>
      <c r="F71" s="343" t="s">
        <v>233</v>
      </c>
      <c r="G71" s="343" t="s">
        <v>142</v>
      </c>
      <c r="I71" s="343">
        <v>20260325</v>
      </c>
      <c r="J71" s="343">
        <v>20208.5</v>
      </c>
      <c r="K71" s="343">
        <v>117</v>
      </c>
      <c r="L71" s="343">
        <v>175</v>
      </c>
      <c r="M71" s="384">
        <v>46106</v>
      </c>
      <c r="N71" s="343" t="s">
        <v>234</v>
      </c>
      <c r="O71" s="343" t="s">
        <v>138</v>
      </c>
      <c r="Q71" s="343">
        <v>20260321</v>
      </c>
      <c r="R71" s="343">
        <v>77203.850000000006</v>
      </c>
      <c r="S71" s="343">
        <v>167</v>
      </c>
      <c r="T71" s="343">
        <v>365</v>
      </c>
      <c r="U71" s="384">
        <v>46102</v>
      </c>
      <c r="V71" s="343" t="s">
        <v>244</v>
      </c>
      <c r="W71" s="343" t="s">
        <v>137</v>
      </c>
      <c r="Y71" s="343" t="s">
        <v>146</v>
      </c>
      <c r="Z71" s="343" t="s">
        <v>150</v>
      </c>
      <c r="AA71" s="384">
        <v>46160</v>
      </c>
      <c r="AB71" s="384">
        <v>46166</v>
      </c>
      <c r="AC71" s="343" t="s">
        <v>289</v>
      </c>
      <c r="AD71" s="343">
        <v>16</v>
      </c>
      <c r="AE71" s="343">
        <v>12660</v>
      </c>
      <c r="AF71" s="343">
        <v>0</v>
      </c>
      <c r="AG71" s="343">
        <v>0</v>
      </c>
      <c r="AH71" s="343">
        <v>12660</v>
      </c>
      <c r="AI71" s="343">
        <v>1139.4000000000001</v>
      </c>
    </row>
    <row r="72" spans="1:35">
      <c r="A72" s="343">
        <v>20260408</v>
      </c>
      <c r="B72" s="343">
        <v>3847</v>
      </c>
      <c r="C72" s="343">
        <v>6</v>
      </c>
      <c r="D72" s="343">
        <v>14</v>
      </c>
      <c r="E72" s="384">
        <v>46120</v>
      </c>
      <c r="F72" s="343" t="s">
        <v>234</v>
      </c>
      <c r="G72" s="343" t="s">
        <v>142</v>
      </c>
      <c r="I72" s="343">
        <v>20260326</v>
      </c>
      <c r="J72" s="343">
        <v>15476.5</v>
      </c>
      <c r="K72" s="343">
        <v>84</v>
      </c>
      <c r="L72" s="343">
        <v>168</v>
      </c>
      <c r="M72" s="384">
        <v>46107</v>
      </c>
      <c r="N72" s="343" t="s">
        <v>235</v>
      </c>
      <c r="O72" s="343" t="s">
        <v>138</v>
      </c>
      <c r="Q72" s="343">
        <v>20260323</v>
      </c>
      <c r="R72" s="343">
        <v>12071.5</v>
      </c>
      <c r="S72" s="343">
        <v>36</v>
      </c>
      <c r="T72" s="343">
        <v>147</v>
      </c>
      <c r="U72" s="384">
        <v>46104</v>
      </c>
      <c r="V72" s="343" t="s">
        <v>232</v>
      </c>
      <c r="W72" s="343" t="s">
        <v>138</v>
      </c>
      <c r="Y72" s="343" t="s">
        <v>152</v>
      </c>
      <c r="Z72" s="343" t="s">
        <v>153</v>
      </c>
      <c r="AA72" s="384">
        <v>46167</v>
      </c>
      <c r="AB72" s="384">
        <v>46173</v>
      </c>
      <c r="AC72" s="343" t="s">
        <v>337</v>
      </c>
      <c r="AD72" s="343">
        <v>8</v>
      </c>
      <c r="AE72" s="343">
        <v>1345</v>
      </c>
      <c r="AF72" s="343">
        <v>0</v>
      </c>
      <c r="AG72" s="343">
        <v>0</v>
      </c>
      <c r="AH72" s="343">
        <v>1345</v>
      </c>
      <c r="AI72" s="343">
        <v>121.05</v>
      </c>
    </row>
    <row r="73" spans="1:35">
      <c r="A73" s="343">
        <v>20260409</v>
      </c>
      <c r="B73" s="343">
        <v>5169</v>
      </c>
      <c r="C73" s="343">
        <v>8</v>
      </c>
      <c r="D73" s="343">
        <v>17</v>
      </c>
      <c r="E73" s="384">
        <v>46121</v>
      </c>
      <c r="F73" s="343" t="s">
        <v>235</v>
      </c>
      <c r="G73" s="343" t="s">
        <v>142</v>
      </c>
      <c r="I73" s="343">
        <v>20260327</v>
      </c>
      <c r="J73" s="343">
        <v>15807</v>
      </c>
      <c r="K73" s="343">
        <v>71</v>
      </c>
      <c r="L73" s="343">
        <v>141</v>
      </c>
      <c r="M73" s="384">
        <v>46108</v>
      </c>
      <c r="N73" s="343" t="s">
        <v>236</v>
      </c>
      <c r="O73" s="343" t="s">
        <v>138</v>
      </c>
      <c r="Q73" s="343">
        <v>20260324</v>
      </c>
      <c r="R73" s="343">
        <v>14250</v>
      </c>
      <c r="S73" s="343">
        <v>57</v>
      </c>
      <c r="T73" s="343">
        <v>131</v>
      </c>
      <c r="U73" s="384">
        <v>46105</v>
      </c>
      <c r="V73" s="343" t="s">
        <v>233</v>
      </c>
      <c r="W73" s="343" t="s">
        <v>138</v>
      </c>
      <c r="Y73" s="343" t="s">
        <v>152</v>
      </c>
      <c r="Z73" s="343" t="s">
        <v>153</v>
      </c>
      <c r="AA73" s="384">
        <v>46167</v>
      </c>
      <c r="AB73" s="384">
        <v>46173</v>
      </c>
      <c r="AC73" s="343" t="s">
        <v>106</v>
      </c>
      <c r="AD73" s="343">
        <v>4</v>
      </c>
      <c r="AE73" s="343">
        <v>3671.55</v>
      </c>
      <c r="AF73" s="343">
        <v>0</v>
      </c>
      <c r="AG73" s="343">
        <v>0</v>
      </c>
      <c r="AH73" s="343">
        <v>3671.55</v>
      </c>
      <c r="AI73" s="343">
        <v>0</v>
      </c>
    </row>
    <row r="74" spans="1:35">
      <c r="A74" s="343">
        <v>20260410</v>
      </c>
      <c r="B74" s="343">
        <v>6551</v>
      </c>
      <c r="C74" s="343">
        <v>11</v>
      </c>
      <c r="D74" s="343">
        <v>20</v>
      </c>
      <c r="E74" s="384">
        <v>46122</v>
      </c>
      <c r="F74" s="343" t="s">
        <v>236</v>
      </c>
      <c r="G74" s="343" t="s">
        <v>142</v>
      </c>
      <c r="I74" s="343">
        <v>20260328</v>
      </c>
      <c r="J74" s="343">
        <v>17695</v>
      </c>
      <c r="K74" s="343">
        <v>111</v>
      </c>
      <c r="L74" s="343">
        <v>172</v>
      </c>
      <c r="M74" s="384">
        <v>46109</v>
      </c>
      <c r="N74" s="343" t="s">
        <v>244</v>
      </c>
      <c r="O74" s="343" t="s">
        <v>138</v>
      </c>
      <c r="Q74" s="343">
        <v>20260325</v>
      </c>
      <c r="R74" s="343">
        <v>69393.149999999994</v>
      </c>
      <c r="S74" s="343">
        <v>161</v>
      </c>
      <c r="T74" s="343">
        <v>597</v>
      </c>
      <c r="U74" s="384">
        <v>46106</v>
      </c>
      <c r="V74" s="343" t="s">
        <v>234</v>
      </c>
      <c r="W74" s="343" t="s">
        <v>138</v>
      </c>
      <c r="Y74" s="343" t="s">
        <v>152</v>
      </c>
      <c r="Z74" s="343" t="s">
        <v>153</v>
      </c>
      <c r="AA74" s="384">
        <v>46167</v>
      </c>
      <c r="AB74" s="384">
        <v>46173</v>
      </c>
      <c r="AC74" s="343" t="s">
        <v>289</v>
      </c>
      <c r="AD74" s="343">
        <v>12</v>
      </c>
      <c r="AE74" s="343">
        <v>20215</v>
      </c>
      <c r="AF74" s="343">
        <v>0</v>
      </c>
      <c r="AG74" s="343">
        <v>0</v>
      </c>
      <c r="AH74" s="343">
        <v>20215</v>
      </c>
      <c r="AI74" s="343">
        <v>1819.35</v>
      </c>
    </row>
    <row r="75" spans="1:35">
      <c r="A75" s="343">
        <v>20260411</v>
      </c>
      <c r="B75" s="343">
        <v>7650</v>
      </c>
      <c r="C75" s="343">
        <v>11</v>
      </c>
      <c r="D75" s="343">
        <v>21</v>
      </c>
      <c r="E75" s="384">
        <v>46123</v>
      </c>
      <c r="F75" s="343" t="s">
        <v>244</v>
      </c>
      <c r="G75" s="343" t="s">
        <v>142</v>
      </c>
      <c r="I75" s="343">
        <v>20260329</v>
      </c>
      <c r="J75" s="343">
        <v>7153</v>
      </c>
      <c r="K75" s="343">
        <v>15</v>
      </c>
      <c r="L75" s="343">
        <v>50</v>
      </c>
      <c r="M75" s="384">
        <v>46110</v>
      </c>
      <c r="N75" s="343" t="s">
        <v>245</v>
      </c>
      <c r="O75" s="343" t="s">
        <v>138</v>
      </c>
      <c r="Q75" s="343">
        <v>20260326</v>
      </c>
      <c r="R75" s="343">
        <v>96527.7</v>
      </c>
      <c r="S75" s="343">
        <v>167</v>
      </c>
      <c r="T75" s="343">
        <v>401</v>
      </c>
      <c r="U75" s="384">
        <v>46107</v>
      </c>
      <c r="V75" s="343" t="s">
        <v>235</v>
      </c>
      <c r="W75" s="343" t="s">
        <v>138</v>
      </c>
      <c r="Y75" s="343" t="s">
        <v>152</v>
      </c>
      <c r="Z75" s="343" t="s">
        <v>154</v>
      </c>
      <c r="AA75" s="384">
        <v>46174</v>
      </c>
      <c r="AB75" s="384">
        <v>46180</v>
      </c>
      <c r="AC75" s="343" t="s">
        <v>337</v>
      </c>
      <c r="AD75" s="343">
        <v>6</v>
      </c>
      <c r="AE75" s="343">
        <v>557</v>
      </c>
      <c r="AF75" s="343">
        <v>0</v>
      </c>
      <c r="AG75" s="343">
        <v>0</v>
      </c>
      <c r="AH75" s="343">
        <v>557</v>
      </c>
      <c r="AI75" s="343">
        <v>50.13</v>
      </c>
    </row>
    <row r="76" spans="1:35">
      <c r="A76" s="343">
        <v>20260414</v>
      </c>
      <c r="B76" s="343">
        <v>2815</v>
      </c>
      <c r="C76" s="343">
        <v>8</v>
      </c>
      <c r="D76" s="343">
        <v>13</v>
      </c>
      <c r="E76" s="384">
        <v>46126</v>
      </c>
      <c r="F76" s="343" t="s">
        <v>233</v>
      </c>
      <c r="G76" s="343" t="s">
        <v>143</v>
      </c>
      <c r="I76" s="343">
        <v>20260331</v>
      </c>
      <c r="J76" s="343">
        <v>2645</v>
      </c>
      <c r="K76" s="343">
        <v>14</v>
      </c>
      <c r="L76" s="343">
        <v>107</v>
      </c>
      <c r="M76" s="384">
        <v>46112</v>
      </c>
      <c r="N76" s="343" t="s">
        <v>233</v>
      </c>
      <c r="O76" s="343" t="s">
        <v>141</v>
      </c>
      <c r="Q76" s="343">
        <v>20260327</v>
      </c>
      <c r="R76" s="343">
        <v>106559.2</v>
      </c>
      <c r="S76" s="343">
        <v>245</v>
      </c>
      <c r="T76" s="343">
        <v>441</v>
      </c>
      <c r="U76" s="384">
        <v>46108</v>
      </c>
      <c r="V76" s="343" t="s">
        <v>236</v>
      </c>
      <c r="W76" s="343" t="s">
        <v>138</v>
      </c>
      <c r="Y76" s="343" t="s">
        <v>152</v>
      </c>
      <c r="Z76" s="343" t="s">
        <v>154</v>
      </c>
      <c r="AA76" s="384">
        <v>46174</v>
      </c>
      <c r="AB76" s="384">
        <v>46180</v>
      </c>
      <c r="AC76" s="343" t="s">
        <v>106</v>
      </c>
      <c r="AD76" s="343">
        <v>4</v>
      </c>
      <c r="AE76" s="343">
        <v>432.25</v>
      </c>
      <c r="AF76" s="343">
        <v>0</v>
      </c>
      <c r="AG76" s="343">
        <v>0</v>
      </c>
      <c r="AH76" s="343">
        <v>432.25</v>
      </c>
      <c r="AI76" s="343">
        <v>0</v>
      </c>
    </row>
    <row r="77" spans="1:35">
      <c r="A77" s="343">
        <v>20260415</v>
      </c>
      <c r="B77" s="343">
        <v>4668</v>
      </c>
      <c r="C77" s="343">
        <v>4</v>
      </c>
      <c r="D77" s="343">
        <v>15</v>
      </c>
      <c r="E77" s="384">
        <v>46127</v>
      </c>
      <c r="F77" s="343" t="s">
        <v>234</v>
      </c>
      <c r="G77" s="343" t="s">
        <v>143</v>
      </c>
      <c r="I77" s="343">
        <v>20260401</v>
      </c>
      <c r="J77" s="343">
        <v>7856</v>
      </c>
      <c r="K77" s="343">
        <v>42</v>
      </c>
      <c r="L77" s="343">
        <v>87</v>
      </c>
      <c r="M77" s="384">
        <v>46113</v>
      </c>
      <c r="N77" s="343" t="s">
        <v>234</v>
      </c>
      <c r="O77" s="343" t="s">
        <v>141</v>
      </c>
      <c r="Q77" s="343">
        <v>20260328</v>
      </c>
      <c r="R77" s="343">
        <v>151958.81</v>
      </c>
      <c r="S77" s="343">
        <v>206</v>
      </c>
      <c r="T77" s="343">
        <v>421</v>
      </c>
      <c r="U77" s="384">
        <v>46109</v>
      </c>
      <c r="V77" s="343" t="s">
        <v>244</v>
      </c>
      <c r="W77" s="343" t="s">
        <v>138</v>
      </c>
      <c r="Y77" s="343" t="s">
        <v>152</v>
      </c>
      <c r="Z77" s="343" t="s">
        <v>154</v>
      </c>
      <c r="AA77" s="384">
        <v>46174</v>
      </c>
      <c r="AB77" s="384">
        <v>46180</v>
      </c>
      <c r="AC77" s="343" t="s">
        <v>289</v>
      </c>
      <c r="AD77" s="343">
        <v>7</v>
      </c>
      <c r="AE77" s="343">
        <v>7165</v>
      </c>
      <c r="AF77" s="343">
        <v>0</v>
      </c>
      <c r="AG77" s="343">
        <v>0</v>
      </c>
      <c r="AH77" s="343">
        <v>7165</v>
      </c>
      <c r="AI77" s="343">
        <v>644.85</v>
      </c>
    </row>
    <row r="78" spans="1:35">
      <c r="A78" s="343">
        <v>20260416</v>
      </c>
      <c r="B78" s="343">
        <v>2468</v>
      </c>
      <c r="C78" s="343">
        <v>4</v>
      </c>
      <c r="D78" s="343">
        <v>8</v>
      </c>
      <c r="E78" s="384">
        <v>46128</v>
      </c>
      <c r="F78" s="343" t="s">
        <v>235</v>
      </c>
      <c r="G78" s="343" t="s">
        <v>143</v>
      </c>
      <c r="I78" s="343">
        <v>20260402</v>
      </c>
      <c r="J78" s="343">
        <v>8095</v>
      </c>
      <c r="K78" s="343">
        <v>39</v>
      </c>
      <c r="L78" s="343">
        <v>78</v>
      </c>
      <c r="M78" s="384">
        <v>46114</v>
      </c>
      <c r="N78" s="343" t="s">
        <v>235</v>
      </c>
      <c r="O78" s="343" t="s">
        <v>141</v>
      </c>
      <c r="Q78" s="343">
        <v>20260329</v>
      </c>
      <c r="R78" s="343">
        <v>26950</v>
      </c>
      <c r="S78" s="343">
        <v>98</v>
      </c>
      <c r="T78" s="343">
        <v>192</v>
      </c>
      <c r="U78" s="384">
        <v>46110</v>
      </c>
      <c r="V78" s="343" t="s">
        <v>245</v>
      </c>
      <c r="W78" s="343" t="s">
        <v>138</v>
      </c>
      <c r="Y78" s="343" t="s">
        <v>338</v>
      </c>
      <c r="Z78" s="343" t="s">
        <v>155</v>
      </c>
      <c r="AA78" s="384">
        <v>46181</v>
      </c>
      <c r="AB78" s="384">
        <v>46187</v>
      </c>
      <c r="AC78" s="343" t="s">
        <v>337</v>
      </c>
      <c r="AD78" s="343">
        <v>6</v>
      </c>
      <c r="AE78" s="343">
        <v>1246</v>
      </c>
      <c r="AF78" s="343">
        <v>0</v>
      </c>
      <c r="AG78" s="343">
        <v>0</v>
      </c>
      <c r="AH78" s="343">
        <v>1246</v>
      </c>
      <c r="AI78" s="343">
        <v>112.14</v>
      </c>
    </row>
    <row r="79" spans="1:35">
      <c r="A79" s="343">
        <v>20260417</v>
      </c>
      <c r="B79" s="343">
        <v>7588</v>
      </c>
      <c r="C79" s="343">
        <v>12</v>
      </c>
      <c r="D79" s="343">
        <v>22</v>
      </c>
      <c r="E79" s="384">
        <v>46129</v>
      </c>
      <c r="F79" s="343" t="s">
        <v>236</v>
      </c>
      <c r="G79" s="343" t="s">
        <v>143</v>
      </c>
      <c r="I79" s="343">
        <v>20260403</v>
      </c>
      <c r="J79" s="343">
        <v>17285</v>
      </c>
      <c r="K79" s="343">
        <v>97</v>
      </c>
      <c r="L79" s="343">
        <v>186</v>
      </c>
      <c r="M79" s="384">
        <v>46115</v>
      </c>
      <c r="N79" s="343" t="s">
        <v>236</v>
      </c>
      <c r="O79" s="343" t="s">
        <v>141</v>
      </c>
      <c r="Q79" s="343">
        <v>20260331</v>
      </c>
      <c r="R79" s="343">
        <v>15930.47</v>
      </c>
      <c r="S79" s="343">
        <v>101</v>
      </c>
      <c r="T79" s="343">
        <v>173</v>
      </c>
      <c r="U79" s="384">
        <v>46112</v>
      </c>
      <c r="V79" s="343" t="s">
        <v>233</v>
      </c>
      <c r="W79" s="343" t="s">
        <v>141</v>
      </c>
      <c r="Y79" s="343" t="s">
        <v>338</v>
      </c>
      <c r="Z79" s="343" t="s">
        <v>155</v>
      </c>
      <c r="AA79" s="384">
        <v>46181</v>
      </c>
      <c r="AB79" s="384">
        <v>46187</v>
      </c>
      <c r="AC79" s="343" t="s">
        <v>293</v>
      </c>
      <c r="AD79" s="343">
        <v>17</v>
      </c>
      <c r="AE79" s="343">
        <v>3460</v>
      </c>
      <c r="AF79" s="343">
        <v>0</v>
      </c>
      <c r="AG79" s="343">
        <v>0</v>
      </c>
      <c r="AH79" s="343">
        <v>3460</v>
      </c>
      <c r="AI79" s="343">
        <v>311.39999999999998</v>
      </c>
    </row>
    <row r="80" spans="1:35">
      <c r="A80" s="343">
        <v>20260418</v>
      </c>
      <c r="B80" s="343">
        <v>6171</v>
      </c>
      <c r="C80" s="343">
        <v>10</v>
      </c>
      <c r="D80" s="343">
        <v>19</v>
      </c>
      <c r="E80" s="384">
        <v>46130</v>
      </c>
      <c r="F80" s="343" t="s">
        <v>244</v>
      </c>
      <c r="G80" s="343" t="s">
        <v>143</v>
      </c>
      <c r="I80" s="343">
        <v>20260404</v>
      </c>
      <c r="J80" s="343">
        <v>20681</v>
      </c>
      <c r="K80" s="343">
        <v>118</v>
      </c>
      <c r="L80" s="343">
        <v>187</v>
      </c>
      <c r="M80" s="384">
        <v>46116</v>
      </c>
      <c r="N80" s="343" t="s">
        <v>244</v>
      </c>
      <c r="O80" s="343" t="s">
        <v>141</v>
      </c>
      <c r="Q80" s="343">
        <v>20260401</v>
      </c>
      <c r="R80" s="343">
        <v>9418</v>
      </c>
      <c r="S80" s="343">
        <v>53</v>
      </c>
      <c r="T80" s="343">
        <v>115</v>
      </c>
      <c r="U80" s="384">
        <v>46113</v>
      </c>
      <c r="V80" s="343" t="s">
        <v>234</v>
      </c>
      <c r="W80" s="343" t="s">
        <v>141</v>
      </c>
      <c r="Y80" s="343" t="s">
        <v>338</v>
      </c>
      <c r="Z80" s="343" t="s">
        <v>155</v>
      </c>
      <c r="AA80" s="384">
        <v>46181</v>
      </c>
      <c r="AB80" s="384">
        <v>46187</v>
      </c>
      <c r="AC80" s="343" t="s">
        <v>106</v>
      </c>
      <c r="AD80" s="343">
        <v>1</v>
      </c>
      <c r="AE80" s="343">
        <v>187.75</v>
      </c>
      <c r="AF80" s="343">
        <v>0</v>
      </c>
      <c r="AG80" s="343">
        <v>0</v>
      </c>
      <c r="AH80" s="343">
        <v>187.75</v>
      </c>
      <c r="AI80" s="343">
        <v>0</v>
      </c>
    </row>
    <row r="81" spans="1:35">
      <c r="A81" s="343">
        <v>20260421</v>
      </c>
      <c r="B81" s="343">
        <v>6723</v>
      </c>
      <c r="C81" s="343">
        <v>8</v>
      </c>
      <c r="D81" s="343">
        <v>17</v>
      </c>
      <c r="E81" s="384">
        <v>46133</v>
      </c>
      <c r="F81" s="343" t="s">
        <v>233</v>
      </c>
      <c r="G81" s="343" t="s">
        <v>144</v>
      </c>
      <c r="I81" s="343">
        <v>20260408</v>
      </c>
      <c r="J81" s="343">
        <v>14944</v>
      </c>
      <c r="K81" s="343">
        <v>41</v>
      </c>
      <c r="L81" s="343">
        <v>95</v>
      </c>
      <c r="M81" s="384">
        <v>46120</v>
      </c>
      <c r="N81" s="343" t="s">
        <v>234</v>
      </c>
      <c r="O81" s="343" t="s">
        <v>142</v>
      </c>
      <c r="Q81" s="343">
        <v>20260402</v>
      </c>
      <c r="R81" s="343">
        <v>53390</v>
      </c>
      <c r="S81" s="343">
        <v>191</v>
      </c>
      <c r="T81" s="343">
        <v>381</v>
      </c>
      <c r="U81" s="384">
        <v>46114</v>
      </c>
      <c r="V81" s="343" t="s">
        <v>235</v>
      </c>
      <c r="W81" s="343" t="s">
        <v>141</v>
      </c>
      <c r="Y81" s="343" t="s">
        <v>338</v>
      </c>
      <c r="Z81" s="343" t="s">
        <v>155</v>
      </c>
      <c r="AA81" s="384">
        <v>46181</v>
      </c>
      <c r="AB81" s="384">
        <v>46187</v>
      </c>
      <c r="AC81" s="343" t="s">
        <v>289</v>
      </c>
      <c r="AD81" s="343">
        <v>7</v>
      </c>
      <c r="AE81" s="343">
        <v>10115</v>
      </c>
      <c r="AF81" s="343">
        <v>0</v>
      </c>
      <c r="AG81" s="343">
        <v>0</v>
      </c>
      <c r="AH81" s="343">
        <v>10115</v>
      </c>
      <c r="AI81" s="343">
        <v>910.35</v>
      </c>
    </row>
    <row r="82" spans="1:35">
      <c r="A82" s="343">
        <v>20260422</v>
      </c>
      <c r="B82" s="343">
        <v>2143</v>
      </c>
      <c r="C82" s="343">
        <v>6</v>
      </c>
      <c r="D82" s="343">
        <v>9</v>
      </c>
      <c r="E82" s="384">
        <v>46134</v>
      </c>
      <c r="F82" s="343" t="s">
        <v>234</v>
      </c>
      <c r="G82" s="343" t="s">
        <v>144</v>
      </c>
      <c r="I82" s="343">
        <v>20260409</v>
      </c>
      <c r="J82" s="343">
        <v>20172</v>
      </c>
      <c r="K82" s="343">
        <v>76</v>
      </c>
      <c r="L82" s="343">
        <v>154</v>
      </c>
      <c r="M82" s="384">
        <v>46121</v>
      </c>
      <c r="N82" s="343" t="s">
        <v>235</v>
      </c>
      <c r="O82" s="343" t="s">
        <v>142</v>
      </c>
      <c r="Q82" s="343">
        <v>20260403</v>
      </c>
      <c r="R82" s="343">
        <v>92144.1</v>
      </c>
      <c r="S82" s="343">
        <v>193</v>
      </c>
      <c r="T82" s="343">
        <v>434</v>
      </c>
      <c r="U82" s="384">
        <v>46115</v>
      </c>
      <c r="V82" s="343" t="s">
        <v>236</v>
      </c>
      <c r="W82" s="343" t="s">
        <v>141</v>
      </c>
      <c r="Y82" s="343" t="s">
        <v>338</v>
      </c>
      <c r="Z82" s="343" t="s">
        <v>156</v>
      </c>
      <c r="AA82" s="384">
        <v>46188</v>
      </c>
      <c r="AB82" s="384">
        <v>46194</v>
      </c>
      <c r="AC82" s="343" t="s">
        <v>337</v>
      </c>
      <c r="AD82" s="343">
        <v>7</v>
      </c>
      <c r="AE82" s="343">
        <v>1205</v>
      </c>
      <c r="AF82" s="343">
        <v>0</v>
      </c>
      <c r="AG82" s="343">
        <v>0</v>
      </c>
      <c r="AH82" s="343">
        <v>1205</v>
      </c>
      <c r="AI82" s="343">
        <v>108.45</v>
      </c>
    </row>
    <row r="83" spans="1:35">
      <c r="A83" s="343">
        <v>20260423</v>
      </c>
      <c r="B83" s="343">
        <v>5339</v>
      </c>
      <c r="C83" s="343">
        <v>9</v>
      </c>
      <c r="D83" s="343">
        <v>19</v>
      </c>
      <c r="E83" s="384">
        <v>46135</v>
      </c>
      <c r="F83" s="343" t="s">
        <v>235</v>
      </c>
      <c r="G83" s="343" t="s">
        <v>144</v>
      </c>
      <c r="I83" s="343">
        <v>20260410</v>
      </c>
      <c r="J83" s="343">
        <v>27849.75</v>
      </c>
      <c r="K83" s="343">
        <v>104</v>
      </c>
      <c r="L83" s="343">
        <v>242</v>
      </c>
      <c r="M83" s="384">
        <v>46122</v>
      </c>
      <c r="N83" s="343" t="s">
        <v>236</v>
      </c>
      <c r="O83" s="343" t="s">
        <v>142</v>
      </c>
      <c r="Q83" s="343">
        <v>20260404</v>
      </c>
      <c r="R83" s="343">
        <v>59099</v>
      </c>
      <c r="S83" s="343">
        <v>186</v>
      </c>
      <c r="T83" s="343">
        <v>401</v>
      </c>
      <c r="U83" s="384">
        <v>46116</v>
      </c>
      <c r="V83" s="343" t="s">
        <v>244</v>
      </c>
      <c r="W83" s="343" t="s">
        <v>141</v>
      </c>
      <c r="Y83" s="343" t="s">
        <v>338</v>
      </c>
      <c r="Z83" s="343" t="s">
        <v>156</v>
      </c>
      <c r="AA83" s="384">
        <v>46188</v>
      </c>
      <c r="AB83" s="384">
        <v>46194</v>
      </c>
      <c r="AC83" s="343" t="s">
        <v>106</v>
      </c>
      <c r="AD83" s="343">
        <v>4</v>
      </c>
      <c r="AE83" s="343">
        <v>194.35</v>
      </c>
      <c r="AF83" s="343">
        <v>0</v>
      </c>
      <c r="AG83" s="343">
        <v>0</v>
      </c>
      <c r="AH83" s="343">
        <v>194.35</v>
      </c>
      <c r="AI83" s="343">
        <v>0</v>
      </c>
    </row>
    <row r="84" spans="1:35">
      <c r="A84" s="343">
        <v>20260424</v>
      </c>
      <c r="B84" s="343">
        <v>8304</v>
      </c>
      <c r="C84" s="343">
        <v>12</v>
      </c>
      <c r="D84" s="343">
        <v>18</v>
      </c>
      <c r="E84" s="384">
        <v>46136</v>
      </c>
      <c r="F84" s="343" t="s">
        <v>236</v>
      </c>
      <c r="G84" s="343" t="s">
        <v>144</v>
      </c>
      <c r="I84" s="343">
        <v>20260411</v>
      </c>
      <c r="J84" s="343">
        <v>17604</v>
      </c>
      <c r="K84" s="343">
        <v>81</v>
      </c>
      <c r="L84" s="343">
        <v>153</v>
      </c>
      <c r="M84" s="384">
        <v>46123</v>
      </c>
      <c r="N84" s="343" t="s">
        <v>244</v>
      </c>
      <c r="O84" s="343" t="s">
        <v>142</v>
      </c>
      <c r="Q84" s="343">
        <v>20260406</v>
      </c>
      <c r="S84" s="343">
        <v>1</v>
      </c>
      <c r="T84" s="343">
        <v>1</v>
      </c>
      <c r="U84" s="384">
        <v>46118</v>
      </c>
      <c r="V84" s="343" t="s">
        <v>232</v>
      </c>
      <c r="W84" s="343" t="s">
        <v>142</v>
      </c>
      <c r="Y84" s="343" t="s">
        <v>338</v>
      </c>
      <c r="Z84" s="343" t="s">
        <v>156</v>
      </c>
      <c r="AA84" s="384">
        <v>46188</v>
      </c>
      <c r="AB84" s="384">
        <v>46194</v>
      </c>
      <c r="AC84" s="343" t="s">
        <v>289</v>
      </c>
      <c r="AD84" s="343">
        <v>9</v>
      </c>
      <c r="AE84" s="343">
        <v>7265</v>
      </c>
      <c r="AF84" s="343">
        <v>0</v>
      </c>
      <c r="AG84" s="343">
        <v>0</v>
      </c>
      <c r="AH84" s="343">
        <v>7265</v>
      </c>
      <c r="AI84" s="343">
        <v>653.85</v>
      </c>
    </row>
    <row r="85" spans="1:35">
      <c r="A85" s="343">
        <v>20260425</v>
      </c>
      <c r="B85" s="343">
        <v>7695</v>
      </c>
      <c r="C85" s="343">
        <v>10</v>
      </c>
      <c r="D85" s="343">
        <v>20</v>
      </c>
      <c r="E85" s="384">
        <v>46137</v>
      </c>
      <c r="F85" s="343" t="s">
        <v>244</v>
      </c>
      <c r="G85" s="343" t="s">
        <v>144</v>
      </c>
      <c r="I85" s="343">
        <v>20260414</v>
      </c>
      <c r="K85" s="343">
        <v>2</v>
      </c>
      <c r="L85" s="343">
        <v>36</v>
      </c>
      <c r="M85" s="384">
        <v>46126</v>
      </c>
      <c r="N85" s="343" t="s">
        <v>233</v>
      </c>
      <c r="O85" s="343" t="s">
        <v>143</v>
      </c>
      <c r="Q85" s="343">
        <v>20260408</v>
      </c>
      <c r="R85" s="343">
        <v>14813</v>
      </c>
      <c r="S85" s="343">
        <v>105</v>
      </c>
      <c r="T85" s="343">
        <v>172</v>
      </c>
      <c r="U85" s="384">
        <v>46120</v>
      </c>
      <c r="V85" s="343" t="s">
        <v>234</v>
      </c>
      <c r="W85" s="343" t="s">
        <v>142</v>
      </c>
      <c r="Y85" s="343" t="s">
        <v>338</v>
      </c>
      <c r="Z85" s="343" t="s">
        <v>157</v>
      </c>
      <c r="AA85" s="384">
        <v>46195</v>
      </c>
      <c r="AB85" s="384">
        <v>46201</v>
      </c>
      <c r="AC85" s="343" t="s">
        <v>337</v>
      </c>
      <c r="AD85" s="343">
        <v>9</v>
      </c>
      <c r="AE85" s="343">
        <v>5064.7299999999996</v>
      </c>
      <c r="AF85" s="343">
        <v>0</v>
      </c>
      <c r="AG85" s="343">
        <v>0</v>
      </c>
      <c r="AH85" s="343">
        <v>5064.7299999999996</v>
      </c>
      <c r="AI85" s="343">
        <v>455.82</v>
      </c>
    </row>
    <row r="86" spans="1:35">
      <c r="A86" s="343">
        <v>20260427</v>
      </c>
      <c r="B86" s="343">
        <v>5573.8</v>
      </c>
      <c r="C86" s="343">
        <v>5</v>
      </c>
      <c r="D86" s="343">
        <v>17</v>
      </c>
      <c r="E86" s="384">
        <v>46139</v>
      </c>
      <c r="F86" s="343" t="s">
        <v>232</v>
      </c>
      <c r="G86" s="343" t="s">
        <v>147</v>
      </c>
      <c r="I86" s="343">
        <v>20260415</v>
      </c>
      <c r="J86" s="343">
        <v>17927.400000000001</v>
      </c>
      <c r="K86" s="343">
        <v>26</v>
      </c>
      <c r="L86" s="343">
        <v>52</v>
      </c>
      <c r="M86" s="384">
        <v>46127</v>
      </c>
      <c r="N86" s="343" t="s">
        <v>234</v>
      </c>
      <c r="O86" s="343" t="s">
        <v>143</v>
      </c>
      <c r="Q86" s="343">
        <v>20260409</v>
      </c>
      <c r="R86" s="343">
        <v>85665</v>
      </c>
      <c r="S86" s="343">
        <v>229</v>
      </c>
      <c r="T86" s="343">
        <v>505</v>
      </c>
      <c r="U86" s="384">
        <v>46121</v>
      </c>
      <c r="V86" s="343" t="s">
        <v>235</v>
      </c>
      <c r="W86" s="343" t="s">
        <v>142</v>
      </c>
      <c r="Y86" s="343" t="s">
        <v>338</v>
      </c>
      <c r="Z86" s="343" t="s">
        <v>157</v>
      </c>
      <c r="AA86" s="384">
        <v>46195</v>
      </c>
      <c r="AB86" s="384">
        <v>46201</v>
      </c>
      <c r="AC86" s="343" t="s">
        <v>335</v>
      </c>
      <c r="AD86" s="343">
        <v>0</v>
      </c>
      <c r="AE86" s="343">
        <v>-196.2</v>
      </c>
      <c r="AF86" s="343">
        <v>0</v>
      </c>
      <c r="AG86" s="343">
        <v>196.2</v>
      </c>
      <c r="AH86" s="343">
        <v>0</v>
      </c>
      <c r="AI86" s="343">
        <v>0</v>
      </c>
    </row>
    <row r="87" spans="1:35">
      <c r="A87" s="343">
        <v>20260428</v>
      </c>
      <c r="B87" s="343">
        <v>6791</v>
      </c>
      <c r="C87" s="343">
        <v>7</v>
      </c>
      <c r="D87" s="343">
        <v>17</v>
      </c>
      <c r="E87" s="384">
        <v>46140</v>
      </c>
      <c r="F87" s="343" t="s">
        <v>233</v>
      </c>
      <c r="G87" s="343" t="s">
        <v>147</v>
      </c>
      <c r="I87" s="343">
        <v>20260416</v>
      </c>
      <c r="J87" s="343">
        <v>24526</v>
      </c>
      <c r="K87" s="343">
        <v>102</v>
      </c>
      <c r="L87" s="343">
        <v>187</v>
      </c>
      <c r="M87" s="384">
        <v>46128</v>
      </c>
      <c r="N87" s="343" t="s">
        <v>235</v>
      </c>
      <c r="O87" s="343" t="s">
        <v>143</v>
      </c>
      <c r="Q87" s="343">
        <v>20260410</v>
      </c>
      <c r="R87" s="343">
        <v>94647.1</v>
      </c>
      <c r="S87" s="343">
        <v>195</v>
      </c>
      <c r="T87" s="343">
        <v>354</v>
      </c>
      <c r="U87" s="384">
        <v>46122</v>
      </c>
      <c r="V87" s="343" t="s">
        <v>236</v>
      </c>
      <c r="W87" s="343" t="s">
        <v>142</v>
      </c>
      <c r="Y87" s="343" t="s">
        <v>338</v>
      </c>
      <c r="Z87" s="343" t="s">
        <v>157</v>
      </c>
      <c r="AA87" s="384">
        <v>46195</v>
      </c>
      <c r="AB87" s="384">
        <v>46201</v>
      </c>
      <c r="AC87" s="343" t="s">
        <v>106</v>
      </c>
      <c r="AD87" s="343">
        <v>7</v>
      </c>
      <c r="AE87" s="343">
        <v>3279.85</v>
      </c>
      <c r="AF87" s="343">
        <v>0</v>
      </c>
      <c r="AG87" s="343">
        <v>0</v>
      </c>
      <c r="AH87" s="343">
        <v>3279.85</v>
      </c>
      <c r="AI87" s="343">
        <v>0</v>
      </c>
    </row>
    <row r="88" spans="1:35">
      <c r="A88" s="343">
        <v>20260429</v>
      </c>
      <c r="B88" s="343">
        <v>2860</v>
      </c>
      <c r="C88" s="343">
        <v>5</v>
      </c>
      <c r="D88" s="343">
        <v>9</v>
      </c>
      <c r="E88" s="384">
        <v>46141</v>
      </c>
      <c r="F88" s="343" t="s">
        <v>234</v>
      </c>
      <c r="G88" s="343" t="s">
        <v>147</v>
      </c>
      <c r="I88" s="343">
        <v>20260417</v>
      </c>
      <c r="J88" s="343">
        <v>17917</v>
      </c>
      <c r="K88" s="343">
        <v>88</v>
      </c>
      <c r="L88" s="343">
        <v>147</v>
      </c>
      <c r="M88" s="384">
        <v>46129</v>
      </c>
      <c r="N88" s="343" t="s">
        <v>236</v>
      </c>
      <c r="O88" s="343" t="s">
        <v>143</v>
      </c>
      <c r="Q88" s="343">
        <v>20260411</v>
      </c>
      <c r="R88" s="343">
        <v>62312</v>
      </c>
      <c r="S88" s="343">
        <v>185</v>
      </c>
      <c r="T88" s="343">
        <v>394</v>
      </c>
      <c r="U88" s="384">
        <v>46123</v>
      </c>
      <c r="V88" s="343" t="s">
        <v>244</v>
      </c>
      <c r="W88" s="343" t="s">
        <v>142</v>
      </c>
      <c r="Y88" s="343" t="s">
        <v>338</v>
      </c>
      <c r="Z88" s="343" t="s">
        <v>157</v>
      </c>
      <c r="AA88" s="384">
        <v>46195</v>
      </c>
      <c r="AB88" s="384">
        <v>46201</v>
      </c>
      <c r="AC88" s="343" t="s">
        <v>289</v>
      </c>
      <c r="AD88" s="343">
        <v>23</v>
      </c>
      <c r="AE88" s="343">
        <v>22310</v>
      </c>
      <c r="AF88" s="343">
        <v>0</v>
      </c>
      <c r="AG88" s="343">
        <v>0</v>
      </c>
      <c r="AH88" s="343">
        <v>22310</v>
      </c>
      <c r="AI88" s="343">
        <v>2007.9</v>
      </c>
    </row>
    <row r="89" spans="1:35">
      <c r="A89" s="343">
        <v>20260430</v>
      </c>
      <c r="B89" s="343">
        <v>11048</v>
      </c>
      <c r="C89" s="343">
        <v>11</v>
      </c>
      <c r="D89" s="343">
        <v>22</v>
      </c>
      <c r="E89" s="384">
        <v>46142</v>
      </c>
      <c r="F89" s="343" t="s">
        <v>235</v>
      </c>
      <c r="G89" s="343" t="s">
        <v>147</v>
      </c>
      <c r="I89" s="343">
        <v>20260418</v>
      </c>
      <c r="J89" s="343">
        <v>20226</v>
      </c>
      <c r="K89" s="343">
        <v>115</v>
      </c>
      <c r="L89" s="343">
        <v>217</v>
      </c>
      <c r="M89" s="384">
        <v>46130</v>
      </c>
      <c r="N89" s="343" t="s">
        <v>244</v>
      </c>
      <c r="O89" s="343" t="s">
        <v>143</v>
      </c>
      <c r="Q89" s="343">
        <v>20260414</v>
      </c>
      <c r="R89" s="343">
        <v>26816.6</v>
      </c>
      <c r="S89" s="343">
        <v>2</v>
      </c>
      <c r="T89" s="343">
        <v>81</v>
      </c>
      <c r="U89" s="384">
        <v>46126</v>
      </c>
      <c r="V89" s="343" t="s">
        <v>233</v>
      </c>
      <c r="W89" s="343" t="s">
        <v>143</v>
      </c>
      <c r="Y89" s="343" t="s">
        <v>338</v>
      </c>
      <c r="Z89" s="343" t="s">
        <v>160</v>
      </c>
      <c r="AA89" s="384">
        <v>46202</v>
      </c>
      <c r="AB89" s="384">
        <v>46208</v>
      </c>
      <c r="AC89" s="343" t="s">
        <v>337</v>
      </c>
      <c r="AD89" s="343">
        <v>18</v>
      </c>
      <c r="AE89" s="343">
        <v>3996.79</v>
      </c>
      <c r="AF89" s="343">
        <v>0</v>
      </c>
      <c r="AG89" s="343">
        <v>0</v>
      </c>
      <c r="AH89" s="343">
        <v>3996.79</v>
      </c>
      <c r="AI89" s="343">
        <v>359.71</v>
      </c>
    </row>
    <row r="90" spans="1:35">
      <c r="A90" s="343">
        <v>20260501</v>
      </c>
      <c r="B90" s="343">
        <v>9606</v>
      </c>
      <c r="C90" s="343">
        <v>13</v>
      </c>
      <c r="D90" s="343">
        <v>18</v>
      </c>
      <c r="E90" s="384">
        <v>46143</v>
      </c>
      <c r="F90" s="343" t="s">
        <v>236</v>
      </c>
      <c r="G90" s="343" t="s">
        <v>147</v>
      </c>
      <c r="I90" s="343">
        <v>20260421</v>
      </c>
      <c r="J90" s="343">
        <v>12600</v>
      </c>
      <c r="K90" s="343">
        <v>1</v>
      </c>
      <c r="L90" s="343">
        <v>50</v>
      </c>
      <c r="M90" s="384">
        <v>46133</v>
      </c>
      <c r="N90" s="343" t="s">
        <v>233</v>
      </c>
      <c r="O90" s="343" t="s">
        <v>144</v>
      </c>
      <c r="Q90" s="343">
        <v>20260415</v>
      </c>
      <c r="R90" s="343">
        <v>35486.5</v>
      </c>
      <c r="S90" s="343">
        <v>85</v>
      </c>
      <c r="T90" s="343">
        <v>198</v>
      </c>
      <c r="U90" s="384">
        <v>46127</v>
      </c>
      <c r="V90" s="343" t="s">
        <v>234</v>
      </c>
      <c r="W90" s="343" t="s">
        <v>143</v>
      </c>
      <c r="Y90" s="343" t="s">
        <v>338</v>
      </c>
      <c r="Z90" s="343" t="s">
        <v>160</v>
      </c>
      <c r="AA90" s="384">
        <v>46202</v>
      </c>
      <c r="AB90" s="384">
        <v>46208</v>
      </c>
      <c r="AC90" s="343" t="s">
        <v>106</v>
      </c>
      <c r="AD90" s="343">
        <v>1</v>
      </c>
      <c r="AE90" s="343">
        <v>240.4</v>
      </c>
      <c r="AF90" s="343">
        <v>0</v>
      </c>
      <c r="AG90" s="343">
        <v>0</v>
      </c>
      <c r="AH90" s="343">
        <v>240.4</v>
      </c>
      <c r="AI90" s="343">
        <v>0</v>
      </c>
    </row>
    <row r="91" spans="1:35">
      <c r="A91" s="343">
        <v>20260502</v>
      </c>
      <c r="B91" s="343">
        <v>10979</v>
      </c>
      <c r="C91" s="343">
        <v>12</v>
      </c>
      <c r="D91" s="343">
        <v>20</v>
      </c>
      <c r="E91" s="384">
        <v>46144</v>
      </c>
      <c r="F91" s="343" t="s">
        <v>244</v>
      </c>
      <c r="G91" s="343" t="s">
        <v>147</v>
      </c>
      <c r="I91" s="343">
        <v>20260422</v>
      </c>
      <c r="J91" s="343">
        <v>5415</v>
      </c>
      <c r="K91" s="343">
        <v>48</v>
      </c>
      <c r="L91" s="343">
        <v>77</v>
      </c>
      <c r="M91" s="384">
        <v>46134</v>
      </c>
      <c r="N91" s="343" t="s">
        <v>234</v>
      </c>
      <c r="O91" s="343" t="s">
        <v>144</v>
      </c>
      <c r="Q91" s="343">
        <v>20260416</v>
      </c>
      <c r="R91" s="343">
        <v>101442.1</v>
      </c>
      <c r="S91" s="343">
        <v>200</v>
      </c>
      <c r="T91" s="343">
        <v>331</v>
      </c>
      <c r="U91" s="384">
        <v>46128</v>
      </c>
      <c r="V91" s="343" t="s">
        <v>235</v>
      </c>
      <c r="W91" s="343" t="s">
        <v>143</v>
      </c>
      <c r="Y91" s="343" t="s">
        <v>338</v>
      </c>
      <c r="Z91" s="343" t="s">
        <v>161</v>
      </c>
      <c r="AA91" s="384">
        <v>46209</v>
      </c>
      <c r="AB91" s="384">
        <v>46215</v>
      </c>
      <c r="AC91" s="343" t="s">
        <v>337</v>
      </c>
      <c r="AD91" s="343">
        <v>11</v>
      </c>
      <c r="AE91" s="343">
        <v>3024</v>
      </c>
      <c r="AF91" s="343">
        <v>0</v>
      </c>
      <c r="AG91" s="343">
        <v>0</v>
      </c>
      <c r="AH91" s="343">
        <v>3024</v>
      </c>
      <c r="AI91" s="343">
        <v>272.16000000000003</v>
      </c>
    </row>
    <row r="92" spans="1:35">
      <c r="A92" s="343">
        <v>20260505</v>
      </c>
      <c r="B92" s="343">
        <v>4925.7</v>
      </c>
      <c r="C92" s="343">
        <v>3</v>
      </c>
      <c r="D92" s="343">
        <v>16</v>
      </c>
      <c r="E92" s="384">
        <v>46147</v>
      </c>
      <c r="F92" s="343" t="s">
        <v>233</v>
      </c>
      <c r="G92" s="343" t="s">
        <v>148</v>
      </c>
      <c r="I92" s="343">
        <v>20260423</v>
      </c>
      <c r="J92" s="343">
        <v>16854.099999999999</v>
      </c>
      <c r="K92" s="343">
        <v>49</v>
      </c>
      <c r="L92" s="343">
        <v>100</v>
      </c>
      <c r="M92" s="384">
        <v>46135</v>
      </c>
      <c r="N92" s="343" t="s">
        <v>235</v>
      </c>
      <c r="O92" s="343" t="s">
        <v>144</v>
      </c>
      <c r="Q92" s="343">
        <v>20260417</v>
      </c>
      <c r="R92" s="343">
        <v>49094</v>
      </c>
      <c r="S92" s="343">
        <v>167</v>
      </c>
      <c r="T92" s="343">
        <v>331</v>
      </c>
      <c r="U92" s="384">
        <v>46129</v>
      </c>
      <c r="V92" s="343" t="s">
        <v>236</v>
      </c>
      <c r="W92" s="343" t="s">
        <v>143</v>
      </c>
      <c r="Y92" s="343" t="s">
        <v>338</v>
      </c>
      <c r="Z92" s="343" t="s">
        <v>161</v>
      </c>
      <c r="AA92" s="384">
        <v>46209</v>
      </c>
      <c r="AB92" s="384">
        <v>46215</v>
      </c>
      <c r="AC92" s="343" t="s">
        <v>106</v>
      </c>
      <c r="AD92" s="343">
        <v>3</v>
      </c>
      <c r="AE92" s="343">
        <v>479.51</v>
      </c>
      <c r="AF92" s="343">
        <v>0</v>
      </c>
      <c r="AG92" s="343">
        <v>0</v>
      </c>
      <c r="AH92" s="343">
        <v>479.51</v>
      </c>
      <c r="AI92" s="343">
        <v>0</v>
      </c>
    </row>
    <row r="93" spans="1:35">
      <c r="A93" s="343">
        <v>20260506</v>
      </c>
      <c r="B93" s="343">
        <v>5192</v>
      </c>
      <c r="C93" s="343">
        <v>9</v>
      </c>
      <c r="D93" s="343">
        <v>18</v>
      </c>
      <c r="E93" s="384">
        <v>46148</v>
      </c>
      <c r="F93" s="343" t="s">
        <v>234</v>
      </c>
      <c r="G93" s="343" t="s">
        <v>148</v>
      </c>
      <c r="I93" s="343">
        <v>20260424</v>
      </c>
      <c r="J93" s="343">
        <v>29096</v>
      </c>
      <c r="K93" s="343">
        <v>88</v>
      </c>
      <c r="L93" s="343">
        <v>188</v>
      </c>
      <c r="M93" s="384">
        <v>46136</v>
      </c>
      <c r="N93" s="343" t="s">
        <v>236</v>
      </c>
      <c r="O93" s="343" t="s">
        <v>144</v>
      </c>
      <c r="Q93" s="343">
        <v>20260418</v>
      </c>
      <c r="R93" s="343">
        <v>87428.95</v>
      </c>
      <c r="S93" s="343">
        <v>192</v>
      </c>
      <c r="T93" s="343">
        <v>417</v>
      </c>
      <c r="U93" s="384">
        <v>46130</v>
      </c>
      <c r="V93" s="343" t="s">
        <v>244</v>
      </c>
      <c r="W93" s="343" t="s">
        <v>143</v>
      </c>
      <c r="Y93" s="343" t="s">
        <v>338</v>
      </c>
      <c r="Z93" s="343" t="s">
        <v>161</v>
      </c>
      <c r="AA93" s="384">
        <v>46209</v>
      </c>
      <c r="AB93" s="384">
        <v>46215</v>
      </c>
      <c r="AC93" s="343" t="s">
        <v>289</v>
      </c>
      <c r="AD93" s="343">
        <v>20</v>
      </c>
      <c r="AE93" s="343">
        <v>27000</v>
      </c>
      <c r="AF93" s="343">
        <v>0</v>
      </c>
      <c r="AG93" s="343">
        <v>0</v>
      </c>
      <c r="AH93" s="343">
        <v>27000</v>
      </c>
      <c r="AI93" s="343">
        <v>2430</v>
      </c>
    </row>
    <row r="94" spans="1:35">
      <c r="A94" s="343">
        <v>20260507</v>
      </c>
      <c r="B94" s="343">
        <v>3276</v>
      </c>
      <c r="C94" s="343">
        <v>7</v>
      </c>
      <c r="D94" s="343">
        <v>12</v>
      </c>
      <c r="E94" s="384">
        <v>46149</v>
      </c>
      <c r="F94" s="343" t="s">
        <v>235</v>
      </c>
      <c r="G94" s="343" t="s">
        <v>148</v>
      </c>
      <c r="I94" s="343">
        <v>20260425</v>
      </c>
      <c r="J94" s="343">
        <v>15980</v>
      </c>
      <c r="K94" s="343">
        <v>94</v>
      </c>
      <c r="L94" s="343">
        <v>160</v>
      </c>
      <c r="M94" s="384">
        <v>46137</v>
      </c>
      <c r="N94" s="343" t="s">
        <v>244</v>
      </c>
      <c r="O94" s="343" t="s">
        <v>144</v>
      </c>
      <c r="Q94" s="343">
        <v>20260421</v>
      </c>
      <c r="R94" s="343">
        <v>10553</v>
      </c>
      <c r="S94" s="343">
        <v>88</v>
      </c>
      <c r="T94" s="343">
        <v>118</v>
      </c>
      <c r="U94" s="384">
        <v>46133</v>
      </c>
      <c r="V94" s="343" t="s">
        <v>233</v>
      </c>
      <c r="W94" s="343" t="s">
        <v>144</v>
      </c>
      <c r="Y94" s="343" t="s">
        <v>338</v>
      </c>
      <c r="Z94" s="343" t="s">
        <v>162</v>
      </c>
      <c r="AA94" s="384">
        <v>46216</v>
      </c>
      <c r="AB94" s="384">
        <v>46222</v>
      </c>
      <c r="AC94" s="343" t="s">
        <v>279</v>
      </c>
      <c r="AD94" s="343">
        <v>92</v>
      </c>
      <c r="AE94" s="343">
        <v>1082</v>
      </c>
      <c r="AF94" s="343">
        <v>0</v>
      </c>
      <c r="AG94" s="343">
        <v>0</v>
      </c>
      <c r="AH94" s="343">
        <v>1082</v>
      </c>
      <c r="AI94" s="343">
        <v>97.38</v>
      </c>
    </row>
    <row r="95" spans="1:35">
      <c r="A95" s="343">
        <v>20260508</v>
      </c>
      <c r="B95" s="343">
        <v>3419</v>
      </c>
      <c r="C95" s="343">
        <v>7</v>
      </c>
      <c r="D95" s="343">
        <v>14</v>
      </c>
      <c r="E95" s="384">
        <v>46150</v>
      </c>
      <c r="F95" s="343" t="s">
        <v>236</v>
      </c>
      <c r="G95" s="343" t="s">
        <v>148</v>
      </c>
      <c r="I95" s="343">
        <v>20260427</v>
      </c>
      <c r="J95" s="343">
        <v>11958.85</v>
      </c>
      <c r="K95" s="343">
        <v>15</v>
      </c>
      <c r="L95" s="343">
        <v>69</v>
      </c>
      <c r="M95" s="384">
        <v>46139</v>
      </c>
      <c r="N95" s="343" t="s">
        <v>232</v>
      </c>
      <c r="O95" s="343" t="s">
        <v>147</v>
      </c>
      <c r="Q95" s="343">
        <v>20260422</v>
      </c>
      <c r="R95" s="343">
        <v>6995</v>
      </c>
      <c r="S95" s="343">
        <v>32</v>
      </c>
      <c r="T95" s="343">
        <v>818</v>
      </c>
      <c r="U95" s="384">
        <v>46134</v>
      </c>
      <c r="V95" s="343" t="s">
        <v>234</v>
      </c>
      <c r="W95" s="343" t="s">
        <v>144</v>
      </c>
      <c r="Y95" s="343" t="s">
        <v>338</v>
      </c>
      <c r="Z95" s="343" t="s">
        <v>162</v>
      </c>
      <c r="AA95" s="384">
        <v>46216</v>
      </c>
      <c r="AB95" s="384">
        <v>46222</v>
      </c>
      <c r="AC95" s="343" t="s">
        <v>337</v>
      </c>
      <c r="AD95" s="343">
        <v>9</v>
      </c>
      <c r="AE95" s="343">
        <v>2269.0100000000002</v>
      </c>
      <c r="AF95" s="343">
        <v>0</v>
      </c>
      <c r="AG95" s="343">
        <v>0</v>
      </c>
      <c r="AH95" s="343">
        <v>2269.0100000000002</v>
      </c>
      <c r="AI95" s="343">
        <v>204.21</v>
      </c>
    </row>
    <row r="96" spans="1:35">
      <c r="A96" s="343">
        <v>20260509</v>
      </c>
      <c r="B96" s="343">
        <v>7309</v>
      </c>
      <c r="C96" s="343">
        <v>9</v>
      </c>
      <c r="D96" s="343">
        <v>19</v>
      </c>
      <c r="E96" s="384">
        <v>46151</v>
      </c>
      <c r="F96" s="343" t="s">
        <v>244</v>
      </c>
      <c r="G96" s="343" t="s">
        <v>148</v>
      </c>
      <c r="I96" s="343">
        <v>20260428</v>
      </c>
      <c r="J96" s="343">
        <v>15454.65</v>
      </c>
      <c r="K96" s="343">
        <v>23</v>
      </c>
      <c r="L96" s="343">
        <v>107</v>
      </c>
      <c r="M96" s="384">
        <v>46140</v>
      </c>
      <c r="N96" s="343" t="s">
        <v>233</v>
      </c>
      <c r="O96" s="343" t="s">
        <v>147</v>
      </c>
      <c r="Q96" s="343">
        <v>20260423</v>
      </c>
      <c r="R96" s="343">
        <v>73068.399999999994</v>
      </c>
      <c r="S96" s="343">
        <v>215</v>
      </c>
      <c r="T96" s="343">
        <v>431</v>
      </c>
      <c r="U96" s="384">
        <v>46135</v>
      </c>
      <c r="V96" s="343" t="s">
        <v>235</v>
      </c>
      <c r="W96" s="343" t="s">
        <v>144</v>
      </c>
      <c r="Y96" s="343" t="s">
        <v>338</v>
      </c>
      <c r="Z96" s="343" t="s">
        <v>162</v>
      </c>
      <c r="AA96" s="384">
        <v>46216</v>
      </c>
      <c r="AB96" s="384">
        <v>46222</v>
      </c>
      <c r="AC96" s="343" t="s">
        <v>106</v>
      </c>
      <c r="AD96" s="343">
        <v>2</v>
      </c>
      <c r="AE96" s="343">
        <v>2538</v>
      </c>
      <c r="AF96" s="343">
        <v>0</v>
      </c>
      <c r="AG96" s="343">
        <v>0</v>
      </c>
      <c r="AH96" s="343">
        <v>2538</v>
      </c>
      <c r="AI96" s="343">
        <v>0</v>
      </c>
    </row>
    <row r="97" spans="1:35">
      <c r="A97" s="343">
        <v>20260512</v>
      </c>
      <c r="B97" s="343">
        <v>3357</v>
      </c>
      <c r="C97" s="343">
        <v>2</v>
      </c>
      <c r="D97" s="343">
        <v>11</v>
      </c>
      <c r="E97" s="384">
        <v>46154</v>
      </c>
      <c r="F97" s="343" t="s">
        <v>233</v>
      </c>
      <c r="G97" s="343" t="s">
        <v>149</v>
      </c>
      <c r="I97" s="343">
        <v>20260429</v>
      </c>
      <c r="J97" s="343">
        <v>18610.2</v>
      </c>
      <c r="K97" s="343">
        <v>65</v>
      </c>
      <c r="L97" s="343">
        <v>121</v>
      </c>
      <c r="M97" s="384">
        <v>46141</v>
      </c>
      <c r="N97" s="343" t="s">
        <v>234</v>
      </c>
      <c r="O97" s="343" t="s">
        <v>147</v>
      </c>
      <c r="Q97" s="343">
        <v>20260424</v>
      </c>
      <c r="R97" s="343">
        <v>80273.7</v>
      </c>
      <c r="S97" s="343">
        <v>204</v>
      </c>
      <c r="T97" s="343">
        <v>455</v>
      </c>
      <c r="U97" s="384">
        <v>46136</v>
      </c>
      <c r="V97" s="343" t="s">
        <v>236</v>
      </c>
      <c r="W97" s="343" t="s">
        <v>144</v>
      </c>
      <c r="Y97" s="343" t="s">
        <v>338</v>
      </c>
      <c r="Z97" s="343" t="s">
        <v>162</v>
      </c>
      <c r="AA97" s="384">
        <v>46216</v>
      </c>
      <c r="AB97" s="384">
        <v>46222</v>
      </c>
      <c r="AC97" s="343" t="s">
        <v>289</v>
      </c>
      <c r="AD97" s="343">
        <v>8</v>
      </c>
      <c r="AE97" s="343">
        <v>6100</v>
      </c>
      <c r="AF97" s="343">
        <v>0</v>
      </c>
      <c r="AG97" s="343">
        <v>0</v>
      </c>
      <c r="AH97" s="343">
        <v>6100</v>
      </c>
      <c r="AI97" s="343">
        <v>549</v>
      </c>
    </row>
    <row r="98" spans="1:35">
      <c r="A98" s="343">
        <v>20260513</v>
      </c>
      <c r="B98" s="343">
        <v>3692</v>
      </c>
      <c r="C98" s="343">
        <v>5</v>
      </c>
      <c r="D98" s="343">
        <v>11</v>
      </c>
      <c r="E98" s="384">
        <v>46155</v>
      </c>
      <c r="F98" s="343" t="s">
        <v>234</v>
      </c>
      <c r="G98" s="343" t="s">
        <v>149</v>
      </c>
      <c r="I98" s="343">
        <v>20260430</v>
      </c>
      <c r="J98" s="343">
        <v>18800</v>
      </c>
      <c r="K98" s="343">
        <v>79</v>
      </c>
      <c r="L98" s="343">
        <v>163</v>
      </c>
      <c r="M98" s="384">
        <v>46142</v>
      </c>
      <c r="N98" s="343" t="s">
        <v>235</v>
      </c>
      <c r="O98" s="343" t="s">
        <v>147</v>
      </c>
      <c r="Q98" s="343">
        <v>20260425</v>
      </c>
      <c r="R98" s="343">
        <v>67172.05</v>
      </c>
      <c r="S98" s="343">
        <v>179</v>
      </c>
      <c r="T98" s="343">
        <v>358</v>
      </c>
      <c r="U98" s="384">
        <v>46137</v>
      </c>
      <c r="V98" s="343" t="s">
        <v>244</v>
      </c>
      <c r="W98" s="343" t="s">
        <v>144</v>
      </c>
      <c r="Y98" s="343" t="s">
        <v>338</v>
      </c>
      <c r="Z98" s="343" t="s">
        <v>163</v>
      </c>
      <c r="AA98" s="384">
        <v>46223</v>
      </c>
      <c r="AB98" s="384">
        <v>46229</v>
      </c>
      <c r="AC98" s="343" t="s">
        <v>337</v>
      </c>
      <c r="AD98" s="343">
        <v>16</v>
      </c>
      <c r="AE98" s="343">
        <v>5543.4</v>
      </c>
      <c r="AF98" s="343">
        <v>0</v>
      </c>
      <c r="AG98" s="343">
        <v>0</v>
      </c>
      <c r="AH98" s="343">
        <v>5543.4</v>
      </c>
      <c r="AI98" s="343">
        <v>498.91</v>
      </c>
    </row>
    <row r="99" spans="1:35">
      <c r="A99" s="343">
        <v>20260514</v>
      </c>
      <c r="B99" s="343">
        <v>3250</v>
      </c>
      <c r="C99" s="343">
        <v>6</v>
      </c>
      <c r="D99" s="343">
        <v>10</v>
      </c>
      <c r="E99" s="384">
        <v>46156</v>
      </c>
      <c r="F99" s="343" t="s">
        <v>235</v>
      </c>
      <c r="G99" s="343" t="s">
        <v>149</v>
      </c>
      <c r="I99" s="343">
        <v>20260501</v>
      </c>
      <c r="J99" s="343">
        <v>63007.58</v>
      </c>
      <c r="K99" s="343">
        <v>56</v>
      </c>
      <c r="L99" s="343">
        <v>129</v>
      </c>
      <c r="M99" s="384">
        <v>46143</v>
      </c>
      <c r="N99" s="343" t="s">
        <v>236</v>
      </c>
      <c r="O99" s="343" t="s">
        <v>147</v>
      </c>
      <c r="Q99" s="343">
        <v>20260427</v>
      </c>
      <c r="R99" s="343">
        <v>24580.799999999999</v>
      </c>
      <c r="S99" s="343">
        <v>35</v>
      </c>
      <c r="T99" s="343">
        <v>133</v>
      </c>
      <c r="U99" s="384">
        <v>46139</v>
      </c>
      <c r="V99" s="343" t="s">
        <v>232</v>
      </c>
      <c r="W99" s="343" t="s">
        <v>147</v>
      </c>
      <c r="Y99" s="343" t="s">
        <v>338</v>
      </c>
      <c r="Z99" s="343" t="s">
        <v>163</v>
      </c>
      <c r="AA99" s="384">
        <v>46223</v>
      </c>
      <c r="AB99" s="384">
        <v>46229</v>
      </c>
      <c r="AC99" s="343" t="s">
        <v>106</v>
      </c>
      <c r="AD99" s="343">
        <v>2</v>
      </c>
      <c r="AE99" s="343">
        <v>698.8</v>
      </c>
      <c r="AF99" s="343">
        <v>0</v>
      </c>
      <c r="AG99" s="343">
        <v>0</v>
      </c>
      <c r="AH99" s="343">
        <v>698.8</v>
      </c>
      <c r="AI99" s="343">
        <v>0</v>
      </c>
    </row>
    <row r="100" spans="1:35">
      <c r="A100" s="343">
        <v>20260515</v>
      </c>
      <c r="B100" s="343">
        <v>4633</v>
      </c>
      <c r="C100" s="343">
        <v>8</v>
      </c>
      <c r="D100" s="343">
        <v>14</v>
      </c>
      <c r="E100" s="384">
        <v>46157</v>
      </c>
      <c r="F100" s="343" t="s">
        <v>236</v>
      </c>
      <c r="G100" s="343" t="s">
        <v>149</v>
      </c>
      <c r="I100" s="343">
        <v>20260502</v>
      </c>
      <c r="J100" s="343">
        <v>79245</v>
      </c>
      <c r="K100" s="343">
        <v>110</v>
      </c>
      <c r="L100" s="343">
        <v>288</v>
      </c>
      <c r="M100" s="384">
        <v>46144</v>
      </c>
      <c r="N100" s="343" t="s">
        <v>244</v>
      </c>
      <c r="O100" s="343" t="s">
        <v>147</v>
      </c>
      <c r="Q100" s="343">
        <v>20260428</v>
      </c>
      <c r="R100" s="343">
        <v>25002.7</v>
      </c>
      <c r="S100" s="343">
        <v>106</v>
      </c>
      <c r="T100" s="343">
        <v>224</v>
      </c>
      <c r="U100" s="384">
        <v>46140</v>
      </c>
      <c r="V100" s="343" t="s">
        <v>233</v>
      </c>
      <c r="W100" s="343" t="s">
        <v>147</v>
      </c>
      <c r="Y100" s="343" t="s">
        <v>338</v>
      </c>
      <c r="Z100" s="343" t="s">
        <v>163</v>
      </c>
      <c r="AA100" s="384">
        <v>46223</v>
      </c>
      <c r="AB100" s="384">
        <v>46229</v>
      </c>
      <c r="AC100" s="343" t="s">
        <v>289</v>
      </c>
      <c r="AD100" s="343">
        <v>10</v>
      </c>
      <c r="AE100" s="343">
        <v>6250</v>
      </c>
      <c r="AF100" s="343">
        <v>0</v>
      </c>
      <c r="AG100" s="343">
        <v>0</v>
      </c>
      <c r="AH100" s="343">
        <v>6250</v>
      </c>
      <c r="AI100" s="343">
        <v>562.5</v>
      </c>
    </row>
    <row r="101" spans="1:35">
      <c r="A101" s="343">
        <v>20260516</v>
      </c>
      <c r="B101" s="343">
        <v>7286</v>
      </c>
      <c r="C101" s="343">
        <v>10</v>
      </c>
      <c r="D101" s="343">
        <v>22</v>
      </c>
      <c r="E101" s="384">
        <v>46158</v>
      </c>
      <c r="F101" s="343" t="s">
        <v>244</v>
      </c>
      <c r="G101" s="343" t="s">
        <v>149</v>
      </c>
      <c r="I101" s="343">
        <v>20260503</v>
      </c>
      <c r="J101" s="343">
        <v>11191</v>
      </c>
      <c r="K101" s="343">
        <v>33</v>
      </c>
      <c r="L101" s="343">
        <v>91</v>
      </c>
      <c r="M101" s="384">
        <v>46145</v>
      </c>
      <c r="N101" s="343" t="s">
        <v>245</v>
      </c>
      <c r="O101" s="343" t="s">
        <v>147</v>
      </c>
      <c r="Q101" s="343">
        <v>20260429</v>
      </c>
      <c r="R101" s="343">
        <v>23980.2</v>
      </c>
      <c r="S101" s="343">
        <v>90</v>
      </c>
      <c r="T101" s="343">
        <v>203</v>
      </c>
      <c r="U101" s="384">
        <v>46141</v>
      </c>
      <c r="V101" s="343" t="s">
        <v>234</v>
      </c>
      <c r="W101" s="343" t="s">
        <v>147</v>
      </c>
      <c r="Y101" s="343" t="s">
        <v>338</v>
      </c>
      <c r="Z101" s="343" t="s">
        <v>166</v>
      </c>
      <c r="AA101" s="384">
        <v>46230</v>
      </c>
      <c r="AB101" s="384">
        <v>46236</v>
      </c>
      <c r="AC101" s="343" t="s">
        <v>337</v>
      </c>
      <c r="AD101" s="343">
        <v>4</v>
      </c>
      <c r="AE101" s="343">
        <v>367</v>
      </c>
      <c r="AF101" s="343">
        <v>0</v>
      </c>
      <c r="AG101" s="343">
        <v>0</v>
      </c>
      <c r="AH101" s="343">
        <v>367</v>
      </c>
      <c r="AI101" s="343">
        <v>33.03</v>
      </c>
    </row>
    <row r="102" spans="1:35">
      <c r="A102" s="343">
        <v>20260519</v>
      </c>
      <c r="B102" s="343">
        <v>2614</v>
      </c>
      <c r="C102" s="343">
        <v>4</v>
      </c>
      <c r="D102" s="343">
        <v>7</v>
      </c>
      <c r="E102" s="384">
        <v>46161</v>
      </c>
      <c r="F102" s="343" t="s">
        <v>233</v>
      </c>
      <c r="G102" s="343" t="s">
        <v>150</v>
      </c>
      <c r="I102" s="343">
        <v>20260504</v>
      </c>
      <c r="J102" s="343">
        <v>15771</v>
      </c>
      <c r="K102" s="343">
        <v>1</v>
      </c>
      <c r="L102" s="343">
        <v>15</v>
      </c>
      <c r="M102" s="384">
        <v>46146</v>
      </c>
      <c r="N102" s="343" t="s">
        <v>232</v>
      </c>
      <c r="O102" s="343" t="s">
        <v>148</v>
      </c>
      <c r="Q102" s="343">
        <v>20260430</v>
      </c>
      <c r="R102" s="343">
        <v>121091.45</v>
      </c>
      <c r="S102" s="343">
        <v>169</v>
      </c>
      <c r="T102" s="343">
        <v>392</v>
      </c>
      <c r="U102" s="384">
        <v>46142</v>
      </c>
      <c r="V102" s="343" t="s">
        <v>235</v>
      </c>
      <c r="W102" s="343" t="s">
        <v>147</v>
      </c>
      <c r="Y102" s="343" t="s">
        <v>338</v>
      </c>
      <c r="Z102" s="343" t="s">
        <v>166</v>
      </c>
      <c r="AA102" s="384">
        <v>46230</v>
      </c>
      <c r="AB102" s="384">
        <v>46236</v>
      </c>
      <c r="AC102" s="343" t="s">
        <v>106</v>
      </c>
      <c r="AD102" s="343">
        <v>2</v>
      </c>
      <c r="AE102" s="343">
        <v>489.7</v>
      </c>
      <c r="AF102" s="343">
        <v>0</v>
      </c>
      <c r="AG102" s="343">
        <v>0</v>
      </c>
      <c r="AH102" s="343">
        <v>489.7</v>
      </c>
      <c r="AI102" s="343">
        <v>0</v>
      </c>
    </row>
    <row r="103" spans="1:35">
      <c r="A103" s="343">
        <v>20260520</v>
      </c>
      <c r="B103" s="343">
        <v>3162</v>
      </c>
      <c r="C103" s="343">
        <v>7</v>
      </c>
      <c r="D103" s="343">
        <v>12</v>
      </c>
      <c r="E103" s="384">
        <v>46162</v>
      </c>
      <c r="F103" s="343" t="s">
        <v>234</v>
      </c>
      <c r="G103" s="343" t="s">
        <v>150</v>
      </c>
      <c r="I103" s="343">
        <v>20260505</v>
      </c>
      <c r="J103" s="343">
        <v>9828.1</v>
      </c>
      <c r="K103" s="343">
        <v>9</v>
      </c>
      <c r="L103" s="343">
        <v>37</v>
      </c>
      <c r="M103" s="384">
        <v>46147</v>
      </c>
      <c r="N103" s="343" t="s">
        <v>233</v>
      </c>
      <c r="O103" s="343" t="s">
        <v>148</v>
      </c>
      <c r="Q103" s="343">
        <v>20260501</v>
      </c>
      <c r="R103" s="343">
        <v>130954.53</v>
      </c>
      <c r="S103" s="343">
        <v>198</v>
      </c>
      <c r="T103" s="343">
        <v>438</v>
      </c>
      <c r="U103" s="384">
        <v>46143</v>
      </c>
      <c r="V103" s="343" t="s">
        <v>236</v>
      </c>
      <c r="W103" s="343" t="s">
        <v>147</v>
      </c>
      <c r="Y103" s="343" t="s">
        <v>338</v>
      </c>
      <c r="Z103" s="343" t="s">
        <v>166</v>
      </c>
      <c r="AA103" s="384">
        <v>46230</v>
      </c>
      <c r="AB103" s="384">
        <v>46236</v>
      </c>
      <c r="AC103" s="343" t="s">
        <v>289</v>
      </c>
      <c r="AD103" s="343">
        <v>5</v>
      </c>
      <c r="AE103" s="343">
        <v>5355</v>
      </c>
      <c r="AF103" s="343">
        <v>0</v>
      </c>
      <c r="AG103" s="343">
        <v>0</v>
      </c>
      <c r="AH103" s="343">
        <v>5355</v>
      </c>
      <c r="AI103" s="343">
        <v>481.95</v>
      </c>
    </row>
    <row r="104" spans="1:35">
      <c r="A104" s="343">
        <v>20260521</v>
      </c>
      <c r="B104" s="343">
        <v>1386</v>
      </c>
      <c r="C104" s="343">
        <v>5</v>
      </c>
      <c r="D104" s="343">
        <v>10</v>
      </c>
      <c r="E104" s="384">
        <v>46163</v>
      </c>
      <c r="F104" s="343" t="s">
        <v>235</v>
      </c>
      <c r="G104" s="343" t="s">
        <v>150</v>
      </c>
      <c r="I104" s="343">
        <v>20260506</v>
      </c>
      <c r="J104" s="343">
        <v>33557.4</v>
      </c>
      <c r="K104" s="343">
        <v>48</v>
      </c>
      <c r="L104" s="343">
        <v>192</v>
      </c>
      <c r="M104" s="384">
        <v>46148</v>
      </c>
      <c r="N104" s="343" t="s">
        <v>234</v>
      </c>
      <c r="O104" s="343" t="s">
        <v>148</v>
      </c>
      <c r="Q104" s="343">
        <v>20260502</v>
      </c>
      <c r="R104" s="343">
        <v>163979.13</v>
      </c>
      <c r="S104" s="343">
        <v>162</v>
      </c>
      <c r="T104" s="343">
        <v>367</v>
      </c>
      <c r="U104" s="384">
        <v>46144</v>
      </c>
      <c r="V104" s="343" t="s">
        <v>244</v>
      </c>
      <c r="W104" s="343" t="s">
        <v>147</v>
      </c>
      <c r="Y104" s="343" t="s">
        <v>338</v>
      </c>
      <c r="Z104" s="343" t="s">
        <v>167</v>
      </c>
      <c r="AA104" s="384">
        <v>46237</v>
      </c>
      <c r="AB104" s="384">
        <v>46243</v>
      </c>
      <c r="AC104" s="343" t="s">
        <v>337</v>
      </c>
      <c r="AD104" s="343">
        <v>8</v>
      </c>
      <c r="AE104" s="343">
        <v>1750</v>
      </c>
      <c r="AF104" s="343">
        <v>0</v>
      </c>
      <c r="AG104" s="343">
        <v>0</v>
      </c>
      <c r="AH104" s="343">
        <v>1750</v>
      </c>
      <c r="AI104" s="343">
        <v>157.5</v>
      </c>
    </row>
    <row r="105" spans="1:35">
      <c r="A105" s="343">
        <v>20260522</v>
      </c>
      <c r="B105" s="343">
        <v>5817</v>
      </c>
      <c r="C105" s="343">
        <v>10</v>
      </c>
      <c r="D105" s="343">
        <v>17</v>
      </c>
      <c r="E105" s="384">
        <v>46164</v>
      </c>
      <c r="F105" s="343" t="s">
        <v>236</v>
      </c>
      <c r="G105" s="343" t="s">
        <v>150</v>
      </c>
      <c r="I105" s="343">
        <v>20260507</v>
      </c>
      <c r="J105" s="343">
        <v>48277.7</v>
      </c>
      <c r="K105" s="343">
        <v>16</v>
      </c>
      <c r="L105" s="343">
        <v>81</v>
      </c>
      <c r="M105" s="384">
        <v>46149</v>
      </c>
      <c r="N105" s="343" t="s">
        <v>235</v>
      </c>
      <c r="O105" s="343" t="s">
        <v>148</v>
      </c>
      <c r="Q105" s="343">
        <v>20260503</v>
      </c>
      <c r="R105" s="343">
        <v>43644.2</v>
      </c>
      <c r="S105" s="343">
        <v>118</v>
      </c>
      <c r="T105" s="343">
        <v>233</v>
      </c>
      <c r="U105" s="384">
        <v>46145</v>
      </c>
      <c r="V105" s="343" t="s">
        <v>245</v>
      </c>
      <c r="W105" s="343" t="s">
        <v>147</v>
      </c>
      <c r="Y105" s="343" t="s">
        <v>338</v>
      </c>
      <c r="Z105" s="343" t="s">
        <v>167</v>
      </c>
      <c r="AA105" s="384">
        <v>46237</v>
      </c>
      <c r="AB105" s="384">
        <v>46243</v>
      </c>
      <c r="AC105" s="343" t="s">
        <v>289</v>
      </c>
      <c r="AD105" s="343">
        <v>5</v>
      </c>
      <c r="AE105" s="343">
        <v>5560</v>
      </c>
      <c r="AF105" s="343">
        <v>0</v>
      </c>
      <c r="AG105" s="343">
        <v>0</v>
      </c>
      <c r="AH105" s="343">
        <v>5560</v>
      </c>
      <c r="AI105" s="343">
        <v>500.4</v>
      </c>
    </row>
    <row r="106" spans="1:35">
      <c r="A106" s="343">
        <v>20260523</v>
      </c>
      <c r="B106" s="343">
        <v>7639</v>
      </c>
      <c r="C106" s="343">
        <v>13</v>
      </c>
      <c r="D106" s="343">
        <v>22</v>
      </c>
      <c r="E106" s="384">
        <v>46165</v>
      </c>
      <c r="F106" s="343" t="s">
        <v>244</v>
      </c>
      <c r="G106" s="343" t="s">
        <v>150</v>
      </c>
      <c r="I106" s="343">
        <v>20260508</v>
      </c>
      <c r="J106" s="343">
        <v>13487</v>
      </c>
      <c r="K106" s="343">
        <v>95</v>
      </c>
      <c r="L106" s="343">
        <v>144</v>
      </c>
      <c r="M106" s="384">
        <v>46150</v>
      </c>
      <c r="N106" s="343" t="s">
        <v>236</v>
      </c>
      <c r="O106" s="343" t="s">
        <v>148</v>
      </c>
      <c r="Q106" s="343">
        <v>20260504</v>
      </c>
      <c r="R106" s="343">
        <v>53686.35</v>
      </c>
      <c r="S106" s="343">
        <v>2</v>
      </c>
      <c r="T106" s="343">
        <v>5</v>
      </c>
      <c r="U106" s="384">
        <v>46146</v>
      </c>
      <c r="V106" s="343" t="s">
        <v>232</v>
      </c>
      <c r="W106" s="343" t="s">
        <v>148</v>
      </c>
      <c r="Y106" s="343" t="s">
        <v>165</v>
      </c>
      <c r="Z106" s="343" t="s">
        <v>168</v>
      </c>
      <c r="AA106" s="384">
        <v>46244</v>
      </c>
      <c r="AB106" s="384">
        <v>46250</v>
      </c>
      <c r="AC106" s="343" t="s">
        <v>106</v>
      </c>
      <c r="AD106" s="343">
        <v>1</v>
      </c>
      <c r="AE106" s="343">
        <v>773.3</v>
      </c>
      <c r="AF106" s="343">
        <v>0</v>
      </c>
      <c r="AG106" s="343">
        <v>0</v>
      </c>
      <c r="AH106" s="343">
        <v>773.3</v>
      </c>
      <c r="AI106" s="343">
        <v>0</v>
      </c>
    </row>
    <row r="107" spans="1:35">
      <c r="A107" s="343">
        <v>20260526</v>
      </c>
      <c r="B107" s="343">
        <v>4691</v>
      </c>
      <c r="C107" s="343">
        <v>7</v>
      </c>
      <c r="D107" s="343">
        <v>16</v>
      </c>
      <c r="E107" s="384">
        <v>46168</v>
      </c>
      <c r="F107" s="343" t="s">
        <v>233</v>
      </c>
      <c r="G107" s="343" t="s">
        <v>153</v>
      </c>
      <c r="I107" s="343">
        <v>20260509</v>
      </c>
      <c r="J107" s="343">
        <v>10042</v>
      </c>
      <c r="K107" s="343">
        <v>67</v>
      </c>
      <c r="L107" s="343">
        <v>121</v>
      </c>
      <c r="M107" s="384">
        <v>46151</v>
      </c>
      <c r="N107" s="343" t="s">
        <v>244</v>
      </c>
      <c r="O107" s="343" t="s">
        <v>148</v>
      </c>
      <c r="Q107" s="343">
        <v>20260505</v>
      </c>
      <c r="R107" s="343">
        <v>32078.02</v>
      </c>
      <c r="S107" s="343">
        <v>2</v>
      </c>
      <c r="T107" s="343">
        <v>101</v>
      </c>
      <c r="U107" s="384">
        <v>46147</v>
      </c>
      <c r="V107" s="343" t="s">
        <v>233</v>
      </c>
      <c r="W107" s="343" t="s">
        <v>148</v>
      </c>
      <c r="Y107" s="343" t="s">
        <v>165</v>
      </c>
      <c r="Z107" s="343" t="s">
        <v>101</v>
      </c>
      <c r="AA107" s="384">
        <v>46251</v>
      </c>
      <c r="AB107" s="384">
        <v>46257</v>
      </c>
      <c r="AC107" s="343" t="s">
        <v>106</v>
      </c>
      <c r="AD107" s="343">
        <v>2</v>
      </c>
      <c r="AE107" s="343">
        <v>135.75</v>
      </c>
      <c r="AF107" s="343">
        <v>0</v>
      </c>
      <c r="AG107" s="343">
        <v>0</v>
      </c>
      <c r="AH107" s="343">
        <v>135.75</v>
      </c>
      <c r="AI107" s="343">
        <v>0</v>
      </c>
    </row>
    <row r="108" spans="1:35">
      <c r="A108" s="343">
        <v>20260527</v>
      </c>
      <c r="B108" s="343">
        <v>3024</v>
      </c>
      <c r="C108" s="343">
        <v>5</v>
      </c>
      <c r="D108" s="343">
        <v>8</v>
      </c>
      <c r="E108" s="384">
        <v>46169</v>
      </c>
      <c r="F108" s="343" t="s">
        <v>234</v>
      </c>
      <c r="G108" s="343" t="s">
        <v>153</v>
      </c>
      <c r="I108" s="343">
        <v>20260513</v>
      </c>
      <c r="J108" s="343">
        <v>58650.25</v>
      </c>
      <c r="K108" s="343">
        <v>20</v>
      </c>
      <c r="L108" s="343">
        <v>84</v>
      </c>
      <c r="M108" s="384">
        <v>46155</v>
      </c>
      <c r="N108" s="343" t="s">
        <v>234</v>
      </c>
      <c r="O108" s="343" t="s">
        <v>149</v>
      </c>
      <c r="Q108" s="343">
        <v>20260506</v>
      </c>
      <c r="R108" s="343">
        <v>69497.19</v>
      </c>
      <c r="S108" s="343">
        <v>102</v>
      </c>
      <c r="T108" s="343">
        <v>230</v>
      </c>
      <c r="U108" s="384">
        <v>46148</v>
      </c>
      <c r="V108" s="343" t="s">
        <v>234</v>
      </c>
      <c r="W108" s="343" t="s">
        <v>148</v>
      </c>
      <c r="Y108" s="343" t="s">
        <v>121</v>
      </c>
      <c r="Z108" s="343" t="s">
        <v>122</v>
      </c>
      <c r="AA108" s="384">
        <v>46020</v>
      </c>
      <c r="AB108" s="384">
        <v>46026</v>
      </c>
      <c r="AC108" s="343" t="s">
        <v>285</v>
      </c>
      <c r="AD108" s="343">
        <v>4660</v>
      </c>
      <c r="AE108" s="343">
        <v>167411.79999999999</v>
      </c>
      <c r="AF108" s="343">
        <v>3507</v>
      </c>
      <c r="AG108" s="343">
        <v>0</v>
      </c>
      <c r="AH108" s="343">
        <v>170918.8</v>
      </c>
      <c r="AI108" s="343">
        <v>15067.07</v>
      </c>
    </row>
    <row r="109" spans="1:35">
      <c r="A109" s="343">
        <v>20260528</v>
      </c>
      <c r="B109" s="343">
        <v>1789</v>
      </c>
      <c r="C109" s="343">
        <v>4</v>
      </c>
      <c r="D109" s="343">
        <v>6</v>
      </c>
      <c r="E109" s="384">
        <v>46170</v>
      </c>
      <c r="F109" s="343" t="s">
        <v>235</v>
      </c>
      <c r="G109" s="343" t="s">
        <v>153</v>
      </c>
      <c r="I109" s="343">
        <v>20260514</v>
      </c>
      <c r="J109" s="343">
        <v>11725</v>
      </c>
      <c r="K109" s="343">
        <v>38</v>
      </c>
      <c r="L109" s="343">
        <v>92</v>
      </c>
      <c r="M109" s="384">
        <v>46156</v>
      </c>
      <c r="N109" s="343" t="s">
        <v>235</v>
      </c>
      <c r="O109" s="343" t="s">
        <v>149</v>
      </c>
      <c r="Q109" s="343">
        <v>20260507</v>
      </c>
      <c r="R109" s="343">
        <v>100349.35</v>
      </c>
      <c r="S109" s="343">
        <v>128</v>
      </c>
      <c r="T109" s="343">
        <v>333</v>
      </c>
      <c r="U109" s="384">
        <v>46149</v>
      </c>
      <c r="V109" s="343" t="s">
        <v>235</v>
      </c>
      <c r="W109" s="343" t="s">
        <v>148</v>
      </c>
      <c r="Y109" s="343" t="s">
        <v>121</v>
      </c>
      <c r="Z109" s="343" t="s">
        <v>122</v>
      </c>
      <c r="AA109" s="384">
        <v>46020</v>
      </c>
      <c r="AB109" s="384">
        <v>46026</v>
      </c>
      <c r="AC109" s="343" t="s">
        <v>283</v>
      </c>
      <c r="AD109" s="343">
        <v>2758</v>
      </c>
      <c r="AE109" s="343">
        <v>25753</v>
      </c>
      <c r="AF109" s="343">
        <v>1108</v>
      </c>
      <c r="AG109" s="343">
        <v>0</v>
      </c>
      <c r="AH109" s="343">
        <v>26861</v>
      </c>
      <c r="AI109" s="343">
        <v>2317.77</v>
      </c>
    </row>
    <row r="110" spans="1:35">
      <c r="A110" s="343">
        <v>20260529</v>
      </c>
      <c r="B110" s="343">
        <v>3374</v>
      </c>
      <c r="C110" s="343">
        <v>6</v>
      </c>
      <c r="D110" s="343">
        <v>11</v>
      </c>
      <c r="E110" s="384">
        <v>46171</v>
      </c>
      <c r="F110" s="343" t="s">
        <v>236</v>
      </c>
      <c r="G110" s="343" t="s">
        <v>153</v>
      </c>
      <c r="I110" s="343">
        <v>20260515</v>
      </c>
      <c r="J110" s="343">
        <v>18229</v>
      </c>
      <c r="K110" s="343">
        <v>78</v>
      </c>
      <c r="L110" s="343">
        <v>161</v>
      </c>
      <c r="M110" s="384">
        <v>46157</v>
      </c>
      <c r="N110" s="343" t="s">
        <v>236</v>
      </c>
      <c r="O110" s="343" t="s">
        <v>149</v>
      </c>
      <c r="Q110" s="343">
        <v>20260508</v>
      </c>
      <c r="R110" s="343">
        <v>71142</v>
      </c>
      <c r="S110" s="343">
        <v>233</v>
      </c>
      <c r="T110" s="343">
        <v>426</v>
      </c>
      <c r="U110" s="384">
        <v>46150</v>
      </c>
      <c r="V110" s="343" t="s">
        <v>236</v>
      </c>
      <c r="W110" s="343" t="s">
        <v>148</v>
      </c>
      <c r="Y110" s="343" t="s">
        <v>121</v>
      </c>
      <c r="Z110" s="343" t="s">
        <v>122</v>
      </c>
      <c r="AA110" s="384">
        <v>46020</v>
      </c>
      <c r="AB110" s="384">
        <v>46026</v>
      </c>
      <c r="AC110" s="343" t="s">
        <v>281</v>
      </c>
      <c r="AD110" s="343">
        <v>5605</v>
      </c>
      <c r="AE110" s="343">
        <v>441096</v>
      </c>
      <c r="AF110" s="343">
        <v>10563</v>
      </c>
      <c r="AG110" s="343">
        <v>0</v>
      </c>
      <c r="AH110" s="343">
        <v>451659</v>
      </c>
      <c r="AI110" s="343">
        <v>39698.639999999999</v>
      </c>
    </row>
    <row r="111" spans="1:35">
      <c r="A111" s="343">
        <v>20260530</v>
      </c>
      <c r="B111" s="343">
        <v>4393</v>
      </c>
      <c r="C111" s="343">
        <v>9</v>
      </c>
      <c r="D111" s="343">
        <v>17</v>
      </c>
      <c r="E111" s="384">
        <v>46172</v>
      </c>
      <c r="F111" s="343" t="s">
        <v>244</v>
      </c>
      <c r="G111" s="343" t="s">
        <v>153</v>
      </c>
      <c r="I111" s="343">
        <v>20260516</v>
      </c>
      <c r="J111" s="343">
        <v>16956.099999999999</v>
      </c>
      <c r="K111" s="343">
        <v>73</v>
      </c>
      <c r="L111" s="343">
        <v>139</v>
      </c>
      <c r="M111" s="384">
        <v>46158</v>
      </c>
      <c r="N111" s="343" t="s">
        <v>244</v>
      </c>
      <c r="O111" s="343" t="s">
        <v>149</v>
      </c>
      <c r="Q111" s="343">
        <v>20260509</v>
      </c>
      <c r="R111" s="343">
        <v>43401</v>
      </c>
      <c r="S111" s="343">
        <v>163</v>
      </c>
      <c r="T111" s="343">
        <v>296</v>
      </c>
      <c r="U111" s="384">
        <v>46151</v>
      </c>
      <c r="V111" s="343" t="s">
        <v>244</v>
      </c>
      <c r="W111" s="343" t="s">
        <v>148</v>
      </c>
      <c r="Y111" s="343" t="s">
        <v>121</v>
      </c>
      <c r="Z111" s="343" t="s">
        <v>122</v>
      </c>
      <c r="AA111" s="384">
        <v>46020</v>
      </c>
      <c r="AB111" s="384">
        <v>46026</v>
      </c>
      <c r="AC111" s="343" t="s">
        <v>279</v>
      </c>
      <c r="AD111" s="343">
        <v>223</v>
      </c>
      <c r="AE111" s="343">
        <v>2571</v>
      </c>
      <c r="AF111" s="343">
        <v>111</v>
      </c>
      <c r="AG111" s="343">
        <v>0</v>
      </c>
      <c r="AH111" s="343">
        <v>2682</v>
      </c>
      <c r="AI111" s="343">
        <v>231.39</v>
      </c>
    </row>
    <row r="112" spans="1:35">
      <c r="A112" s="343">
        <v>20260602</v>
      </c>
      <c r="B112" s="343">
        <v>3035</v>
      </c>
      <c r="C112" s="343">
        <v>6</v>
      </c>
      <c r="D112" s="343">
        <v>12</v>
      </c>
      <c r="E112" s="384">
        <v>46175</v>
      </c>
      <c r="F112" s="343" t="s">
        <v>233</v>
      </c>
      <c r="G112" s="343" t="s">
        <v>154</v>
      </c>
      <c r="I112" s="343">
        <v>20260519</v>
      </c>
      <c r="J112" s="343">
        <v>8459.1</v>
      </c>
      <c r="K112" s="343">
        <v>4</v>
      </c>
      <c r="L112" s="343">
        <v>37</v>
      </c>
      <c r="M112" s="384">
        <v>46161</v>
      </c>
      <c r="N112" s="343" t="s">
        <v>233</v>
      </c>
      <c r="O112" s="343" t="s">
        <v>150</v>
      </c>
      <c r="Q112" s="343">
        <v>20260511</v>
      </c>
      <c r="S112" s="343">
        <v>14</v>
      </c>
      <c r="T112" s="343">
        <v>14</v>
      </c>
      <c r="U112" s="384">
        <v>46153</v>
      </c>
      <c r="V112" s="343" t="s">
        <v>232</v>
      </c>
      <c r="W112" s="343" t="s">
        <v>149</v>
      </c>
      <c r="Y112" s="343" t="s">
        <v>121</v>
      </c>
      <c r="Z112" s="343" t="s">
        <v>122</v>
      </c>
      <c r="AA112" s="384">
        <v>46020</v>
      </c>
      <c r="AB112" s="384">
        <v>46026</v>
      </c>
      <c r="AC112" s="343" t="s">
        <v>277</v>
      </c>
      <c r="AD112" s="343">
        <v>118</v>
      </c>
      <c r="AE112" s="343">
        <v>82600</v>
      </c>
      <c r="AF112" s="343">
        <v>155</v>
      </c>
      <c r="AG112" s="343">
        <v>0</v>
      </c>
      <c r="AH112" s="343">
        <v>82755</v>
      </c>
      <c r="AI112" s="343">
        <v>7434</v>
      </c>
    </row>
    <row r="113" spans="1:35">
      <c r="A113" s="343">
        <v>20260603</v>
      </c>
      <c r="B113" s="343">
        <v>1502</v>
      </c>
      <c r="C113" s="343">
        <v>4</v>
      </c>
      <c r="D113" s="343">
        <v>8</v>
      </c>
      <c r="E113" s="384">
        <v>46176</v>
      </c>
      <c r="F113" s="343" t="s">
        <v>234</v>
      </c>
      <c r="G113" s="343" t="s">
        <v>154</v>
      </c>
      <c r="I113" s="343">
        <v>20260520</v>
      </c>
      <c r="J113" s="343">
        <v>10484.5</v>
      </c>
      <c r="K113" s="343">
        <v>53</v>
      </c>
      <c r="L113" s="343">
        <v>106</v>
      </c>
      <c r="M113" s="384">
        <v>46162</v>
      </c>
      <c r="N113" s="343" t="s">
        <v>234</v>
      </c>
      <c r="O113" s="343" t="s">
        <v>150</v>
      </c>
      <c r="Q113" s="343">
        <v>20260513</v>
      </c>
      <c r="R113" s="343">
        <v>29214</v>
      </c>
      <c r="S113" s="343">
        <v>125</v>
      </c>
      <c r="T113" s="343">
        <v>217</v>
      </c>
      <c r="U113" s="384">
        <v>46155</v>
      </c>
      <c r="V113" s="343" t="s">
        <v>234</v>
      </c>
      <c r="W113" s="343" t="s">
        <v>149</v>
      </c>
      <c r="Y113" s="343" t="s">
        <v>121</v>
      </c>
      <c r="Z113" s="343" t="s">
        <v>122</v>
      </c>
      <c r="AA113" s="384">
        <v>46020</v>
      </c>
      <c r="AB113" s="384">
        <v>46026</v>
      </c>
      <c r="AC113" s="343" t="s">
        <v>287</v>
      </c>
      <c r="AD113" s="343">
        <v>738</v>
      </c>
      <c r="AE113" s="343">
        <v>13845</v>
      </c>
      <c r="AF113" s="343">
        <v>424</v>
      </c>
      <c r="AG113" s="343">
        <v>0</v>
      </c>
      <c r="AH113" s="343">
        <v>14269</v>
      </c>
      <c r="AI113" s="343">
        <v>1246.05</v>
      </c>
    </row>
    <row r="114" spans="1:35">
      <c r="A114" s="343">
        <v>20260604</v>
      </c>
      <c r="B114" s="343">
        <v>4157</v>
      </c>
      <c r="C114" s="343">
        <v>9</v>
      </c>
      <c r="D114" s="343">
        <v>17</v>
      </c>
      <c r="E114" s="384">
        <v>46177</v>
      </c>
      <c r="F114" s="343" t="s">
        <v>235</v>
      </c>
      <c r="G114" s="343" t="s">
        <v>154</v>
      </c>
      <c r="I114" s="343">
        <v>20260521</v>
      </c>
      <c r="J114" s="343">
        <v>5654</v>
      </c>
      <c r="K114" s="343">
        <v>35</v>
      </c>
      <c r="L114" s="343">
        <v>81</v>
      </c>
      <c r="M114" s="384">
        <v>46163</v>
      </c>
      <c r="N114" s="343" t="s">
        <v>235</v>
      </c>
      <c r="O114" s="343" t="s">
        <v>150</v>
      </c>
      <c r="Q114" s="343">
        <v>20260514</v>
      </c>
      <c r="R114" s="343">
        <v>41359.86</v>
      </c>
      <c r="S114" s="343">
        <v>137</v>
      </c>
      <c r="T114" s="343">
        <v>282</v>
      </c>
      <c r="U114" s="384">
        <v>46156</v>
      </c>
      <c r="V114" s="343" t="s">
        <v>235</v>
      </c>
      <c r="W114" s="343" t="s">
        <v>149</v>
      </c>
      <c r="Y114" s="343" t="s">
        <v>121</v>
      </c>
      <c r="Z114" s="343" t="s">
        <v>123</v>
      </c>
      <c r="AA114" s="384">
        <v>46027</v>
      </c>
      <c r="AB114" s="384">
        <v>46033</v>
      </c>
      <c r="AC114" s="343" t="s">
        <v>285</v>
      </c>
      <c r="AD114" s="343">
        <v>2449</v>
      </c>
      <c r="AE114" s="343">
        <v>122424.5</v>
      </c>
      <c r="AF114" s="343">
        <v>4251</v>
      </c>
      <c r="AG114" s="343">
        <v>0</v>
      </c>
      <c r="AH114" s="343">
        <v>126675.5</v>
      </c>
      <c r="AI114" s="343">
        <v>11018.21</v>
      </c>
    </row>
    <row r="115" spans="1:35">
      <c r="A115" s="343">
        <v>20260605</v>
      </c>
      <c r="B115" s="343">
        <v>3786</v>
      </c>
      <c r="C115" s="343">
        <v>7</v>
      </c>
      <c r="D115" s="343">
        <v>15</v>
      </c>
      <c r="E115" s="384">
        <v>46178</v>
      </c>
      <c r="F115" s="343" t="s">
        <v>236</v>
      </c>
      <c r="G115" s="343" t="s">
        <v>154</v>
      </c>
      <c r="I115" s="343">
        <v>20260522</v>
      </c>
      <c r="J115" s="343">
        <v>18176.009999999998</v>
      </c>
      <c r="K115" s="343">
        <v>86</v>
      </c>
      <c r="L115" s="343">
        <v>151</v>
      </c>
      <c r="M115" s="384">
        <v>46164</v>
      </c>
      <c r="N115" s="343" t="s">
        <v>236</v>
      </c>
      <c r="O115" s="343" t="s">
        <v>150</v>
      </c>
      <c r="Q115" s="343">
        <v>20260515</v>
      </c>
      <c r="R115" s="343">
        <v>80276.2</v>
      </c>
      <c r="S115" s="343">
        <v>168</v>
      </c>
      <c r="T115" s="343">
        <v>375</v>
      </c>
      <c r="U115" s="384">
        <v>46157</v>
      </c>
      <c r="V115" s="343" t="s">
        <v>236</v>
      </c>
      <c r="W115" s="343" t="s">
        <v>149</v>
      </c>
      <c r="Y115" s="343" t="s">
        <v>121</v>
      </c>
      <c r="Z115" s="343" t="s">
        <v>123</v>
      </c>
      <c r="AA115" s="384">
        <v>46027</v>
      </c>
      <c r="AB115" s="384">
        <v>46033</v>
      </c>
      <c r="AC115" s="343" t="s">
        <v>283</v>
      </c>
      <c r="AD115" s="343">
        <v>1186</v>
      </c>
      <c r="AE115" s="343">
        <v>11189</v>
      </c>
      <c r="AF115" s="343">
        <v>701</v>
      </c>
      <c r="AG115" s="343">
        <v>0</v>
      </c>
      <c r="AH115" s="343">
        <v>11890</v>
      </c>
      <c r="AI115" s="343">
        <v>1007.01</v>
      </c>
    </row>
    <row r="116" spans="1:35">
      <c r="A116" s="343">
        <v>20260606</v>
      </c>
      <c r="B116" s="343">
        <v>5811</v>
      </c>
      <c r="C116" s="343">
        <v>11</v>
      </c>
      <c r="D116" s="343">
        <v>20</v>
      </c>
      <c r="E116" s="384">
        <v>46179</v>
      </c>
      <c r="F116" s="343" t="s">
        <v>244</v>
      </c>
      <c r="G116" s="343" t="s">
        <v>154</v>
      </c>
      <c r="I116" s="343">
        <v>20260523</v>
      </c>
      <c r="J116" s="343">
        <v>19691</v>
      </c>
      <c r="K116" s="343">
        <v>92</v>
      </c>
      <c r="L116" s="343">
        <v>152</v>
      </c>
      <c r="M116" s="384">
        <v>46165</v>
      </c>
      <c r="N116" s="343" t="s">
        <v>244</v>
      </c>
      <c r="O116" s="343" t="s">
        <v>150</v>
      </c>
      <c r="Q116" s="343">
        <v>20260516</v>
      </c>
      <c r="R116" s="343">
        <v>57238.73</v>
      </c>
      <c r="S116" s="343">
        <v>180</v>
      </c>
      <c r="T116" s="343">
        <v>330</v>
      </c>
      <c r="U116" s="384">
        <v>46158</v>
      </c>
      <c r="V116" s="343" t="s">
        <v>244</v>
      </c>
      <c r="W116" s="343" t="s">
        <v>149</v>
      </c>
      <c r="Y116" s="343" t="s">
        <v>121</v>
      </c>
      <c r="Z116" s="343" t="s">
        <v>123</v>
      </c>
      <c r="AA116" s="384">
        <v>46027</v>
      </c>
      <c r="AB116" s="384">
        <v>46033</v>
      </c>
      <c r="AC116" s="343" t="s">
        <v>281</v>
      </c>
      <c r="AD116" s="343">
        <v>3266</v>
      </c>
      <c r="AE116" s="343">
        <v>171683</v>
      </c>
      <c r="AF116" s="343">
        <v>4731</v>
      </c>
      <c r="AG116" s="343">
        <v>0</v>
      </c>
      <c r="AH116" s="343">
        <v>176414</v>
      </c>
      <c r="AI116" s="343">
        <v>15451.47</v>
      </c>
    </row>
    <row r="117" spans="1:35">
      <c r="A117" s="343">
        <v>20260609</v>
      </c>
      <c r="B117" s="343">
        <v>2247</v>
      </c>
      <c r="C117" s="343">
        <v>3</v>
      </c>
      <c r="D117" s="343">
        <v>6</v>
      </c>
      <c r="E117" s="384">
        <v>46182</v>
      </c>
      <c r="F117" s="343" t="s">
        <v>233</v>
      </c>
      <c r="G117" s="343" t="s">
        <v>155</v>
      </c>
      <c r="I117" s="343">
        <v>20260524</v>
      </c>
      <c r="J117" s="343">
        <v>15121</v>
      </c>
      <c r="K117" s="343">
        <v>39</v>
      </c>
      <c r="L117" s="343">
        <v>119</v>
      </c>
      <c r="M117" s="384">
        <v>46166</v>
      </c>
      <c r="N117" s="343" t="s">
        <v>245</v>
      </c>
      <c r="O117" s="343" t="s">
        <v>150</v>
      </c>
      <c r="Q117" s="343">
        <v>20260518</v>
      </c>
      <c r="S117" s="343">
        <v>3</v>
      </c>
      <c r="T117" s="343">
        <v>3</v>
      </c>
      <c r="U117" s="384">
        <v>46160</v>
      </c>
      <c r="V117" s="343" t="s">
        <v>232</v>
      </c>
      <c r="W117" s="343" t="s">
        <v>150</v>
      </c>
      <c r="Y117" s="343" t="s">
        <v>121</v>
      </c>
      <c r="Z117" s="343" t="s">
        <v>123</v>
      </c>
      <c r="AA117" s="384">
        <v>46027</v>
      </c>
      <c r="AB117" s="384">
        <v>46033</v>
      </c>
      <c r="AC117" s="343" t="s">
        <v>279</v>
      </c>
      <c r="AD117" s="343">
        <v>168</v>
      </c>
      <c r="AE117" s="343">
        <v>1910</v>
      </c>
      <c r="AF117" s="343">
        <v>84</v>
      </c>
      <c r="AG117" s="343">
        <v>0</v>
      </c>
      <c r="AH117" s="343">
        <v>1994</v>
      </c>
      <c r="AI117" s="343">
        <v>171.9</v>
      </c>
    </row>
    <row r="118" spans="1:35">
      <c r="A118" s="343">
        <v>20260610</v>
      </c>
      <c r="B118" s="343">
        <v>3441</v>
      </c>
      <c r="C118" s="343">
        <v>5</v>
      </c>
      <c r="D118" s="343">
        <v>10</v>
      </c>
      <c r="E118" s="384">
        <v>46183</v>
      </c>
      <c r="F118" s="343" t="s">
        <v>234</v>
      </c>
      <c r="G118" s="343" t="s">
        <v>155</v>
      </c>
      <c r="I118" s="343">
        <v>20260527</v>
      </c>
      <c r="J118" s="343">
        <v>4756</v>
      </c>
      <c r="K118" s="343">
        <v>42</v>
      </c>
      <c r="L118" s="343">
        <v>92</v>
      </c>
      <c r="M118" s="384">
        <v>46169</v>
      </c>
      <c r="N118" s="343" t="s">
        <v>234</v>
      </c>
      <c r="O118" s="343" t="s">
        <v>153</v>
      </c>
      <c r="Q118" s="343">
        <v>20260519</v>
      </c>
      <c r="R118" s="343">
        <v>9305</v>
      </c>
      <c r="S118" s="343">
        <v>17</v>
      </c>
      <c r="T118" s="343">
        <v>54</v>
      </c>
      <c r="U118" s="384">
        <v>46161</v>
      </c>
      <c r="V118" s="343" t="s">
        <v>233</v>
      </c>
      <c r="W118" s="343" t="s">
        <v>150</v>
      </c>
      <c r="Y118" s="343" t="s">
        <v>121</v>
      </c>
      <c r="Z118" s="343" t="s">
        <v>123</v>
      </c>
      <c r="AA118" s="384">
        <v>46027</v>
      </c>
      <c r="AB118" s="384">
        <v>46033</v>
      </c>
      <c r="AC118" s="343" t="s">
        <v>277</v>
      </c>
      <c r="AD118" s="343">
        <v>121</v>
      </c>
      <c r="AE118" s="343">
        <v>26730</v>
      </c>
      <c r="AF118" s="343">
        <v>575</v>
      </c>
      <c r="AG118" s="343">
        <v>0</v>
      </c>
      <c r="AH118" s="343">
        <v>27305</v>
      </c>
      <c r="AI118" s="343">
        <v>2405.6999999999998</v>
      </c>
    </row>
    <row r="119" spans="1:35">
      <c r="A119" s="343">
        <v>20260611</v>
      </c>
      <c r="B119" s="343">
        <v>1083</v>
      </c>
      <c r="C119" s="343">
        <v>1</v>
      </c>
      <c r="D119" s="343">
        <v>4</v>
      </c>
      <c r="E119" s="384">
        <v>46184</v>
      </c>
      <c r="F119" s="343" t="s">
        <v>235</v>
      </c>
      <c r="G119" s="343" t="s">
        <v>155</v>
      </c>
      <c r="I119" s="343">
        <v>20260528</v>
      </c>
      <c r="J119" s="343">
        <v>10925</v>
      </c>
      <c r="K119" s="343">
        <v>47</v>
      </c>
      <c r="L119" s="343">
        <v>96</v>
      </c>
      <c r="M119" s="384">
        <v>46170</v>
      </c>
      <c r="N119" s="343" t="s">
        <v>235</v>
      </c>
      <c r="O119" s="343" t="s">
        <v>153</v>
      </c>
      <c r="Q119" s="343">
        <v>20260520</v>
      </c>
      <c r="R119" s="343">
        <v>3661</v>
      </c>
      <c r="S119" s="343">
        <v>36</v>
      </c>
      <c r="T119" s="343">
        <v>59</v>
      </c>
      <c r="U119" s="384">
        <v>46162</v>
      </c>
      <c r="V119" s="343" t="s">
        <v>234</v>
      </c>
      <c r="W119" s="343" t="s">
        <v>150</v>
      </c>
      <c r="Y119" s="343" t="s">
        <v>121</v>
      </c>
      <c r="Z119" s="343" t="s">
        <v>123</v>
      </c>
      <c r="AA119" s="384">
        <v>46027</v>
      </c>
      <c r="AB119" s="384">
        <v>46033</v>
      </c>
      <c r="AC119" s="343" t="s">
        <v>293</v>
      </c>
      <c r="AD119" s="343">
        <v>2</v>
      </c>
      <c r="AE119" s="343">
        <v>150</v>
      </c>
      <c r="AF119" s="343">
        <v>80</v>
      </c>
      <c r="AG119" s="343">
        <v>0</v>
      </c>
      <c r="AH119" s="343">
        <v>230</v>
      </c>
      <c r="AI119" s="343">
        <v>13.5</v>
      </c>
    </row>
    <row r="120" spans="1:35">
      <c r="A120" s="343">
        <v>20260612</v>
      </c>
      <c r="B120" s="343">
        <v>3264</v>
      </c>
      <c r="C120" s="343">
        <v>5</v>
      </c>
      <c r="D120" s="343">
        <v>9</v>
      </c>
      <c r="E120" s="384">
        <v>46185</v>
      </c>
      <c r="F120" s="343" t="s">
        <v>236</v>
      </c>
      <c r="G120" s="343" t="s">
        <v>155</v>
      </c>
      <c r="I120" s="343">
        <v>20260529</v>
      </c>
      <c r="J120" s="343">
        <v>16719</v>
      </c>
      <c r="K120" s="343">
        <v>116</v>
      </c>
      <c r="L120" s="343">
        <v>181</v>
      </c>
      <c r="M120" s="384">
        <v>46171</v>
      </c>
      <c r="N120" s="343" t="s">
        <v>236</v>
      </c>
      <c r="O120" s="343" t="s">
        <v>153</v>
      </c>
      <c r="Q120" s="343">
        <v>20260521</v>
      </c>
      <c r="R120" s="343">
        <v>38933</v>
      </c>
      <c r="S120" s="343">
        <v>127</v>
      </c>
      <c r="T120" s="343">
        <v>305</v>
      </c>
      <c r="U120" s="384">
        <v>46163</v>
      </c>
      <c r="V120" s="343" t="s">
        <v>235</v>
      </c>
      <c r="W120" s="343" t="s">
        <v>150</v>
      </c>
      <c r="Y120" s="343" t="s">
        <v>121</v>
      </c>
      <c r="Z120" s="343" t="s">
        <v>123</v>
      </c>
      <c r="AA120" s="384">
        <v>46027</v>
      </c>
      <c r="AB120" s="384">
        <v>46033</v>
      </c>
      <c r="AC120" s="343" t="s">
        <v>287</v>
      </c>
      <c r="AD120" s="343">
        <v>452</v>
      </c>
      <c r="AE120" s="343">
        <v>7267</v>
      </c>
      <c r="AF120" s="343">
        <v>338</v>
      </c>
      <c r="AG120" s="343">
        <v>0</v>
      </c>
      <c r="AH120" s="343">
        <v>7605</v>
      </c>
      <c r="AI120" s="343">
        <v>654.03</v>
      </c>
    </row>
    <row r="121" spans="1:35">
      <c r="A121" s="343">
        <v>20260613</v>
      </c>
      <c r="B121" s="343">
        <v>7238</v>
      </c>
      <c r="C121" s="343">
        <v>13</v>
      </c>
      <c r="D121" s="343">
        <v>23</v>
      </c>
      <c r="E121" s="384">
        <v>46186</v>
      </c>
      <c r="F121" s="343" t="s">
        <v>244</v>
      </c>
      <c r="G121" s="343" t="s">
        <v>155</v>
      </c>
      <c r="I121" s="343">
        <v>20260530</v>
      </c>
      <c r="J121" s="343">
        <v>16781</v>
      </c>
      <c r="K121" s="343">
        <v>117</v>
      </c>
      <c r="L121" s="343">
        <v>181</v>
      </c>
      <c r="M121" s="384">
        <v>46172</v>
      </c>
      <c r="N121" s="343" t="s">
        <v>244</v>
      </c>
      <c r="O121" s="343" t="s">
        <v>153</v>
      </c>
      <c r="Q121" s="343">
        <v>20260522</v>
      </c>
      <c r="R121" s="343">
        <v>95181.65</v>
      </c>
      <c r="S121" s="343">
        <v>187</v>
      </c>
      <c r="T121" s="343">
        <v>1150</v>
      </c>
      <c r="U121" s="384">
        <v>46164</v>
      </c>
      <c r="V121" s="343" t="s">
        <v>236</v>
      </c>
      <c r="W121" s="343" t="s">
        <v>150</v>
      </c>
      <c r="Y121" s="343" t="s">
        <v>121</v>
      </c>
      <c r="Z121" s="343" t="s">
        <v>124</v>
      </c>
      <c r="AA121" s="384">
        <v>46034</v>
      </c>
      <c r="AB121" s="384">
        <v>46040</v>
      </c>
      <c r="AC121" s="343" t="s">
        <v>285</v>
      </c>
      <c r="AD121" s="343">
        <v>4389</v>
      </c>
      <c r="AE121" s="343">
        <v>155397.65</v>
      </c>
      <c r="AF121" s="343">
        <v>8699.1</v>
      </c>
      <c r="AG121" s="343">
        <v>0</v>
      </c>
      <c r="AH121" s="343">
        <v>164096.75</v>
      </c>
      <c r="AI121" s="343">
        <v>13985.86</v>
      </c>
    </row>
    <row r="122" spans="1:35">
      <c r="A122" s="343">
        <v>20260616</v>
      </c>
      <c r="B122" s="343">
        <v>1902.4</v>
      </c>
      <c r="C122" s="343">
        <v>6</v>
      </c>
      <c r="D122" s="343">
        <v>10</v>
      </c>
      <c r="E122" s="384">
        <v>46189</v>
      </c>
      <c r="F122" s="343" t="s">
        <v>233</v>
      </c>
      <c r="G122" s="343" t="s">
        <v>156</v>
      </c>
      <c r="I122" s="343">
        <v>20260603</v>
      </c>
      <c r="J122" s="343">
        <v>7101</v>
      </c>
      <c r="K122" s="343">
        <v>64</v>
      </c>
      <c r="L122" s="343">
        <v>84</v>
      </c>
      <c r="M122" s="384">
        <v>46176</v>
      </c>
      <c r="N122" s="343" t="s">
        <v>234</v>
      </c>
      <c r="O122" s="343" t="s">
        <v>154</v>
      </c>
      <c r="Q122" s="343">
        <v>20260523</v>
      </c>
      <c r="R122" s="343">
        <v>79588.56</v>
      </c>
      <c r="S122" s="343">
        <v>264</v>
      </c>
      <c r="T122" s="343">
        <v>513</v>
      </c>
      <c r="U122" s="384">
        <v>46165</v>
      </c>
      <c r="V122" s="343" t="s">
        <v>244</v>
      </c>
      <c r="W122" s="343" t="s">
        <v>150</v>
      </c>
      <c r="Y122" s="343" t="s">
        <v>121</v>
      </c>
      <c r="Z122" s="343" t="s">
        <v>124</v>
      </c>
      <c r="AA122" s="384">
        <v>46034</v>
      </c>
      <c r="AB122" s="384">
        <v>46040</v>
      </c>
      <c r="AC122" s="343" t="s">
        <v>283</v>
      </c>
      <c r="AD122" s="343">
        <v>1771</v>
      </c>
      <c r="AE122" s="343">
        <v>16778.25</v>
      </c>
      <c r="AF122" s="343">
        <v>938.75</v>
      </c>
      <c r="AG122" s="343">
        <v>0</v>
      </c>
      <c r="AH122" s="343">
        <v>17717</v>
      </c>
      <c r="AI122" s="343">
        <v>1510.07</v>
      </c>
    </row>
    <row r="123" spans="1:35">
      <c r="A123" s="343">
        <v>20260618</v>
      </c>
      <c r="B123" s="343">
        <v>3292</v>
      </c>
      <c r="C123" s="343">
        <v>6</v>
      </c>
      <c r="D123" s="343">
        <v>13</v>
      </c>
      <c r="E123" s="384">
        <v>46191</v>
      </c>
      <c r="F123" s="343" t="s">
        <v>235</v>
      </c>
      <c r="G123" s="343" t="s">
        <v>156</v>
      </c>
      <c r="I123" s="343">
        <v>20260604</v>
      </c>
      <c r="J123" s="343">
        <v>14238</v>
      </c>
      <c r="K123" s="343">
        <v>35</v>
      </c>
      <c r="L123" s="343">
        <v>91</v>
      </c>
      <c r="M123" s="384">
        <v>46177</v>
      </c>
      <c r="N123" s="343" t="s">
        <v>235</v>
      </c>
      <c r="O123" s="343" t="s">
        <v>154</v>
      </c>
      <c r="Q123" s="343">
        <v>20260524</v>
      </c>
      <c r="R123" s="343">
        <v>43581</v>
      </c>
      <c r="S123" s="343">
        <v>127</v>
      </c>
      <c r="T123" s="343">
        <v>232</v>
      </c>
      <c r="U123" s="384">
        <v>46166</v>
      </c>
      <c r="V123" s="343" t="s">
        <v>245</v>
      </c>
      <c r="W123" s="343" t="s">
        <v>150</v>
      </c>
      <c r="Y123" s="343" t="s">
        <v>121</v>
      </c>
      <c r="Z123" s="343" t="s">
        <v>124</v>
      </c>
      <c r="AA123" s="384">
        <v>46034</v>
      </c>
      <c r="AB123" s="384">
        <v>46040</v>
      </c>
      <c r="AC123" s="343" t="s">
        <v>281</v>
      </c>
      <c r="AD123" s="343">
        <v>4572</v>
      </c>
      <c r="AE123" s="343">
        <v>259846.5</v>
      </c>
      <c r="AF123" s="343">
        <v>6001</v>
      </c>
      <c r="AG123" s="343">
        <v>0</v>
      </c>
      <c r="AH123" s="343">
        <v>265847.5</v>
      </c>
      <c r="AI123" s="343">
        <v>23386.21</v>
      </c>
    </row>
    <row r="124" spans="1:35">
      <c r="A124" s="343">
        <v>20260619</v>
      </c>
      <c r="B124" s="343">
        <v>4127</v>
      </c>
      <c r="C124" s="343">
        <v>7</v>
      </c>
      <c r="D124" s="343">
        <v>12</v>
      </c>
      <c r="E124" s="384">
        <v>46192</v>
      </c>
      <c r="F124" s="343" t="s">
        <v>236</v>
      </c>
      <c r="G124" s="343" t="s">
        <v>156</v>
      </c>
      <c r="I124" s="343">
        <v>20260605</v>
      </c>
      <c r="J124" s="343">
        <v>17205</v>
      </c>
      <c r="K124" s="343">
        <v>66</v>
      </c>
      <c r="L124" s="343">
        <v>126</v>
      </c>
      <c r="M124" s="384">
        <v>46178</v>
      </c>
      <c r="N124" s="343" t="s">
        <v>236</v>
      </c>
      <c r="O124" s="343" t="s">
        <v>154</v>
      </c>
      <c r="Q124" s="343">
        <v>20260526</v>
      </c>
      <c r="S124" s="343">
        <v>14</v>
      </c>
      <c r="T124" s="343">
        <v>14</v>
      </c>
      <c r="U124" s="384">
        <v>46168</v>
      </c>
      <c r="V124" s="343" t="s">
        <v>233</v>
      </c>
      <c r="W124" s="343" t="s">
        <v>153</v>
      </c>
      <c r="Y124" s="343" t="s">
        <v>121</v>
      </c>
      <c r="Z124" s="343" t="s">
        <v>124</v>
      </c>
      <c r="AA124" s="384">
        <v>46034</v>
      </c>
      <c r="AB124" s="384">
        <v>46040</v>
      </c>
      <c r="AC124" s="343" t="s">
        <v>279</v>
      </c>
      <c r="AD124" s="343">
        <v>293</v>
      </c>
      <c r="AE124" s="343">
        <v>3362</v>
      </c>
      <c r="AF124" s="343">
        <v>96</v>
      </c>
      <c r="AG124" s="343">
        <v>0</v>
      </c>
      <c r="AH124" s="343">
        <v>3458</v>
      </c>
      <c r="AI124" s="343">
        <v>302.58</v>
      </c>
    </row>
    <row r="125" spans="1:35">
      <c r="A125" s="343">
        <v>20260620</v>
      </c>
      <c r="B125" s="343">
        <v>5707</v>
      </c>
      <c r="C125" s="343">
        <v>9</v>
      </c>
      <c r="D125" s="343">
        <v>20</v>
      </c>
      <c r="E125" s="384">
        <v>46193</v>
      </c>
      <c r="F125" s="343" t="s">
        <v>244</v>
      </c>
      <c r="G125" s="343" t="s">
        <v>156</v>
      </c>
      <c r="I125" s="343">
        <v>20260606</v>
      </c>
      <c r="J125" s="343">
        <v>15458</v>
      </c>
      <c r="K125" s="343">
        <v>71</v>
      </c>
      <c r="L125" s="343">
        <v>131</v>
      </c>
      <c r="M125" s="384">
        <v>46179</v>
      </c>
      <c r="N125" s="343" t="s">
        <v>244</v>
      </c>
      <c r="O125" s="343" t="s">
        <v>154</v>
      </c>
      <c r="Q125" s="343">
        <v>20260527</v>
      </c>
      <c r="R125" s="343">
        <v>17129</v>
      </c>
      <c r="S125" s="343">
        <v>86</v>
      </c>
      <c r="T125" s="343">
        <v>145</v>
      </c>
      <c r="U125" s="384">
        <v>46169</v>
      </c>
      <c r="V125" s="343" t="s">
        <v>234</v>
      </c>
      <c r="W125" s="343" t="s">
        <v>153</v>
      </c>
      <c r="Y125" s="343" t="s">
        <v>121</v>
      </c>
      <c r="Z125" s="343" t="s">
        <v>124</v>
      </c>
      <c r="AA125" s="384">
        <v>46034</v>
      </c>
      <c r="AB125" s="384">
        <v>46040</v>
      </c>
      <c r="AC125" s="343" t="s">
        <v>277</v>
      </c>
      <c r="AD125" s="343">
        <v>83</v>
      </c>
      <c r="AE125" s="343">
        <v>53439</v>
      </c>
      <c r="AF125" s="343">
        <v>225</v>
      </c>
      <c r="AG125" s="343">
        <v>0</v>
      </c>
      <c r="AH125" s="343">
        <v>53664</v>
      </c>
      <c r="AI125" s="343">
        <v>4809.51</v>
      </c>
    </row>
    <row r="126" spans="1:35">
      <c r="A126" s="343">
        <v>20260622</v>
      </c>
      <c r="B126" s="343">
        <v>5257.35</v>
      </c>
      <c r="C126" s="343">
        <v>2</v>
      </c>
      <c r="D126" s="343">
        <v>10</v>
      </c>
      <c r="E126" s="384">
        <v>46195</v>
      </c>
      <c r="F126" s="343" t="s">
        <v>232</v>
      </c>
      <c r="G126" s="343" t="s">
        <v>157</v>
      </c>
      <c r="I126" s="343">
        <v>20260610</v>
      </c>
      <c r="J126" s="343">
        <v>4228</v>
      </c>
      <c r="K126" s="343">
        <v>29</v>
      </c>
      <c r="L126" s="343">
        <v>52</v>
      </c>
      <c r="M126" s="384">
        <v>46183</v>
      </c>
      <c r="N126" s="343" t="s">
        <v>234</v>
      </c>
      <c r="O126" s="343" t="s">
        <v>155</v>
      </c>
      <c r="Q126" s="343">
        <v>20260528</v>
      </c>
      <c r="R126" s="343">
        <v>77722.649999999994</v>
      </c>
      <c r="S126" s="343">
        <v>156</v>
      </c>
      <c r="T126" s="343">
        <v>351</v>
      </c>
      <c r="U126" s="384">
        <v>46170</v>
      </c>
      <c r="V126" s="343" t="s">
        <v>235</v>
      </c>
      <c r="W126" s="343" t="s">
        <v>153</v>
      </c>
      <c r="Y126" s="343" t="s">
        <v>121</v>
      </c>
      <c r="Z126" s="343" t="s">
        <v>124</v>
      </c>
      <c r="AA126" s="384">
        <v>46034</v>
      </c>
      <c r="AB126" s="384">
        <v>46040</v>
      </c>
      <c r="AC126" s="343" t="s">
        <v>293</v>
      </c>
      <c r="AD126" s="343">
        <v>1</v>
      </c>
      <c r="AE126" s="343">
        <v>0</v>
      </c>
      <c r="AF126" s="343">
        <v>75</v>
      </c>
      <c r="AG126" s="343">
        <v>0</v>
      </c>
      <c r="AH126" s="343">
        <v>75</v>
      </c>
      <c r="AI126" s="343">
        <v>0</v>
      </c>
    </row>
    <row r="127" spans="1:35">
      <c r="A127" s="343">
        <v>20260623</v>
      </c>
      <c r="B127" s="343">
        <v>1685</v>
      </c>
      <c r="C127" s="343">
        <v>3</v>
      </c>
      <c r="D127" s="343">
        <v>6</v>
      </c>
      <c r="E127" s="384">
        <v>46196</v>
      </c>
      <c r="F127" s="343" t="s">
        <v>233</v>
      </c>
      <c r="G127" s="343" t="s">
        <v>157</v>
      </c>
      <c r="I127" s="343">
        <v>20260611</v>
      </c>
      <c r="J127" s="343">
        <v>7875</v>
      </c>
      <c r="K127" s="343">
        <v>26</v>
      </c>
      <c r="L127" s="343">
        <v>60</v>
      </c>
      <c r="M127" s="384">
        <v>46184</v>
      </c>
      <c r="N127" s="343" t="s">
        <v>235</v>
      </c>
      <c r="O127" s="343" t="s">
        <v>155</v>
      </c>
      <c r="Q127" s="343">
        <v>20260529</v>
      </c>
      <c r="R127" s="343">
        <v>141350.79999999999</v>
      </c>
      <c r="S127" s="343">
        <v>185</v>
      </c>
      <c r="T127" s="343">
        <v>470</v>
      </c>
      <c r="U127" s="384">
        <v>46171</v>
      </c>
      <c r="V127" s="343" t="s">
        <v>236</v>
      </c>
      <c r="W127" s="343" t="s">
        <v>153</v>
      </c>
      <c r="Y127" s="343" t="s">
        <v>121</v>
      </c>
      <c r="Z127" s="343" t="s">
        <v>124</v>
      </c>
      <c r="AA127" s="384">
        <v>46034</v>
      </c>
      <c r="AB127" s="384">
        <v>46040</v>
      </c>
      <c r="AC127" s="343" t="s">
        <v>287</v>
      </c>
      <c r="AD127" s="343">
        <v>611</v>
      </c>
      <c r="AE127" s="343">
        <v>12082</v>
      </c>
      <c r="AF127" s="343">
        <v>524</v>
      </c>
      <c r="AG127" s="343">
        <v>0</v>
      </c>
      <c r="AH127" s="343">
        <v>12606</v>
      </c>
      <c r="AI127" s="343">
        <v>1087.3800000000001</v>
      </c>
    </row>
    <row r="128" spans="1:35">
      <c r="A128" s="343">
        <v>20260624</v>
      </c>
      <c r="B128" s="343">
        <v>660</v>
      </c>
      <c r="C128" s="343">
        <v>1</v>
      </c>
      <c r="D128" s="343">
        <v>2</v>
      </c>
      <c r="E128" s="384">
        <v>46197</v>
      </c>
      <c r="F128" s="343" t="s">
        <v>234</v>
      </c>
      <c r="G128" s="343" t="s">
        <v>157</v>
      </c>
      <c r="I128" s="343">
        <v>20260612</v>
      </c>
      <c r="J128" s="343">
        <v>10734</v>
      </c>
      <c r="K128" s="343">
        <v>37</v>
      </c>
      <c r="L128" s="343">
        <v>93</v>
      </c>
      <c r="M128" s="384">
        <v>46185</v>
      </c>
      <c r="N128" s="343" t="s">
        <v>236</v>
      </c>
      <c r="O128" s="343" t="s">
        <v>155</v>
      </c>
      <c r="Q128" s="343">
        <v>20260530</v>
      </c>
      <c r="R128" s="343">
        <v>71961.100000000006</v>
      </c>
      <c r="S128" s="343">
        <v>167</v>
      </c>
      <c r="T128" s="343">
        <v>336</v>
      </c>
      <c r="U128" s="384">
        <v>46172</v>
      </c>
      <c r="V128" s="343" t="s">
        <v>244</v>
      </c>
      <c r="W128" s="343" t="s">
        <v>153</v>
      </c>
      <c r="Y128" s="343" t="s">
        <v>121</v>
      </c>
      <c r="Z128" s="343" t="s">
        <v>125</v>
      </c>
      <c r="AA128" s="384">
        <v>46041</v>
      </c>
      <c r="AB128" s="384">
        <v>46047</v>
      </c>
      <c r="AC128" s="343" t="s">
        <v>285</v>
      </c>
      <c r="AD128" s="343">
        <v>4660</v>
      </c>
      <c r="AE128" s="343">
        <v>167411.79999999999</v>
      </c>
      <c r="AF128" s="343">
        <v>3507</v>
      </c>
      <c r="AG128" s="343">
        <v>0</v>
      </c>
      <c r="AH128" s="343">
        <v>170918.8</v>
      </c>
      <c r="AI128" s="343">
        <v>15067.07</v>
      </c>
    </row>
    <row r="129" spans="1:35">
      <c r="A129" s="343">
        <v>20260625</v>
      </c>
      <c r="B129" s="343">
        <v>2561.75</v>
      </c>
      <c r="C129" s="343">
        <v>6</v>
      </c>
      <c r="D129" s="343">
        <v>11</v>
      </c>
      <c r="E129" s="384">
        <v>46198</v>
      </c>
      <c r="F129" s="343" t="s">
        <v>235</v>
      </c>
      <c r="G129" s="343" t="s">
        <v>157</v>
      </c>
      <c r="I129" s="343">
        <v>20260613</v>
      </c>
      <c r="J129" s="343">
        <v>8066</v>
      </c>
      <c r="K129" s="343">
        <v>41</v>
      </c>
      <c r="L129" s="343">
        <v>75</v>
      </c>
      <c r="M129" s="384">
        <v>46186</v>
      </c>
      <c r="N129" s="343" t="s">
        <v>244</v>
      </c>
      <c r="O129" s="343" t="s">
        <v>155</v>
      </c>
      <c r="Q129" s="343">
        <v>20260602</v>
      </c>
      <c r="S129" s="343">
        <v>1</v>
      </c>
      <c r="T129" s="343">
        <v>1</v>
      </c>
      <c r="U129" s="384">
        <v>46175</v>
      </c>
      <c r="V129" s="343" t="s">
        <v>233</v>
      </c>
      <c r="W129" s="343" t="s">
        <v>154</v>
      </c>
      <c r="Y129" s="343" t="s">
        <v>121</v>
      </c>
      <c r="Z129" s="343" t="s">
        <v>125</v>
      </c>
      <c r="AA129" s="384">
        <v>46041</v>
      </c>
      <c r="AB129" s="384">
        <v>46047</v>
      </c>
      <c r="AC129" s="343" t="s">
        <v>283</v>
      </c>
      <c r="AD129" s="343">
        <v>2758</v>
      </c>
      <c r="AE129" s="343">
        <v>25753</v>
      </c>
      <c r="AF129" s="343">
        <v>1108</v>
      </c>
      <c r="AG129" s="343">
        <v>0</v>
      </c>
      <c r="AH129" s="343">
        <v>26861</v>
      </c>
      <c r="AI129" s="343">
        <v>2317.77</v>
      </c>
    </row>
    <row r="130" spans="1:35">
      <c r="A130" s="343">
        <v>20260626</v>
      </c>
      <c r="B130" s="343">
        <v>4237</v>
      </c>
      <c r="C130" s="343">
        <v>11</v>
      </c>
      <c r="D130" s="343">
        <v>16</v>
      </c>
      <c r="E130" s="384">
        <v>46199</v>
      </c>
      <c r="F130" s="343" t="s">
        <v>236</v>
      </c>
      <c r="G130" s="343" t="s">
        <v>157</v>
      </c>
      <c r="I130" s="343">
        <v>20260617</v>
      </c>
      <c r="J130" s="343">
        <v>5808.45</v>
      </c>
      <c r="K130" s="343">
        <v>50</v>
      </c>
      <c r="L130" s="343">
        <v>69</v>
      </c>
      <c r="M130" s="384">
        <v>46190</v>
      </c>
      <c r="N130" s="343" t="s">
        <v>234</v>
      </c>
      <c r="O130" s="343" t="s">
        <v>156</v>
      </c>
      <c r="Q130" s="343">
        <v>20260603</v>
      </c>
      <c r="R130" s="343">
        <v>16105.2</v>
      </c>
      <c r="S130" s="343">
        <v>47</v>
      </c>
      <c r="T130" s="343">
        <v>159</v>
      </c>
      <c r="U130" s="384">
        <v>46176</v>
      </c>
      <c r="V130" s="343" t="s">
        <v>234</v>
      </c>
      <c r="W130" s="343" t="s">
        <v>154</v>
      </c>
      <c r="Y130" s="343" t="s">
        <v>121</v>
      </c>
      <c r="Z130" s="343" t="s">
        <v>125</v>
      </c>
      <c r="AA130" s="384">
        <v>46041</v>
      </c>
      <c r="AB130" s="384">
        <v>46047</v>
      </c>
      <c r="AC130" s="343" t="s">
        <v>281</v>
      </c>
      <c r="AD130" s="343">
        <v>5605</v>
      </c>
      <c r="AE130" s="343">
        <v>441096</v>
      </c>
      <c r="AF130" s="343">
        <v>10563</v>
      </c>
      <c r="AG130" s="343">
        <v>0</v>
      </c>
      <c r="AH130" s="343">
        <v>451659</v>
      </c>
      <c r="AI130" s="343">
        <v>39698.639999999999</v>
      </c>
    </row>
    <row r="131" spans="1:35">
      <c r="A131" s="343">
        <v>20260627</v>
      </c>
      <c r="B131" s="343">
        <v>5071</v>
      </c>
      <c r="C131" s="343">
        <v>9</v>
      </c>
      <c r="D131" s="343">
        <v>16</v>
      </c>
      <c r="E131" s="384">
        <v>46200</v>
      </c>
      <c r="F131" s="343" t="s">
        <v>244</v>
      </c>
      <c r="G131" s="343" t="s">
        <v>157</v>
      </c>
      <c r="I131" s="343">
        <v>20260618</v>
      </c>
      <c r="J131" s="343">
        <v>2875</v>
      </c>
      <c r="K131" s="343">
        <v>25</v>
      </c>
      <c r="L131" s="343">
        <v>38</v>
      </c>
      <c r="M131" s="384">
        <v>46191</v>
      </c>
      <c r="N131" s="343" t="s">
        <v>235</v>
      </c>
      <c r="O131" s="343" t="s">
        <v>156</v>
      </c>
      <c r="Q131" s="343">
        <v>20260604</v>
      </c>
      <c r="R131" s="343">
        <v>31055.95</v>
      </c>
      <c r="S131" s="343">
        <v>120</v>
      </c>
      <c r="T131" s="343">
        <v>248</v>
      </c>
      <c r="U131" s="384">
        <v>46177</v>
      </c>
      <c r="V131" s="343" t="s">
        <v>235</v>
      </c>
      <c r="W131" s="343" t="s">
        <v>154</v>
      </c>
      <c r="Y131" s="343" t="s">
        <v>121</v>
      </c>
      <c r="Z131" s="343" t="s">
        <v>125</v>
      </c>
      <c r="AA131" s="384">
        <v>46041</v>
      </c>
      <c r="AB131" s="384">
        <v>46047</v>
      </c>
      <c r="AC131" s="343" t="s">
        <v>279</v>
      </c>
      <c r="AD131" s="343">
        <v>223</v>
      </c>
      <c r="AE131" s="343">
        <v>2571</v>
      </c>
      <c r="AF131" s="343">
        <v>111</v>
      </c>
      <c r="AG131" s="343">
        <v>0</v>
      </c>
      <c r="AH131" s="343">
        <v>2682</v>
      </c>
      <c r="AI131" s="343">
        <v>231.39</v>
      </c>
    </row>
    <row r="132" spans="1:35">
      <c r="A132" s="343">
        <v>20260630</v>
      </c>
      <c r="B132" s="343">
        <v>2351.25</v>
      </c>
      <c r="C132" s="343">
        <v>7</v>
      </c>
      <c r="D132" s="343">
        <v>12</v>
      </c>
      <c r="E132" s="384">
        <v>46203</v>
      </c>
      <c r="F132" s="343" t="s">
        <v>233</v>
      </c>
      <c r="G132" s="343" t="s">
        <v>160</v>
      </c>
      <c r="I132" s="343">
        <v>20260619</v>
      </c>
      <c r="J132" s="343">
        <v>23252</v>
      </c>
      <c r="K132" s="343">
        <v>60</v>
      </c>
      <c r="L132" s="343">
        <v>117</v>
      </c>
      <c r="M132" s="384">
        <v>46192</v>
      </c>
      <c r="N132" s="343" t="s">
        <v>236</v>
      </c>
      <c r="O132" s="343" t="s">
        <v>156</v>
      </c>
      <c r="Q132" s="343">
        <v>20260605</v>
      </c>
      <c r="R132" s="343">
        <v>47526</v>
      </c>
      <c r="S132" s="343">
        <v>189</v>
      </c>
      <c r="T132" s="343">
        <v>319</v>
      </c>
      <c r="U132" s="384">
        <v>46178</v>
      </c>
      <c r="V132" s="343" t="s">
        <v>236</v>
      </c>
      <c r="W132" s="343" t="s">
        <v>154</v>
      </c>
      <c r="Y132" s="343" t="s">
        <v>121</v>
      </c>
      <c r="Z132" s="343" t="s">
        <v>125</v>
      </c>
      <c r="AA132" s="384">
        <v>46041</v>
      </c>
      <c r="AB132" s="384">
        <v>46047</v>
      </c>
      <c r="AC132" s="343" t="s">
        <v>277</v>
      </c>
      <c r="AD132" s="343">
        <v>118</v>
      </c>
      <c r="AE132" s="343">
        <v>82600</v>
      </c>
      <c r="AF132" s="343">
        <v>155</v>
      </c>
      <c r="AG132" s="343">
        <v>0</v>
      </c>
      <c r="AH132" s="343">
        <v>82755</v>
      </c>
      <c r="AI132" s="343">
        <v>7434</v>
      </c>
    </row>
    <row r="133" spans="1:35">
      <c r="A133" s="343">
        <v>20260701</v>
      </c>
      <c r="B133" s="343">
        <v>3026</v>
      </c>
      <c r="C133" s="343">
        <v>8</v>
      </c>
      <c r="D133" s="343">
        <v>16</v>
      </c>
      <c r="E133" s="384">
        <v>46204</v>
      </c>
      <c r="F133" s="343" t="s">
        <v>234</v>
      </c>
      <c r="G133" s="343" t="s">
        <v>160</v>
      </c>
      <c r="I133" s="343">
        <v>20260620</v>
      </c>
      <c r="J133" s="343">
        <v>12438</v>
      </c>
      <c r="K133" s="343">
        <v>63</v>
      </c>
      <c r="L133" s="343">
        <v>118</v>
      </c>
      <c r="M133" s="384">
        <v>46193</v>
      </c>
      <c r="N133" s="343" t="s">
        <v>244</v>
      </c>
      <c r="O133" s="343" t="s">
        <v>156</v>
      </c>
      <c r="Q133" s="343">
        <v>20260606</v>
      </c>
      <c r="R133" s="343">
        <v>44901.1</v>
      </c>
      <c r="S133" s="343">
        <v>162</v>
      </c>
      <c r="T133" s="343">
        <v>336</v>
      </c>
      <c r="U133" s="384">
        <v>46179</v>
      </c>
      <c r="V133" s="343" t="s">
        <v>244</v>
      </c>
      <c r="W133" s="343" t="s">
        <v>154</v>
      </c>
      <c r="Y133" s="343" t="s">
        <v>121</v>
      </c>
      <c r="Z133" s="343" t="s">
        <v>125</v>
      </c>
      <c r="AA133" s="384">
        <v>46041</v>
      </c>
      <c r="AB133" s="384">
        <v>46047</v>
      </c>
      <c r="AC133" s="343" t="s">
        <v>287</v>
      </c>
      <c r="AD133" s="343">
        <v>738</v>
      </c>
      <c r="AE133" s="343">
        <v>13845</v>
      </c>
      <c r="AF133" s="343">
        <v>424</v>
      </c>
      <c r="AG133" s="343">
        <v>0</v>
      </c>
      <c r="AH133" s="343">
        <v>14269</v>
      </c>
      <c r="AI133" s="343">
        <v>1246.05</v>
      </c>
    </row>
    <row r="134" spans="1:35">
      <c r="A134" s="343">
        <v>20260702</v>
      </c>
      <c r="B134" s="343">
        <v>3075</v>
      </c>
      <c r="C134" s="343">
        <v>7</v>
      </c>
      <c r="D134" s="343">
        <v>12</v>
      </c>
      <c r="E134" s="384">
        <v>46205</v>
      </c>
      <c r="F134" s="343" t="s">
        <v>235</v>
      </c>
      <c r="G134" s="343" t="s">
        <v>160</v>
      </c>
      <c r="I134" s="343">
        <v>20260624</v>
      </c>
      <c r="J134" s="343">
        <v>2511</v>
      </c>
      <c r="K134" s="343">
        <v>27</v>
      </c>
      <c r="L134" s="343">
        <v>41</v>
      </c>
      <c r="M134" s="384">
        <v>46197</v>
      </c>
      <c r="N134" s="343" t="s">
        <v>234</v>
      </c>
      <c r="O134" s="343" t="s">
        <v>157</v>
      </c>
      <c r="Q134" s="343">
        <v>20260610</v>
      </c>
      <c r="R134" s="343">
        <v>6048</v>
      </c>
      <c r="S134" s="343">
        <v>26</v>
      </c>
      <c r="T134" s="343">
        <v>50</v>
      </c>
      <c r="U134" s="384">
        <v>46183</v>
      </c>
      <c r="V134" s="343" t="s">
        <v>234</v>
      </c>
      <c r="W134" s="343" t="s">
        <v>155</v>
      </c>
      <c r="Y134" s="343" t="s">
        <v>127</v>
      </c>
      <c r="Z134" s="343" t="s">
        <v>128</v>
      </c>
      <c r="AA134" s="384">
        <v>46048</v>
      </c>
      <c r="AB134" s="384">
        <v>46054</v>
      </c>
      <c r="AC134" s="343" t="s">
        <v>285</v>
      </c>
      <c r="AD134" s="343">
        <v>2607</v>
      </c>
      <c r="AE134" s="343">
        <v>115344</v>
      </c>
      <c r="AF134" s="343">
        <v>6501</v>
      </c>
      <c r="AG134" s="343">
        <v>0</v>
      </c>
      <c r="AH134" s="343">
        <v>121845</v>
      </c>
      <c r="AI134" s="343">
        <v>10380.959999999999</v>
      </c>
    </row>
    <row r="135" spans="1:35">
      <c r="A135" s="343">
        <v>20260703</v>
      </c>
      <c r="B135" s="343">
        <v>4745</v>
      </c>
      <c r="C135" s="343">
        <v>10</v>
      </c>
      <c r="D135" s="343">
        <v>16</v>
      </c>
      <c r="E135" s="384">
        <v>46206</v>
      </c>
      <c r="F135" s="343" t="s">
        <v>236</v>
      </c>
      <c r="G135" s="343" t="s">
        <v>160</v>
      </c>
      <c r="I135" s="343">
        <v>20260625</v>
      </c>
      <c r="J135" s="343">
        <v>14080.25</v>
      </c>
      <c r="K135" s="343">
        <v>22</v>
      </c>
      <c r="L135" s="343">
        <v>80</v>
      </c>
      <c r="M135" s="384">
        <v>46198</v>
      </c>
      <c r="N135" s="343" t="s">
        <v>235</v>
      </c>
      <c r="O135" s="343" t="s">
        <v>157</v>
      </c>
      <c r="Q135" s="343">
        <v>20260611</v>
      </c>
      <c r="R135" s="343">
        <v>36802</v>
      </c>
      <c r="S135" s="343">
        <v>171</v>
      </c>
      <c r="T135" s="343">
        <v>332</v>
      </c>
      <c r="U135" s="384">
        <v>46184</v>
      </c>
      <c r="V135" s="343" t="s">
        <v>235</v>
      </c>
      <c r="W135" s="343" t="s">
        <v>155</v>
      </c>
      <c r="Y135" s="343" t="s">
        <v>127</v>
      </c>
      <c r="Z135" s="343" t="s">
        <v>128</v>
      </c>
      <c r="AA135" s="384">
        <v>46048</v>
      </c>
      <c r="AB135" s="384">
        <v>46054</v>
      </c>
      <c r="AC135" s="343" t="s">
        <v>283</v>
      </c>
      <c r="AD135" s="343">
        <v>1381</v>
      </c>
      <c r="AE135" s="343">
        <v>12836</v>
      </c>
      <c r="AF135" s="343">
        <v>610</v>
      </c>
      <c r="AG135" s="343">
        <v>0</v>
      </c>
      <c r="AH135" s="343">
        <v>13446</v>
      </c>
      <c r="AI135" s="343">
        <v>1155.24</v>
      </c>
    </row>
    <row r="136" spans="1:35">
      <c r="A136" s="343">
        <v>20260704</v>
      </c>
      <c r="B136" s="343">
        <v>7484</v>
      </c>
      <c r="C136" s="343">
        <v>11</v>
      </c>
      <c r="D136" s="343">
        <v>20</v>
      </c>
      <c r="E136" s="384">
        <v>46207</v>
      </c>
      <c r="F136" s="343" t="s">
        <v>244</v>
      </c>
      <c r="G136" s="343" t="s">
        <v>160</v>
      </c>
      <c r="I136" s="343">
        <v>20260626</v>
      </c>
      <c r="J136" s="343">
        <v>17531</v>
      </c>
      <c r="K136" s="343">
        <v>60</v>
      </c>
      <c r="L136" s="343">
        <v>146</v>
      </c>
      <c r="M136" s="384">
        <v>46199</v>
      </c>
      <c r="N136" s="343" t="s">
        <v>236</v>
      </c>
      <c r="O136" s="343" t="s">
        <v>157</v>
      </c>
      <c r="Q136" s="343">
        <v>20260612</v>
      </c>
      <c r="R136" s="343">
        <v>48151.75</v>
      </c>
      <c r="S136" s="343">
        <v>146</v>
      </c>
      <c r="T136" s="343">
        <v>266</v>
      </c>
      <c r="U136" s="384">
        <v>46185</v>
      </c>
      <c r="V136" s="343" t="s">
        <v>236</v>
      </c>
      <c r="W136" s="343" t="s">
        <v>155</v>
      </c>
      <c r="Y136" s="343" t="s">
        <v>127</v>
      </c>
      <c r="Z136" s="343" t="s">
        <v>128</v>
      </c>
      <c r="AA136" s="384">
        <v>46048</v>
      </c>
      <c r="AB136" s="384">
        <v>46054</v>
      </c>
      <c r="AC136" s="343" t="s">
        <v>281</v>
      </c>
      <c r="AD136" s="343">
        <v>3909</v>
      </c>
      <c r="AE136" s="343">
        <v>204730.5</v>
      </c>
      <c r="AF136" s="343">
        <v>4008</v>
      </c>
      <c r="AG136" s="343">
        <v>0</v>
      </c>
      <c r="AH136" s="343">
        <v>208738.5</v>
      </c>
      <c r="AI136" s="343">
        <v>18425.75</v>
      </c>
    </row>
    <row r="137" spans="1:35">
      <c r="A137" s="343">
        <v>20260707</v>
      </c>
      <c r="B137" s="343">
        <v>5486.5</v>
      </c>
      <c r="C137" s="343">
        <v>5</v>
      </c>
      <c r="D137" s="343">
        <v>14</v>
      </c>
      <c r="E137" s="384">
        <v>46210</v>
      </c>
      <c r="F137" s="343" t="s">
        <v>233</v>
      </c>
      <c r="G137" s="343" t="s">
        <v>161</v>
      </c>
      <c r="I137" s="343">
        <v>20260627</v>
      </c>
      <c r="J137" s="343">
        <v>22951.65</v>
      </c>
      <c r="K137" s="343">
        <v>4</v>
      </c>
      <c r="L137" s="343">
        <v>55</v>
      </c>
      <c r="M137" s="384">
        <v>46200</v>
      </c>
      <c r="N137" s="343" t="s">
        <v>244</v>
      </c>
      <c r="O137" s="343" t="s">
        <v>157</v>
      </c>
      <c r="Q137" s="343">
        <v>20260613</v>
      </c>
      <c r="R137" s="343">
        <v>47510</v>
      </c>
      <c r="S137" s="343">
        <v>148</v>
      </c>
      <c r="T137" s="343">
        <v>309</v>
      </c>
      <c r="U137" s="384">
        <v>46186</v>
      </c>
      <c r="V137" s="343" t="s">
        <v>244</v>
      </c>
      <c r="W137" s="343" t="s">
        <v>155</v>
      </c>
      <c r="Y137" s="343" t="s">
        <v>127</v>
      </c>
      <c r="Z137" s="343" t="s">
        <v>128</v>
      </c>
      <c r="AA137" s="384">
        <v>46048</v>
      </c>
      <c r="AB137" s="384">
        <v>46054</v>
      </c>
      <c r="AC137" s="343" t="s">
        <v>279</v>
      </c>
      <c r="AD137" s="343">
        <v>197</v>
      </c>
      <c r="AE137" s="343">
        <v>2232</v>
      </c>
      <c r="AF137" s="343">
        <v>108</v>
      </c>
      <c r="AG137" s="343">
        <v>0</v>
      </c>
      <c r="AH137" s="343">
        <v>2340</v>
      </c>
      <c r="AI137" s="343">
        <v>200.88</v>
      </c>
    </row>
    <row r="138" spans="1:35">
      <c r="A138" s="343">
        <v>20260708</v>
      </c>
      <c r="B138" s="343">
        <v>1763</v>
      </c>
      <c r="C138" s="343">
        <v>5</v>
      </c>
      <c r="D138" s="343">
        <v>8</v>
      </c>
      <c r="E138" s="384">
        <v>46211</v>
      </c>
      <c r="F138" s="343" t="s">
        <v>234</v>
      </c>
      <c r="G138" s="343" t="s">
        <v>161</v>
      </c>
      <c r="I138" s="343">
        <v>20260701</v>
      </c>
      <c r="J138" s="343">
        <v>4559</v>
      </c>
      <c r="K138" s="343">
        <v>40</v>
      </c>
      <c r="L138" s="343">
        <v>67</v>
      </c>
      <c r="M138" s="384">
        <v>46204</v>
      </c>
      <c r="N138" s="343" t="s">
        <v>234</v>
      </c>
      <c r="O138" s="343" t="s">
        <v>160</v>
      </c>
      <c r="Q138" s="343">
        <v>20260616</v>
      </c>
      <c r="S138" s="343">
        <v>1</v>
      </c>
      <c r="T138" s="343">
        <v>1</v>
      </c>
      <c r="U138" s="384">
        <v>46189</v>
      </c>
      <c r="V138" s="343" t="s">
        <v>233</v>
      </c>
      <c r="W138" s="343" t="s">
        <v>156</v>
      </c>
      <c r="Y138" s="343" t="s">
        <v>127</v>
      </c>
      <c r="Z138" s="343" t="s">
        <v>128</v>
      </c>
      <c r="AA138" s="384">
        <v>46048</v>
      </c>
      <c r="AB138" s="384">
        <v>46054</v>
      </c>
      <c r="AC138" s="343" t="s">
        <v>277</v>
      </c>
      <c r="AD138" s="343">
        <v>121</v>
      </c>
      <c r="AE138" s="343">
        <v>49524</v>
      </c>
      <c r="AF138" s="343">
        <v>385</v>
      </c>
      <c r="AG138" s="343">
        <v>0</v>
      </c>
      <c r="AH138" s="343">
        <v>49909</v>
      </c>
      <c r="AI138" s="343">
        <v>4457.16</v>
      </c>
    </row>
    <row r="139" spans="1:35">
      <c r="A139" s="343">
        <v>20260709</v>
      </c>
      <c r="B139" s="343">
        <v>4040</v>
      </c>
      <c r="C139" s="343">
        <v>11</v>
      </c>
      <c r="D139" s="343">
        <v>19</v>
      </c>
      <c r="E139" s="384">
        <v>46212</v>
      </c>
      <c r="F139" s="343" t="s">
        <v>235</v>
      </c>
      <c r="G139" s="343" t="s">
        <v>161</v>
      </c>
      <c r="I139" s="343">
        <v>20260702</v>
      </c>
      <c r="J139" s="343">
        <v>5329</v>
      </c>
      <c r="K139" s="343">
        <v>39</v>
      </c>
      <c r="L139" s="343">
        <v>74</v>
      </c>
      <c r="M139" s="384">
        <v>46205</v>
      </c>
      <c r="N139" s="343" t="s">
        <v>235</v>
      </c>
      <c r="O139" s="343" t="s">
        <v>160</v>
      </c>
      <c r="Q139" s="343">
        <v>20260617</v>
      </c>
      <c r="R139" s="343">
        <v>3295</v>
      </c>
      <c r="S139" s="343">
        <v>27</v>
      </c>
      <c r="T139" s="343">
        <v>808</v>
      </c>
      <c r="U139" s="384">
        <v>46190</v>
      </c>
      <c r="V139" s="343" t="s">
        <v>234</v>
      </c>
      <c r="W139" s="343" t="s">
        <v>156</v>
      </c>
      <c r="Y139" s="343" t="s">
        <v>127</v>
      </c>
      <c r="Z139" s="343" t="s">
        <v>128</v>
      </c>
      <c r="AA139" s="384">
        <v>46048</v>
      </c>
      <c r="AB139" s="384">
        <v>46054</v>
      </c>
      <c r="AC139" s="343" t="s">
        <v>287</v>
      </c>
      <c r="AD139" s="343">
        <v>909</v>
      </c>
      <c r="AE139" s="343">
        <v>20538</v>
      </c>
      <c r="AF139" s="343">
        <v>305</v>
      </c>
      <c r="AG139" s="343">
        <v>0</v>
      </c>
      <c r="AH139" s="343">
        <v>20843</v>
      </c>
      <c r="AI139" s="343">
        <v>1848.42</v>
      </c>
    </row>
    <row r="140" spans="1:35">
      <c r="A140" s="343">
        <v>20260710</v>
      </c>
      <c r="B140" s="343">
        <v>7769</v>
      </c>
      <c r="C140" s="343">
        <v>14</v>
      </c>
      <c r="D140" s="343">
        <v>21</v>
      </c>
      <c r="E140" s="384">
        <v>46213</v>
      </c>
      <c r="F140" s="343" t="s">
        <v>236</v>
      </c>
      <c r="G140" s="343" t="s">
        <v>161</v>
      </c>
      <c r="I140" s="343">
        <v>20260703</v>
      </c>
      <c r="J140" s="343">
        <v>6238</v>
      </c>
      <c r="K140" s="343">
        <v>45</v>
      </c>
      <c r="L140" s="343">
        <v>80</v>
      </c>
      <c r="M140" s="384">
        <v>46206</v>
      </c>
      <c r="N140" s="343" t="s">
        <v>236</v>
      </c>
      <c r="O140" s="343" t="s">
        <v>160</v>
      </c>
      <c r="Q140" s="343">
        <v>20260618</v>
      </c>
      <c r="R140" s="343">
        <v>33142</v>
      </c>
      <c r="S140" s="343">
        <v>153</v>
      </c>
      <c r="T140" s="343">
        <v>229</v>
      </c>
      <c r="U140" s="384">
        <v>46191</v>
      </c>
      <c r="V140" s="343" t="s">
        <v>235</v>
      </c>
      <c r="W140" s="343" t="s">
        <v>156</v>
      </c>
      <c r="Y140" s="343" t="s">
        <v>127</v>
      </c>
      <c r="Z140" s="343" t="s">
        <v>129</v>
      </c>
      <c r="AA140" s="384">
        <v>46055</v>
      </c>
      <c r="AB140" s="384">
        <v>46061</v>
      </c>
      <c r="AC140" s="343" t="s">
        <v>285</v>
      </c>
      <c r="AD140" s="343">
        <v>2499</v>
      </c>
      <c r="AE140" s="343">
        <v>84555</v>
      </c>
      <c r="AF140" s="343">
        <v>7661</v>
      </c>
      <c r="AG140" s="343">
        <v>0</v>
      </c>
      <c r="AH140" s="343">
        <v>92216</v>
      </c>
      <c r="AI140" s="343">
        <v>7609.95</v>
      </c>
    </row>
    <row r="141" spans="1:35">
      <c r="A141" s="343">
        <v>20260711</v>
      </c>
      <c r="B141" s="343">
        <v>5801</v>
      </c>
      <c r="C141" s="343">
        <v>9</v>
      </c>
      <c r="D141" s="343">
        <v>20</v>
      </c>
      <c r="E141" s="384">
        <v>46214</v>
      </c>
      <c r="F141" s="343" t="s">
        <v>244</v>
      </c>
      <c r="G141" s="343" t="s">
        <v>161</v>
      </c>
      <c r="I141" s="343">
        <v>20260704</v>
      </c>
      <c r="J141" s="343">
        <v>6825</v>
      </c>
      <c r="K141" s="343">
        <v>52</v>
      </c>
      <c r="L141" s="343">
        <v>81</v>
      </c>
      <c r="M141" s="384">
        <v>46207</v>
      </c>
      <c r="N141" s="343" t="s">
        <v>244</v>
      </c>
      <c r="O141" s="343" t="s">
        <v>160</v>
      </c>
      <c r="Q141" s="343">
        <v>20260619</v>
      </c>
      <c r="R141" s="343">
        <v>61451.9</v>
      </c>
      <c r="S141" s="343">
        <v>151</v>
      </c>
      <c r="T141" s="343">
        <v>333</v>
      </c>
      <c r="U141" s="384">
        <v>46192</v>
      </c>
      <c r="V141" s="343" t="s">
        <v>236</v>
      </c>
      <c r="W141" s="343" t="s">
        <v>156</v>
      </c>
      <c r="Y141" s="343" t="s">
        <v>127</v>
      </c>
      <c r="Z141" s="343" t="s">
        <v>129</v>
      </c>
      <c r="AA141" s="384">
        <v>46055</v>
      </c>
      <c r="AB141" s="384">
        <v>46061</v>
      </c>
      <c r="AC141" s="343" t="s">
        <v>283</v>
      </c>
      <c r="AD141" s="343">
        <v>1444</v>
      </c>
      <c r="AE141" s="343">
        <v>13705</v>
      </c>
      <c r="AF141" s="343">
        <v>679</v>
      </c>
      <c r="AG141" s="343">
        <v>0</v>
      </c>
      <c r="AH141" s="343">
        <v>14384</v>
      </c>
      <c r="AI141" s="343">
        <v>1233.45</v>
      </c>
    </row>
    <row r="142" spans="1:35">
      <c r="A142" s="343">
        <v>20260714</v>
      </c>
      <c r="B142" s="343">
        <v>5021</v>
      </c>
      <c r="C142" s="343">
        <v>13</v>
      </c>
      <c r="D142" s="343">
        <v>24</v>
      </c>
      <c r="E142" s="384">
        <v>46217</v>
      </c>
      <c r="F142" s="343" t="s">
        <v>233</v>
      </c>
      <c r="G142" s="343" t="s">
        <v>162</v>
      </c>
      <c r="I142" s="343">
        <v>20260708</v>
      </c>
      <c r="J142" s="343">
        <v>5220</v>
      </c>
      <c r="K142" s="343">
        <v>40</v>
      </c>
      <c r="L142" s="343">
        <v>58</v>
      </c>
      <c r="M142" s="384">
        <v>46211</v>
      </c>
      <c r="N142" s="343" t="s">
        <v>234</v>
      </c>
      <c r="O142" s="343" t="s">
        <v>161</v>
      </c>
      <c r="Q142" s="343">
        <v>20260620</v>
      </c>
      <c r="R142" s="343">
        <v>62696</v>
      </c>
      <c r="S142" s="343">
        <v>143</v>
      </c>
      <c r="T142" s="343">
        <v>327</v>
      </c>
      <c r="U142" s="384">
        <v>46193</v>
      </c>
      <c r="V142" s="343" t="s">
        <v>244</v>
      </c>
      <c r="W142" s="343" t="s">
        <v>156</v>
      </c>
      <c r="Y142" s="343" t="s">
        <v>127</v>
      </c>
      <c r="Z142" s="343" t="s">
        <v>129</v>
      </c>
      <c r="AA142" s="384">
        <v>46055</v>
      </c>
      <c r="AB142" s="384">
        <v>46061</v>
      </c>
      <c r="AC142" s="343" t="s">
        <v>281</v>
      </c>
      <c r="AD142" s="343">
        <v>3455</v>
      </c>
      <c r="AE142" s="343">
        <v>220651</v>
      </c>
      <c r="AF142" s="343">
        <v>9319</v>
      </c>
      <c r="AG142" s="343">
        <v>0</v>
      </c>
      <c r="AH142" s="343">
        <v>229970</v>
      </c>
      <c r="AI142" s="343">
        <v>19858.59</v>
      </c>
    </row>
    <row r="143" spans="1:35">
      <c r="A143" s="343">
        <v>20260715</v>
      </c>
      <c r="B143" s="343">
        <v>1297</v>
      </c>
      <c r="C143" s="343">
        <v>5</v>
      </c>
      <c r="D143" s="343">
        <v>5</v>
      </c>
      <c r="E143" s="384">
        <v>46218</v>
      </c>
      <c r="F143" s="343" t="s">
        <v>234</v>
      </c>
      <c r="G143" s="343" t="s">
        <v>162</v>
      </c>
      <c r="I143" s="343">
        <v>20260709</v>
      </c>
      <c r="J143" s="343">
        <v>8470</v>
      </c>
      <c r="K143" s="343">
        <v>35</v>
      </c>
      <c r="L143" s="343">
        <v>93</v>
      </c>
      <c r="M143" s="384">
        <v>46212</v>
      </c>
      <c r="N143" s="343" t="s">
        <v>235</v>
      </c>
      <c r="O143" s="343" t="s">
        <v>161</v>
      </c>
      <c r="Q143" s="343">
        <v>20260624</v>
      </c>
      <c r="R143" s="343">
        <v>18688</v>
      </c>
      <c r="S143" s="343">
        <v>94</v>
      </c>
      <c r="T143" s="343">
        <v>138</v>
      </c>
      <c r="U143" s="384">
        <v>46197</v>
      </c>
      <c r="V143" s="343" t="s">
        <v>234</v>
      </c>
      <c r="W143" s="343" t="s">
        <v>157</v>
      </c>
      <c r="Y143" s="343" t="s">
        <v>127</v>
      </c>
      <c r="Z143" s="343" t="s">
        <v>129</v>
      </c>
      <c r="AA143" s="384">
        <v>46055</v>
      </c>
      <c r="AB143" s="384">
        <v>46061</v>
      </c>
      <c r="AC143" s="343" t="s">
        <v>279</v>
      </c>
      <c r="AD143" s="343">
        <v>193</v>
      </c>
      <c r="AE143" s="343">
        <v>2246</v>
      </c>
      <c r="AF143" s="343">
        <v>108</v>
      </c>
      <c r="AG143" s="343">
        <v>0</v>
      </c>
      <c r="AH143" s="343">
        <v>2354</v>
      </c>
      <c r="AI143" s="343">
        <v>202.14</v>
      </c>
    </row>
    <row r="144" spans="1:35">
      <c r="A144" s="343">
        <v>20260716</v>
      </c>
      <c r="B144" s="343">
        <v>3239</v>
      </c>
      <c r="C144" s="343">
        <v>10</v>
      </c>
      <c r="D144" s="343">
        <v>16</v>
      </c>
      <c r="E144" s="384">
        <v>46219</v>
      </c>
      <c r="F144" s="343" t="s">
        <v>235</v>
      </c>
      <c r="G144" s="343" t="s">
        <v>162</v>
      </c>
      <c r="I144" s="343">
        <v>20260710</v>
      </c>
      <c r="J144" s="343">
        <v>34434.559999999998</v>
      </c>
      <c r="K144" s="343">
        <v>123</v>
      </c>
      <c r="L144" s="343">
        <v>244</v>
      </c>
      <c r="M144" s="384">
        <v>46213</v>
      </c>
      <c r="N144" s="343" t="s">
        <v>236</v>
      </c>
      <c r="O144" s="343" t="s">
        <v>161</v>
      </c>
      <c r="Q144" s="343">
        <v>20260625</v>
      </c>
      <c r="R144" s="343">
        <v>64317.279999999999</v>
      </c>
      <c r="S144" s="343">
        <v>139</v>
      </c>
      <c r="T144" s="343">
        <v>308</v>
      </c>
      <c r="U144" s="384">
        <v>46198</v>
      </c>
      <c r="V144" s="343" t="s">
        <v>235</v>
      </c>
      <c r="W144" s="343" t="s">
        <v>157</v>
      </c>
      <c r="Y144" s="343" t="s">
        <v>127</v>
      </c>
      <c r="Z144" s="343" t="s">
        <v>129</v>
      </c>
      <c r="AA144" s="384">
        <v>46055</v>
      </c>
      <c r="AB144" s="384">
        <v>46061</v>
      </c>
      <c r="AC144" s="343" t="s">
        <v>277</v>
      </c>
      <c r="AD144" s="343">
        <v>84</v>
      </c>
      <c r="AE144" s="343">
        <v>51329</v>
      </c>
      <c r="AF144" s="343">
        <v>820</v>
      </c>
      <c r="AG144" s="343">
        <v>0</v>
      </c>
      <c r="AH144" s="343">
        <v>52149</v>
      </c>
      <c r="AI144" s="343">
        <v>4619.6099999999997</v>
      </c>
    </row>
    <row r="145" spans="1:35">
      <c r="A145" s="343">
        <v>20260717</v>
      </c>
      <c r="B145" s="343">
        <v>7970</v>
      </c>
      <c r="C145" s="343">
        <v>10</v>
      </c>
      <c r="D145" s="343">
        <v>20</v>
      </c>
      <c r="E145" s="384">
        <v>46220</v>
      </c>
      <c r="F145" s="343" t="s">
        <v>236</v>
      </c>
      <c r="G145" s="343" t="s">
        <v>162</v>
      </c>
      <c r="I145" s="343">
        <v>20260711</v>
      </c>
      <c r="J145" s="343">
        <v>11265</v>
      </c>
      <c r="K145" s="343">
        <v>66</v>
      </c>
      <c r="L145" s="343">
        <v>112</v>
      </c>
      <c r="M145" s="384">
        <v>46214</v>
      </c>
      <c r="N145" s="343" t="s">
        <v>244</v>
      </c>
      <c r="O145" s="343" t="s">
        <v>161</v>
      </c>
      <c r="Q145" s="343">
        <v>20260626</v>
      </c>
      <c r="R145" s="343">
        <v>82068.800000000003</v>
      </c>
      <c r="S145" s="343">
        <v>154</v>
      </c>
      <c r="T145" s="343">
        <v>390</v>
      </c>
      <c r="U145" s="384">
        <v>46199</v>
      </c>
      <c r="V145" s="343" t="s">
        <v>236</v>
      </c>
      <c r="W145" s="343" t="s">
        <v>157</v>
      </c>
      <c r="Y145" s="343" t="s">
        <v>127</v>
      </c>
      <c r="Z145" s="343" t="s">
        <v>129</v>
      </c>
      <c r="AA145" s="384">
        <v>46055</v>
      </c>
      <c r="AB145" s="384">
        <v>46061</v>
      </c>
      <c r="AC145" s="343" t="s">
        <v>287</v>
      </c>
      <c r="AD145" s="343">
        <v>528</v>
      </c>
      <c r="AE145" s="343">
        <v>9174</v>
      </c>
      <c r="AF145" s="343">
        <v>604</v>
      </c>
      <c r="AG145" s="343">
        <v>0</v>
      </c>
      <c r="AH145" s="343">
        <v>9778</v>
      </c>
      <c r="AI145" s="343">
        <v>825.66</v>
      </c>
    </row>
    <row r="146" spans="1:35">
      <c r="A146" s="343">
        <v>20260718</v>
      </c>
      <c r="B146" s="343">
        <v>6085</v>
      </c>
      <c r="C146" s="343">
        <v>6</v>
      </c>
      <c r="D146" s="343">
        <v>18</v>
      </c>
      <c r="E146" s="384">
        <v>46221</v>
      </c>
      <c r="F146" s="343" t="s">
        <v>244</v>
      </c>
      <c r="G146" s="343" t="s">
        <v>162</v>
      </c>
      <c r="I146" s="343">
        <v>20260715</v>
      </c>
      <c r="J146" s="343">
        <v>6254</v>
      </c>
      <c r="K146" s="343">
        <v>36</v>
      </c>
      <c r="L146" s="343">
        <v>58</v>
      </c>
      <c r="M146" s="384">
        <v>46218</v>
      </c>
      <c r="N146" s="343" t="s">
        <v>234</v>
      </c>
      <c r="O146" s="343" t="s">
        <v>162</v>
      </c>
      <c r="Q146" s="343">
        <v>20260627</v>
      </c>
      <c r="R146" s="343">
        <v>85119.05</v>
      </c>
      <c r="S146" s="343">
        <v>235</v>
      </c>
      <c r="T146" s="343">
        <v>444</v>
      </c>
      <c r="U146" s="384">
        <v>46200</v>
      </c>
      <c r="V146" s="343" t="s">
        <v>244</v>
      </c>
      <c r="W146" s="343" t="s">
        <v>157</v>
      </c>
      <c r="Y146" s="343" t="s">
        <v>127</v>
      </c>
      <c r="Z146" s="343" t="s">
        <v>130</v>
      </c>
      <c r="AA146" s="384">
        <v>46062</v>
      </c>
      <c r="AB146" s="384">
        <v>46068</v>
      </c>
      <c r="AC146" s="343" t="s">
        <v>285</v>
      </c>
      <c r="AD146" s="343">
        <v>3699</v>
      </c>
      <c r="AE146" s="343">
        <v>123891.4</v>
      </c>
      <c r="AF146" s="343">
        <v>8147.6</v>
      </c>
      <c r="AG146" s="343">
        <v>0</v>
      </c>
      <c r="AH146" s="343">
        <v>132039</v>
      </c>
      <c r="AI146" s="343">
        <v>11150.21</v>
      </c>
    </row>
    <row r="147" spans="1:35">
      <c r="A147" s="343">
        <v>20260721</v>
      </c>
      <c r="B147" s="343">
        <v>4557.3999999999996</v>
      </c>
      <c r="C147" s="343">
        <v>4</v>
      </c>
      <c r="D147" s="343">
        <v>17</v>
      </c>
      <c r="E147" s="384">
        <v>46224</v>
      </c>
      <c r="F147" s="343" t="s">
        <v>233</v>
      </c>
      <c r="G147" s="343" t="s">
        <v>163</v>
      </c>
      <c r="I147" s="343">
        <v>20260716</v>
      </c>
      <c r="J147" s="343">
        <v>8950</v>
      </c>
      <c r="K147" s="343">
        <v>26</v>
      </c>
      <c r="L147" s="343">
        <v>71</v>
      </c>
      <c r="M147" s="384">
        <v>46219</v>
      </c>
      <c r="N147" s="343" t="s">
        <v>235</v>
      </c>
      <c r="O147" s="343" t="s">
        <v>162</v>
      </c>
      <c r="Q147" s="343">
        <v>20260629</v>
      </c>
      <c r="R147" s="343">
        <v>2386.79</v>
      </c>
      <c r="S147" s="343">
        <v>3</v>
      </c>
      <c r="T147" s="343">
        <v>3</v>
      </c>
      <c r="U147" s="384">
        <v>46202</v>
      </c>
      <c r="V147" s="343" t="s">
        <v>232</v>
      </c>
      <c r="W147" s="343" t="s">
        <v>160</v>
      </c>
      <c r="Y147" s="343" t="s">
        <v>127</v>
      </c>
      <c r="Z147" s="343" t="s">
        <v>130</v>
      </c>
      <c r="AA147" s="384">
        <v>46062</v>
      </c>
      <c r="AB147" s="384">
        <v>46068</v>
      </c>
      <c r="AC147" s="343" t="s">
        <v>283</v>
      </c>
      <c r="AD147" s="343">
        <v>1349</v>
      </c>
      <c r="AE147" s="343">
        <v>12732.8</v>
      </c>
      <c r="AF147" s="343">
        <v>615.20000000000005</v>
      </c>
      <c r="AG147" s="343">
        <v>0</v>
      </c>
      <c r="AH147" s="343">
        <v>13348</v>
      </c>
      <c r="AI147" s="343">
        <v>1145.94</v>
      </c>
    </row>
    <row r="148" spans="1:35">
      <c r="A148" s="343">
        <v>20260722</v>
      </c>
      <c r="B148" s="343">
        <v>1679</v>
      </c>
      <c r="C148" s="343">
        <v>6</v>
      </c>
      <c r="D148" s="343">
        <v>13</v>
      </c>
      <c r="E148" s="384">
        <v>46225</v>
      </c>
      <c r="F148" s="343" t="s">
        <v>234</v>
      </c>
      <c r="G148" s="343" t="s">
        <v>163</v>
      </c>
      <c r="I148" s="343">
        <v>20260717</v>
      </c>
      <c r="J148" s="343">
        <v>19818</v>
      </c>
      <c r="K148" s="343">
        <v>94</v>
      </c>
      <c r="L148" s="343">
        <v>184</v>
      </c>
      <c r="M148" s="384">
        <v>46220</v>
      </c>
      <c r="N148" s="343" t="s">
        <v>236</v>
      </c>
      <c r="O148" s="343" t="s">
        <v>162</v>
      </c>
      <c r="Q148" s="343">
        <v>20260701</v>
      </c>
      <c r="R148" s="343">
        <v>31427</v>
      </c>
      <c r="S148" s="343">
        <v>98</v>
      </c>
      <c r="T148" s="343">
        <v>206</v>
      </c>
      <c r="U148" s="384">
        <v>46204</v>
      </c>
      <c r="V148" s="343" t="s">
        <v>234</v>
      </c>
      <c r="W148" s="343" t="s">
        <v>160</v>
      </c>
      <c r="Y148" s="343" t="s">
        <v>127</v>
      </c>
      <c r="Z148" s="343" t="s">
        <v>130</v>
      </c>
      <c r="AA148" s="384">
        <v>46062</v>
      </c>
      <c r="AB148" s="384">
        <v>46068</v>
      </c>
      <c r="AC148" s="343" t="s">
        <v>281</v>
      </c>
      <c r="AD148" s="343">
        <v>3477</v>
      </c>
      <c r="AE148" s="343">
        <v>199063.4</v>
      </c>
      <c r="AF148" s="343">
        <v>4448.6000000000004</v>
      </c>
      <c r="AG148" s="343">
        <v>0</v>
      </c>
      <c r="AH148" s="343">
        <v>203512</v>
      </c>
      <c r="AI148" s="343">
        <v>17915.669999999998</v>
      </c>
    </row>
    <row r="149" spans="1:35">
      <c r="A149" s="343">
        <v>20260723</v>
      </c>
      <c r="B149" s="343">
        <v>4149</v>
      </c>
      <c r="C149" s="343">
        <v>5</v>
      </c>
      <c r="D149" s="343">
        <v>11</v>
      </c>
      <c r="E149" s="384">
        <v>46226</v>
      </c>
      <c r="F149" s="343" t="s">
        <v>235</v>
      </c>
      <c r="G149" s="343" t="s">
        <v>163</v>
      </c>
      <c r="I149" s="343">
        <v>20260718</v>
      </c>
      <c r="J149" s="343">
        <v>7249</v>
      </c>
      <c r="K149" s="343">
        <v>33</v>
      </c>
      <c r="L149" s="343">
        <v>66</v>
      </c>
      <c r="M149" s="384">
        <v>46221</v>
      </c>
      <c r="N149" s="343" t="s">
        <v>244</v>
      </c>
      <c r="O149" s="343" t="s">
        <v>162</v>
      </c>
      <c r="Q149" s="343">
        <v>20260702</v>
      </c>
      <c r="R149" s="343">
        <v>39099</v>
      </c>
      <c r="S149" s="343">
        <v>148</v>
      </c>
      <c r="T149" s="343">
        <v>268</v>
      </c>
      <c r="U149" s="384">
        <v>46205</v>
      </c>
      <c r="V149" s="343" t="s">
        <v>235</v>
      </c>
      <c r="W149" s="343" t="s">
        <v>160</v>
      </c>
      <c r="Y149" s="343" t="s">
        <v>127</v>
      </c>
      <c r="Z149" s="343" t="s">
        <v>130</v>
      </c>
      <c r="AA149" s="384">
        <v>46062</v>
      </c>
      <c r="AB149" s="384">
        <v>46068</v>
      </c>
      <c r="AC149" s="343" t="s">
        <v>279</v>
      </c>
      <c r="AD149" s="343">
        <v>170</v>
      </c>
      <c r="AE149" s="343">
        <v>1946</v>
      </c>
      <c r="AF149" s="343">
        <v>120</v>
      </c>
      <c r="AG149" s="343">
        <v>0</v>
      </c>
      <c r="AH149" s="343">
        <v>2066</v>
      </c>
      <c r="AI149" s="343">
        <v>175.14</v>
      </c>
    </row>
    <row r="150" spans="1:35">
      <c r="A150" s="343">
        <v>20260724</v>
      </c>
      <c r="B150" s="343">
        <v>7620</v>
      </c>
      <c r="C150" s="343">
        <v>15</v>
      </c>
      <c r="D150" s="343">
        <v>23</v>
      </c>
      <c r="E150" s="384">
        <v>46227</v>
      </c>
      <c r="F150" s="343" t="s">
        <v>236</v>
      </c>
      <c r="G150" s="343" t="s">
        <v>163</v>
      </c>
      <c r="I150" s="343">
        <v>20260721</v>
      </c>
      <c r="J150" s="343">
        <v>12600</v>
      </c>
      <c r="K150" s="343">
        <v>1</v>
      </c>
      <c r="L150" s="343">
        <v>32</v>
      </c>
      <c r="M150" s="384">
        <v>46224</v>
      </c>
      <c r="N150" s="343" t="s">
        <v>233</v>
      </c>
      <c r="O150" s="343" t="s">
        <v>163</v>
      </c>
      <c r="Q150" s="343">
        <v>20260703</v>
      </c>
      <c r="R150" s="343">
        <v>43354</v>
      </c>
      <c r="S150" s="343">
        <v>126</v>
      </c>
      <c r="T150" s="343">
        <v>229</v>
      </c>
      <c r="U150" s="384">
        <v>46206</v>
      </c>
      <c r="V150" s="343" t="s">
        <v>236</v>
      </c>
      <c r="W150" s="343" t="s">
        <v>160</v>
      </c>
      <c r="Y150" s="343" t="s">
        <v>127</v>
      </c>
      <c r="Z150" s="343" t="s">
        <v>130</v>
      </c>
      <c r="AA150" s="384">
        <v>46062</v>
      </c>
      <c r="AB150" s="384">
        <v>46068</v>
      </c>
      <c r="AC150" s="343" t="s">
        <v>277</v>
      </c>
      <c r="AD150" s="343">
        <v>120</v>
      </c>
      <c r="AE150" s="343">
        <v>38750</v>
      </c>
      <c r="AF150" s="343">
        <v>2320</v>
      </c>
      <c r="AG150" s="343">
        <v>0</v>
      </c>
      <c r="AH150" s="343">
        <v>41070</v>
      </c>
      <c r="AI150" s="343">
        <v>3487.5</v>
      </c>
    </row>
    <row r="151" spans="1:35">
      <c r="A151" s="343">
        <v>20260725</v>
      </c>
      <c r="B151" s="343">
        <v>6320</v>
      </c>
      <c r="C151" s="343">
        <v>11</v>
      </c>
      <c r="D151" s="343">
        <v>24</v>
      </c>
      <c r="E151" s="384">
        <v>46228</v>
      </c>
      <c r="F151" s="343" t="s">
        <v>244</v>
      </c>
      <c r="G151" s="343" t="s">
        <v>163</v>
      </c>
      <c r="I151" s="343">
        <v>20260722</v>
      </c>
      <c r="J151" s="343">
        <v>8104</v>
      </c>
      <c r="K151" s="343">
        <v>53</v>
      </c>
      <c r="L151" s="343">
        <v>87</v>
      </c>
      <c r="M151" s="384">
        <v>46225</v>
      </c>
      <c r="N151" s="343" t="s">
        <v>234</v>
      </c>
      <c r="O151" s="343" t="s">
        <v>163</v>
      </c>
      <c r="Q151" s="343">
        <v>20260704</v>
      </c>
      <c r="R151" s="343">
        <v>46334.400000000001</v>
      </c>
      <c r="S151" s="343">
        <v>138</v>
      </c>
      <c r="T151" s="343">
        <v>257</v>
      </c>
      <c r="U151" s="384">
        <v>46207</v>
      </c>
      <c r="V151" s="343" t="s">
        <v>244</v>
      </c>
      <c r="W151" s="343" t="s">
        <v>160</v>
      </c>
      <c r="Y151" s="343" t="s">
        <v>127</v>
      </c>
      <c r="Z151" s="343" t="s">
        <v>130</v>
      </c>
      <c r="AA151" s="384">
        <v>46062</v>
      </c>
      <c r="AB151" s="384">
        <v>46068</v>
      </c>
      <c r="AC151" s="343" t="s">
        <v>287</v>
      </c>
      <c r="AD151" s="343">
        <v>704</v>
      </c>
      <c r="AE151" s="343">
        <v>11971.4</v>
      </c>
      <c r="AF151" s="343">
        <v>658.6</v>
      </c>
      <c r="AG151" s="343">
        <v>0</v>
      </c>
      <c r="AH151" s="343">
        <v>12630</v>
      </c>
      <c r="AI151" s="343">
        <v>1077.4100000000001</v>
      </c>
    </row>
    <row r="152" spans="1:35">
      <c r="A152" s="343">
        <v>20260728</v>
      </c>
      <c r="B152" s="343">
        <v>4964</v>
      </c>
      <c r="C152" s="343">
        <v>3</v>
      </c>
      <c r="D152" s="343">
        <v>466</v>
      </c>
      <c r="E152" s="384">
        <v>46231</v>
      </c>
      <c r="F152" s="343" t="s">
        <v>233</v>
      </c>
      <c r="G152" s="343" t="s">
        <v>166</v>
      </c>
      <c r="I152" s="343">
        <v>20260723</v>
      </c>
      <c r="J152" s="343">
        <v>4303</v>
      </c>
      <c r="K152" s="343">
        <v>38</v>
      </c>
      <c r="L152" s="343">
        <v>68</v>
      </c>
      <c r="M152" s="384">
        <v>46226</v>
      </c>
      <c r="N152" s="343" t="s">
        <v>235</v>
      </c>
      <c r="O152" s="343" t="s">
        <v>163</v>
      </c>
      <c r="Q152" s="343">
        <v>20260706</v>
      </c>
      <c r="S152" s="343">
        <v>70</v>
      </c>
      <c r="T152" s="343">
        <v>70</v>
      </c>
      <c r="U152" s="384">
        <v>46209</v>
      </c>
      <c r="V152" s="343" t="s">
        <v>232</v>
      </c>
      <c r="W152" s="343" t="s">
        <v>161</v>
      </c>
      <c r="Y152" s="343" t="s">
        <v>127</v>
      </c>
      <c r="Z152" s="343" t="s">
        <v>131</v>
      </c>
      <c r="AA152" s="384">
        <v>46069</v>
      </c>
      <c r="AB152" s="384">
        <v>46075</v>
      </c>
      <c r="AC152" s="343" t="s">
        <v>285</v>
      </c>
      <c r="AD152" s="343">
        <v>2759</v>
      </c>
      <c r="AE152" s="343">
        <v>118467.4</v>
      </c>
      <c r="AF152" s="343">
        <v>5619.6</v>
      </c>
      <c r="AG152" s="343">
        <v>0</v>
      </c>
      <c r="AH152" s="343">
        <v>124087</v>
      </c>
      <c r="AI152" s="343">
        <v>10662.07</v>
      </c>
    </row>
    <row r="153" spans="1:35">
      <c r="A153" s="343">
        <v>20260729</v>
      </c>
      <c r="B153" s="343">
        <v>2860</v>
      </c>
      <c r="C153" s="343">
        <v>5</v>
      </c>
      <c r="D153" s="343">
        <v>12</v>
      </c>
      <c r="E153" s="384">
        <v>46232</v>
      </c>
      <c r="F153" s="343" t="s">
        <v>234</v>
      </c>
      <c r="G153" s="343" t="s">
        <v>166</v>
      </c>
      <c r="I153" s="343">
        <v>20260724</v>
      </c>
      <c r="J153" s="343">
        <v>12565</v>
      </c>
      <c r="K153" s="343">
        <v>47</v>
      </c>
      <c r="L153" s="343">
        <v>117</v>
      </c>
      <c r="M153" s="384">
        <v>46227</v>
      </c>
      <c r="N153" s="343" t="s">
        <v>236</v>
      </c>
      <c r="O153" s="343" t="s">
        <v>163</v>
      </c>
      <c r="Q153" s="343">
        <v>20260708</v>
      </c>
      <c r="R153" s="343">
        <v>7721</v>
      </c>
      <c r="S153" s="343">
        <v>32</v>
      </c>
      <c r="T153" s="343">
        <v>71</v>
      </c>
      <c r="U153" s="384">
        <v>46211</v>
      </c>
      <c r="V153" s="343" t="s">
        <v>234</v>
      </c>
      <c r="W153" s="343" t="s">
        <v>161</v>
      </c>
      <c r="Y153" s="343" t="s">
        <v>127</v>
      </c>
      <c r="Z153" s="343" t="s">
        <v>131</v>
      </c>
      <c r="AA153" s="384">
        <v>46069</v>
      </c>
      <c r="AB153" s="384">
        <v>46075</v>
      </c>
      <c r="AC153" s="343" t="s">
        <v>283</v>
      </c>
      <c r="AD153" s="343">
        <v>1286</v>
      </c>
      <c r="AE153" s="343">
        <v>12362</v>
      </c>
      <c r="AF153" s="343">
        <v>389</v>
      </c>
      <c r="AG153" s="343">
        <v>0</v>
      </c>
      <c r="AH153" s="343">
        <v>12751</v>
      </c>
      <c r="AI153" s="343">
        <v>1112.58</v>
      </c>
    </row>
    <row r="154" spans="1:35">
      <c r="A154" s="343">
        <v>20260730</v>
      </c>
      <c r="B154" s="343">
        <v>1919</v>
      </c>
      <c r="C154" s="343">
        <v>4</v>
      </c>
      <c r="D154" s="343">
        <v>7</v>
      </c>
      <c r="E154" s="384">
        <v>46233</v>
      </c>
      <c r="F154" s="343" t="s">
        <v>235</v>
      </c>
      <c r="G154" s="343" t="s">
        <v>166</v>
      </c>
      <c r="I154" s="343">
        <v>20260725</v>
      </c>
      <c r="J154" s="343">
        <v>14385</v>
      </c>
      <c r="K154" s="343">
        <v>99</v>
      </c>
      <c r="L154" s="343">
        <v>166</v>
      </c>
      <c r="M154" s="384">
        <v>46228</v>
      </c>
      <c r="N154" s="343" t="s">
        <v>244</v>
      </c>
      <c r="O154" s="343" t="s">
        <v>163</v>
      </c>
      <c r="Q154" s="343">
        <v>20260709</v>
      </c>
      <c r="R154" s="343">
        <v>51516.800000000003</v>
      </c>
      <c r="S154" s="343">
        <v>140</v>
      </c>
      <c r="T154" s="343">
        <v>267</v>
      </c>
      <c r="U154" s="384">
        <v>46212</v>
      </c>
      <c r="V154" s="343" t="s">
        <v>235</v>
      </c>
      <c r="W154" s="343" t="s">
        <v>161</v>
      </c>
      <c r="Y154" s="343" t="s">
        <v>127</v>
      </c>
      <c r="Z154" s="343" t="s">
        <v>131</v>
      </c>
      <c r="AA154" s="384">
        <v>46069</v>
      </c>
      <c r="AB154" s="384">
        <v>46075</v>
      </c>
      <c r="AC154" s="343" t="s">
        <v>281</v>
      </c>
      <c r="AD154" s="343">
        <v>3387</v>
      </c>
      <c r="AE154" s="343">
        <v>181197.3</v>
      </c>
      <c r="AF154" s="343">
        <v>7421.2</v>
      </c>
      <c r="AG154" s="343">
        <v>0</v>
      </c>
      <c r="AH154" s="343">
        <v>188618.5</v>
      </c>
      <c r="AI154" s="343">
        <v>16307.77</v>
      </c>
    </row>
    <row r="155" spans="1:35">
      <c r="A155" s="343">
        <v>20260731</v>
      </c>
      <c r="B155" s="343">
        <v>5005</v>
      </c>
      <c r="C155" s="343">
        <v>6</v>
      </c>
      <c r="D155" s="343">
        <v>14</v>
      </c>
      <c r="E155" s="384">
        <v>46234</v>
      </c>
      <c r="F155" s="343" t="s">
        <v>236</v>
      </c>
      <c r="G155" s="343" t="s">
        <v>166</v>
      </c>
      <c r="I155" s="343">
        <v>20260729</v>
      </c>
      <c r="J155" s="343">
        <v>10428.85</v>
      </c>
      <c r="K155" s="343">
        <v>35</v>
      </c>
      <c r="L155" s="343">
        <v>94</v>
      </c>
      <c r="M155" s="384">
        <v>46232</v>
      </c>
      <c r="N155" s="343" t="s">
        <v>234</v>
      </c>
      <c r="O155" s="343" t="s">
        <v>166</v>
      </c>
      <c r="Q155" s="343">
        <v>20260710</v>
      </c>
      <c r="R155" s="343">
        <v>113547.9</v>
      </c>
      <c r="S155" s="343">
        <v>223</v>
      </c>
      <c r="T155" s="343">
        <v>388</v>
      </c>
      <c r="U155" s="384">
        <v>46213</v>
      </c>
      <c r="V155" s="343" t="s">
        <v>236</v>
      </c>
      <c r="W155" s="343" t="s">
        <v>161</v>
      </c>
      <c r="Y155" s="343" t="s">
        <v>127</v>
      </c>
      <c r="Z155" s="343" t="s">
        <v>131</v>
      </c>
      <c r="AA155" s="384">
        <v>46069</v>
      </c>
      <c r="AB155" s="384">
        <v>46075</v>
      </c>
      <c r="AC155" s="343" t="s">
        <v>279</v>
      </c>
      <c r="AD155" s="343">
        <v>159</v>
      </c>
      <c r="AE155" s="343">
        <v>1802</v>
      </c>
      <c r="AF155" s="343">
        <v>72</v>
      </c>
      <c r="AG155" s="343">
        <v>0</v>
      </c>
      <c r="AH155" s="343">
        <v>1874</v>
      </c>
      <c r="AI155" s="343">
        <v>162.18</v>
      </c>
    </row>
    <row r="156" spans="1:35">
      <c r="A156" s="343">
        <v>20260801</v>
      </c>
      <c r="B156" s="343">
        <v>6239</v>
      </c>
      <c r="C156" s="343">
        <v>10</v>
      </c>
      <c r="D156" s="343">
        <v>23</v>
      </c>
      <c r="E156" s="384">
        <v>46235</v>
      </c>
      <c r="F156" s="343" t="s">
        <v>244</v>
      </c>
      <c r="G156" s="343" t="s">
        <v>166</v>
      </c>
      <c r="I156" s="343">
        <v>20260730</v>
      </c>
      <c r="J156" s="343">
        <v>2748</v>
      </c>
      <c r="K156" s="343">
        <v>25</v>
      </c>
      <c r="L156" s="343">
        <v>37</v>
      </c>
      <c r="M156" s="384">
        <v>46233</v>
      </c>
      <c r="N156" s="343" t="s">
        <v>235</v>
      </c>
      <c r="O156" s="343" t="s">
        <v>166</v>
      </c>
      <c r="Q156" s="343">
        <v>20260711</v>
      </c>
      <c r="R156" s="343">
        <v>81726</v>
      </c>
      <c r="S156" s="343">
        <v>138</v>
      </c>
      <c r="T156" s="343">
        <v>307</v>
      </c>
      <c r="U156" s="384">
        <v>46214</v>
      </c>
      <c r="V156" s="343" t="s">
        <v>244</v>
      </c>
      <c r="W156" s="343" t="s">
        <v>161</v>
      </c>
      <c r="Y156" s="343" t="s">
        <v>127</v>
      </c>
      <c r="Z156" s="343" t="s">
        <v>131</v>
      </c>
      <c r="AA156" s="384">
        <v>46069</v>
      </c>
      <c r="AB156" s="384">
        <v>46075</v>
      </c>
      <c r="AC156" s="343" t="s">
        <v>277</v>
      </c>
      <c r="AD156" s="343">
        <v>112</v>
      </c>
      <c r="AE156" s="343">
        <v>32346</v>
      </c>
      <c r="AF156" s="343">
        <v>285</v>
      </c>
      <c r="AG156" s="343">
        <v>0</v>
      </c>
      <c r="AH156" s="343">
        <v>32631</v>
      </c>
      <c r="AI156" s="343">
        <v>2911.14</v>
      </c>
    </row>
    <row r="157" spans="1:35">
      <c r="A157" s="343">
        <v>20260804</v>
      </c>
      <c r="B157" s="343">
        <v>1693</v>
      </c>
      <c r="C157" s="343">
        <v>5</v>
      </c>
      <c r="D157" s="343">
        <v>9</v>
      </c>
      <c r="E157" s="384">
        <v>46238</v>
      </c>
      <c r="F157" s="343" t="s">
        <v>233</v>
      </c>
      <c r="G157" s="343" t="s">
        <v>167</v>
      </c>
      <c r="I157" s="343">
        <v>20260731</v>
      </c>
      <c r="J157" s="343">
        <v>11219</v>
      </c>
      <c r="K157" s="343">
        <v>30</v>
      </c>
      <c r="L157" s="343">
        <v>75</v>
      </c>
      <c r="M157" s="384">
        <v>46234</v>
      </c>
      <c r="N157" s="343" t="s">
        <v>236</v>
      </c>
      <c r="O157" s="343" t="s">
        <v>166</v>
      </c>
      <c r="Q157" s="343">
        <v>20260715</v>
      </c>
      <c r="R157" s="343">
        <v>11613</v>
      </c>
      <c r="S157" s="343">
        <v>63</v>
      </c>
      <c r="T157" s="343">
        <v>90</v>
      </c>
      <c r="U157" s="384">
        <v>46218</v>
      </c>
      <c r="V157" s="343" t="s">
        <v>234</v>
      </c>
      <c r="W157" s="343" t="s">
        <v>162</v>
      </c>
      <c r="Y157" s="343" t="s">
        <v>127</v>
      </c>
      <c r="Z157" s="343" t="s">
        <v>131</v>
      </c>
      <c r="AA157" s="384">
        <v>46069</v>
      </c>
      <c r="AB157" s="384">
        <v>46075</v>
      </c>
      <c r="AC157" s="343" t="s">
        <v>293</v>
      </c>
      <c r="AD157" s="343">
        <v>2</v>
      </c>
      <c r="AE157" s="343">
        <v>0</v>
      </c>
      <c r="AF157" s="343">
        <v>160</v>
      </c>
      <c r="AG157" s="343">
        <v>0</v>
      </c>
      <c r="AH157" s="343">
        <v>160</v>
      </c>
      <c r="AI157" s="343">
        <v>0</v>
      </c>
    </row>
    <row r="158" spans="1:35">
      <c r="A158" s="343">
        <v>20260805</v>
      </c>
      <c r="B158" s="343">
        <v>1785</v>
      </c>
      <c r="C158" s="343">
        <v>5</v>
      </c>
      <c r="D158" s="343">
        <v>7</v>
      </c>
      <c r="E158" s="384">
        <v>46239</v>
      </c>
      <c r="F158" s="343" t="s">
        <v>234</v>
      </c>
      <c r="G158" s="343" t="s">
        <v>167</v>
      </c>
      <c r="I158" s="343">
        <v>20260801</v>
      </c>
      <c r="J158" s="343">
        <v>9213</v>
      </c>
      <c r="K158" s="343">
        <v>66</v>
      </c>
      <c r="L158" s="343">
        <v>115</v>
      </c>
      <c r="M158" s="384">
        <v>46235</v>
      </c>
      <c r="N158" s="343" t="s">
        <v>244</v>
      </c>
      <c r="O158" s="343" t="s">
        <v>166</v>
      </c>
      <c r="Q158" s="343">
        <v>20260716</v>
      </c>
      <c r="R158" s="343">
        <v>31522.45</v>
      </c>
      <c r="S158" s="343">
        <v>207</v>
      </c>
      <c r="T158" s="343">
        <v>287</v>
      </c>
      <c r="U158" s="384">
        <v>46219</v>
      </c>
      <c r="V158" s="343" t="s">
        <v>235</v>
      </c>
      <c r="W158" s="343" t="s">
        <v>162</v>
      </c>
      <c r="Y158" s="343" t="s">
        <v>127</v>
      </c>
      <c r="Z158" s="343" t="s">
        <v>131</v>
      </c>
      <c r="AA158" s="384">
        <v>46069</v>
      </c>
      <c r="AB158" s="384">
        <v>46075</v>
      </c>
      <c r="AC158" s="343" t="s">
        <v>287</v>
      </c>
      <c r="AD158" s="343">
        <v>866</v>
      </c>
      <c r="AE158" s="343">
        <v>9956</v>
      </c>
      <c r="AF158" s="343">
        <v>342</v>
      </c>
      <c r="AG158" s="343">
        <v>0</v>
      </c>
      <c r="AH158" s="343">
        <v>10298</v>
      </c>
      <c r="AI158" s="343">
        <v>896.04</v>
      </c>
    </row>
    <row r="159" spans="1:35">
      <c r="A159" s="343">
        <v>20260806</v>
      </c>
      <c r="B159" s="343">
        <v>3963</v>
      </c>
      <c r="C159" s="343">
        <v>5</v>
      </c>
      <c r="D159" s="343">
        <v>14</v>
      </c>
      <c r="E159" s="384">
        <v>46240</v>
      </c>
      <c r="F159" s="343" t="s">
        <v>235</v>
      </c>
      <c r="G159" s="343" t="s">
        <v>167</v>
      </c>
      <c r="I159" s="343">
        <v>20260805</v>
      </c>
      <c r="J159" s="343">
        <v>3813</v>
      </c>
      <c r="K159" s="343">
        <v>78</v>
      </c>
      <c r="L159" s="343">
        <v>90</v>
      </c>
      <c r="M159" s="384">
        <v>46239</v>
      </c>
      <c r="N159" s="343" t="s">
        <v>234</v>
      </c>
      <c r="O159" s="343" t="s">
        <v>167</v>
      </c>
      <c r="Q159" s="343">
        <v>20260717</v>
      </c>
      <c r="R159" s="343">
        <v>100500.56</v>
      </c>
      <c r="S159" s="343">
        <v>124</v>
      </c>
      <c r="T159" s="343">
        <v>335</v>
      </c>
      <c r="U159" s="384">
        <v>46220</v>
      </c>
      <c r="V159" s="343" t="s">
        <v>236</v>
      </c>
      <c r="W159" s="343" t="s">
        <v>162</v>
      </c>
      <c r="Y159" s="343" t="s">
        <v>133</v>
      </c>
      <c r="Z159" s="343" t="s">
        <v>134</v>
      </c>
      <c r="AA159" s="384">
        <v>46076</v>
      </c>
      <c r="AB159" s="384">
        <v>46082</v>
      </c>
      <c r="AC159" s="343" t="s">
        <v>285</v>
      </c>
      <c r="AD159" s="343">
        <v>4242</v>
      </c>
      <c r="AE159" s="343">
        <v>159230</v>
      </c>
      <c r="AF159" s="343">
        <v>8578</v>
      </c>
      <c r="AG159" s="343">
        <v>0</v>
      </c>
      <c r="AH159" s="343">
        <v>167808</v>
      </c>
      <c r="AI159" s="343">
        <v>14330.7</v>
      </c>
    </row>
    <row r="160" spans="1:35">
      <c r="A160" s="343">
        <v>20260807</v>
      </c>
      <c r="B160" s="343">
        <v>8429</v>
      </c>
      <c r="C160" s="343">
        <v>12</v>
      </c>
      <c r="D160" s="343">
        <v>24</v>
      </c>
      <c r="E160" s="384">
        <v>46241</v>
      </c>
      <c r="F160" s="343" t="s">
        <v>236</v>
      </c>
      <c r="G160" s="343" t="s">
        <v>167</v>
      </c>
      <c r="I160" s="343">
        <v>20260806</v>
      </c>
      <c r="J160" s="343">
        <v>6018</v>
      </c>
      <c r="K160" s="343">
        <v>32</v>
      </c>
      <c r="L160" s="343">
        <v>52</v>
      </c>
      <c r="M160" s="384">
        <v>46240</v>
      </c>
      <c r="N160" s="343" t="s">
        <v>235</v>
      </c>
      <c r="O160" s="343" t="s">
        <v>167</v>
      </c>
      <c r="Q160" s="343">
        <v>20260718</v>
      </c>
      <c r="R160" s="343">
        <v>26075</v>
      </c>
      <c r="S160" s="343">
        <v>129</v>
      </c>
      <c r="T160" s="343">
        <v>220</v>
      </c>
      <c r="U160" s="384">
        <v>46221</v>
      </c>
      <c r="V160" s="343" t="s">
        <v>244</v>
      </c>
      <c r="W160" s="343" t="s">
        <v>162</v>
      </c>
      <c r="Y160" s="343" t="s">
        <v>133</v>
      </c>
      <c r="Z160" s="343" t="s">
        <v>134</v>
      </c>
      <c r="AA160" s="384">
        <v>46076</v>
      </c>
      <c r="AB160" s="384">
        <v>46082</v>
      </c>
      <c r="AC160" s="343" t="s">
        <v>283</v>
      </c>
      <c r="AD160" s="343">
        <v>1742</v>
      </c>
      <c r="AE160" s="343">
        <v>16566.009999999998</v>
      </c>
      <c r="AF160" s="343">
        <v>504</v>
      </c>
      <c r="AG160" s="343">
        <v>0</v>
      </c>
      <c r="AH160" s="343">
        <v>17070.009999999998</v>
      </c>
      <c r="AI160" s="343">
        <v>1490.94</v>
      </c>
    </row>
    <row r="161" spans="1:35">
      <c r="A161" s="343">
        <v>20260808</v>
      </c>
      <c r="B161" s="343">
        <v>7202</v>
      </c>
      <c r="C161" s="343">
        <v>10</v>
      </c>
      <c r="D161" s="343">
        <v>22</v>
      </c>
      <c r="E161" s="384">
        <v>46242</v>
      </c>
      <c r="F161" s="343" t="s">
        <v>244</v>
      </c>
      <c r="G161" s="343" t="s">
        <v>167</v>
      </c>
      <c r="I161" s="343">
        <v>20260807</v>
      </c>
      <c r="J161" s="343">
        <v>11832</v>
      </c>
      <c r="K161" s="343">
        <v>71</v>
      </c>
      <c r="L161" s="343">
        <v>132</v>
      </c>
      <c r="M161" s="384">
        <v>46241</v>
      </c>
      <c r="N161" s="343" t="s">
        <v>236</v>
      </c>
      <c r="O161" s="343" t="s">
        <v>167</v>
      </c>
      <c r="Q161" s="343">
        <v>20260721</v>
      </c>
      <c r="S161" s="343">
        <v>19</v>
      </c>
      <c r="T161" s="343">
        <v>18</v>
      </c>
      <c r="U161" s="384">
        <v>46224</v>
      </c>
      <c r="V161" s="343" t="s">
        <v>233</v>
      </c>
      <c r="W161" s="343" t="s">
        <v>163</v>
      </c>
      <c r="Y161" s="343" t="s">
        <v>133</v>
      </c>
      <c r="Z161" s="343" t="s">
        <v>134</v>
      </c>
      <c r="AA161" s="384">
        <v>46076</v>
      </c>
      <c r="AB161" s="384">
        <v>46082</v>
      </c>
      <c r="AC161" s="343" t="s">
        <v>281</v>
      </c>
      <c r="AD161" s="343">
        <v>4065</v>
      </c>
      <c r="AE161" s="343">
        <v>263056</v>
      </c>
      <c r="AF161" s="343">
        <v>6608</v>
      </c>
      <c r="AG161" s="343">
        <v>0</v>
      </c>
      <c r="AH161" s="343">
        <v>269664</v>
      </c>
      <c r="AI161" s="343">
        <v>23675.040000000001</v>
      </c>
    </row>
    <row r="162" spans="1:35">
      <c r="A162" s="343">
        <v>20260811</v>
      </c>
      <c r="B162" s="343">
        <v>1189</v>
      </c>
      <c r="C162" s="343">
        <v>3</v>
      </c>
      <c r="D162" s="343">
        <v>6</v>
      </c>
      <c r="E162" s="384">
        <v>46245</v>
      </c>
      <c r="F162" s="343" t="s">
        <v>233</v>
      </c>
      <c r="G162" s="343" t="s">
        <v>168</v>
      </c>
      <c r="I162" s="343">
        <v>20260808</v>
      </c>
      <c r="J162" s="343">
        <v>11256</v>
      </c>
      <c r="K162" s="343">
        <v>51</v>
      </c>
      <c r="L162" s="343">
        <v>104</v>
      </c>
      <c r="M162" s="384">
        <v>46242</v>
      </c>
      <c r="N162" s="343" t="s">
        <v>244</v>
      </c>
      <c r="O162" s="343" t="s">
        <v>167</v>
      </c>
      <c r="Q162" s="343">
        <v>20260722</v>
      </c>
      <c r="R162" s="343">
        <v>2130</v>
      </c>
      <c r="S162" s="343">
        <v>13</v>
      </c>
      <c r="T162" s="343">
        <v>19</v>
      </c>
      <c r="U162" s="384">
        <v>46225</v>
      </c>
      <c r="V162" s="343" t="s">
        <v>234</v>
      </c>
      <c r="W162" s="343" t="s">
        <v>163</v>
      </c>
      <c r="Y162" s="343" t="s">
        <v>133</v>
      </c>
      <c r="Z162" s="343" t="s">
        <v>134</v>
      </c>
      <c r="AA162" s="384">
        <v>46076</v>
      </c>
      <c r="AB162" s="384">
        <v>46082</v>
      </c>
      <c r="AC162" s="343" t="s">
        <v>279</v>
      </c>
      <c r="AD162" s="343">
        <v>336</v>
      </c>
      <c r="AE162" s="343">
        <v>3916</v>
      </c>
      <c r="AF162" s="343">
        <v>72</v>
      </c>
      <c r="AG162" s="343">
        <v>0</v>
      </c>
      <c r="AH162" s="343">
        <v>3988</v>
      </c>
      <c r="AI162" s="343">
        <v>352.44</v>
      </c>
    </row>
    <row r="163" spans="1:35">
      <c r="A163" s="343">
        <v>20260812</v>
      </c>
      <c r="B163" s="343">
        <v>490</v>
      </c>
      <c r="C163" s="343">
        <v>4</v>
      </c>
      <c r="D163" s="343">
        <v>6</v>
      </c>
      <c r="E163" s="384">
        <v>46246</v>
      </c>
      <c r="F163" s="343" t="s">
        <v>234</v>
      </c>
      <c r="G163" s="343" t="s">
        <v>168</v>
      </c>
      <c r="I163" s="343">
        <v>20260812</v>
      </c>
      <c r="J163" s="343">
        <v>5376</v>
      </c>
      <c r="K163" s="343">
        <v>45</v>
      </c>
      <c r="L163" s="343">
        <v>74</v>
      </c>
      <c r="M163" s="384">
        <v>46246</v>
      </c>
      <c r="N163" s="343" t="s">
        <v>234</v>
      </c>
      <c r="O163" s="343" t="s">
        <v>168</v>
      </c>
      <c r="Q163" s="343">
        <v>20260723</v>
      </c>
      <c r="R163" s="343">
        <v>48709</v>
      </c>
      <c r="S163" s="343">
        <v>149</v>
      </c>
      <c r="T163" s="343">
        <v>253</v>
      </c>
      <c r="U163" s="384">
        <v>46226</v>
      </c>
      <c r="V163" s="343" t="s">
        <v>235</v>
      </c>
      <c r="W163" s="343" t="s">
        <v>163</v>
      </c>
      <c r="Y163" s="343" t="s">
        <v>133</v>
      </c>
      <c r="Z163" s="343" t="s">
        <v>134</v>
      </c>
      <c r="AA163" s="384">
        <v>46076</v>
      </c>
      <c r="AB163" s="384">
        <v>46082</v>
      </c>
      <c r="AC163" s="343" t="s">
        <v>277</v>
      </c>
      <c r="AD163" s="343">
        <v>158</v>
      </c>
      <c r="AE163" s="343">
        <v>49650</v>
      </c>
      <c r="AF163" s="343">
        <v>655</v>
      </c>
      <c r="AG163" s="343">
        <v>0</v>
      </c>
      <c r="AH163" s="343">
        <v>50305</v>
      </c>
      <c r="AI163" s="343">
        <v>4468.5</v>
      </c>
    </row>
    <row r="164" spans="1:35">
      <c r="A164" s="343">
        <v>20260813</v>
      </c>
      <c r="B164" s="343">
        <v>1501</v>
      </c>
      <c r="C164" s="343">
        <v>2</v>
      </c>
      <c r="D164" s="343">
        <v>4</v>
      </c>
      <c r="E164" s="384">
        <v>46247</v>
      </c>
      <c r="F164" s="343" t="s">
        <v>235</v>
      </c>
      <c r="G164" s="343" t="s">
        <v>168</v>
      </c>
      <c r="I164" s="343">
        <v>20260813</v>
      </c>
      <c r="J164" s="343">
        <v>4504</v>
      </c>
      <c r="K164" s="343">
        <v>16</v>
      </c>
      <c r="L164" s="343">
        <v>38</v>
      </c>
      <c r="M164" s="384">
        <v>46247</v>
      </c>
      <c r="N164" s="343" t="s">
        <v>235</v>
      </c>
      <c r="O164" s="343" t="s">
        <v>168</v>
      </c>
      <c r="Q164" s="343">
        <v>20260724</v>
      </c>
      <c r="R164" s="343">
        <v>60741</v>
      </c>
      <c r="S164" s="343">
        <v>177</v>
      </c>
      <c r="T164" s="343">
        <v>353</v>
      </c>
      <c r="U164" s="384">
        <v>46227</v>
      </c>
      <c r="V164" s="343" t="s">
        <v>236</v>
      </c>
      <c r="W164" s="343" t="s">
        <v>163</v>
      </c>
      <c r="Y164" s="343" t="s">
        <v>133</v>
      </c>
      <c r="Z164" s="343" t="s">
        <v>134</v>
      </c>
      <c r="AA164" s="384">
        <v>46076</v>
      </c>
      <c r="AB164" s="384">
        <v>46082</v>
      </c>
      <c r="AC164" s="343" t="s">
        <v>287</v>
      </c>
      <c r="AD164" s="343">
        <v>757</v>
      </c>
      <c r="AE164" s="343">
        <v>11475</v>
      </c>
      <c r="AF164" s="343">
        <v>322</v>
      </c>
      <c r="AG164" s="343">
        <v>0</v>
      </c>
      <c r="AH164" s="343">
        <v>11797</v>
      </c>
      <c r="AI164" s="343">
        <v>1032.75</v>
      </c>
    </row>
    <row r="165" spans="1:35">
      <c r="A165" s="343">
        <v>20260814</v>
      </c>
      <c r="B165" s="343">
        <v>6393</v>
      </c>
      <c r="C165" s="343">
        <v>7</v>
      </c>
      <c r="D165" s="343">
        <v>25</v>
      </c>
      <c r="E165" s="384">
        <v>46248</v>
      </c>
      <c r="F165" s="343" t="s">
        <v>236</v>
      </c>
      <c r="G165" s="343" t="s">
        <v>168</v>
      </c>
      <c r="I165" s="343">
        <v>20260814</v>
      </c>
      <c r="J165" s="343">
        <v>25141.3</v>
      </c>
      <c r="K165" s="343">
        <v>51</v>
      </c>
      <c r="L165" s="343">
        <v>215</v>
      </c>
      <c r="M165" s="384">
        <v>46248</v>
      </c>
      <c r="N165" s="343" t="s">
        <v>236</v>
      </c>
      <c r="O165" s="343" t="s">
        <v>168</v>
      </c>
      <c r="Q165" s="343">
        <v>20260725</v>
      </c>
      <c r="R165" s="343">
        <v>56567.8</v>
      </c>
      <c r="S165" s="343">
        <v>225</v>
      </c>
      <c r="T165" s="343">
        <v>404</v>
      </c>
      <c r="U165" s="384">
        <v>46228</v>
      </c>
      <c r="V165" s="343" t="s">
        <v>244</v>
      </c>
      <c r="W165" s="343" t="s">
        <v>163</v>
      </c>
      <c r="Y165" s="343" t="s">
        <v>133</v>
      </c>
      <c r="Z165" s="343" t="s">
        <v>135</v>
      </c>
      <c r="AA165" s="384">
        <v>46083</v>
      </c>
      <c r="AB165" s="384">
        <v>46089</v>
      </c>
      <c r="AC165" s="343" t="s">
        <v>285</v>
      </c>
      <c r="AD165" s="343">
        <v>3305</v>
      </c>
      <c r="AE165" s="343">
        <v>121699</v>
      </c>
      <c r="AF165" s="343">
        <v>7969</v>
      </c>
      <c r="AG165" s="343">
        <v>0</v>
      </c>
      <c r="AH165" s="343">
        <v>129668</v>
      </c>
      <c r="AI165" s="343">
        <v>10952.91</v>
      </c>
    </row>
    <row r="166" spans="1:35">
      <c r="A166" s="343">
        <v>20260815</v>
      </c>
      <c r="B166" s="343">
        <v>5686</v>
      </c>
      <c r="C166" s="343">
        <v>9</v>
      </c>
      <c r="D166" s="343">
        <v>21</v>
      </c>
      <c r="E166" s="384">
        <v>46249</v>
      </c>
      <c r="F166" s="343" t="s">
        <v>244</v>
      </c>
      <c r="G166" s="343" t="s">
        <v>168</v>
      </c>
      <c r="I166" s="343">
        <v>20260815</v>
      </c>
      <c r="J166" s="343">
        <v>17820</v>
      </c>
      <c r="K166" s="343">
        <v>116</v>
      </c>
      <c r="L166" s="343">
        <v>241</v>
      </c>
      <c r="M166" s="384">
        <v>46249</v>
      </c>
      <c r="N166" s="343" t="s">
        <v>244</v>
      </c>
      <c r="O166" s="343" t="s">
        <v>168</v>
      </c>
      <c r="Q166" s="343">
        <v>20260729</v>
      </c>
      <c r="R166" s="343">
        <v>10606.85</v>
      </c>
      <c r="S166" s="343">
        <v>90</v>
      </c>
      <c r="T166" s="343">
        <v>124</v>
      </c>
      <c r="U166" s="384">
        <v>46232</v>
      </c>
      <c r="V166" s="343" t="s">
        <v>234</v>
      </c>
      <c r="W166" s="343" t="s">
        <v>166</v>
      </c>
      <c r="Y166" s="343" t="s">
        <v>133</v>
      </c>
      <c r="Z166" s="343" t="s">
        <v>135</v>
      </c>
      <c r="AA166" s="384">
        <v>46083</v>
      </c>
      <c r="AB166" s="384">
        <v>46089</v>
      </c>
      <c r="AC166" s="343" t="s">
        <v>283</v>
      </c>
      <c r="AD166" s="343">
        <v>1288</v>
      </c>
      <c r="AE166" s="343">
        <v>12255.5</v>
      </c>
      <c r="AF166" s="343">
        <v>435</v>
      </c>
      <c r="AG166" s="343">
        <v>0</v>
      </c>
      <c r="AH166" s="343">
        <v>12690.5</v>
      </c>
      <c r="AI166" s="343">
        <v>1103</v>
      </c>
    </row>
    <row r="167" spans="1:35">
      <c r="A167" s="343">
        <v>20260818</v>
      </c>
      <c r="B167" s="343">
        <v>2145</v>
      </c>
      <c r="C167" s="343">
        <v>3</v>
      </c>
      <c r="D167" s="343">
        <v>6</v>
      </c>
      <c r="E167" s="384">
        <v>46252</v>
      </c>
      <c r="F167" s="343" t="s">
        <v>233</v>
      </c>
      <c r="G167" s="343" t="s">
        <v>101</v>
      </c>
      <c r="I167" s="343">
        <v>20260819</v>
      </c>
      <c r="J167" s="343">
        <v>4419</v>
      </c>
      <c r="K167" s="343">
        <v>41</v>
      </c>
      <c r="L167" s="343">
        <v>52</v>
      </c>
      <c r="M167" s="384">
        <v>46253</v>
      </c>
      <c r="N167" s="343" t="s">
        <v>234</v>
      </c>
      <c r="O167" s="343" t="s">
        <v>101</v>
      </c>
      <c r="Q167" s="343">
        <v>20260730</v>
      </c>
      <c r="R167" s="343">
        <v>15513</v>
      </c>
      <c r="S167" s="343">
        <v>111</v>
      </c>
      <c r="T167" s="343">
        <v>218</v>
      </c>
      <c r="U167" s="384">
        <v>46233</v>
      </c>
      <c r="V167" s="343" t="s">
        <v>235</v>
      </c>
      <c r="W167" s="343" t="s">
        <v>166</v>
      </c>
      <c r="Y167" s="343" t="s">
        <v>133</v>
      </c>
      <c r="Z167" s="343" t="s">
        <v>135</v>
      </c>
      <c r="AA167" s="384">
        <v>46083</v>
      </c>
      <c r="AB167" s="384">
        <v>46089</v>
      </c>
      <c r="AC167" s="343" t="s">
        <v>281</v>
      </c>
      <c r="AD167" s="343">
        <v>3403</v>
      </c>
      <c r="AE167" s="343">
        <v>184833</v>
      </c>
      <c r="AF167" s="343">
        <v>5548</v>
      </c>
      <c r="AG167" s="343">
        <v>0</v>
      </c>
      <c r="AH167" s="343">
        <v>190381</v>
      </c>
      <c r="AI167" s="343">
        <v>16634.97</v>
      </c>
    </row>
    <row r="168" spans="1:35">
      <c r="A168" s="343">
        <v>20260819</v>
      </c>
      <c r="B168" s="343">
        <v>1642</v>
      </c>
      <c r="C168" s="343">
        <v>2</v>
      </c>
      <c r="D168" s="343">
        <v>4</v>
      </c>
      <c r="E168" s="384">
        <v>46253</v>
      </c>
      <c r="F168" s="343" t="s">
        <v>234</v>
      </c>
      <c r="G168" s="343" t="s">
        <v>101</v>
      </c>
      <c r="I168" s="343">
        <v>20260820</v>
      </c>
      <c r="J168" s="343">
        <v>9622</v>
      </c>
      <c r="K168" s="343">
        <v>68</v>
      </c>
      <c r="L168" s="343">
        <v>115</v>
      </c>
      <c r="M168" s="384">
        <v>46254</v>
      </c>
      <c r="N168" s="343" t="s">
        <v>235</v>
      </c>
      <c r="O168" s="343" t="s">
        <v>101</v>
      </c>
      <c r="Q168" s="343">
        <v>20260731</v>
      </c>
      <c r="R168" s="343">
        <v>42845</v>
      </c>
      <c r="S168" s="343">
        <v>164</v>
      </c>
      <c r="T168" s="343">
        <v>264</v>
      </c>
      <c r="U168" s="384">
        <v>46234</v>
      </c>
      <c r="V168" s="343" t="s">
        <v>236</v>
      </c>
      <c r="W168" s="343" t="s">
        <v>166</v>
      </c>
      <c r="Y168" s="343" t="s">
        <v>133</v>
      </c>
      <c r="Z168" s="343" t="s">
        <v>135</v>
      </c>
      <c r="AA168" s="384">
        <v>46083</v>
      </c>
      <c r="AB168" s="384">
        <v>46089</v>
      </c>
      <c r="AC168" s="343" t="s">
        <v>279</v>
      </c>
      <c r="AD168" s="343">
        <v>186</v>
      </c>
      <c r="AE168" s="343">
        <v>2042</v>
      </c>
      <c r="AF168" s="343">
        <v>144</v>
      </c>
      <c r="AG168" s="343">
        <v>0</v>
      </c>
      <c r="AH168" s="343">
        <v>2186</v>
      </c>
      <c r="AI168" s="343">
        <v>183.78</v>
      </c>
    </row>
    <row r="169" spans="1:35">
      <c r="A169" s="343">
        <v>20260820</v>
      </c>
      <c r="B169" s="343">
        <v>651</v>
      </c>
      <c r="C169" s="343">
        <v>3</v>
      </c>
      <c r="D169" s="343">
        <v>4</v>
      </c>
      <c r="E169" s="384">
        <v>46254</v>
      </c>
      <c r="F169" s="343" t="s">
        <v>235</v>
      </c>
      <c r="G169" s="343" t="s">
        <v>101</v>
      </c>
      <c r="I169" s="343">
        <v>20260821</v>
      </c>
      <c r="J169" s="343">
        <v>13637</v>
      </c>
      <c r="K169" s="343">
        <v>56</v>
      </c>
      <c r="L169" s="343">
        <v>109</v>
      </c>
      <c r="M169" s="384">
        <v>46255</v>
      </c>
      <c r="N169" s="343" t="s">
        <v>236</v>
      </c>
      <c r="O169" s="343" t="s">
        <v>101</v>
      </c>
      <c r="Q169" s="343">
        <v>20260801</v>
      </c>
      <c r="R169" s="343">
        <v>51055</v>
      </c>
      <c r="S169" s="343">
        <v>175</v>
      </c>
      <c r="T169" s="343">
        <v>344</v>
      </c>
      <c r="U169" s="384">
        <v>46235</v>
      </c>
      <c r="V169" s="343" t="s">
        <v>244</v>
      </c>
      <c r="W169" s="343" t="s">
        <v>166</v>
      </c>
      <c r="Y169" s="343" t="s">
        <v>133</v>
      </c>
      <c r="Z169" s="343" t="s">
        <v>135</v>
      </c>
      <c r="AA169" s="384">
        <v>46083</v>
      </c>
      <c r="AB169" s="384">
        <v>46089</v>
      </c>
      <c r="AC169" s="343" t="s">
        <v>277</v>
      </c>
      <c r="AD169" s="343">
        <v>139</v>
      </c>
      <c r="AE169" s="343">
        <v>52625</v>
      </c>
      <c r="AF169" s="343">
        <v>1055</v>
      </c>
      <c r="AG169" s="343">
        <v>0</v>
      </c>
      <c r="AH169" s="343">
        <v>53680</v>
      </c>
      <c r="AI169" s="343">
        <v>4736.25</v>
      </c>
    </row>
    <row r="170" spans="1:35">
      <c r="A170" s="343">
        <v>20260821</v>
      </c>
      <c r="B170" s="343">
        <v>6386</v>
      </c>
      <c r="C170" s="343">
        <v>7</v>
      </c>
      <c r="D170" s="343">
        <v>17</v>
      </c>
      <c r="E170" s="384">
        <v>46255</v>
      </c>
      <c r="F170" s="343" t="s">
        <v>236</v>
      </c>
      <c r="G170" s="343" t="s">
        <v>101</v>
      </c>
      <c r="I170" s="343">
        <v>20260822</v>
      </c>
      <c r="J170" s="343">
        <v>15509</v>
      </c>
      <c r="K170" s="343">
        <v>88</v>
      </c>
      <c r="L170" s="343">
        <v>157</v>
      </c>
      <c r="M170" s="384">
        <v>46256</v>
      </c>
      <c r="N170" s="343" t="s">
        <v>244</v>
      </c>
      <c r="O170" s="343" t="s">
        <v>101</v>
      </c>
      <c r="Q170" s="343">
        <v>20260804</v>
      </c>
      <c r="S170" s="343">
        <v>43</v>
      </c>
      <c r="T170" s="343">
        <v>43</v>
      </c>
      <c r="U170" s="384">
        <v>46238</v>
      </c>
      <c r="V170" s="343" t="s">
        <v>233</v>
      </c>
      <c r="W170" s="343" t="s">
        <v>167</v>
      </c>
      <c r="Y170" s="343" t="s">
        <v>133</v>
      </c>
      <c r="Z170" s="343" t="s">
        <v>135</v>
      </c>
      <c r="AA170" s="384">
        <v>46083</v>
      </c>
      <c r="AB170" s="384">
        <v>46089</v>
      </c>
      <c r="AC170" s="343" t="s">
        <v>287</v>
      </c>
      <c r="AD170" s="343">
        <v>747</v>
      </c>
      <c r="AE170" s="343">
        <v>10396</v>
      </c>
      <c r="AF170" s="343">
        <v>283</v>
      </c>
      <c r="AG170" s="343">
        <v>0</v>
      </c>
      <c r="AH170" s="343">
        <v>10679</v>
      </c>
      <c r="AI170" s="343">
        <v>935.64</v>
      </c>
    </row>
    <row r="171" spans="1:35">
      <c r="A171" s="343">
        <v>20260822</v>
      </c>
      <c r="B171" s="343">
        <v>6699</v>
      </c>
      <c r="C171" s="343">
        <v>13</v>
      </c>
      <c r="D171" s="343">
        <v>24</v>
      </c>
      <c r="E171" s="384">
        <v>46256</v>
      </c>
      <c r="F171" s="343" t="s">
        <v>244</v>
      </c>
      <c r="G171" s="343" t="s">
        <v>101</v>
      </c>
      <c r="Q171" s="343">
        <v>20260805</v>
      </c>
      <c r="R171" s="343">
        <v>7464</v>
      </c>
      <c r="S171" s="343">
        <v>37</v>
      </c>
      <c r="T171" s="343">
        <v>82</v>
      </c>
      <c r="U171" s="384">
        <v>46239</v>
      </c>
      <c r="V171" s="343" t="s">
        <v>234</v>
      </c>
      <c r="W171" s="343" t="s">
        <v>167</v>
      </c>
      <c r="Y171" s="343" t="s">
        <v>133</v>
      </c>
      <c r="Z171" s="343" t="s">
        <v>136</v>
      </c>
      <c r="AA171" s="384">
        <v>46090</v>
      </c>
      <c r="AB171" s="384">
        <v>46096</v>
      </c>
      <c r="AC171" s="343" t="s">
        <v>285</v>
      </c>
      <c r="AD171" s="343">
        <v>3541</v>
      </c>
      <c r="AE171" s="343">
        <v>119540</v>
      </c>
      <c r="AF171" s="343">
        <v>9244.7999999999993</v>
      </c>
      <c r="AG171" s="343">
        <v>0</v>
      </c>
      <c r="AH171" s="343">
        <v>128784.8</v>
      </c>
      <c r="AI171" s="343">
        <v>10758.6</v>
      </c>
    </row>
    <row r="172" spans="1:35">
      <c r="Q172" s="343">
        <v>20260806</v>
      </c>
      <c r="R172" s="343">
        <v>21718</v>
      </c>
      <c r="S172" s="343">
        <v>139</v>
      </c>
      <c r="T172" s="343">
        <v>253</v>
      </c>
      <c r="U172" s="384">
        <v>46240</v>
      </c>
      <c r="V172" s="343" t="s">
        <v>235</v>
      </c>
      <c r="W172" s="343" t="s">
        <v>167</v>
      </c>
      <c r="Y172" s="343" t="s">
        <v>133</v>
      </c>
      <c r="Z172" s="343" t="s">
        <v>136</v>
      </c>
      <c r="AA172" s="384">
        <v>46090</v>
      </c>
      <c r="AB172" s="384">
        <v>46096</v>
      </c>
      <c r="AC172" s="343" t="s">
        <v>283</v>
      </c>
      <c r="AD172" s="343">
        <v>1231</v>
      </c>
      <c r="AE172" s="343">
        <v>11080.01</v>
      </c>
      <c r="AF172" s="343">
        <v>975</v>
      </c>
      <c r="AG172" s="343">
        <v>0</v>
      </c>
      <c r="AH172" s="343">
        <v>12055.01</v>
      </c>
      <c r="AI172" s="343">
        <v>997.2</v>
      </c>
    </row>
    <row r="173" spans="1:35">
      <c r="Q173" s="343">
        <v>20260807</v>
      </c>
      <c r="R173" s="343">
        <v>57475.5</v>
      </c>
      <c r="S173" s="343">
        <v>155</v>
      </c>
      <c r="T173" s="343">
        <v>324</v>
      </c>
      <c r="U173" s="384">
        <v>46241</v>
      </c>
      <c r="V173" s="343" t="s">
        <v>236</v>
      </c>
      <c r="W173" s="343" t="s">
        <v>167</v>
      </c>
      <c r="Y173" s="343" t="s">
        <v>133</v>
      </c>
      <c r="Z173" s="343" t="s">
        <v>136</v>
      </c>
      <c r="AA173" s="384">
        <v>46090</v>
      </c>
      <c r="AB173" s="384">
        <v>46096</v>
      </c>
      <c r="AC173" s="343" t="s">
        <v>281</v>
      </c>
      <c r="AD173" s="343">
        <v>2902</v>
      </c>
      <c r="AE173" s="343">
        <v>124017.5</v>
      </c>
      <c r="AF173" s="343">
        <v>12379</v>
      </c>
      <c r="AG173" s="343">
        <v>0</v>
      </c>
      <c r="AH173" s="343">
        <v>136396.5</v>
      </c>
      <c r="AI173" s="343">
        <v>11161.59</v>
      </c>
    </row>
    <row r="174" spans="1:35">
      <c r="Q174" s="343">
        <v>20260808</v>
      </c>
      <c r="R174" s="343">
        <v>34169</v>
      </c>
      <c r="S174" s="343">
        <v>148</v>
      </c>
      <c r="T174" s="343">
        <v>273</v>
      </c>
      <c r="U174" s="384">
        <v>46242</v>
      </c>
      <c r="V174" s="343" t="s">
        <v>244</v>
      </c>
      <c r="W174" s="343" t="s">
        <v>167</v>
      </c>
      <c r="Y174" s="343" t="s">
        <v>133</v>
      </c>
      <c r="Z174" s="343" t="s">
        <v>136</v>
      </c>
      <c r="AA174" s="384">
        <v>46090</v>
      </c>
      <c r="AB174" s="384">
        <v>46096</v>
      </c>
      <c r="AC174" s="343" t="s">
        <v>279</v>
      </c>
      <c r="AD174" s="343">
        <v>201</v>
      </c>
      <c r="AE174" s="343">
        <v>2355</v>
      </c>
      <c r="AF174" s="343">
        <v>72</v>
      </c>
      <c r="AG174" s="343">
        <v>0</v>
      </c>
      <c r="AH174" s="343">
        <v>2427</v>
      </c>
      <c r="AI174" s="343">
        <v>211.95</v>
      </c>
    </row>
    <row r="175" spans="1:35">
      <c r="Q175" s="343">
        <v>20260811</v>
      </c>
      <c r="R175" s="343">
        <v>0</v>
      </c>
      <c r="S175" s="343">
        <v>15</v>
      </c>
      <c r="T175" s="343">
        <v>15</v>
      </c>
      <c r="U175" s="384">
        <v>46245</v>
      </c>
      <c r="V175" s="343" t="s">
        <v>233</v>
      </c>
      <c r="W175" s="343" t="s">
        <v>168</v>
      </c>
      <c r="Y175" s="343" t="s">
        <v>133</v>
      </c>
      <c r="Z175" s="343" t="s">
        <v>136</v>
      </c>
      <c r="AA175" s="384">
        <v>46090</v>
      </c>
      <c r="AB175" s="384">
        <v>46096</v>
      </c>
      <c r="AC175" s="343" t="s">
        <v>277</v>
      </c>
      <c r="AD175" s="343">
        <v>87</v>
      </c>
      <c r="AE175" s="343">
        <v>27047</v>
      </c>
      <c r="AF175" s="343">
        <v>595</v>
      </c>
      <c r="AG175" s="343">
        <v>0</v>
      </c>
      <c r="AH175" s="343">
        <v>27642</v>
      </c>
      <c r="AI175" s="343">
        <v>2434.23</v>
      </c>
    </row>
    <row r="176" spans="1:35">
      <c r="Q176" s="343">
        <v>20260812</v>
      </c>
      <c r="R176" s="343">
        <v>3995</v>
      </c>
      <c r="S176" s="343">
        <v>47</v>
      </c>
      <c r="T176" s="343">
        <v>75</v>
      </c>
      <c r="U176" s="384">
        <v>46246</v>
      </c>
      <c r="V176" s="343" t="s">
        <v>234</v>
      </c>
      <c r="W176" s="343" t="s">
        <v>168</v>
      </c>
      <c r="Y176" s="343" t="s">
        <v>133</v>
      </c>
      <c r="Z176" s="343" t="s">
        <v>136</v>
      </c>
      <c r="AA176" s="384">
        <v>46090</v>
      </c>
      <c r="AB176" s="384">
        <v>46096</v>
      </c>
      <c r="AC176" s="343" t="s">
        <v>293</v>
      </c>
      <c r="AD176" s="343">
        <v>5</v>
      </c>
      <c r="AE176" s="343">
        <v>0</v>
      </c>
      <c r="AF176" s="343">
        <v>400</v>
      </c>
      <c r="AG176" s="343">
        <v>0</v>
      </c>
      <c r="AH176" s="343">
        <v>400</v>
      </c>
      <c r="AI176" s="343">
        <v>0</v>
      </c>
    </row>
    <row r="177" spans="17:35">
      <c r="Q177" s="343">
        <v>20260813</v>
      </c>
      <c r="R177" s="343">
        <v>26157</v>
      </c>
      <c r="S177" s="343">
        <v>100</v>
      </c>
      <c r="T177" s="343">
        <v>189</v>
      </c>
      <c r="U177" s="384">
        <v>46247</v>
      </c>
      <c r="V177" s="343" t="s">
        <v>235</v>
      </c>
      <c r="W177" s="343" t="s">
        <v>168</v>
      </c>
      <c r="Y177" s="343" t="s">
        <v>133</v>
      </c>
      <c r="Z177" s="343" t="s">
        <v>136</v>
      </c>
      <c r="AA177" s="384">
        <v>46090</v>
      </c>
      <c r="AB177" s="384">
        <v>46096</v>
      </c>
      <c r="AC177" s="343" t="s">
        <v>287</v>
      </c>
      <c r="AD177" s="343">
        <v>411</v>
      </c>
      <c r="AE177" s="343">
        <v>10073</v>
      </c>
      <c r="AF177" s="343">
        <v>708</v>
      </c>
      <c r="AG177" s="343">
        <v>0</v>
      </c>
      <c r="AH177" s="343">
        <v>10781</v>
      </c>
      <c r="AI177" s="343">
        <v>906.57</v>
      </c>
    </row>
    <row r="178" spans="17:35">
      <c r="Q178" s="343">
        <v>20260814</v>
      </c>
      <c r="R178" s="343">
        <v>35554</v>
      </c>
      <c r="S178" s="343">
        <v>188</v>
      </c>
      <c r="T178" s="343">
        <v>264</v>
      </c>
      <c r="U178" s="384">
        <v>46248</v>
      </c>
      <c r="V178" s="343" t="s">
        <v>236</v>
      </c>
      <c r="W178" s="343" t="s">
        <v>168</v>
      </c>
      <c r="Y178" s="343" t="s">
        <v>133</v>
      </c>
      <c r="Z178" s="343" t="s">
        <v>137</v>
      </c>
      <c r="AA178" s="384">
        <v>46097</v>
      </c>
      <c r="AB178" s="384">
        <v>46103</v>
      </c>
      <c r="AC178" s="343" t="s">
        <v>285</v>
      </c>
      <c r="AD178" s="343">
        <v>3868</v>
      </c>
      <c r="AE178" s="343">
        <v>130880.5</v>
      </c>
      <c r="AF178" s="343">
        <v>7579</v>
      </c>
      <c r="AG178" s="343">
        <v>0</v>
      </c>
      <c r="AH178" s="343">
        <v>138459.5</v>
      </c>
      <c r="AI178" s="343">
        <v>11779.25</v>
      </c>
    </row>
    <row r="179" spans="17:35">
      <c r="Q179" s="343">
        <v>20260815</v>
      </c>
      <c r="S179" s="343">
        <v>169</v>
      </c>
      <c r="T179" s="343">
        <v>280</v>
      </c>
      <c r="U179" s="384">
        <v>46249</v>
      </c>
      <c r="V179" s="343" t="s">
        <v>244</v>
      </c>
      <c r="W179" s="343" t="s">
        <v>168</v>
      </c>
      <c r="Y179" s="343" t="s">
        <v>133</v>
      </c>
      <c r="Z179" s="343" t="s">
        <v>137</v>
      </c>
      <c r="AA179" s="384">
        <v>46097</v>
      </c>
      <c r="AB179" s="384">
        <v>46103</v>
      </c>
      <c r="AC179" s="343" t="s">
        <v>283</v>
      </c>
      <c r="AD179" s="343">
        <v>1418.5</v>
      </c>
      <c r="AE179" s="343">
        <v>13045</v>
      </c>
      <c r="AF179" s="343">
        <v>829</v>
      </c>
      <c r="AG179" s="343">
        <v>0</v>
      </c>
      <c r="AH179" s="343">
        <v>13874</v>
      </c>
      <c r="AI179" s="343">
        <v>1174.05</v>
      </c>
    </row>
    <row r="180" spans="17:35">
      <c r="Q180" s="343">
        <v>20260819</v>
      </c>
      <c r="R180" s="343">
        <v>5029</v>
      </c>
      <c r="S180" s="343">
        <v>34</v>
      </c>
      <c r="T180" s="343">
        <v>70</v>
      </c>
      <c r="U180" s="384">
        <v>46253</v>
      </c>
      <c r="V180" s="343" t="s">
        <v>234</v>
      </c>
      <c r="W180" s="343" t="s">
        <v>101</v>
      </c>
      <c r="Y180" s="343" t="s">
        <v>133</v>
      </c>
      <c r="Z180" s="343" t="s">
        <v>137</v>
      </c>
      <c r="AA180" s="384">
        <v>46097</v>
      </c>
      <c r="AB180" s="384">
        <v>46103</v>
      </c>
      <c r="AC180" s="343" t="s">
        <v>281</v>
      </c>
      <c r="AD180" s="343">
        <v>3901</v>
      </c>
      <c r="AE180" s="343">
        <v>227092</v>
      </c>
      <c r="AF180" s="343">
        <v>4929</v>
      </c>
      <c r="AG180" s="343">
        <v>0</v>
      </c>
      <c r="AH180" s="343">
        <v>232021</v>
      </c>
      <c r="AI180" s="343">
        <v>20438.29</v>
      </c>
    </row>
    <row r="181" spans="17:35">
      <c r="Q181" s="343">
        <v>20260820</v>
      </c>
      <c r="R181" s="343">
        <v>50760</v>
      </c>
      <c r="S181" s="343">
        <v>213</v>
      </c>
      <c r="T181" s="343">
        <v>395</v>
      </c>
      <c r="U181" s="384">
        <v>46254</v>
      </c>
      <c r="V181" s="343" t="s">
        <v>235</v>
      </c>
      <c r="W181" s="343" t="s">
        <v>101</v>
      </c>
      <c r="Y181" s="343" t="s">
        <v>133</v>
      </c>
      <c r="Z181" s="343" t="s">
        <v>137</v>
      </c>
      <c r="AA181" s="384">
        <v>46097</v>
      </c>
      <c r="AB181" s="384">
        <v>46103</v>
      </c>
      <c r="AC181" s="343" t="s">
        <v>279</v>
      </c>
      <c r="AD181" s="343">
        <v>156</v>
      </c>
      <c r="AE181" s="343">
        <v>1779</v>
      </c>
      <c r="AF181" s="343">
        <v>96</v>
      </c>
      <c r="AG181" s="343">
        <v>0</v>
      </c>
      <c r="AH181" s="343">
        <v>1875</v>
      </c>
      <c r="AI181" s="343">
        <v>160.11000000000001</v>
      </c>
    </row>
    <row r="182" spans="17:35">
      <c r="Q182" s="343">
        <v>20260821</v>
      </c>
      <c r="R182" s="343">
        <v>30264.75</v>
      </c>
      <c r="S182" s="343">
        <v>174</v>
      </c>
      <c r="T182" s="343">
        <v>294</v>
      </c>
      <c r="U182" s="384">
        <v>46255</v>
      </c>
      <c r="V182" s="343" t="s">
        <v>236</v>
      </c>
      <c r="W182" s="343" t="s">
        <v>101</v>
      </c>
      <c r="Y182" s="343" t="s">
        <v>133</v>
      </c>
      <c r="Z182" s="343" t="s">
        <v>137</v>
      </c>
      <c r="AA182" s="384">
        <v>46097</v>
      </c>
      <c r="AB182" s="384">
        <v>46103</v>
      </c>
      <c r="AC182" s="343" t="s">
        <v>277</v>
      </c>
      <c r="AD182" s="343">
        <v>106</v>
      </c>
      <c r="AE182" s="343">
        <v>54467</v>
      </c>
      <c r="AF182" s="343">
        <v>300</v>
      </c>
      <c r="AG182" s="343">
        <v>0</v>
      </c>
      <c r="AH182" s="343">
        <v>54767</v>
      </c>
      <c r="AI182" s="343">
        <v>4902.03</v>
      </c>
    </row>
    <row r="183" spans="17:35">
      <c r="Q183" s="343">
        <v>20260822</v>
      </c>
      <c r="R183" s="343">
        <v>44975</v>
      </c>
      <c r="S183" s="343">
        <v>181</v>
      </c>
      <c r="T183" s="343">
        <v>388</v>
      </c>
      <c r="U183" s="384">
        <v>46256</v>
      </c>
      <c r="V183" s="343" t="s">
        <v>244</v>
      </c>
      <c r="W183" s="343" t="s">
        <v>101</v>
      </c>
      <c r="Y183" s="343" t="s">
        <v>133</v>
      </c>
      <c r="Z183" s="343" t="s">
        <v>137</v>
      </c>
      <c r="AA183" s="384">
        <v>46097</v>
      </c>
      <c r="AB183" s="384">
        <v>46103</v>
      </c>
      <c r="AC183" s="343" t="s">
        <v>287</v>
      </c>
      <c r="AD183" s="343">
        <v>544</v>
      </c>
      <c r="AE183" s="343">
        <v>10494</v>
      </c>
      <c r="AF183" s="343">
        <v>253</v>
      </c>
      <c r="AG183" s="343">
        <v>0</v>
      </c>
      <c r="AH183" s="343">
        <v>10747</v>
      </c>
      <c r="AI183" s="343">
        <v>944.46</v>
      </c>
    </row>
    <row r="184" spans="17:35">
      <c r="Y184" s="343" t="s">
        <v>133</v>
      </c>
      <c r="Z184" s="343" t="s">
        <v>138</v>
      </c>
      <c r="AA184" s="384">
        <v>46104</v>
      </c>
      <c r="AB184" s="384">
        <v>46110</v>
      </c>
      <c r="AC184" s="343" t="s">
        <v>285</v>
      </c>
      <c r="AD184" s="343">
        <v>3656</v>
      </c>
      <c r="AE184" s="343">
        <v>127072.8</v>
      </c>
      <c r="AF184" s="343">
        <v>5863.2</v>
      </c>
      <c r="AG184" s="343">
        <v>0</v>
      </c>
      <c r="AH184" s="343">
        <v>132936</v>
      </c>
      <c r="AI184" s="343">
        <v>11436.54</v>
      </c>
    </row>
    <row r="185" spans="17:35">
      <c r="Y185" s="343" t="s">
        <v>133</v>
      </c>
      <c r="Z185" s="343" t="s">
        <v>138</v>
      </c>
      <c r="AA185" s="384">
        <v>46104</v>
      </c>
      <c r="AB185" s="384">
        <v>46110</v>
      </c>
      <c r="AC185" s="343" t="s">
        <v>283</v>
      </c>
      <c r="AD185" s="343">
        <v>2012</v>
      </c>
      <c r="AE185" s="343">
        <v>16502.61</v>
      </c>
      <c r="AF185" s="343">
        <v>2894.4</v>
      </c>
      <c r="AG185" s="343">
        <v>0</v>
      </c>
      <c r="AH185" s="343">
        <v>19397.009999999998</v>
      </c>
      <c r="AI185" s="343">
        <v>1485.25</v>
      </c>
    </row>
    <row r="186" spans="17:35">
      <c r="Y186" s="343" t="s">
        <v>133</v>
      </c>
      <c r="Z186" s="343" t="s">
        <v>138</v>
      </c>
      <c r="AA186" s="384">
        <v>46104</v>
      </c>
      <c r="AB186" s="384">
        <v>46110</v>
      </c>
      <c r="AC186" s="343" t="s">
        <v>281</v>
      </c>
      <c r="AD186" s="343">
        <v>4584</v>
      </c>
      <c r="AE186" s="343">
        <v>328383.09999999998</v>
      </c>
      <c r="AF186" s="343">
        <v>9973.4</v>
      </c>
      <c r="AG186" s="343">
        <v>0</v>
      </c>
      <c r="AH186" s="343">
        <v>338356.5</v>
      </c>
      <c r="AI186" s="343">
        <v>29554.49</v>
      </c>
    </row>
    <row r="187" spans="17:35">
      <c r="Y187" s="343" t="s">
        <v>133</v>
      </c>
      <c r="Z187" s="343" t="s">
        <v>138</v>
      </c>
      <c r="AA187" s="384">
        <v>46104</v>
      </c>
      <c r="AB187" s="384">
        <v>46110</v>
      </c>
      <c r="AC187" s="343" t="s">
        <v>279</v>
      </c>
      <c r="AD187" s="343">
        <v>240</v>
      </c>
      <c r="AE187" s="343">
        <v>2676</v>
      </c>
      <c r="AF187" s="343">
        <v>216</v>
      </c>
      <c r="AG187" s="343">
        <v>0</v>
      </c>
      <c r="AH187" s="343">
        <v>2892</v>
      </c>
      <c r="AI187" s="343">
        <v>240.84</v>
      </c>
    </row>
    <row r="188" spans="17:35">
      <c r="Y188" s="343" t="s">
        <v>133</v>
      </c>
      <c r="Z188" s="343" t="s">
        <v>138</v>
      </c>
      <c r="AA188" s="384">
        <v>46104</v>
      </c>
      <c r="AB188" s="384">
        <v>46110</v>
      </c>
      <c r="AC188" s="343" t="s">
        <v>277</v>
      </c>
      <c r="AD188" s="343">
        <v>118</v>
      </c>
      <c r="AE188" s="343">
        <v>68531</v>
      </c>
      <c r="AF188" s="343">
        <v>1421</v>
      </c>
      <c r="AG188" s="343">
        <v>0</v>
      </c>
      <c r="AH188" s="343">
        <v>69952</v>
      </c>
      <c r="AI188" s="343">
        <v>6167.79</v>
      </c>
    </row>
    <row r="189" spans="17:35">
      <c r="Y189" s="343" t="s">
        <v>133</v>
      </c>
      <c r="Z189" s="343" t="s">
        <v>138</v>
      </c>
      <c r="AA189" s="384">
        <v>46104</v>
      </c>
      <c r="AB189" s="384">
        <v>46110</v>
      </c>
      <c r="AC189" s="343" t="s">
        <v>287</v>
      </c>
      <c r="AD189" s="343">
        <v>568</v>
      </c>
      <c r="AE189" s="343">
        <v>7422</v>
      </c>
      <c r="AF189" s="343">
        <v>424</v>
      </c>
      <c r="AG189" s="343">
        <v>0</v>
      </c>
      <c r="AH189" s="343">
        <v>7846</v>
      </c>
      <c r="AI189" s="343">
        <v>667.98</v>
      </c>
    </row>
    <row r="190" spans="17:35">
      <c r="Y190" s="343" t="s">
        <v>140</v>
      </c>
      <c r="Z190" s="343" t="s">
        <v>141</v>
      </c>
      <c r="AA190" s="384">
        <v>46111</v>
      </c>
      <c r="AB190" s="384">
        <v>46117</v>
      </c>
      <c r="AC190" s="343" t="s">
        <v>285</v>
      </c>
      <c r="AD190" s="343">
        <v>2325</v>
      </c>
      <c r="AE190" s="343">
        <v>81441</v>
      </c>
      <c r="AF190" s="343">
        <v>5755</v>
      </c>
      <c r="AG190" s="343">
        <v>0</v>
      </c>
      <c r="AH190" s="343">
        <v>87196</v>
      </c>
      <c r="AI190" s="343">
        <v>7329.69</v>
      </c>
    </row>
    <row r="191" spans="17:35">
      <c r="Y191" s="343" t="s">
        <v>140</v>
      </c>
      <c r="Z191" s="343" t="s">
        <v>141</v>
      </c>
      <c r="AA191" s="384">
        <v>46111</v>
      </c>
      <c r="AB191" s="384">
        <v>46117</v>
      </c>
      <c r="AC191" s="343" t="s">
        <v>283</v>
      </c>
      <c r="AD191" s="343">
        <v>1288</v>
      </c>
      <c r="AE191" s="343">
        <v>11916</v>
      </c>
      <c r="AF191" s="343">
        <v>705</v>
      </c>
      <c r="AG191" s="343">
        <v>0</v>
      </c>
      <c r="AH191" s="343">
        <v>12621</v>
      </c>
      <c r="AI191" s="343">
        <v>1072.44</v>
      </c>
    </row>
    <row r="192" spans="17:35">
      <c r="Y192" s="343" t="s">
        <v>140</v>
      </c>
      <c r="Z192" s="343" t="s">
        <v>141</v>
      </c>
      <c r="AA192" s="384">
        <v>46111</v>
      </c>
      <c r="AB192" s="384">
        <v>46117</v>
      </c>
      <c r="AC192" s="343" t="s">
        <v>281</v>
      </c>
      <c r="AD192" s="343">
        <v>2596</v>
      </c>
      <c r="AE192" s="343">
        <v>161447</v>
      </c>
      <c r="AF192" s="343">
        <v>8079</v>
      </c>
      <c r="AG192" s="343">
        <v>0</v>
      </c>
      <c r="AH192" s="343">
        <v>169526</v>
      </c>
      <c r="AI192" s="343">
        <v>14530.23</v>
      </c>
    </row>
    <row r="193" spans="25:35">
      <c r="Y193" s="343" t="s">
        <v>140</v>
      </c>
      <c r="Z193" s="343" t="s">
        <v>141</v>
      </c>
      <c r="AA193" s="384">
        <v>46111</v>
      </c>
      <c r="AB193" s="384">
        <v>46117</v>
      </c>
      <c r="AC193" s="343" t="s">
        <v>279</v>
      </c>
      <c r="AD193" s="343">
        <v>126</v>
      </c>
      <c r="AE193" s="343">
        <v>1464</v>
      </c>
      <c r="AF193" s="343">
        <v>48</v>
      </c>
      <c r="AG193" s="343">
        <v>0</v>
      </c>
      <c r="AH193" s="343">
        <v>1512</v>
      </c>
      <c r="AI193" s="343">
        <v>131.76</v>
      </c>
    </row>
    <row r="194" spans="25:35">
      <c r="Y194" s="343" t="s">
        <v>140</v>
      </c>
      <c r="Z194" s="343" t="s">
        <v>141</v>
      </c>
      <c r="AA194" s="384">
        <v>46111</v>
      </c>
      <c r="AB194" s="384">
        <v>46117</v>
      </c>
      <c r="AC194" s="343" t="s">
        <v>277</v>
      </c>
      <c r="AD194" s="343">
        <v>75</v>
      </c>
      <c r="AE194" s="343">
        <v>37352</v>
      </c>
      <c r="AF194" s="343">
        <v>150</v>
      </c>
      <c r="AG194" s="343">
        <v>0</v>
      </c>
      <c r="AH194" s="343">
        <v>37502</v>
      </c>
      <c r="AI194" s="343">
        <v>3361.68</v>
      </c>
    </row>
    <row r="195" spans="25:35">
      <c r="Y195" s="343" t="s">
        <v>140</v>
      </c>
      <c r="Z195" s="343" t="s">
        <v>141</v>
      </c>
      <c r="AA195" s="384">
        <v>46111</v>
      </c>
      <c r="AB195" s="384">
        <v>46117</v>
      </c>
      <c r="AC195" s="343" t="s">
        <v>287</v>
      </c>
      <c r="AD195" s="343">
        <v>459</v>
      </c>
      <c r="AE195" s="343">
        <v>6990</v>
      </c>
      <c r="AF195" s="343">
        <v>284</v>
      </c>
      <c r="AG195" s="343">
        <v>0</v>
      </c>
      <c r="AH195" s="343">
        <v>7274</v>
      </c>
      <c r="AI195" s="343">
        <v>629.1</v>
      </c>
    </row>
    <row r="196" spans="25:35">
      <c r="Y196" s="343" t="s">
        <v>140</v>
      </c>
      <c r="Z196" s="343" t="s">
        <v>142</v>
      </c>
      <c r="AA196" s="384">
        <v>46118</v>
      </c>
      <c r="AB196" s="384">
        <v>46124</v>
      </c>
      <c r="AC196" s="343" t="s">
        <v>285</v>
      </c>
      <c r="AD196" s="343">
        <v>2178</v>
      </c>
      <c r="AE196" s="343">
        <v>81196</v>
      </c>
      <c r="AF196" s="343">
        <v>4989</v>
      </c>
      <c r="AG196" s="343">
        <v>0</v>
      </c>
      <c r="AH196" s="343">
        <v>86185</v>
      </c>
      <c r="AI196" s="343">
        <v>7307.64</v>
      </c>
    </row>
    <row r="197" spans="25:35">
      <c r="Y197" s="343" t="s">
        <v>140</v>
      </c>
      <c r="Z197" s="343" t="s">
        <v>142</v>
      </c>
      <c r="AA197" s="384">
        <v>46118</v>
      </c>
      <c r="AB197" s="384">
        <v>46124</v>
      </c>
      <c r="AC197" s="343" t="s">
        <v>283</v>
      </c>
      <c r="AD197" s="343">
        <v>1416</v>
      </c>
      <c r="AE197" s="343">
        <v>11834.01</v>
      </c>
      <c r="AF197" s="343">
        <v>596</v>
      </c>
      <c r="AG197" s="343">
        <v>0</v>
      </c>
      <c r="AH197" s="343">
        <v>12430.01</v>
      </c>
      <c r="AI197" s="343">
        <v>1065.06</v>
      </c>
    </row>
    <row r="198" spans="25:35">
      <c r="Y198" s="343" t="s">
        <v>140</v>
      </c>
      <c r="Z198" s="343" t="s">
        <v>142</v>
      </c>
      <c r="AA198" s="384">
        <v>46118</v>
      </c>
      <c r="AB198" s="384">
        <v>46124</v>
      </c>
      <c r="AC198" s="343" t="s">
        <v>281</v>
      </c>
      <c r="AD198" s="343">
        <v>2952</v>
      </c>
      <c r="AE198" s="343">
        <v>187198</v>
      </c>
      <c r="AF198" s="343">
        <v>4687</v>
      </c>
      <c r="AG198" s="343">
        <v>0</v>
      </c>
      <c r="AH198" s="343">
        <v>191885</v>
      </c>
      <c r="AI198" s="343">
        <v>16847.82</v>
      </c>
    </row>
    <row r="199" spans="25:35">
      <c r="Y199" s="343" t="s">
        <v>140</v>
      </c>
      <c r="Z199" s="343" t="s">
        <v>142</v>
      </c>
      <c r="AA199" s="384">
        <v>46118</v>
      </c>
      <c r="AB199" s="384">
        <v>46124</v>
      </c>
      <c r="AC199" s="343" t="s">
        <v>279</v>
      </c>
      <c r="AD199" s="343">
        <v>176</v>
      </c>
      <c r="AE199" s="343">
        <v>2081</v>
      </c>
      <c r="AF199" s="343">
        <v>24</v>
      </c>
      <c r="AG199" s="343">
        <v>0</v>
      </c>
      <c r="AH199" s="343">
        <v>2105</v>
      </c>
      <c r="AI199" s="343">
        <v>187.29</v>
      </c>
    </row>
    <row r="200" spans="25:35">
      <c r="Y200" s="343" t="s">
        <v>140</v>
      </c>
      <c r="Z200" s="343" t="s">
        <v>142</v>
      </c>
      <c r="AA200" s="384">
        <v>46118</v>
      </c>
      <c r="AB200" s="384">
        <v>46124</v>
      </c>
      <c r="AC200" s="343" t="s">
        <v>277</v>
      </c>
      <c r="AD200" s="343">
        <v>94</v>
      </c>
      <c r="AE200" s="343">
        <v>43034</v>
      </c>
      <c r="AF200" s="343">
        <v>480</v>
      </c>
      <c r="AG200" s="343">
        <v>0</v>
      </c>
      <c r="AH200" s="343">
        <v>43514</v>
      </c>
      <c r="AI200" s="343">
        <v>3873.06</v>
      </c>
    </row>
    <row r="201" spans="25:35">
      <c r="Y201" s="343" t="s">
        <v>140</v>
      </c>
      <c r="Z201" s="343" t="s">
        <v>142</v>
      </c>
      <c r="AA201" s="384">
        <v>46118</v>
      </c>
      <c r="AB201" s="384">
        <v>46124</v>
      </c>
      <c r="AC201" s="343" t="s">
        <v>293</v>
      </c>
      <c r="AD201" s="343">
        <v>2</v>
      </c>
      <c r="AE201" s="343">
        <v>0</v>
      </c>
      <c r="AF201" s="343">
        <v>160</v>
      </c>
      <c r="AG201" s="343">
        <v>0</v>
      </c>
      <c r="AH201" s="343">
        <v>160</v>
      </c>
      <c r="AI201" s="343">
        <v>0</v>
      </c>
    </row>
    <row r="202" spans="25:35">
      <c r="Y202" s="343" t="s">
        <v>140</v>
      </c>
      <c r="Z202" s="343" t="s">
        <v>142</v>
      </c>
      <c r="AA202" s="384">
        <v>46118</v>
      </c>
      <c r="AB202" s="384">
        <v>46124</v>
      </c>
      <c r="AC202" s="343" t="s">
        <v>287</v>
      </c>
      <c r="AD202" s="343">
        <v>497</v>
      </c>
      <c r="AE202" s="343">
        <v>8271</v>
      </c>
      <c r="AF202" s="343">
        <v>96</v>
      </c>
      <c r="AG202" s="343">
        <v>0</v>
      </c>
      <c r="AH202" s="343">
        <v>8367</v>
      </c>
      <c r="AI202" s="343">
        <v>744.39</v>
      </c>
    </row>
    <row r="203" spans="25:35">
      <c r="Y203" s="343" t="s">
        <v>140</v>
      </c>
      <c r="Z203" s="343" t="s">
        <v>143</v>
      </c>
      <c r="AA203" s="384">
        <v>46125</v>
      </c>
      <c r="AB203" s="384">
        <v>46131</v>
      </c>
      <c r="AC203" s="343" t="s">
        <v>285</v>
      </c>
      <c r="AD203" s="343">
        <v>2767</v>
      </c>
      <c r="AE203" s="343">
        <v>110884</v>
      </c>
      <c r="AF203" s="343">
        <v>6029</v>
      </c>
      <c r="AG203" s="343">
        <v>0</v>
      </c>
      <c r="AH203" s="343">
        <v>116913</v>
      </c>
      <c r="AI203" s="343">
        <v>9979.56</v>
      </c>
    </row>
    <row r="204" spans="25:35">
      <c r="Y204" s="343" t="s">
        <v>140</v>
      </c>
      <c r="Z204" s="343" t="s">
        <v>143</v>
      </c>
      <c r="AA204" s="384">
        <v>46125</v>
      </c>
      <c r="AB204" s="384">
        <v>46131</v>
      </c>
      <c r="AC204" s="343" t="s">
        <v>283</v>
      </c>
      <c r="AD204" s="343">
        <v>1528</v>
      </c>
      <c r="AE204" s="343">
        <v>14252.5</v>
      </c>
      <c r="AF204" s="343">
        <v>576</v>
      </c>
      <c r="AG204" s="343">
        <v>0</v>
      </c>
      <c r="AH204" s="343">
        <v>14828.5</v>
      </c>
      <c r="AI204" s="343">
        <v>1282.75</v>
      </c>
    </row>
    <row r="205" spans="25:35">
      <c r="Y205" s="343" t="s">
        <v>140</v>
      </c>
      <c r="Z205" s="343" t="s">
        <v>143</v>
      </c>
      <c r="AA205" s="384">
        <v>46125</v>
      </c>
      <c r="AB205" s="384">
        <v>46131</v>
      </c>
      <c r="AC205" s="343" t="s">
        <v>281</v>
      </c>
      <c r="AD205" s="343">
        <v>3070</v>
      </c>
      <c r="AE205" s="343">
        <v>189680</v>
      </c>
      <c r="AF205" s="343">
        <v>4169</v>
      </c>
      <c r="AG205" s="343">
        <v>0</v>
      </c>
      <c r="AH205" s="343">
        <v>193849</v>
      </c>
      <c r="AI205" s="343">
        <v>17071.2</v>
      </c>
    </row>
    <row r="206" spans="25:35">
      <c r="Y206" s="343" t="s">
        <v>140</v>
      </c>
      <c r="Z206" s="343" t="s">
        <v>143</v>
      </c>
      <c r="AA206" s="384">
        <v>46125</v>
      </c>
      <c r="AB206" s="384">
        <v>46131</v>
      </c>
      <c r="AC206" s="343" t="s">
        <v>279</v>
      </c>
      <c r="AD206" s="343">
        <v>178</v>
      </c>
      <c r="AE206" s="343">
        <v>2052</v>
      </c>
      <c r="AF206" s="343">
        <v>72</v>
      </c>
      <c r="AG206" s="343">
        <v>0</v>
      </c>
      <c r="AH206" s="343">
        <v>2124</v>
      </c>
      <c r="AI206" s="343">
        <v>184.68</v>
      </c>
    </row>
    <row r="207" spans="25:35">
      <c r="Y207" s="343" t="s">
        <v>140</v>
      </c>
      <c r="Z207" s="343" t="s">
        <v>143</v>
      </c>
      <c r="AA207" s="384">
        <v>46125</v>
      </c>
      <c r="AB207" s="384">
        <v>46131</v>
      </c>
      <c r="AC207" s="343" t="s">
        <v>277</v>
      </c>
      <c r="AD207" s="343">
        <v>72</v>
      </c>
      <c r="AE207" s="343">
        <v>41842</v>
      </c>
      <c r="AF207" s="343">
        <v>119</v>
      </c>
      <c r="AG207" s="343">
        <v>0</v>
      </c>
      <c r="AH207" s="343">
        <v>41961</v>
      </c>
      <c r="AI207" s="343">
        <v>3765.78</v>
      </c>
    </row>
    <row r="208" spans="25:35">
      <c r="Y208" s="343" t="s">
        <v>140</v>
      </c>
      <c r="Z208" s="343" t="s">
        <v>143</v>
      </c>
      <c r="AA208" s="384">
        <v>46125</v>
      </c>
      <c r="AB208" s="384">
        <v>46131</v>
      </c>
      <c r="AC208" s="343" t="s">
        <v>293</v>
      </c>
      <c r="AD208" s="343">
        <v>123</v>
      </c>
      <c r="AE208" s="343">
        <v>0</v>
      </c>
      <c r="AF208" s="343">
        <v>80</v>
      </c>
      <c r="AG208" s="343">
        <v>0</v>
      </c>
      <c r="AH208" s="343">
        <v>80</v>
      </c>
      <c r="AI208" s="343">
        <v>0</v>
      </c>
    </row>
    <row r="209" spans="25:35">
      <c r="Y209" s="343" t="s">
        <v>140</v>
      </c>
      <c r="Z209" s="343" t="s">
        <v>143</v>
      </c>
      <c r="AA209" s="384">
        <v>46125</v>
      </c>
      <c r="AB209" s="384">
        <v>46131</v>
      </c>
      <c r="AC209" s="343" t="s">
        <v>287</v>
      </c>
      <c r="AD209" s="343">
        <v>524</v>
      </c>
      <c r="AE209" s="343">
        <v>9004</v>
      </c>
      <c r="AF209" s="343">
        <v>131</v>
      </c>
      <c r="AG209" s="343">
        <v>0</v>
      </c>
      <c r="AH209" s="343">
        <v>9135</v>
      </c>
      <c r="AI209" s="343">
        <v>810.36</v>
      </c>
    </row>
    <row r="210" spans="25:35">
      <c r="Y210" s="343" t="s">
        <v>140</v>
      </c>
      <c r="Z210" s="343" t="s">
        <v>144</v>
      </c>
      <c r="AA210" s="384">
        <v>46132</v>
      </c>
      <c r="AB210" s="384">
        <v>46138</v>
      </c>
      <c r="AC210" s="343" t="s">
        <v>285</v>
      </c>
      <c r="AD210" s="343">
        <v>2739</v>
      </c>
      <c r="AE210" s="343">
        <v>98508</v>
      </c>
      <c r="AF210" s="343">
        <v>6369</v>
      </c>
      <c r="AG210" s="343">
        <v>0</v>
      </c>
      <c r="AH210" s="343">
        <v>104877</v>
      </c>
      <c r="AI210" s="343">
        <v>8865.7199999999993</v>
      </c>
    </row>
    <row r="211" spans="25:35">
      <c r="Y211" s="343" t="s">
        <v>140</v>
      </c>
      <c r="Z211" s="343" t="s">
        <v>144</v>
      </c>
      <c r="AA211" s="384">
        <v>46132</v>
      </c>
      <c r="AB211" s="384">
        <v>46138</v>
      </c>
      <c r="AC211" s="343" t="s">
        <v>283</v>
      </c>
      <c r="AD211" s="343">
        <v>1408</v>
      </c>
      <c r="AE211" s="343">
        <v>12152</v>
      </c>
      <c r="AF211" s="343">
        <v>752</v>
      </c>
      <c r="AG211" s="343">
        <v>0</v>
      </c>
      <c r="AH211" s="343">
        <v>12904</v>
      </c>
      <c r="AI211" s="343">
        <v>1093.68</v>
      </c>
    </row>
    <row r="212" spans="25:35">
      <c r="Y212" s="343" t="s">
        <v>140</v>
      </c>
      <c r="Z212" s="343" t="s">
        <v>144</v>
      </c>
      <c r="AA212" s="384">
        <v>46132</v>
      </c>
      <c r="AB212" s="384">
        <v>46138</v>
      </c>
      <c r="AC212" s="343" t="s">
        <v>281</v>
      </c>
      <c r="AD212" s="343">
        <v>2522</v>
      </c>
      <c r="AE212" s="343">
        <v>157858</v>
      </c>
      <c r="AF212" s="343">
        <v>9272</v>
      </c>
      <c r="AG212" s="343">
        <v>0</v>
      </c>
      <c r="AH212" s="343">
        <v>167130</v>
      </c>
      <c r="AI212" s="343">
        <v>14207.22</v>
      </c>
    </row>
    <row r="213" spans="25:35">
      <c r="Y213" s="343" t="s">
        <v>140</v>
      </c>
      <c r="Z213" s="343" t="s">
        <v>144</v>
      </c>
      <c r="AA213" s="384">
        <v>46132</v>
      </c>
      <c r="AB213" s="384">
        <v>46138</v>
      </c>
      <c r="AC213" s="343" t="s">
        <v>279</v>
      </c>
      <c r="AD213" s="343">
        <v>123</v>
      </c>
      <c r="AE213" s="343">
        <v>1453</v>
      </c>
      <c r="AF213" s="343">
        <v>39</v>
      </c>
      <c r="AG213" s="343">
        <v>0</v>
      </c>
      <c r="AH213" s="343">
        <v>1492</v>
      </c>
      <c r="AI213" s="343">
        <v>130.77000000000001</v>
      </c>
    </row>
    <row r="214" spans="25:35">
      <c r="Y214" s="343" t="s">
        <v>140</v>
      </c>
      <c r="Z214" s="343" t="s">
        <v>144</v>
      </c>
      <c r="AA214" s="384">
        <v>46132</v>
      </c>
      <c r="AB214" s="384">
        <v>46138</v>
      </c>
      <c r="AC214" s="343" t="s">
        <v>277</v>
      </c>
      <c r="AD214" s="343">
        <v>103</v>
      </c>
      <c r="AE214" s="343">
        <v>43133</v>
      </c>
      <c r="AF214" s="343">
        <v>325</v>
      </c>
      <c r="AG214" s="343">
        <v>0</v>
      </c>
      <c r="AH214" s="343">
        <v>43458</v>
      </c>
      <c r="AI214" s="343">
        <v>3881.97</v>
      </c>
    </row>
    <row r="215" spans="25:35">
      <c r="Y215" s="343" t="s">
        <v>140</v>
      </c>
      <c r="Z215" s="343" t="s">
        <v>144</v>
      </c>
      <c r="AA215" s="384">
        <v>46132</v>
      </c>
      <c r="AB215" s="384">
        <v>46138</v>
      </c>
      <c r="AC215" s="343" t="s">
        <v>287</v>
      </c>
      <c r="AD215" s="343">
        <v>585</v>
      </c>
      <c r="AE215" s="343">
        <v>9622</v>
      </c>
      <c r="AF215" s="343">
        <v>158</v>
      </c>
      <c r="AG215" s="343">
        <v>0</v>
      </c>
      <c r="AH215" s="343">
        <v>9780</v>
      </c>
      <c r="AI215" s="343">
        <v>865.98</v>
      </c>
    </row>
    <row r="216" spans="25:35">
      <c r="Y216" s="343" t="s">
        <v>146</v>
      </c>
      <c r="Z216" s="343" t="s">
        <v>147</v>
      </c>
      <c r="AA216" s="384">
        <v>46139</v>
      </c>
      <c r="AB216" s="384">
        <v>46145</v>
      </c>
      <c r="AC216" s="343" t="s">
        <v>285</v>
      </c>
      <c r="AD216" s="343">
        <v>3621</v>
      </c>
      <c r="AE216" s="343">
        <v>202959.98</v>
      </c>
      <c r="AF216" s="343">
        <v>8725.2199999999993</v>
      </c>
      <c r="AG216" s="343">
        <v>0</v>
      </c>
      <c r="AH216" s="343">
        <v>211685.2</v>
      </c>
      <c r="AI216" s="343">
        <v>18266.43</v>
      </c>
    </row>
    <row r="217" spans="25:35">
      <c r="Y217" s="343" t="s">
        <v>146</v>
      </c>
      <c r="Z217" s="343" t="s">
        <v>147</v>
      </c>
      <c r="AA217" s="384">
        <v>46139</v>
      </c>
      <c r="AB217" s="384">
        <v>46145</v>
      </c>
      <c r="AC217" s="343" t="s">
        <v>283</v>
      </c>
      <c r="AD217" s="343">
        <v>2304</v>
      </c>
      <c r="AE217" s="343">
        <v>22214.93</v>
      </c>
      <c r="AF217" s="343">
        <v>1174.07</v>
      </c>
      <c r="AG217" s="343">
        <v>0</v>
      </c>
      <c r="AH217" s="343">
        <v>23389</v>
      </c>
      <c r="AI217" s="343">
        <v>1999.33</v>
      </c>
    </row>
    <row r="218" spans="25:35">
      <c r="Y218" s="343" t="s">
        <v>146</v>
      </c>
      <c r="Z218" s="343" t="s">
        <v>147</v>
      </c>
      <c r="AA218" s="384">
        <v>46139</v>
      </c>
      <c r="AB218" s="384">
        <v>46145</v>
      </c>
      <c r="AC218" s="343" t="s">
        <v>281</v>
      </c>
      <c r="AD218" s="343">
        <v>4284</v>
      </c>
      <c r="AE218" s="343">
        <v>370536.99</v>
      </c>
      <c r="AF218" s="343">
        <v>6763.71</v>
      </c>
      <c r="AG218" s="343">
        <v>0</v>
      </c>
      <c r="AH218" s="343">
        <v>377300.7</v>
      </c>
      <c r="AI218" s="343">
        <v>33348.379999999997</v>
      </c>
    </row>
    <row r="219" spans="25:35">
      <c r="Y219" s="343" t="s">
        <v>146</v>
      </c>
      <c r="Z219" s="343" t="s">
        <v>147</v>
      </c>
      <c r="AA219" s="384">
        <v>46139</v>
      </c>
      <c r="AB219" s="384">
        <v>46145</v>
      </c>
      <c r="AC219" s="343" t="s">
        <v>279</v>
      </c>
      <c r="AD219" s="343">
        <v>203</v>
      </c>
      <c r="AE219" s="343">
        <v>2514</v>
      </c>
      <c r="AF219" s="343">
        <v>194</v>
      </c>
      <c r="AG219" s="343">
        <v>0</v>
      </c>
      <c r="AH219" s="343">
        <v>2708</v>
      </c>
      <c r="AI219" s="343">
        <v>226.26</v>
      </c>
    </row>
    <row r="220" spans="25:35">
      <c r="Y220" s="343" t="s">
        <v>146</v>
      </c>
      <c r="Z220" s="343" t="s">
        <v>147</v>
      </c>
      <c r="AA220" s="384">
        <v>46139</v>
      </c>
      <c r="AB220" s="384">
        <v>46145</v>
      </c>
      <c r="AC220" s="343" t="s">
        <v>277</v>
      </c>
      <c r="AD220" s="343">
        <v>146</v>
      </c>
      <c r="AE220" s="343">
        <v>128685</v>
      </c>
      <c r="AF220" s="343">
        <v>1355</v>
      </c>
      <c r="AG220" s="343">
        <v>0</v>
      </c>
      <c r="AH220" s="343">
        <v>130040</v>
      </c>
      <c r="AI220" s="343">
        <v>11581.65</v>
      </c>
    </row>
    <row r="221" spans="25:35">
      <c r="Y221" s="343" t="s">
        <v>146</v>
      </c>
      <c r="Z221" s="343" t="s">
        <v>147</v>
      </c>
      <c r="AA221" s="384">
        <v>46139</v>
      </c>
      <c r="AB221" s="384">
        <v>46145</v>
      </c>
      <c r="AC221" s="343" t="s">
        <v>293</v>
      </c>
      <c r="AD221" s="343">
        <v>68</v>
      </c>
      <c r="AE221" s="343">
        <v>27190</v>
      </c>
      <c r="AF221" s="343">
        <v>655</v>
      </c>
      <c r="AG221" s="343">
        <v>0</v>
      </c>
      <c r="AH221" s="343">
        <v>27845</v>
      </c>
      <c r="AI221" s="343">
        <v>2447.1</v>
      </c>
    </row>
    <row r="222" spans="25:35">
      <c r="Y222" s="343" t="s">
        <v>146</v>
      </c>
      <c r="Z222" s="343" t="s">
        <v>147</v>
      </c>
      <c r="AA222" s="384">
        <v>46139</v>
      </c>
      <c r="AB222" s="384">
        <v>46145</v>
      </c>
      <c r="AC222" s="343" t="s">
        <v>287</v>
      </c>
      <c r="AD222" s="343">
        <v>589</v>
      </c>
      <c r="AE222" s="343">
        <v>11514</v>
      </c>
      <c r="AF222" s="343">
        <v>1230</v>
      </c>
      <c r="AG222" s="343">
        <v>0</v>
      </c>
      <c r="AH222" s="343">
        <v>12744</v>
      </c>
      <c r="AI222" s="343">
        <v>1036.26</v>
      </c>
    </row>
    <row r="223" spans="25:35">
      <c r="Y223" s="343" t="s">
        <v>146</v>
      </c>
      <c r="Z223" s="343" t="s">
        <v>148</v>
      </c>
      <c r="AA223" s="384">
        <v>46146</v>
      </c>
      <c r="AB223" s="384">
        <v>46152</v>
      </c>
      <c r="AC223" s="343" t="s">
        <v>285</v>
      </c>
      <c r="AD223" s="343">
        <v>4473</v>
      </c>
      <c r="AE223" s="343">
        <v>186564.01</v>
      </c>
      <c r="AF223" s="343">
        <v>3062</v>
      </c>
      <c r="AG223" s="343">
        <v>0</v>
      </c>
      <c r="AH223" s="343">
        <v>189626.01</v>
      </c>
      <c r="AI223" s="343">
        <v>16790.759999999998</v>
      </c>
    </row>
    <row r="224" spans="25:35">
      <c r="Y224" s="343" t="s">
        <v>146</v>
      </c>
      <c r="Z224" s="343" t="s">
        <v>148</v>
      </c>
      <c r="AA224" s="384">
        <v>46146</v>
      </c>
      <c r="AB224" s="384">
        <v>46152</v>
      </c>
      <c r="AC224" s="343" t="s">
        <v>283</v>
      </c>
      <c r="AD224" s="343">
        <v>1709</v>
      </c>
      <c r="AE224" s="343">
        <v>16130</v>
      </c>
      <c r="AF224" s="343">
        <v>398</v>
      </c>
      <c r="AG224" s="343">
        <v>0</v>
      </c>
      <c r="AH224" s="343">
        <v>16528</v>
      </c>
      <c r="AI224" s="343">
        <v>1451.7</v>
      </c>
    </row>
    <row r="225" spans="25:35">
      <c r="Y225" s="343" t="s">
        <v>146</v>
      </c>
      <c r="Z225" s="343" t="s">
        <v>148</v>
      </c>
      <c r="AA225" s="384">
        <v>46146</v>
      </c>
      <c r="AB225" s="384">
        <v>46152</v>
      </c>
      <c r="AC225" s="343" t="s">
        <v>281</v>
      </c>
      <c r="AD225" s="343">
        <v>3859</v>
      </c>
      <c r="AE225" s="343">
        <v>193520</v>
      </c>
      <c r="AF225" s="343">
        <v>3228</v>
      </c>
      <c r="AG225" s="343">
        <v>0</v>
      </c>
      <c r="AH225" s="343">
        <v>196748</v>
      </c>
      <c r="AI225" s="343">
        <v>17416.810000000001</v>
      </c>
    </row>
    <row r="226" spans="25:35">
      <c r="Y226" s="343" t="s">
        <v>146</v>
      </c>
      <c r="Z226" s="343" t="s">
        <v>148</v>
      </c>
      <c r="AA226" s="384">
        <v>46146</v>
      </c>
      <c r="AB226" s="384">
        <v>46152</v>
      </c>
      <c r="AC226" s="343" t="s">
        <v>279</v>
      </c>
      <c r="AD226" s="343">
        <v>264</v>
      </c>
      <c r="AE226" s="343">
        <v>3010</v>
      </c>
      <c r="AF226" s="343">
        <v>75</v>
      </c>
      <c r="AG226" s="343">
        <v>0</v>
      </c>
      <c r="AH226" s="343">
        <v>3085</v>
      </c>
      <c r="AI226" s="343">
        <v>270.89999999999998</v>
      </c>
    </row>
    <row r="227" spans="25:35">
      <c r="Y227" s="343" t="s">
        <v>146</v>
      </c>
      <c r="Z227" s="343" t="s">
        <v>148</v>
      </c>
      <c r="AA227" s="384">
        <v>46146</v>
      </c>
      <c r="AB227" s="384">
        <v>46152</v>
      </c>
      <c r="AC227" s="343" t="s">
        <v>277</v>
      </c>
      <c r="AD227" s="343">
        <v>73</v>
      </c>
      <c r="AE227" s="343">
        <v>35130</v>
      </c>
      <c r="AF227" s="343">
        <v>150</v>
      </c>
      <c r="AG227" s="343">
        <v>0</v>
      </c>
      <c r="AH227" s="343">
        <v>35280</v>
      </c>
      <c r="AI227" s="343">
        <v>3161.7</v>
      </c>
    </row>
    <row r="228" spans="25:35">
      <c r="Y228" s="343" t="s">
        <v>146</v>
      </c>
      <c r="Z228" s="343" t="s">
        <v>148</v>
      </c>
      <c r="AA228" s="384">
        <v>46146</v>
      </c>
      <c r="AB228" s="384">
        <v>46152</v>
      </c>
      <c r="AC228" s="343" t="s">
        <v>287</v>
      </c>
      <c r="AD228" s="343">
        <v>553</v>
      </c>
      <c r="AE228" s="343">
        <v>11476</v>
      </c>
      <c r="AF228" s="343">
        <v>256</v>
      </c>
      <c r="AG228" s="343">
        <v>0</v>
      </c>
      <c r="AH228" s="343">
        <v>11732</v>
      </c>
      <c r="AI228" s="343">
        <v>1032.8399999999999</v>
      </c>
    </row>
    <row r="229" spans="25:35">
      <c r="Y229" s="343" t="s">
        <v>146</v>
      </c>
      <c r="Z229" s="343" t="s">
        <v>149</v>
      </c>
      <c r="AA229" s="384">
        <v>46153</v>
      </c>
      <c r="AB229" s="384">
        <v>46159</v>
      </c>
      <c r="AC229" s="343" t="s">
        <v>285</v>
      </c>
      <c r="AD229" s="343">
        <v>2515</v>
      </c>
      <c r="AE229" s="343">
        <v>84475</v>
      </c>
      <c r="AF229" s="343">
        <v>4685</v>
      </c>
      <c r="AG229" s="343">
        <v>0</v>
      </c>
      <c r="AH229" s="343">
        <v>89160</v>
      </c>
      <c r="AI229" s="343">
        <v>7602.75</v>
      </c>
    </row>
    <row r="230" spans="25:35">
      <c r="Y230" s="343" t="s">
        <v>146</v>
      </c>
      <c r="Z230" s="343" t="s">
        <v>149</v>
      </c>
      <c r="AA230" s="384">
        <v>46153</v>
      </c>
      <c r="AB230" s="384">
        <v>46159</v>
      </c>
      <c r="AC230" s="343" t="s">
        <v>283</v>
      </c>
      <c r="AD230" s="343">
        <v>1284</v>
      </c>
      <c r="AE230" s="343">
        <v>11493</v>
      </c>
      <c r="AF230" s="343">
        <v>448</v>
      </c>
      <c r="AG230" s="343">
        <v>0</v>
      </c>
      <c r="AH230" s="343">
        <v>11941</v>
      </c>
      <c r="AI230" s="343">
        <v>1034.3699999999999</v>
      </c>
    </row>
    <row r="231" spans="25:35">
      <c r="Y231" s="343" t="s">
        <v>146</v>
      </c>
      <c r="Z231" s="343" t="s">
        <v>149</v>
      </c>
      <c r="AA231" s="384">
        <v>46153</v>
      </c>
      <c r="AB231" s="384">
        <v>46159</v>
      </c>
      <c r="AC231" s="343" t="s">
        <v>281</v>
      </c>
      <c r="AD231" s="343">
        <v>2406</v>
      </c>
      <c r="AE231" s="343">
        <v>166715</v>
      </c>
      <c r="AF231" s="343">
        <v>7404</v>
      </c>
      <c r="AG231" s="343">
        <v>0</v>
      </c>
      <c r="AH231" s="343">
        <v>174119</v>
      </c>
      <c r="AI231" s="343">
        <v>15004.35</v>
      </c>
    </row>
    <row r="232" spans="25:35">
      <c r="Y232" s="343" t="s">
        <v>146</v>
      </c>
      <c r="Z232" s="343" t="s">
        <v>149</v>
      </c>
      <c r="AA232" s="384">
        <v>46153</v>
      </c>
      <c r="AB232" s="384">
        <v>46159</v>
      </c>
      <c r="AC232" s="343" t="s">
        <v>279</v>
      </c>
      <c r="AD232" s="343">
        <v>135</v>
      </c>
      <c r="AE232" s="343">
        <v>1504</v>
      </c>
      <c r="AF232" s="343">
        <v>40</v>
      </c>
      <c r="AG232" s="343">
        <v>0</v>
      </c>
      <c r="AH232" s="343">
        <v>1544</v>
      </c>
      <c r="AI232" s="343">
        <v>135.36000000000001</v>
      </c>
    </row>
    <row r="233" spans="25:35">
      <c r="Y233" s="343" t="s">
        <v>146</v>
      </c>
      <c r="Z233" s="343" t="s">
        <v>149</v>
      </c>
      <c r="AA233" s="384">
        <v>46153</v>
      </c>
      <c r="AB233" s="384">
        <v>46159</v>
      </c>
      <c r="AC233" s="343" t="s">
        <v>277</v>
      </c>
      <c r="AD233" s="343">
        <v>73</v>
      </c>
      <c r="AE233" s="343">
        <v>40402</v>
      </c>
      <c r="AF233" s="343">
        <v>225</v>
      </c>
      <c r="AG233" s="343">
        <v>0</v>
      </c>
      <c r="AH233" s="343">
        <v>40627</v>
      </c>
      <c r="AI233" s="343">
        <v>3636.18</v>
      </c>
    </row>
    <row r="234" spans="25:35">
      <c r="Y234" s="343" t="s">
        <v>146</v>
      </c>
      <c r="Z234" s="343" t="s">
        <v>149</v>
      </c>
      <c r="AA234" s="384">
        <v>46153</v>
      </c>
      <c r="AB234" s="384">
        <v>46159</v>
      </c>
      <c r="AC234" s="343" t="s">
        <v>337</v>
      </c>
      <c r="AD234" s="343">
        <v>10</v>
      </c>
      <c r="AE234" s="343">
        <v>7184.59</v>
      </c>
      <c r="AF234" s="343">
        <v>500</v>
      </c>
      <c r="AG234" s="343">
        <v>0</v>
      </c>
      <c r="AH234" s="343">
        <v>7684.59</v>
      </c>
      <c r="AI234" s="343">
        <v>646.01</v>
      </c>
    </row>
    <row r="235" spans="25:35">
      <c r="Y235" s="343" t="s">
        <v>146</v>
      </c>
      <c r="Z235" s="343" t="s">
        <v>149</v>
      </c>
      <c r="AA235" s="384">
        <v>46153</v>
      </c>
      <c r="AB235" s="384">
        <v>46159</v>
      </c>
      <c r="AC235" s="343" t="s">
        <v>293</v>
      </c>
      <c r="AD235" s="343">
        <v>32</v>
      </c>
      <c r="AE235" s="343">
        <v>5950</v>
      </c>
      <c r="AF235" s="343">
        <v>80</v>
      </c>
      <c r="AG235" s="343">
        <v>0</v>
      </c>
      <c r="AH235" s="343">
        <v>6030</v>
      </c>
      <c r="AI235" s="343">
        <v>535.5</v>
      </c>
    </row>
    <row r="236" spans="25:35">
      <c r="Y236" s="343" t="s">
        <v>146</v>
      </c>
      <c r="Z236" s="343" t="s">
        <v>149</v>
      </c>
      <c r="AA236" s="384">
        <v>46153</v>
      </c>
      <c r="AB236" s="384">
        <v>46159</v>
      </c>
      <c r="AC236" s="343" t="s">
        <v>287</v>
      </c>
      <c r="AD236" s="343">
        <v>419</v>
      </c>
      <c r="AE236" s="343">
        <v>7224</v>
      </c>
      <c r="AF236" s="343">
        <v>144</v>
      </c>
      <c r="AG236" s="343">
        <v>0</v>
      </c>
      <c r="AH236" s="343">
        <v>7368</v>
      </c>
      <c r="AI236" s="343">
        <v>650.16</v>
      </c>
    </row>
    <row r="237" spans="25:35">
      <c r="Y237" s="343" t="s">
        <v>146</v>
      </c>
      <c r="Z237" s="343" t="s">
        <v>150</v>
      </c>
      <c r="AA237" s="384">
        <v>46160</v>
      </c>
      <c r="AB237" s="384">
        <v>46166</v>
      </c>
      <c r="AC237" s="343" t="s">
        <v>285</v>
      </c>
      <c r="AD237" s="343">
        <v>3031</v>
      </c>
      <c r="AE237" s="343">
        <v>97653</v>
      </c>
      <c r="AF237" s="343">
        <v>7243</v>
      </c>
      <c r="AG237" s="343">
        <v>0</v>
      </c>
      <c r="AH237" s="343">
        <v>104896</v>
      </c>
      <c r="AI237" s="343">
        <v>8788.77</v>
      </c>
    </row>
    <row r="238" spans="25:35">
      <c r="Y238" s="343" t="s">
        <v>146</v>
      </c>
      <c r="Z238" s="343" t="s">
        <v>150</v>
      </c>
      <c r="AA238" s="384">
        <v>46160</v>
      </c>
      <c r="AB238" s="384">
        <v>46166</v>
      </c>
      <c r="AC238" s="343" t="s">
        <v>283</v>
      </c>
      <c r="AD238" s="343">
        <v>1424</v>
      </c>
      <c r="AE238" s="343">
        <v>12560</v>
      </c>
      <c r="AF238" s="343">
        <v>820</v>
      </c>
      <c r="AG238" s="343">
        <v>0</v>
      </c>
      <c r="AH238" s="343">
        <v>13380</v>
      </c>
      <c r="AI238" s="343">
        <v>1130.4000000000001</v>
      </c>
    </row>
    <row r="239" spans="25:35">
      <c r="Y239" s="343" t="s">
        <v>146</v>
      </c>
      <c r="Z239" s="343" t="s">
        <v>150</v>
      </c>
      <c r="AA239" s="384">
        <v>46160</v>
      </c>
      <c r="AB239" s="384">
        <v>46166</v>
      </c>
      <c r="AC239" s="343" t="s">
        <v>281</v>
      </c>
      <c r="AD239" s="343">
        <v>2780</v>
      </c>
      <c r="AE239" s="343">
        <v>163417.01</v>
      </c>
      <c r="AF239" s="343">
        <v>7580</v>
      </c>
      <c r="AG239" s="343">
        <v>0</v>
      </c>
      <c r="AH239" s="343">
        <v>170997.01</v>
      </c>
      <c r="AI239" s="343">
        <v>14707.53</v>
      </c>
    </row>
    <row r="240" spans="25:35">
      <c r="Y240" s="343" t="s">
        <v>146</v>
      </c>
      <c r="Z240" s="343" t="s">
        <v>150</v>
      </c>
      <c r="AA240" s="384">
        <v>46160</v>
      </c>
      <c r="AB240" s="384">
        <v>46166</v>
      </c>
      <c r="AC240" s="343" t="s">
        <v>279</v>
      </c>
      <c r="AD240" s="343">
        <v>142</v>
      </c>
      <c r="AE240" s="343">
        <v>1548</v>
      </c>
      <c r="AF240" s="343">
        <v>84</v>
      </c>
      <c r="AG240" s="343">
        <v>0</v>
      </c>
      <c r="AH240" s="343">
        <v>1632</v>
      </c>
      <c r="AI240" s="343">
        <v>139.32</v>
      </c>
    </row>
    <row r="241" spans="25:35">
      <c r="Y241" s="343" t="s">
        <v>146</v>
      </c>
      <c r="Z241" s="343" t="s">
        <v>150</v>
      </c>
      <c r="AA241" s="384">
        <v>46160</v>
      </c>
      <c r="AB241" s="384">
        <v>46166</v>
      </c>
      <c r="AC241" s="343" t="s">
        <v>277</v>
      </c>
      <c r="AD241" s="343">
        <v>57</v>
      </c>
      <c r="AE241" s="343">
        <v>52450</v>
      </c>
      <c r="AF241" s="343">
        <v>930</v>
      </c>
      <c r="AG241" s="343">
        <v>0</v>
      </c>
      <c r="AH241" s="343">
        <v>53380</v>
      </c>
      <c r="AI241" s="343">
        <v>4720.5</v>
      </c>
    </row>
    <row r="242" spans="25:35">
      <c r="Y242" s="343" t="s">
        <v>146</v>
      </c>
      <c r="Z242" s="343" t="s">
        <v>150</v>
      </c>
      <c r="AA242" s="384">
        <v>46160</v>
      </c>
      <c r="AB242" s="384">
        <v>46166</v>
      </c>
      <c r="AC242" s="343" t="s">
        <v>293</v>
      </c>
      <c r="AD242" s="343">
        <v>54</v>
      </c>
      <c r="AE242" s="343">
        <v>13940</v>
      </c>
      <c r="AF242" s="343">
        <v>320</v>
      </c>
      <c r="AG242" s="343">
        <v>0</v>
      </c>
      <c r="AH242" s="343">
        <v>14260</v>
      </c>
      <c r="AI242" s="343">
        <v>1254.5999999999999</v>
      </c>
    </row>
    <row r="243" spans="25:35">
      <c r="Y243" s="343" t="s">
        <v>146</v>
      </c>
      <c r="Z243" s="343" t="s">
        <v>150</v>
      </c>
      <c r="AA243" s="384">
        <v>46160</v>
      </c>
      <c r="AB243" s="384">
        <v>46166</v>
      </c>
      <c r="AC243" s="343" t="s">
        <v>287</v>
      </c>
      <c r="AD243" s="343">
        <v>537</v>
      </c>
      <c r="AE243" s="343">
        <v>9046</v>
      </c>
      <c r="AF243" s="343">
        <v>261</v>
      </c>
      <c r="AG243" s="343">
        <v>0</v>
      </c>
      <c r="AH243" s="343">
        <v>9307</v>
      </c>
      <c r="AI243" s="343">
        <v>814.14</v>
      </c>
    </row>
    <row r="244" spans="25:35">
      <c r="Y244" s="343" t="s">
        <v>152</v>
      </c>
      <c r="Z244" s="343" t="s">
        <v>153</v>
      </c>
      <c r="AA244" s="384">
        <v>46167</v>
      </c>
      <c r="AB244" s="384">
        <v>46173</v>
      </c>
      <c r="AC244" s="343" t="s">
        <v>285</v>
      </c>
      <c r="AD244" s="343">
        <v>5506</v>
      </c>
      <c r="AE244" s="343">
        <v>102576</v>
      </c>
      <c r="AF244" s="343">
        <v>7026</v>
      </c>
      <c r="AG244" s="343">
        <v>0</v>
      </c>
      <c r="AH244" s="343">
        <v>109602</v>
      </c>
      <c r="AI244" s="343">
        <v>9231.84</v>
      </c>
    </row>
    <row r="245" spans="25:35">
      <c r="Y245" s="343" t="s">
        <v>152</v>
      </c>
      <c r="Z245" s="343" t="s">
        <v>153</v>
      </c>
      <c r="AA245" s="384">
        <v>46167</v>
      </c>
      <c r="AB245" s="384">
        <v>46173</v>
      </c>
      <c r="AC245" s="343" t="s">
        <v>283</v>
      </c>
      <c r="AD245" s="343">
        <v>1311</v>
      </c>
      <c r="AE245" s="343">
        <v>12647</v>
      </c>
      <c r="AF245" s="343">
        <v>572</v>
      </c>
      <c r="AG245" s="343">
        <v>0</v>
      </c>
      <c r="AH245" s="343">
        <v>13219</v>
      </c>
      <c r="AI245" s="343">
        <v>1138.23</v>
      </c>
    </row>
    <row r="246" spans="25:35">
      <c r="Y246" s="343" t="s">
        <v>152</v>
      </c>
      <c r="Z246" s="343" t="s">
        <v>153</v>
      </c>
      <c r="AA246" s="384">
        <v>46167</v>
      </c>
      <c r="AB246" s="384">
        <v>46173</v>
      </c>
      <c r="AC246" s="343" t="s">
        <v>281</v>
      </c>
      <c r="AD246" s="343">
        <v>2865</v>
      </c>
      <c r="AE246" s="343">
        <v>179208</v>
      </c>
      <c r="AF246" s="343">
        <v>7595</v>
      </c>
      <c r="AG246" s="343">
        <v>0</v>
      </c>
      <c r="AH246" s="343">
        <v>186803</v>
      </c>
      <c r="AI246" s="343">
        <v>16128.73</v>
      </c>
    </row>
    <row r="247" spans="25:35">
      <c r="Y247" s="343" t="s">
        <v>152</v>
      </c>
      <c r="Z247" s="343" t="s">
        <v>153</v>
      </c>
      <c r="AA247" s="384">
        <v>46167</v>
      </c>
      <c r="AB247" s="384">
        <v>46173</v>
      </c>
      <c r="AC247" s="343" t="s">
        <v>279</v>
      </c>
      <c r="AD247" s="343">
        <v>142</v>
      </c>
      <c r="AE247" s="343">
        <v>1632</v>
      </c>
      <c r="AF247" s="343">
        <v>36</v>
      </c>
      <c r="AG247" s="343">
        <v>0</v>
      </c>
      <c r="AH247" s="343">
        <v>1668</v>
      </c>
      <c r="AI247" s="343">
        <v>146.88</v>
      </c>
    </row>
    <row r="248" spans="25:35">
      <c r="Y248" s="343" t="s">
        <v>152</v>
      </c>
      <c r="Z248" s="343" t="s">
        <v>153</v>
      </c>
      <c r="AA248" s="384">
        <v>46167</v>
      </c>
      <c r="AB248" s="384">
        <v>46173</v>
      </c>
      <c r="AC248" s="343" t="s">
        <v>277</v>
      </c>
      <c r="AD248" s="343">
        <v>47</v>
      </c>
      <c r="AE248" s="343">
        <v>36086</v>
      </c>
      <c r="AF248" s="343">
        <v>75</v>
      </c>
      <c r="AG248" s="343">
        <v>0</v>
      </c>
      <c r="AH248" s="343">
        <v>36161</v>
      </c>
      <c r="AI248" s="343">
        <v>3247.74</v>
      </c>
    </row>
    <row r="249" spans="25:35">
      <c r="Y249" s="343" t="s">
        <v>152</v>
      </c>
      <c r="Z249" s="343" t="s">
        <v>153</v>
      </c>
      <c r="AA249" s="384">
        <v>46167</v>
      </c>
      <c r="AB249" s="384">
        <v>46173</v>
      </c>
      <c r="AC249" s="343" t="s">
        <v>293</v>
      </c>
      <c r="AD249" s="343">
        <v>39</v>
      </c>
      <c r="AE249" s="343">
        <v>10335</v>
      </c>
      <c r="AF249" s="343">
        <v>125</v>
      </c>
      <c r="AG249" s="343">
        <v>0</v>
      </c>
      <c r="AH249" s="343">
        <v>10460</v>
      </c>
      <c r="AI249" s="343">
        <v>930.15</v>
      </c>
    </row>
    <row r="250" spans="25:35">
      <c r="Y250" s="343" t="s">
        <v>152</v>
      </c>
      <c r="Z250" s="343" t="s">
        <v>153</v>
      </c>
      <c r="AA250" s="384">
        <v>46167</v>
      </c>
      <c r="AB250" s="384">
        <v>46173</v>
      </c>
      <c r="AC250" s="343" t="s">
        <v>287</v>
      </c>
      <c r="AD250" s="343">
        <v>349</v>
      </c>
      <c r="AE250" s="343">
        <v>6900</v>
      </c>
      <c r="AF250" s="343">
        <v>205</v>
      </c>
      <c r="AG250" s="343">
        <v>0</v>
      </c>
      <c r="AH250" s="343">
        <v>7105</v>
      </c>
      <c r="AI250" s="343">
        <v>621</v>
      </c>
    </row>
    <row r="251" spans="25:35">
      <c r="Y251" s="343" t="s">
        <v>152</v>
      </c>
      <c r="Z251" s="343" t="s">
        <v>154</v>
      </c>
      <c r="AA251" s="384">
        <v>46174</v>
      </c>
      <c r="AB251" s="384">
        <v>46180</v>
      </c>
      <c r="AC251" s="343" t="s">
        <v>285</v>
      </c>
      <c r="AD251" s="343">
        <v>2467</v>
      </c>
      <c r="AE251" s="343">
        <v>79005</v>
      </c>
      <c r="AF251" s="343">
        <v>4881</v>
      </c>
      <c r="AG251" s="343">
        <v>0</v>
      </c>
      <c r="AH251" s="343">
        <v>83886</v>
      </c>
      <c r="AI251" s="343">
        <v>7110.45</v>
      </c>
    </row>
    <row r="252" spans="25:35">
      <c r="Y252" s="343" t="s">
        <v>152</v>
      </c>
      <c r="Z252" s="343" t="s">
        <v>154</v>
      </c>
      <c r="AA252" s="384">
        <v>46174</v>
      </c>
      <c r="AB252" s="384">
        <v>46180</v>
      </c>
      <c r="AC252" s="343" t="s">
        <v>283</v>
      </c>
      <c r="AD252" s="343">
        <v>932</v>
      </c>
      <c r="AE252" s="343">
        <v>7640</v>
      </c>
      <c r="AF252" s="343">
        <v>438</v>
      </c>
      <c r="AG252" s="343">
        <v>0</v>
      </c>
      <c r="AH252" s="343">
        <v>8078</v>
      </c>
      <c r="AI252" s="343">
        <v>687.61</v>
      </c>
    </row>
    <row r="253" spans="25:35">
      <c r="Y253" s="343" t="s">
        <v>152</v>
      </c>
      <c r="Z253" s="343" t="s">
        <v>154</v>
      </c>
      <c r="AA253" s="384">
        <v>46174</v>
      </c>
      <c r="AB253" s="384">
        <v>46180</v>
      </c>
      <c r="AC253" s="343" t="s">
        <v>281</v>
      </c>
      <c r="AD253" s="343">
        <v>1991</v>
      </c>
      <c r="AE253" s="343">
        <v>88958</v>
      </c>
      <c r="AF253" s="343">
        <v>3945</v>
      </c>
      <c r="AG253" s="343">
        <v>0</v>
      </c>
      <c r="AH253" s="343">
        <v>92903</v>
      </c>
      <c r="AI253" s="343">
        <v>8006.22</v>
      </c>
    </row>
    <row r="254" spans="25:35">
      <c r="Y254" s="343" t="s">
        <v>152</v>
      </c>
      <c r="Z254" s="343" t="s">
        <v>154</v>
      </c>
      <c r="AA254" s="384">
        <v>46174</v>
      </c>
      <c r="AB254" s="384">
        <v>46180</v>
      </c>
      <c r="AC254" s="343" t="s">
        <v>279</v>
      </c>
      <c r="AD254" s="343">
        <v>78</v>
      </c>
      <c r="AE254" s="343">
        <v>909</v>
      </c>
      <c r="AF254" s="343">
        <v>48</v>
      </c>
      <c r="AG254" s="343">
        <v>0</v>
      </c>
      <c r="AH254" s="343">
        <v>957</v>
      </c>
      <c r="AI254" s="343">
        <v>81.81</v>
      </c>
    </row>
    <row r="255" spans="25:35">
      <c r="Y255" s="343" t="s">
        <v>152</v>
      </c>
      <c r="Z255" s="343" t="s">
        <v>154</v>
      </c>
      <c r="AA255" s="384">
        <v>46174</v>
      </c>
      <c r="AB255" s="384">
        <v>46180</v>
      </c>
      <c r="AC255" s="343" t="s">
        <v>277</v>
      </c>
      <c r="AD255" s="343">
        <v>38</v>
      </c>
      <c r="AE255" s="343">
        <v>15182</v>
      </c>
      <c r="AF255" s="343">
        <v>75</v>
      </c>
      <c r="AG255" s="343">
        <v>0</v>
      </c>
      <c r="AH255" s="343">
        <v>15257</v>
      </c>
      <c r="AI255" s="343">
        <v>1366.38</v>
      </c>
    </row>
    <row r="256" spans="25:35">
      <c r="Y256" s="343" t="s">
        <v>152</v>
      </c>
      <c r="Z256" s="343" t="s">
        <v>154</v>
      </c>
      <c r="AA256" s="384">
        <v>46174</v>
      </c>
      <c r="AB256" s="384">
        <v>46180</v>
      </c>
      <c r="AC256" s="343" t="s">
        <v>293</v>
      </c>
      <c r="AD256" s="343">
        <v>34</v>
      </c>
      <c r="AE256" s="343">
        <v>6015</v>
      </c>
      <c r="AF256" s="343">
        <v>450</v>
      </c>
      <c r="AG256" s="343">
        <v>0</v>
      </c>
      <c r="AH256" s="343">
        <v>6465</v>
      </c>
      <c r="AI256" s="343">
        <v>541.35</v>
      </c>
    </row>
    <row r="257" spans="25:35">
      <c r="Y257" s="343" t="s">
        <v>152</v>
      </c>
      <c r="Z257" s="343" t="s">
        <v>154</v>
      </c>
      <c r="AA257" s="384">
        <v>46174</v>
      </c>
      <c r="AB257" s="384">
        <v>46180</v>
      </c>
      <c r="AC257" s="343" t="s">
        <v>287</v>
      </c>
      <c r="AD257" s="343">
        <v>292</v>
      </c>
      <c r="AE257" s="343">
        <v>6018</v>
      </c>
      <c r="AF257" s="343">
        <v>252</v>
      </c>
      <c r="AG257" s="343">
        <v>0</v>
      </c>
      <c r="AH257" s="343">
        <v>6270</v>
      </c>
      <c r="AI257" s="343">
        <v>541.62</v>
      </c>
    </row>
    <row r="258" spans="25:35">
      <c r="Y258" s="343" t="s">
        <v>338</v>
      </c>
      <c r="Z258" s="343" t="s">
        <v>155</v>
      </c>
      <c r="AA258" s="384">
        <v>46181</v>
      </c>
      <c r="AB258" s="384">
        <v>46187</v>
      </c>
      <c r="AC258" s="343" t="s">
        <v>285</v>
      </c>
      <c r="AD258" s="343">
        <v>1595</v>
      </c>
      <c r="AE258" s="343">
        <v>53662</v>
      </c>
      <c r="AF258" s="343">
        <v>4854</v>
      </c>
      <c r="AG258" s="343">
        <v>0</v>
      </c>
      <c r="AH258" s="343">
        <v>58516</v>
      </c>
      <c r="AI258" s="343">
        <v>4829.58</v>
      </c>
    </row>
    <row r="259" spans="25:35">
      <c r="Y259" s="343" t="s">
        <v>338</v>
      </c>
      <c r="Z259" s="343" t="s">
        <v>155</v>
      </c>
      <c r="AA259" s="384">
        <v>46181</v>
      </c>
      <c r="AB259" s="384">
        <v>46187</v>
      </c>
      <c r="AC259" s="343" t="s">
        <v>283</v>
      </c>
      <c r="AD259" s="343">
        <v>863</v>
      </c>
      <c r="AE259" s="343">
        <v>7710</v>
      </c>
      <c r="AF259" s="343">
        <v>365</v>
      </c>
      <c r="AG259" s="343">
        <v>0</v>
      </c>
      <c r="AH259" s="343">
        <v>8075</v>
      </c>
      <c r="AI259" s="343">
        <v>693.9</v>
      </c>
    </row>
    <row r="260" spans="25:35">
      <c r="Y260" s="343" t="s">
        <v>338</v>
      </c>
      <c r="Z260" s="343" t="s">
        <v>155</v>
      </c>
      <c r="AA260" s="384">
        <v>46181</v>
      </c>
      <c r="AB260" s="384">
        <v>46187</v>
      </c>
      <c r="AC260" s="343" t="s">
        <v>281</v>
      </c>
      <c r="AD260" s="343">
        <v>1512</v>
      </c>
      <c r="AE260" s="343">
        <v>89174</v>
      </c>
      <c r="AF260" s="343">
        <v>3699</v>
      </c>
      <c r="AG260" s="343">
        <v>0</v>
      </c>
      <c r="AH260" s="343">
        <v>92873</v>
      </c>
      <c r="AI260" s="343">
        <v>8025.66</v>
      </c>
    </row>
    <row r="261" spans="25:35">
      <c r="Y261" s="343" t="s">
        <v>338</v>
      </c>
      <c r="Z261" s="343" t="s">
        <v>155</v>
      </c>
      <c r="AA261" s="384">
        <v>46181</v>
      </c>
      <c r="AB261" s="384">
        <v>46187</v>
      </c>
      <c r="AC261" s="343" t="s">
        <v>279</v>
      </c>
      <c r="AD261" s="343">
        <v>54</v>
      </c>
      <c r="AE261" s="343">
        <v>522</v>
      </c>
      <c r="AF261" s="343">
        <v>100</v>
      </c>
      <c r="AG261" s="343">
        <v>0</v>
      </c>
      <c r="AH261" s="343">
        <v>622</v>
      </c>
      <c r="AI261" s="343">
        <v>46.98</v>
      </c>
    </row>
    <row r="262" spans="25:35">
      <c r="Y262" s="343" t="s">
        <v>338</v>
      </c>
      <c r="Z262" s="343" t="s">
        <v>155</v>
      </c>
      <c r="AA262" s="384">
        <v>46181</v>
      </c>
      <c r="AB262" s="384">
        <v>46187</v>
      </c>
      <c r="AC262" s="343" t="s">
        <v>277</v>
      </c>
      <c r="AD262" s="343">
        <v>27</v>
      </c>
      <c r="AE262" s="343">
        <v>16205</v>
      </c>
      <c r="AF262" s="343">
        <v>150</v>
      </c>
      <c r="AG262" s="343">
        <v>0</v>
      </c>
      <c r="AH262" s="343">
        <v>16355</v>
      </c>
      <c r="AI262" s="343">
        <v>1458.45</v>
      </c>
    </row>
    <row r="263" spans="25:35">
      <c r="Y263" s="343" t="s">
        <v>338</v>
      </c>
      <c r="Z263" s="343" t="s">
        <v>155</v>
      </c>
      <c r="AA263" s="384">
        <v>46181</v>
      </c>
      <c r="AB263" s="384">
        <v>46187</v>
      </c>
      <c r="AC263" s="343" t="s">
        <v>287</v>
      </c>
      <c r="AD263" s="343">
        <v>268</v>
      </c>
      <c r="AE263" s="343">
        <v>4406</v>
      </c>
      <c r="AF263" s="343">
        <v>130</v>
      </c>
      <c r="AG263" s="343">
        <v>0</v>
      </c>
      <c r="AH263" s="343">
        <v>4536</v>
      </c>
      <c r="AI263" s="343">
        <v>396.54</v>
      </c>
    </row>
    <row r="264" spans="25:35">
      <c r="Y264" s="343" t="s">
        <v>338</v>
      </c>
      <c r="Z264" s="343" t="s">
        <v>156</v>
      </c>
      <c r="AA264" s="384">
        <v>46188</v>
      </c>
      <c r="AB264" s="384">
        <v>46194</v>
      </c>
      <c r="AC264" s="343" t="s">
        <v>285</v>
      </c>
      <c r="AD264" s="343">
        <v>1652</v>
      </c>
      <c r="AE264" s="343">
        <v>49970</v>
      </c>
      <c r="AF264" s="343">
        <v>6614</v>
      </c>
      <c r="AG264" s="343">
        <v>0</v>
      </c>
      <c r="AH264" s="343">
        <v>56584</v>
      </c>
      <c r="AI264" s="343">
        <v>4497.3</v>
      </c>
    </row>
    <row r="265" spans="25:35">
      <c r="Y265" s="343" t="s">
        <v>338</v>
      </c>
      <c r="Z265" s="343" t="s">
        <v>156</v>
      </c>
      <c r="AA265" s="384">
        <v>46188</v>
      </c>
      <c r="AB265" s="384">
        <v>46194</v>
      </c>
      <c r="AC265" s="343" t="s">
        <v>283</v>
      </c>
      <c r="AD265" s="343">
        <v>934</v>
      </c>
      <c r="AE265" s="343">
        <v>8525</v>
      </c>
      <c r="AF265" s="343">
        <v>488</v>
      </c>
      <c r="AG265" s="343">
        <v>0</v>
      </c>
      <c r="AH265" s="343">
        <v>9013</v>
      </c>
      <c r="AI265" s="343">
        <v>767.25</v>
      </c>
    </row>
    <row r="266" spans="25:35">
      <c r="Y266" s="343" t="s">
        <v>338</v>
      </c>
      <c r="Z266" s="343" t="s">
        <v>156</v>
      </c>
      <c r="AA266" s="384">
        <v>46188</v>
      </c>
      <c r="AB266" s="384">
        <v>46194</v>
      </c>
      <c r="AC266" s="343" t="s">
        <v>281</v>
      </c>
      <c r="AD266" s="343">
        <v>1543</v>
      </c>
      <c r="AE266" s="343">
        <v>122199</v>
      </c>
      <c r="AF266" s="343">
        <v>5966</v>
      </c>
      <c r="AG266" s="343">
        <v>0</v>
      </c>
      <c r="AH266" s="343">
        <v>128165</v>
      </c>
      <c r="AI266" s="343">
        <v>10997.91</v>
      </c>
    </row>
    <row r="267" spans="25:35">
      <c r="Y267" s="343" t="s">
        <v>338</v>
      </c>
      <c r="Z267" s="343" t="s">
        <v>156</v>
      </c>
      <c r="AA267" s="384">
        <v>46188</v>
      </c>
      <c r="AB267" s="384">
        <v>46194</v>
      </c>
      <c r="AC267" s="343" t="s">
        <v>279</v>
      </c>
      <c r="AD267" s="343">
        <v>86</v>
      </c>
      <c r="AE267" s="343">
        <v>800</v>
      </c>
      <c r="AF267" s="343">
        <v>196</v>
      </c>
      <c r="AG267" s="343">
        <v>0</v>
      </c>
      <c r="AH267" s="343">
        <v>996</v>
      </c>
      <c r="AI267" s="343">
        <v>72</v>
      </c>
    </row>
    <row r="268" spans="25:35">
      <c r="Y268" s="343" t="s">
        <v>338</v>
      </c>
      <c r="Z268" s="343" t="s">
        <v>156</v>
      </c>
      <c r="AA268" s="384">
        <v>46188</v>
      </c>
      <c r="AB268" s="384">
        <v>46194</v>
      </c>
      <c r="AC268" s="343" t="s">
        <v>277</v>
      </c>
      <c r="AD268" s="343">
        <v>16</v>
      </c>
      <c r="AE268" s="343">
        <v>9635</v>
      </c>
      <c r="AF268" s="343">
        <v>300</v>
      </c>
      <c r="AG268" s="343">
        <v>0</v>
      </c>
      <c r="AH268" s="343">
        <v>9935</v>
      </c>
      <c r="AI268" s="343">
        <v>867.15</v>
      </c>
    </row>
    <row r="269" spans="25:35">
      <c r="Y269" s="343" t="s">
        <v>338</v>
      </c>
      <c r="Z269" s="343" t="s">
        <v>156</v>
      </c>
      <c r="AA269" s="384">
        <v>46188</v>
      </c>
      <c r="AB269" s="384">
        <v>46194</v>
      </c>
      <c r="AC269" s="343" t="s">
        <v>293</v>
      </c>
      <c r="AD269" s="343">
        <v>36</v>
      </c>
      <c r="AE269" s="343">
        <v>15810</v>
      </c>
      <c r="AF269" s="343">
        <v>785</v>
      </c>
      <c r="AG269" s="343">
        <v>0</v>
      </c>
      <c r="AH269" s="343">
        <v>16595</v>
      </c>
      <c r="AI269" s="343">
        <v>1422.9</v>
      </c>
    </row>
    <row r="270" spans="25:35">
      <c r="Y270" s="343" t="s">
        <v>338</v>
      </c>
      <c r="Z270" s="343" t="s">
        <v>156</v>
      </c>
      <c r="AA270" s="384">
        <v>46188</v>
      </c>
      <c r="AB270" s="384">
        <v>46194</v>
      </c>
      <c r="AC270" s="343" t="s">
        <v>287</v>
      </c>
      <c r="AD270" s="343">
        <v>232</v>
      </c>
      <c r="AE270" s="343">
        <v>4383.3999999999996</v>
      </c>
      <c r="AF270" s="343">
        <v>69.599999999999994</v>
      </c>
      <c r="AG270" s="343">
        <v>0</v>
      </c>
      <c r="AH270" s="343">
        <v>4453</v>
      </c>
      <c r="AI270" s="343">
        <v>394.51</v>
      </c>
    </row>
    <row r="271" spans="25:35">
      <c r="Y271" s="343" t="s">
        <v>338</v>
      </c>
      <c r="Z271" s="343" t="s">
        <v>157</v>
      </c>
      <c r="AA271" s="384">
        <v>46195</v>
      </c>
      <c r="AB271" s="384">
        <v>46201</v>
      </c>
      <c r="AC271" s="343" t="s">
        <v>285</v>
      </c>
      <c r="AD271" s="343">
        <v>2549</v>
      </c>
      <c r="AE271" s="343">
        <v>70534.75</v>
      </c>
      <c r="AF271" s="343">
        <v>5143.25</v>
      </c>
      <c r="AG271" s="343">
        <v>0</v>
      </c>
      <c r="AH271" s="343">
        <v>75678</v>
      </c>
      <c r="AI271" s="343">
        <v>6348.15</v>
      </c>
    </row>
    <row r="272" spans="25:35">
      <c r="Y272" s="343" t="s">
        <v>338</v>
      </c>
      <c r="Z272" s="343" t="s">
        <v>157</v>
      </c>
      <c r="AA272" s="384">
        <v>46195</v>
      </c>
      <c r="AB272" s="384">
        <v>46201</v>
      </c>
      <c r="AC272" s="343" t="s">
        <v>283</v>
      </c>
      <c r="AD272" s="343">
        <v>1278</v>
      </c>
      <c r="AE272" s="343">
        <v>12363</v>
      </c>
      <c r="AF272" s="343">
        <v>317</v>
      </c>
      <c r="AG272" s="343">
        <v>0</v>
      </c>
      <c r="AH272" s="343">
        <v>12680</v>
      </c>
      <c r="AI272" s="343">
        <v>1112.67</v>
      </c>
    </row>
    <row r="273" spans="25:35">
      <c r="Y273" s="343" t="s">
        <v>338</v>
      </c>
      <c r="Z273" s="343" t="s">
        <v>157</v>
      </c>
      <c r="AA273" s="384">
        <v>46195</v>
      </c>
      <c r="AB273" s="384">
        <v>46201</v>
      </c>
      <c r="AC273" s="343" t="s">
        <v>281</v>
      </c>
      <c r="AD273" s="343">
        <v>2153</v>
      </c>
      <c r="AE273" s="343">
        <v>170549</v>
      </c>
      <c r="AF273" s="343">
        <v>5842</v>
      </c>
      <c r="AG273" s="343">
        <v>0</v>
      </c>
      <c r="AH273" s="343">
        <v>176391</v>
      </c>
      <c r="AI273" s="343">
        <v>15349.41</v>
      </c>
    </row>
    <row r="274" spans="25:35">
      <c r="Y274" s="343" t="s">
        <v>338</v>
      </c>
      <c r="Z274" s="343" t="s">
        <v>157</v>
      </c>
      <c r="AA274" s="384">
        <v>46195</v>
      </c>
      <c r="AB274" s="384">
        <v>46201</v>
      </c>
      <c r="AC274" s="343" t="s">
        <v>279</v>
      </c>
      <c r="AD274" s="343">
        <v>101</v>
      </c>
      <c r="AE274" s="343">
        <v>1212</v>
      </c>
      <c r="AF274" s="343">
        <v>12</v>
      </c>
      <c r="AG274" s="343">
        <v>0</v>
      </c>
      <c r="AH274" s="343">
        <v>1224</v>
      </c>
      <c r="AI274" s="343">
        <v>109.08</v>
      </c>
    </row>
    <row r="275" spans="25:35">
      <c r="Y275" s="343" t="s">
        <v>338</v>
      </c>
      <c r="Z275" s="343" t="s">
        <v>157</v>
      </c>
      <c r="AA275" s="384">
        <v>46195</v>
      </c>
      <c r="AB275" s="384">
        <v>46201</v>
      </c>
      <c r="AC275" s="343" t="s">
        <v>277</v>
      </c>
      <c r="AD275" s="343">
        <v>39</v>
      </c>
      <c r="AE275" s="343">
        <v>30491</v>
      </c>
      <c r="AF275" s="343">
        <v>75</v>
      </c>
      <c r="AG275" s="343">
        <v>0</v>
      </c>
      <c r="AH275" s="343">
        <v>30566</v>
      </c>
      <c r="AI275" s="343">
        <v>2744.19</v>
      </c>
    </row>
    <row r="276" spans="25:35">
      <c r="Y276" s="343" t="s">
        <v>338</v>
      </c>
      <c r="Z276" s="343" t="s">
        <v>157</v>
      </c>
      <c r="AA276" s="384">
        <v>46195</v>
      </c>
      <c r="AB276" s="384">
        <v>46201</v>
      </c>
      <c r="AC276" s="343" t="s">
        <v>293</v>
      </c>
      <c r="AD276" s="343">
        <v>30</v>
      </c>
      <c r="AE276" s="343">
        <v>5495</v>
      </c>
      <c r="AF276" s="343">
        <v>125</v>
      </c>
      <c r="AG276" s="343">
        <v>0</v>
      </c>
      <c r="AH276" s="343">
        <v>5620</v>
      </c>
      <c r="AI276" s="343">
        <v>494.55</v>
      </c>
    </row>
    <row r="277" spans="25:35">
      <c r="Y277" s="343" t="s">
        <v>338</v>
      </c>
      <c r="Z277" s="343" t="s">
        <v>157</v>
      </c>
      <c r="AA277" s="384">
        <v>46195</v>
      </c>
      <c r="AB277" s="384">
        <v>46201</v>
      </c>
      <c r="AC277" s="343" t="s">
        <v>287</v>
      </c>
      <c r="AD277" s="343">
        <v>323</v>
      </c>
      <c r="AE277" s="343">
        <v>5636</v>
      </c>
      <c r="AF277" s="343">
        <v>108</v>
      </c>
      <c r="AG277" s="343">
        <v>0</v>
      </c>
      <c r="AH277" s="343">
        <v>5744</v>
      </c>
      <c r="AI277" s="343">
        <v>507.24</v>
      </c>
    </row>
    <row r="278" spans="25:35">
      <c r="Y278" s="343" t="s">
        <v>338</v>
      </c>
      <c r="Z278" s="343" t="s">
        <v>160</v>
      </c>
      <c r="AA278" s="384">
        <v>46202</v>
      </c>
      <c r="AB278" s="384">
        <v>46208</v>
      </c>
      <c r="AC278" s="343" t="s">
        <v>285</v>
      </c>
      <c r="AD278" s="343">
        <v>1507</v>
      </c>
      <c r="AE278" s="343">
        <v>46755.5</v>
      </c>
      <c r="AF278" s="343">
        <v>7998.5</v>
      </c>
      <c r="AG278" s="343">
        <v>0</v>
      </c>
      <c r="AH278" s="343">
        <v>54754</v>
      </c>
      <c r="AI278" s="343">
        <v>4208.01</v>
      </c>
    </row>
    <row r="279" spans="25:35">
      <c r="Y279" s="343" t="s">
        <v>338</v>
      </c>
      <c r="Z279" s="343" t="s">
        <v>160</v>
      </c>
      <c r="AA279" s="384">
        <v>46202</v>
      </c>
      <c r="AB279" s="384">
        <v>46208</v>
      </c>
      <c r="AC279" s="343" t="s">
        <v>283</v>
      </c>
      <c r="AD279" s="343">
        <v>937</v>
      </c>
      <c r="AE279" s="343">
        <v>8037.75</v>
      </c>
      <c r="AF279" s="343">
        <v>628.25</v>
      </c>
      <c r="AG279" s="343">
        <v>0</v>
      </c>
      <c r="AH279" s="343">
        <v>8666</v>
      </c>
      <c r="AI279" s="343">
        <v>723.42</v>
      </c>
    </row>
    <row r="280" spans="25:35">
      <c r="Y280" s="343" t="s">
        <v>338</v>
      </c>
      <c r="Z280" s="343" t="s">
        <v>160</v>
      </c>
      <c r="AA280" s="384">
        <v>46202</v>
      </c>
      <c r="AB280" s="384">
        <v>46208</v>
      </c>
      <c r="AC280" s="343" t="s">
        <v>281</v>
      </c>
      <c r="AD280" s="343">
        <v>1608</v>
      </c>
      <c r="AE280" s="343">
        <v>91799</v>
      </c>
      <c r="AF280" s="343">
        <v>5602</v>
      </c>
      <c r="AG280" s="343">
        <v>0</v>
      </c>
      <c r="AH280" s="343">
        <v>97401</v>
      </c>
      <c r="AI280" s="343">
        <v>8261.91</v>
      </c>
    </row>
    <row r="281" spans="25:35">
      <c r="Y281" s="343" t="s">
        <v>338</v>
      </c>
      <c r="Z281" s="343" t="s">
        <v>160</v>
      </c>
      <c r="AA281" s="384">
        <v>46202</v>
      </c>
      <c r="AB281" s="384">
        <v>46208</v>
      </c>
      <c r="AC281" s="343" t="s">
        <v>279</v>
      </c>
      <c r="AD281" s="343">
        <v>117</v>
      </c>
      <c r="AE281" s="343">
        <v>1362</v>
      </c>
      <c r="AF281" s="343">
        <v>48</v>
      </c>
      <c r="AG281" s="343">
        <v>0</v>
      </c>
      <c r="AH281" s="343">
        <v>1410</v>
      </c>
      <c r="AI281" s="343">
        <v>122.58</v>
      </c>
    </row>
    <row r="282" spans="25:35">
      <c r="Y282" s="343" t="s">
        <v>338</v>
      </c>
      <c r="Z282" s="343" t="s">
        <v>160</v>
      </c>
      <c r="AA282" s="384">
        <v>46202</v>
      </c>
      <c r="AB282" s="384">
        <v>46208</v>
      </c>
      <c r="AC282" s="343" t="s">
        <v>277</v>
      </c>
      <c r="AD282" s="343">
        <v>40</v>
      </c>
      <c r="AE282" s="343">
        <v>19181</v>
      </c>
      <c r="AF282" s="343">
        <v>220</v>
      </c>
      <c r="AG282" s="343">
        <v>0</v>
      </c>
      <c r="AH282" s="343">
        <v>19401</v>
      </c>
      <c r="AI282" s="343">
        <v>1726.29</v>
      </c>
    </row>
    <row r="283" spans="25:35">
      <c r="Y283" s="343" t="s">
        <v>338</v>
      </c>
      <c r="Z283" s="343" t="s">
        <v>160</v>
      </c>
      <c r="AA283" s="384">
        <v>46202</v>
      </c>
      <c r="AB283" s="384">
        <v>46208</v>
      </c>
      <c r="AC283" s="343" t="s">
        <v>293</v>
      </c>
      <c r="AD283" s="343">
        <v>33</v>
      </c>
      <c r="AE283" s="343">
        <v>14140</v>
      </c>
      <c r="AF283" s="343">
        <v>310</v>
      </c>
      <c r="AG283" s="343">
        <v>0</v>
      </c>
      <c r="AH283" s="343">
        <v>14450</v>
      </c>
      <c r="AI283" s="343">
        <v>1272.5999999999999</v>
      </c>
    </row>
    <row r="284" spans="25:35">
      <c r="Y284" s="343" t="s">
        <v>338</v>
      </c>
      <c r="Z284" s="343" t="s">
        <v>160</v>
      </c>
      <c r="AA284" s="384">
        <v>46202</v>
      </c>
      <c r="AB284" s="384">
        <v>46208</v>
      </c>
      <c r="AC284" s="343" t="s">
        <v>287</v>
      </c>
      <c r="AD284" s="343">
        <v>381</v>
      </c>
      <c r="AE284" s="343">
        <v>5166</v>
      </c>
      <c r="AF284" s="343">
        <v>237</v>
      </c>
      <c r="AG284" s="343">
        <v>0</v>
      </c>
      <c r="AH284" s="343">
        <v>5403</v>
      </c>
      <c r="AI284" s="343">
        <v>464.94</v>
      </c>
    </row>
    <row r="285" spans="25:35">
      <c r="Y285" s="343" t="s">
        <v>338</v>
      </c>
      <c r="Z285" s="343" t="s">
        <v>160</v>
      </c>
      <c r="AA285" s="384">
        <v>46202</v>
      </c>
      <c r="AB285" s="384">
        <v>46208</v>
      </c>
      <c r="AC285" s="343" t="s">
        <v>289</v>
      </c>
      <c r="AD285" s="343">
        <v>18</v>
      </c>
      <c r="AE285" s="343">
        <v>15555</v>
      </c>
      <c r="AF285" s="343">
        <v>2050</v>
      </c>
      <c r="AG285" s="343">
        <v>0</v>
      </c>
      <c r="AH285" s="343">
        <v>17605</v>
      </c>
      <c r="AI285" s="343">
        <v>1399.95</v>
      </c>
    </row>
    <row r="286" spans="25:35">
      <c r="Y286" s="343" t="s">
        <v>338</v>
      </c>
      <c r="Z286" s="343" t="s">
        <v>161</v>
      </c>
      <c r="AA286" s="384">
        <v>46209</v>
      </c>
      <c r="AB286" s="384">
        <v>46215</v>
      </c>
      <c r="AC286" s="343" t="s">
        <v>285</v>
      </c>
      <c r="AD286" s="343">
        <v>1697</v>
      </c>
      <c r="AE286" s="343">
        <v>59682.75</v>
      </c>
      <c r="AF286" s="343">
        <v>5170.25</v>
      </c>
      <c r="AG286" s="343">
        <v>0</v>
      </c>
      <c r="AH286" s="343">
        <v>64853</v>
      </c>
      <c r="AI286" s="343">
        <v>5371.45</v>
      </c>
    </row>
    <row r="287" spans="25:35">
      <c r="Y287" s="343" t="s">
        <v>338</v>
      </c>
      <c r="Z287" s="343" t="s">
        <v>161</v>
      </c>
      <c r="AA287" s="384">
        <v>46209</v>
      </c>
      <c r="AB287" s="384">
        <v>46215</v>
      </c>
      <c r="AC287" s="343" t="s">
        <v>283</v>
      </c>
      <c r="AD287" s="343">
        <v>1158</v>
      </c>
      <c r="AE287" s="343">
        <v>11036.25</v>
      </c>
      <c r="AF287" s="343">
        <v>335.25</v>
      </c>
      <c r="AG287" s="343">
        <v>0</v>
      </c>
      <c r="AH287" s="343">
        <v>11371.5</v>
      </c>
      <c r="AI287" s="343">
        <v>993.29</v>
      </c>
    </row>
    <row r="288" spans="25:35">
      <c r="Y288" s="343" t="s">
        <v>338</v>
      </c>
      <c r="Z288" s="343" t="s">
        <v>161</v>
      </c>
      <c r="AA288" s="384">
        <v>46209</v>
      </c>
      <c r="AB288" s="384">
        <v>46215</v>
      </c>
      <c r="AC288" s="343" t="s">
        <v>281</v>
      </c>
      <c r="AD288" s="343">
        <v>2085</v>
      </c>
      <c r="AE288" s="343">
        <v>191607.25</v>
      </c>
      <c r="AF288" s="343">
        <v>3146</v>
      </c>
      <c r="AG288" s="343">
        <v>0</v>
      </c>
      <c r="AH288" s="343">
        <v>194753.25</v>
      </c>
      <c r="AI288" s="343">
        <v>17244.66</v>
      </c>
    </row>
    <row r="289" spans="25:35">
      <c r="Y289" s="343" t="s">
        <v>338</v>
      </c>
      <c r="Z289" s="343" t="s">
        <v>161</v>
      </c>
      <c r="AA289" s="384">
        <v>46209</v>
      </c>
      <c r="AB289" s="384">
        <v>46215</v>
      </c>
      <c r="AC289" s="343" t="s">
        <v>279</v>
      </c>
      <c r="AD289" s="343">
        <v>118</v>
      </c>
      <c r="AE289" s="343">
        <v>1393</v>
      </c>
      <c r="AF289" s="343">
        <v>12</v>
      </c>
      <c r="AG289" s="343">
        <v>0</v>
      </c>
      <c r="AH289" s="343">
        <v>1405</v>
      </c>
      <c r="AI289" s="343">
        <v>125.37</v>
      </c>
    </row>
    <row r="290" spans="25:35">
      <c r="Y290" s="343" t="s">
        <v>338</v>
      </c>
      <c r="Z290" s="343" t="s">
        <v>161</v>
      </c>
      <c r="AA290" s="384">
        <v>46209</v>
      </c>
      <c r="AB290" s="384">
        <v>46215</v>
      </c>
      <c r="AC290" s="343" t="s">
        <v>277</v>
      </c>
      <c r="AD290" s="343">
        <v>47</v>
      </c>
      <c r="AE290" s="343">
        <v>32915</v>
      </c>
      <c r="AF290" s="343">
        <v>75</v>
      </c>
      <c r="AG290" s="343">
        <v>0</v>
      </c>
      <c r="AH290" s="343">
        <v>32990</v>
      </c>
      <c r="AI290" s="343">
        <v>2962.35</v>
      </c>
    </row>
    <row r="291" spans="25:35">
      <c r="Y291" s="343" t="s">
        <v>338</v>
      </c>
      <c r="Z291" s="343" t="s">
        <v>161</v>
      </c>
      <c r="AA291" s="384">
        <v>46209</v>
      </c>
      <c r="AB291" s="384">
        <v>46215</v>
      </c>
      <c r="AC291" s="343" t="s">
        <v>293</v>
      </c>
      <c r="AD291" s="343">
        <v>28</v>
      </c>
      <c r="AE291" s="343">
        <v>5825</v>
      </c>
      <c r="AF291" s="343">
        <v>220</v>
      </c>
      <c r="AG291" s="343">
        <v>0</v>
      </c>
      <c r="AH291" s="343">
        <v>6045</v>
      </c>
      <c r="AI291" s="343">
        <v>524.25</v>
      </c>
    </row>
    <row r="292" spans="25:35">
      <c r="Y292" s="343" t="s">
        <v>338</v>
      </c>
      <c r="Z292" s="343" t="s">
        <v>161</v>
      </c>
      <c r="AA292" s="384">
        <v>46209</v>
      </c>
      <c r="AB292" s="384">
        <v>46215</v>
      </c>
      <c r="AC292" s="343" t="s">
        <v>287</v>
      </c>
      <c r="AD292" s="343">
        <v>337</v>
      </c>
      <c r="AE292" s="343">
        <v>5798</v>
      </c>
      <c r="AF292" s="343">
        <v>301</v>
      </c>
      <c r="AG292" s="343">
        <v>0</v>
      </c>
      <c r="AH292" s="343">
        <v>6099</v>
      </c>
      <c r="AI292" s="343">
        <v>521.82000000000005</v>
      </c>
    </row>
    <row r="293" spans="25:35">
      <c r="Y293" s="343" t="s">
        <v>338</v>
      </c>
      <c r="Z293" s="343" t="s">
        <v>162</v>
      </c>
      <c r="AA293" s="384">
        <v>46216</v>
      </c>
      <c r="AB293" s="384">
        <v>46222</v>
      </c>
      <c r="AC293" s="343" t="s">
        <v>285</v>
      </c>
      <c r="AD293" s="343">
        <v>3736</v>
      </c>
      <c r="AE293" s="343">
        <v>79946</v>
      </c>
      <c r="AF293" s="343">
        <v>5993</v>
      </c>
      <c r="AG293" s="343">
        <v>0</v>
      </c>
      <c r="AH293" s="343">
        <v>85939</v>
      </c>
      <c r="AI293" s="343">
        <v>7195.14</v>
      </c>
    </row>
    <row r="294" spans="25:35">
      <c r="Y294" s="343" t="s">
        <v>338</v>
      </c>
      <c r="Z294" s="343" t="s">
        <v>162</v>
      </c>
      <c r="AA294" s="384">
        <v>46216</v>
      </c>
      <c r="AB294" s="384">
        <v>46222</v>
      </c>
      <c r="AC294" s="343" t="s">
        <v>283</v>
      </c>
      <c r="AD294" s="343">
        <v>859</v>
      </c>
      <c r="AE294" s="343">
        <v>8254</v>
      </c>
      <c r="AF294" s="343">
        <v>343</v>
      </c>
      <c r="AG294" s="343">
        <v>0</v>
      </c>
      <c r="AH294" s="343">
        <v>8597</v>
      </c>
      <c r="AI294" s="343">
        <v>742.86</v>
      </c>
    </row>
    <row r="295" spans="25:35">
      <c r="Y295" s="343" t="s">
        <v>338</v>
      </c>
      <c r="Z295" s="343" t="s">
        <v>162</v>
      </c>
      <c r="AA295" s="384">
        <v>46216</v>
      </c>
      <c r="AB295" s="384">
        <v>46222</v>
      </c>
      <c r="AC295" s="343" t="s">
        <v>281</v>
      </c>
      <c r="AD295" s="343">
        <v>2107</v>
      </c>
      <c r="AE295" s="343">
        <v>103785</v>
      </c>
      <c r="AF295" s="343">
        <v>4468</v>
      </c>
      <c r="AG295" s="343">
        <v>0</v>
      </c>
      <c r="AH295" s="343">
        <v>108253</v>
      </c>
      <c r="AI295" s="343">
        <v>9340.65</v>
      </c>
    </row>
    <row r="296" spans="25:35">
      <c r="Y296" s="343" t="s">
        <v>338</v>
      </c>
      <c r="Z296" s="343" t="s">
        <v>162</v>
      </c>
      <c r="AA296" s="384">
        <v>46216</v>
      </c>
      <c r="AB296" s="384">
        <v>46222</v>
      </c>
      <c r="AC296" s="343" t="s">
        <v>277</v>
      </c>
      <c r="AD296" s="343">
        <v>62</v>
      </c>
      <c r="AE296" s="343">
        <v>19966</v>
      </c>
      <c r="AF296" s="343">
        <v>670</v>
      </c>
      <c r="AG296" s="343">
        <v>0</v>
      </c>
      <c r="AH296" s="343">
        <v>20636</v>
      </c>
      <c r="AI296" s="343">
        <v>1796.94</v>
      </c>
    </row>
    <row r="297" spans="25:35">
      <c r="Y297" s="343" t="s">
        <v>338</v>
      </c>
      <c r="Z297" s="343" t="s">
        <v>162</v>
      </c>
      <c r="AA297" s="384">
        <v>46216</v>
      </c>
      <c r="AB297" s="384">
        <v>46222</v>
      </c>
      <c r="AC297" s="343" t="s">
        <v>293</v>
      </c>
      <c r="AD297" s="343">
        <v>49</v>
      </c>
      <c r="AE297" s="343">
        <v>7105</v>
      </c>
      <c r="AF297" s="343">
        <v>715</v>
      </c>
      <c r="AG297" s="343">
        <v>0</v>
      </c>
      <c r="AH297" s="343">
        <v>7820</v>
      </c>
      <c r="AI297" s="343">
        <v>639.45000000000005</v>
      </c>
    </row>
    <row r="298" spans="25:35">
      <c r="Y298" s="343" t="s">
        <v>338</v>
      </c>
      <c r="Z298" s="343" t="s">
        <v>162</v>
      </c>
      <c r="AA298" s="384">
        <v>46216</v>
      </c>
      <c r="AB298" s="384">
        <v>46222</v>
      </c>
      <c r="AC298" s="343" t="s">
        <v>287</v>
      </c>
      <c r="AD298" s="343">
        <v>236</v>
      </c>
      <c r="AE298" s="343">
        <v>4549</v>
      </c>
      <c r="AF298" s="343">
        <v>179</v>
      </c>
      <c r="AG298" s="343">
        <v>0</v>
      </c>
      <c r="AH298" s="343">
        <v>4728</v>
      </c>
      <c r="AI298" s="343">
        <v>409.41</v>
      </c>
    </row>
    <row r="299" spans="25:35">
      <c r="Y299" s="343" t="s">
        <v>338</v>
      </c>
      <c r="Z299" s="343" t="s">
        <v>163</v>
      </c>
      <c r="AA299" s="384">
        <v>46223</v>
      </c>
      <c r="AB299" s="384">
        <v>46229</v>
      </c>
      <c r="AC299" s="343" t="s">
        <v>285</v>
      </c>
      <c r="AD299" s="343">
        <v>2150</v>
      </c>
      <c r="AE299" s="343">
        <v>69511</v>
      </c>
      <c r="AF299" s="343">
        <v>6260</v>
      </c>
      <c r="AG299" s="343">
        <v>0</v>
      </c>
      <c r="AH299" s="343">
        <v>75771</v>
      </c>
      <c r="AI299" s="343">
        <v>6255.99</v>
      </c>
    </row>
    <row r="300" spans="25:35">
      <c r="Y300" s="343" t="s">
        <v>338</v>
      </c>
      <c r="Z300" s="343" t="s">
        <v>163</v>
      </c>
      <c r="AA300" s="384">
        <v>46223</v>
      </c>
      <c r="AB300" s="384">
        <v>46229</v>
      </c>
      <c r="AC300" s="343" t="s">
        <v>283</v>
      </c>
      <c r="AD300" s="343">
        <v>1068</v>
      </c>
      <c r="AE300" s="343">
        <v>10070</v>
      </c>
      <c r="AF300" s="343">
        <v>724</v>
      </c>
      <c r="AG300" s="343">
        <v>0</v>
      </c>
      <c r="AH300" s="343">
        <v>10794</v>
      </c>
      <c r="AI300" s="343">
        <v>906.3</v>
      </c>
    </row>
    <row r="301" spans="25:35">
      <c r="Y301" s="343" t="s">
        <v>338</v>
      </c>
      <c r="Z301" s="343" t="s">
        <v>163</v>
      </c>
      <c r="AA301" s="384">
        <v>46223</v>
      </c>
      <c r="AB301" s="384">
        <v>46229</v>
      </c>
      <c r="AC301" s="343" t="s">
        <v>281</v>
      </c>
      <c r="AD301" s="343">
        <v>1866</v>
      </c>
      <c r="AE301" s="343">
        <v>121723</v>
      </c>
      <c r="AF301" s="343">
        <v>5844</v>
      </c>
      <c r="AG301" s="343">
        <v>0</v>
      </c>
      <c r="AH301" s="343">
        <v>127567</v>
      </c>
      <c r="AI301" s="343">
        <v>10955.07</v>
      </c>
    </row>
    <row r="302" spans="25:35">
      <c r="Y302" s="343" t="s">
        <v>338</v>
      </c>
      <c r="Z302" s="343" t="s">
        <v>163</v>
      </c>
      <c r="AA302" s="384">
        <v>46223</v>
      </c>
      <c r="AB302" s="384">
        <v>46229</v>
      </c>
      <c r="AC302" s="343" t="s">
        <v>279</v>
      </c>
      <c r="AD302" s="343">
        <v>102</v>
      </c>
      <c r="AE302" s="343">
        <v>1171</v>
      </c>
      <c r="AF302" s="343">
        <v>48</v>
      </c>
      <c r="AG302" s="343">
        <v>0</v>
      </c>
      <c r="AH302" s="343">
        <v>1219</v>
      </c>
      <c r="AI302" s="343">
        <v>105.39</v>
      </c>
    </row>
    <row r="303" spans="25:35">
      <c r="Y303" s="343" t="s">
        <v>338</v>
      </c>
      <c r="Z303" s="343" t="s">
        <v>163</v>
      </c>
      <c r="AA303" s="384">
        <v>46223</v>
      </c>
      <c r="AB303" s="384">
        <v>46229</v>
      </c>
      <c r="AC303" s="343" t="s">
        <v>277</v>
      </c>
      <c r="AD303" s="343">
        <v>54</v>
      </c>
      <c r="AE303" s="343">
        <v>16018</v>
      </c>
      <c r="AF303" s="343">
        <v>75</v>
      </c>
      <c r="AG303" s="343">
        <v>0</v>
      </c>
      <c r="AH303" s="343">
        <v>16093</v>
      </c>
      <c r="AI303" s="343">
        <v>1441.62</v>
      </c>
    </row>
    <row r="304" spans="25:35">
      <c r="Y304" s="343" t="s">
        <v>338</v>
      </c>
      <c r="Z304" s="343" t="s">
        <v>163</v>
      </c>
      <c r="AA304" s="384">
        <v>46223</v>
      </c>
      <c r="AB304" s="384">
        <v>46229</v>
      </c>
      <c r="AC304" s="343" t="s">
        <v>293</v>
      </c>
      <c r="AD304" s="343">
        <v>34</v>
      </c>
      <c r="AE304" s="343">
        <v>7910</v>
      </c>
      <c r="AF304" s="343">
        <v>115</v>
      </c>
      <c r="AG304" s="343">
        <v>0</v>
      </c>
      <c r="AH304" s="343">
        <v>8025</v>
      </c>
      <c r="AI304" s="343">
        <v>711.9</v>
      </c>
    </row>
    <row r="305" spans="25:35">
      <c r="Y305" s="343" t="s">
        <v>338</v>
      </c>
      <c r="Z305" s="343" t="s">
        <v>163</v>
      </c>
      <c r="AA305" s="384">
        <v>46223</v>
      </c>
      <c r="AB305" s="384">
        <v>46229</v>
      </c>
      <c r="AC305" s="343" t="s">
        <v>287</v>
      </c>
      <c r="AD305" s="343">
        <v>253</v>
      </c>
      <c r="AE305" s="343">
        <v>5535</v>
      </c>
      <c r="AF305" s="343">
        <v>186</v>
      </c>
      <c r="AG305" s="343">
        <v>0</v>
      </c>
      <c r="AH305" s="343">
        <v>5721</v>
      </c>
      <c r="AI305" s="343">
        <v>498.15</v>
      </c>
    </row>
    <row r="306" spans="25:35">
      <c r="Y306" s="343" t="s">
        <v>338</v>
      </c>
      <c r="Z306" s="343" t="s">
        <v>166</v>
      </c>
      <c r="AA306" s="384">
        <v>46230</v>
      </c>
      <c r="AB306" s="384">
        <v>46236</v>
      </c>
      <c r="AC306" s="343" t="s">
        <v>285</v>
      </c>
      <c r="AD306" s="343">
        <v>1384</v>
      </c>
      <c r="AE306" s="343">
        <v>47081</v>
      </c>
      <c r="AF306" s="343">
        <v>5551</v>
      </c>
      <c r="AG306" s="343">
        <v>0</v>
      </c>
      <c r="AH306" s="343">
        <v>52632</v>
      </c>
      <c r="AI306" s="343">
        <v>4237.29</v>
      </c>
    </row>
    <row r="307" spans="25:35">
      <c r="Y307" s="343" t="s">
        <v>338</v>
      </c>
      <c r="Z307" s="343" t="s">
        <v>166</v>
      </c>
      <c r="AA307" s="384">
        <v>46230</v>
      </c>
      <c r="AB307" s="384">
        <v>46236</v>
      </c>
      <c r="AC307" s="343" t="s">
        <v>283</v>
      </c>
      <c r="AD307" s="343">
        <v>844</v>
      </c>
      <c r="AE307" s="343">
        <v>7937</v>
      </c>
      <c r="AF307" s="343">
        <v>424</v>
      </c>
      <c r="AG307" s="343">
        <v>0</v>
      </c>
      <c r="AH307" s="343">
        <v>8361</v>
      </c>
      <c r="AI307" s="343">
        <v>714.33</v>
      </c>
    </row>
    <row r="308" spans="25:35">
      <c r="Y308" s="343" t="s">
        <v>338</v>
      </c>
      <c r="Z308" s="343" t="s">
        <v>166</v>
      </c>
      <c r="AA308" s="384">
        <v>46230</v>
      </c>
      <c r="AB308" s="384">
        <v>46236</v>
      </c>
      <c r="AC308" s="343" t="s">
        <v>281</v>
      </c>
      <c r="AD308" s="343">
        <v>1649</v>
      </c>
      <c r="AE308" s="343">
        <v>95565</v>
      </c>
      <c r="AF308" s="343">
        <v>5401</v>
      </c>
      <c r="AG308" s="343">
        <v>0</v>
      </c>
      <c r="AH308" s="343">
        <v>100966</v>
      </c>
      <c r="AI308" s="343">
        <v>8600.85</v>
      </c>
    </row>
    <row r="309" spans="25:35">
      <c r="Y309" s="343" t="s">
        <v>338</v>
      </c>
      <c r="Z309" s="343" t="s">
        <v>166</v>
      </c>
      <c r="AA309" s="384">
        <v>46230</v>
      </c>
      <c r="AB309" s="384">
        <v>46236</v>
      </c>
      <c r="AC309" s="343" t="s">
        <v>279</v>
      </c>
      <c r="AD309" s="343">
        <v>73</v>
      </c>
      <c r="AE309" s="343">
        <v>552</v>
      </c>
      <c r="AF309" s="343">
        <v>336</v>
      </c>
      <c r="AG309" s="343">
        <v>0</v>
      </c>
      <c r="AH309" s="343">
        <v>888</v>
      </c>
      <c r="AI309" s="343">
        <v>49.68</v>
      </c>
    </row>
    <row r="310" spans="25:35">
      <c r="Y310" s="343" t="s">
        <v>338</v>
      </c>
      <c r="Z310" s="343" t="s">
        <v>166</v>
      </c>
      <c r="AA310" s="384">
        <v>46230</v>
      </c>
      <c r="AB310" s="384">
        <v>46236</v>
      </c>
      <c r="AC310" s="343" t="s">
        <v>277</v>
      </c>
      <c r="AD310" s="343">
        <v>43</v>
      </c>
      <c r="AE310" s="343">
        <v>7592</v>
      </c>
      <c r="AF310" s="343">
        <v>150</v>
      </c>
      <c r="AG310" s="343">
        <v>0</v>
      </c>
      <c r="AH310" s="343">
        <v>7742</v>
      </c>
      <c r="AI310" s="343">
        <v>683.28</v>
      </c>
    </row>
    <row r="311" spans="25:35">
      <c r="Y311" s="343" t="s">
        <v>338</v>
      </c>
      <c r="Z311" s="343" t="s">
        <v>166</v>
      </c>
      <c r="AA311" s="384">
        <v>46230</v>
      </c>
      <c r="AB311" s="384">
        <v>46236</v>
      </c>
      <c r="AC311" s="343" t="s">
        <v>293</v>
      </c>
      <c r="AD311" s="343">
        <v>23</v>
      </c>
      <c r="AE311" s="343">
        <v>4410</v>
      </c>
      <c r="AF311" s="343">
        <v>110</v>
      </c>
      <c r="AG311" s="343">
        <v>0</v>
      </c>
      <c r="AH311" s="343">
        <v>4520</v>
      </c>
      <c r="AI311" s="343">
        <v>396.9</v>
      </c>
    </row>
    <row r="312" spans="25:35">
      <c r="Y312" s="343" t="s">
        <v>338</v>
      </c>
      <c r="Z312" s="343" t="s">
        <v>166</v>
      </c>
      <c r="AA312" s="384">
        <v>46230</v>
      </c>
      <c r="AB312" s="384">
        <v>46236</v>
      </c>
      <c r="AC312" s="343" t="s">
        <v>287</v>
      </c>
      <c r="AD312" s="343">
        <v>216</v>
      </c>
      <c r="AE312" s="343">
        <v>5267</v>
      </c>
      <c r="AF312" s="343">
        <v>302</v>
      </c>
      <c r="AG312" s="343">
        <v>0</v>
      </c>
      <c r="AH312" s="343">
        <v>5569</v>
      </c>
      <c r="AI312" s="343">
        <v>474.03</v>
      </c>
    </row>
    <row r="313" spans="25:35">
      <c r="Y313" s="343" t="s">
        <v>338</v>
      </c>
      <c r="Z313" s="343" t="s">
        <v>167</v>
      </c>
      <c r="AA313" s="384">
        <v>46237</v>
      </c>
      <c r="AB313" s="384">
        <v>46243</v>
      </c>
      <c r="AC313" s="343" t="s">
        <v>285</v>
      </c>
      <c r="AD313" s="343">
        <v>1567</v>
      </c>
      <c r="AE313" s="343">
        <v>57541.5</v>
      </c>
      <c r="AF313" s="343">
        <v>5573</v>
      </c>
      <c r="AG313" s="343">
        <v>0</v>
      </c>
      <c r="AH313" s="343">
        <v>63114.5</v>
      </c>
      <c r="AI313" s="343">
        <v>5178.75</v>
      </c>
    </row>
    <row r="314" spans="25:35">
      <c r="Y314" s="343" t="s">
        <v>338</v>
      </c>
      <c r="Z314" s="343" t="s">
        <v>167</v>
      </c>
      <c r="AA314" s="384">
        <v>46237</v>
      </c>
      <c r="AB314" s="384">
        <v>46243</v>
      </c>
      <c r="AC314" s="343" t="s">
        <v>283</v>
      </c>
      <c r="AD314" s="343">
        <v>788</v>
      </c>
      <c r="AE314" s="343">
        <v>6948</v>
      </c>
      <c r="AF314" s="343">
        <v>396</v>
      </c>
      <c r="AG314" s="343">
        <v>0</v>
      </c>
      <c r="AH314" s="343">
        <v>7344</v>
      </c>
      <c r="AI314" s="343">
        <v>625.32000000000005</v>
      </c>
    </row>
    <row r="315" spans="25:35">
      <c r="Y315" s="343" t="s">
        <v>338</v>
      </c>
      <c r="Z315" s="343" t="s">
        <v>167</v>
      </c>
      <c r="AA315" s="384">
        <v>46237</v>
      </c>
      <c r="AB315" s="384">
        <v>46243</v>
      </c>
      <c r="AC315" s="343" t="s">
        <v>281</v>
      </c>
      <c r="AD315" s="343">
        <v>1496</v>
      </c>
      <c r="AE315" s="343">
        <v>85248</v>
      </c>
      <c r="AF315" s="343">
        <v>3661</v>
      </c>
      <c r="AG315" s="343">
        <v>0</v>
      </c>
      <c r="AH315" s="343">
        <v>88909</v>
      </c>
      <c r="AI315" s="343">
        <v>7672.32</v>
      </c>
    </row>
    <row r="316" spans="25:35">
      <c r="Y316" s="343" t="s">
        <v>338</v>
      </c>
      <c r="Z316" s="343" t="s">
        <v>167</v>
      </c>
      <c r="AA316" s="384">
        <v>46237</v>
      </c>
      <c r="AB316" s="384">
        <v>46243</v>
      </c>
      <c r="AC316" s="343" t="s">
        <v>279</v>
      </c>
      <c r="AD316" s="343">
        <v>101</v>
      </c>
      <c r="AE316" s="343">
        <v>1042</v>
      </c>
      <c r="AF316" s="343">
        <v>152</v>
      </c>
      <c r="AG316" s="343">
        <v>0</v>
      </c>
      <c r="AH316" s="343">
        <v>1194</v>
      </c>
      <c r="AI316" s="343">
        <v>93.78</v>
      </c>
    </row>
    <row r="317" spans="25:35">
      <c r="Y317" s="343" t="s">
        <v>338</v>
      </c>
      <c r="Z317" s="343" t="s">
        <v>167</v>
      </c>
      <c r="AA317" s="384">
        <v>46237</v>
      </c>
      <c r="AB317" s="384">
        <v>46243</v>
      </c>
      <c r="AC317" s="343" t="s">
        <v>277</v>
      </c>
      <c r="AD317" s="343">
        <v>26</v>
      </c>
      <c r="AE317" s="343">
        <v>7136</v>
      </c>
      <c r="AF317" s="343">
        <v>425</v>
      </c>
      <c r="AG317" s="343">
        <v>0</v>
      </c>
      <c r="AH317" s="343">
        <v>7561</v>
      </c>
      <c r="AI317" s="343">
        <v>642.24</v>
      </c>
    </row>
    <row r="318" spans="25:35">
      <c r="Y318" s="343" t="s">
        <v>338</v>
      </c>
      <c r="Z318" s="343" t="s">
        <v>167</v>
      </c>
      <c r="AA318" s="384">
        <v>46237</v>
      </c>
      <c r="AB318" s="384">
        <v>46243</v>
      </c>
      <c r="AC318" s="343" t="s">
        <v>293</v>
      </c>
      <c r="AD318" s="343">
        <v>28</v>
      </c>
      <c r="AE318" s="343">
        <v>5125</v>
      </c>
      <c r="AF318" s="343">
        <v>355</v>
      </c>
      <c r="AG318" s="343">
        <v>0</v>
      </c>
      <c r="AH318" s="343">
        <v>5480</v>
      </c>
      <c r="AI318" s="343">
        <v>461.25</v>
      </c>
    </row>
    <row r="319" spans="25:35">
      <c r="Y319" s="343" t="s">
        <v>338</v>
      </c>
      <c r="Z319" s="343" t="s">
        <v>167</v>
      </c>
      <c r="AA319" s="384">
        <v>46237</v>
      </c>
      <c r="AB319" s="384">
        <v>46243</v>
      </c>
      <c r="AC319" s="343" t="s">
        <v>287</v>
      </c>
      <c r="AD319" s="343">
        <v>254</v>
      </c>
      <c r="AE319" s="343">
        <v>6467</v>
      </c>
      <c r="AF319" s="343">
        <v>166</v>
      </c>
      <c r="AG319" s="343">
        <v>0</v>
      </c>
      <c r="AH319" s="343">
        <v>6633</v>
      </c>
      <c r="AI319" s="343">
        <v>582.03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5054-C82A-483B-A6C6-1691613C7B3A}">
  <dimension ref="A1:AI269"/>
  <sheetViews>
    <sheetView workbookViewId="0">
      <selection activeCell="Z5" sqref="Z5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9.140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8.28515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10.7109375" style="343" bestFit="1" customWidth="1"/>
    <col min="18" max="18" width="9.140625" style="343" bestFit="1" customWidth="1"/>
    <col min="19" max="19" width="11.140625" style="343" bestFit="1" customWidth="1"/>
    <col min="20" max="20" width="11" style="343" bestFit="1" customWidth="1"/>
    <col min="21" max="21" width="9.140625" style="343" bestFit="1" customWidth="1"/>
    <col min="22" max="22" width="11.42578125" style="343" bestFit="1" customWidth="1"/>
    <col min="23" max="23" width="8.140625" style="343" bestFit="1" customWidth="1"/>
    <col min="24" max="24" width="9.140625" style="343"/>
    <col min="25" max="25" width="7.7109375" style="343" bestFit="1" customWidth="1"/>
    <col min="26" max="26" width="8.140625" style="343" bestFit="1" customWidth="1"/>
    <col min="27" max="27" width="9.85546875" style="343" bestFit="1" customWidth="1"/>
    <col min="28" max="28" width="9.140625" style="343" bestFit="1" customWidth="1"/>
    <col min="29" max="29" width="19.7109375" style="343" bestFit="1" customWidth="1"/>
    <col min="30" max="30" width="7" style="343" bestFit="1" customWidth="1"/>
    <col min="31" max="31" width="9.140625" style="343" bestFit="1" customWidth="1"/>
    <col min="32" max="32" width="14.5703125" style="343" bestFit="1" customWidth="1"/>
    <col min="33" max="33" width="13.42578125" style="343" bestFit="1" customWidth="1"/>
    <col min="34" max="34" width="10.28515625" style="343" bestFit="1" customWidth="1"/>
    <col min="35" max="35" width="10.85546875" style="343" bestFit="1" customWidth="1"/>
    <col min="36" max="16384" width="9.140625" style="343"/>
  </cols>
  <sheetData>
    <row r="1" spans="1:35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115</v>
      </c>
      <c r="R1" s="343" t="s">
        <v>116</v>
      </c>
      <c r="S1" s="343" t="s">
        <v>117</v>
      </c>
      <c r="T1" s="343" t="s">
        <v>118</v>
      </c>
      <c r="U1" s="343" t="s">
        <v>119</v>
      </c>
      <c r="V1" s="343" t="s">
        <v>108</v>
      </c>
      <c r="W1" s="343" t="s">
        <v>100</v>
      </c>
      <c r="Y1" s="343" t="s">
        <v>102</v>
      </c>
      <c r="Z1" s="343" t="s">
        <v>100</v>
      </c>
      <c r="AA1" s="343" t="s">
        <v>112</v>
      </c>
      <c r="AB1" s="343" t="s">
        <v>113</v>
      </c>
      <c r="AC1" s="343" t="s">
        <v>266</v>
      </c>
      <c r="AD1" s="343" t="s">
        <v>267</v>
      </c>
      <c r="AE1" s="343" t="s">
        <v>116</v>
      </c>
      <c r="AF1" s="343" t="s">
        <v>268</v>
      </c>
      <c r="AG1" s="343" t="s">
        <v>269</v>
      </c>
      <c r="AH1" s="343" t="s">
        <v>270</v>
      </c>
      <c r="AI1" s="343" t="s">
        <v>271</v>
      </c>
    </row>
    <row r="2" spans="1:35">
      <c r="A2" s="343">
        <v>20251229</v>
      </c>
      <c r="B2" s="343">
        <v>35422.269999999997</v>
      </c>
      <c r="C2" s="343">
        <v>161</v>
      </c>
      <c r="D2" s="343">
        <v>319</v>
      </c>
      <c r="E2" s="384">
        <v>46020</v>
      </c>
      <c r="F2" s="343" t="s">
        <v>232</v>
      </c>
      <c r="G2" s="343" t="s">
        <v>122</v>
      </c>
      <c r="I2" s="343">
        <v>20260103</v>
      </c>
      <c r="J2" s="343">
        <v>16323.86</v>
      </c>
      <c r="K2" s="343">
        <v>76</v>
      </c>
      <c r="L2" s="343">
        <v>201</v>
      </c>
      <c r="M2" s="384">
        <v>46025</v>
      </c>
      <c r="N2" s="343" t="s">
        <v>244</v>
      </c>
      <c r="O2" s="343" t="s">
        <v>122</v>
      </c>
      <c r="Q2" s="343">
        <v>20251231</v>
      </c>
      <c r="R2" s="343">
        <v>15237.52</v>
      </c>
      <c r="S2" s="343">
        <v>71</v>
      </c>
      <c r="T2" s="343">
        <v>124</v>
      </c>
      <c r="U2" s="384">
        <v>46022</v>
      </c>
      <c r="V2" s="343" t="s">
        <v>234</v>
      </c>
      <c r="W2" s="343" t="s">
        <v>122</v>
      </c>
      <c r="Y2" s="343" t="s">
        <v>121</v>
      </c>
      <c r="Z2" s="343" t="s">
        <v>122</v>
      </c>
      <c r="AA2" s="384">
        <v>46020</v>
      </c>
      <c r="AB2" s="384">
        <v>46026</v>
      </c>
      <c r="AC2" s="343" t="s">
        <v>279</v>
      </c>
      <c r="AD2" s="343">
        <v>187</v>
      </c>
      <c r="AE2" s="343">
        <v>1864.5</v>
      </c>
      <c r="AF2" s="343">
        <v>0</v>
      </c>
      <c r="AG2" s="343">
        <v>0</v>
      </c>
      <c r="AH2" s="343">
        <v>1864.5</v>
      </c>
      <c r="AI2" s="343">
        <v>121.63</v>
      </c>
    </row>
    <row r="3" spans="1:35">
      <c r="A3" s="343">
        <v>20251230</v>
      </c>
      <c r="B3" s="343">
        <v>30356</v>
      </c>
      <c r="C3" s="343">
        <v>153</v>
      </c>
      <c r="D3" s="343">
        <v>332</v>
      </c>
      <c r="E3" s="384">
        <v>46021</v>
      </c>
      <c r="F3" s="343" t="s">
        <v>233</v>
      </c>
      <c r="G3" s="343" t="s">
        <v>122</v>
      </c>
      <c r="I3" s="343">
        <v>20260104</v>
      </c>
      <c r="J3" s="343">
        <v>11704.5</v>
      </c>
      <c r="K3" s="343">
        <v>68</v>
      </c>
      <c r="L3" s="343">
        <v>170</v>
      </c>
      <c r="M3" s="384">
        <v>46026</v>
      </c>
      <c r="N3" s="343" t="s">
        <v>245</v>
      </c>
      <c r="O3" s="343" t="s">
        <v>122</v>
      </c>
      <c r="Q3" s="343">
        <v>20260101</v>
      </c>
      <c r="R3" s="343">
        <v>1793</v>
      </c>
      <c r="S3" s="343">
        <v>12</v>
      </c>
      <c r="T3" s="343">
        <v>19</v>
      </c>
      <c r="U3" s="384">
        <v>46023</v>
      </c>
      <c r="V3" s="343" t="s">
        <v>235</v>
      </c>
      <c r="W3" s="343" t="s">
        <v>122</v>
      </c>
      <c r="Y3" s="343" t="s">
        <v>121</v>
      </c>
      <c r="Z3" s="343" t="s">
        <v>122</v>
      </c>
      <c r="AA3" s="384">
        <v>46020</v>
      </c>
      <c r="AB3" s="384">
        <v>46026</v>
      </c>
      <c r="AC3" s="343" t="s">
        <v>293</v>
      </c>
      <c r="AD3" s="343">
        <v>2</v>
      </c>
      <c r="AE3" s="343">
        <v>2070</v>
      </c>
      <c r="AF3" s="343">
        <v>0</v>
      </c>
      <c r="AG3" s="343">
        <v>0</v>
      </c>
      <c r="AH3" s="343">
        <v>2070</v>
      </c>
      <c r="AI3" s="343">
        <v>134.55000000000001</v>
      </c>
    </row>
    <row r="4" spans="1:35">
      <c r="A4" s="343">
        <v>20251231</v>
      </c>
      <c r="B4" s="343">
        <v>56583.11</v>
      </c>
      <c r="C4" s="343">
        <v>182</v>
      </c>
      <c r="D4" s="343">
        <v>353</v>
      </c>
      <c r="E4" s="384">
        <v>46022</v>
      </c>
      <c r="F4" s="343" t="s">
        <v>234</v>
      </c>
      <c r="G4" s="343" t="s">
        <v>122</v>
      </c>
      <c r="I4" s="343">
        <v>20260110</v>
      </c>
      <c r="J4" s="343">
        <v>14351.8</v>
      </c>
      <c r="K4" s="343">
        <v>58</v>
      </c>
      <c r="L4" s="343">
        <v>164</v>
      </c>
      <c r="M4" s="384">
        <v>46032</v>
      </c>
      <c r="N4" s="343" t="s">
        <v>244</v>
      </c>
      <c r="O4" s="343" t="s">
        <v>123</v>
      </c>
      <c r="Q4" s="343">
        <v>20260102</v>
      </c>
      <c r="R4" s="343">
        <v>8218</v>
      </c>
      <c r="S4" s="343">
        <v>58</v>
      </c>
      <c r="T4" s="343">
        <v>111</v>
      </c>
      <c r="U4" s="384">
        <v>46024</v>
      </c>
      <c r="V4" s="343" t="s">
        <v>236</v>
      </c>
      <c r="W4" s="343" t="s">
        <v>122</v>
      </c>
      <c r="Y4" s="343" t="s">
        <v>121</v>
      </c>
      <c r="Z4" s="343" t="s">
        <v>122</v>
      </c>
      <c r="AA4" s="384">
        <v>46020</v>
      </c>
      <c r="AB4" s="384">
        <v>46026</v>
      </c>
      <c r="AC4" s="343" t="s">
        <v>106</v>
      </c>
      <c r="AD4" s="343">
        <v>4</v>
      </c>
      <c r="AE4" s="343">
        <v>883.52</v>
      </c>
      <c r="AF4" s="343">
        <v>0</v>
      </c>
      <c r="AG4" s="343">
        <v>0</v>
      </c>
      <c r="AH4" s="343">
        <v>883.52</v>
      </c>
      <c r="AI4" s="343">
        <v>0</v>
      </c>
    </row>
    <row r="5" spans="1:35">
      <c r="A5" s="343">
        <v>20260101</v>
      </c>
      <c r="B5" s="343">
        <v>24991.599999999999</v>
      </c>
      <c r="C5" s="343">
        <v>126</v>
      </c>
      <c r="D5" s="343">
        <v>260</v>
      </c>
      <c r="E5" s="384">
        <v>46023</v>
      </c>
      <c r="F5" s="343" t="s">
        <v>235</v>
      </c>
      <c r="G5" s="343" t="s">
        <v>122</v>
      </c>
      <c r="I5" s="343">
        <v>20260111</v>
      </c>
      <c r="J5" s="343">
        <v>11581</v>
      </c>
      <c r="K5" s="343">
        <v>71</v>
      </c>
      <c r="L5" s="343">
        <v>176</v>
      </c>
      <c r="M5" s="384">
        <v>46033</v>
      </c>
      <c r="N5" s="343" t="s">
        <v>245</v>
      </c>
      <c r="O5" s="343" t="s">
        <v>123</v>
      </c>
      <c r="Q5" s="343">
        <v>20260103</v>
      </c>
      <c r="R5" s="343">
        <v>19591.919999999998</v>
      </c>
      <c r="S5" s="343">
        <v>71</v>
      </c>
      <c r="T5" s="343">
        <v>158</v>
      </c>
      <c r="U5" s="384">
        <v>46025</v>
      </c>
      <c r="V5" s="343" t="s">
        <v>244</v>
      </c>
      <c r="W5" s="343" t="s">
        <v>122</v>
      </c>
      <c r="Y5" s="343" t="s">
        <v>121</v>
      </c>
      <c r="Z5" s="343" t="s">
        <v>122</v>
      </c>
      <c r="AA5" s="384">
        <v>46020</v>
      </c>
      <c r="AB5" s="384">
        <v>46026</v>
      </c>
      <c r="AC5" s="343" t="s">
        <v>339</v>
      </c>
      <c r="AD5" s="343">
        <v>2</v>
      </c>
      <c r="AE5" s="343">
        <v>49.71</v>
      </c>
      <c r="AF5" s="343">
        <v>0</v>
      </c>
      <c r="AG5" s="343">
        <v>0</v>
      </c>
      <c r="AH5" s="343">
        <v>49.71</v>
      </c>
      <c r="AI5" s="343">
        <v>3.23</v>
      </c>
    </row>
    <row r="6" spans="1:35">
      <c r="A6" s="343">
        <v>20260102</v>
      </c>
      <c r="B6" s="343">
        <v>32222.5</v>
      </c>
      <c r="C6" s="343">
        <v>155</v>
      </c>
      <c r="D6" s="343">
        <v>310</v>
      </c>
      <c r="E6" s="384">
        <v>46024</v>
      </c>
      <c r="F6" s="343" t="s">
        <v>236</v>
      </c>
      <c r="G6" s="343" t="s">
        <v>122</v>
      </c>
      <c r="I6" s="343">
        <v>20260117</v>
      </c>
      <c r="J6" s="343">
        <v>11738</v>
      </c>
      <c r="K6" s="343">
        <v>81</v>
      </c>
      <c r="L6" s="343">
        <v>181</v>
      </c>
      <c r="M6" s="384">
        <v>46039</v>
      </c>
      <c r="N6" s="343" t="s">
        <v>244</v>
      </c>
      <c r="O6" s="343" t="s">
        <v>124</v>
      </c>
      <c r="Q6" s="343">
        <v>20260106</v>
      </c>
      <c r="S6" s="343">
        <v>10</v>
      </c>
      <c r="T6" s="343">
        <v>10</v>
      </c>
      <c r="U6" s="384">
        <v>46028</v>
      </c>
      <c r="V6" s="343" t="s">
        <v>233</v>
      </c>
      <c r="W6" s="343" t="s">
        <v>123</v>
      </c>
      <c r="Y6" s="343" t="s">
        <v>121</v>
      </c>
      <c r="Z6" s="343" t="s">
        <v>123</v>
      </c>
      <c r="AA6" s="384">
        <v>46027</v>
      </c>
      <c r="AB6" s="384">
        <v>46033</v>
      </c>
      <c r="AC6" s="343" t="s">
        <v>293</v>
      </c>
      <c r="AD6" s="343">
        <v>2</v>
      </c>
      <c r="AE6" s="343">
        <v>415</v>
      </c>
      <c r="AF6" s="343">
        <v>0</v>
      </c>
      <c r="AG6" s="343">
        <v>0</v>
      </c>
      <c r="AH6" s="343">
        <v>415</v>
      </c>
      <c r="AI6" s="343">
        <v>26.98</v>
      </c>
    </row>
    <row r="7" spans="1:35">
      <c r="A7" s="343">
        <v>20260103</v>
      </c>
      <c r="B7" s="343">
        <v>31917.75</v>
      </c>
      <c r="C7" s="343">
        <v>180</v>
      </c>
      <c r="D7" s="343">
        <v>318</v>
      </c>
      <c r="E7" s="384">
        <v>46025</v>
      </c>
      <c r="F7" s="343" t="s">
        <v>244</v>
      </c>
      <c r="G7" s="343" t="s">
        <v>122</v>
      </c>
      <c r="I7" s="343">
        <v>20260118</v>
      </c>
      <c r="J7" s="343">
        <v>14084.7</v>
      </c>
      <c r="K7" s="343">
        <v>70</v>
      </c>
      <c r="L7" s="343">
        <v>199</v>
      </c>
      <c r="M7" s="384">
        <v>46040</v>
      </c>
      <c r="N7" s="343" t="s">
        <v>245</v>
      </c>
      <c r="O7" s="343" t="s">
        <v>124</v>
      </c>
      <c r="Q7" s="343">
        <v>20260107</v>
      </c>
      <c r="R7" s="343">
        <v>2221</v>
      </c>
      <c r="S7" s="343">
        <v>11</v>
      </c>
      <c r="T7" s="343">
        <v>17</v>
      </c>
      <c r="U7" s="384">
        <v>46029</v>
      </c>
      <c r="V7" s="343" t="s">
        <v>234</v>
      </c>
      <c r="W7" s="343" t="s">
        <v>123</v>
      </c>
      <c r="Y7" s="343" t="s">
        <v>121</v>
      </c>
      <c r="Z7" s="343" t="s">
        <v>123</v>
      </c>
      <c r="AA7" s="384">
        <v>46027</v>
      </c>
      <c r="AB7" s="384">
        <v>46033</v>
      </c>
      <c r="AC7" s="343" t="s">
        <v>106</v>
      </c>
      <c r="AD7" s="343">
        <v>4</v>
      </c>
      <c r="AE7" s="343">
        <v>438.2</v>
      </c>
      <c r="AF7" s="343">
        <v>0</v>
      </c>
      <c r="AG7" s="343">
        <v>0</v>
      </c>
      <c r="AH7" s="343">
        <v>438.2</v>
      </c>
      <c r="AI7" s="343">
        <v>0</v>
      </c>
    </row>
    <row r="8" spans="1:35">
      <c r="A8" s="343">
        <v>20260104</v>
      </c>
      <c r="B8" s="343">
        <v>17057.990000000002</v>
      </c>
      <c r="C8" s="343">
        <v>101</v>
      </c>
      <c r="D8" s="343">
        <v>186</v>
      </c>
      <c r="E8" s="384">
        <v>46026</v>
      </c>
      <c r="F8" s="343" t="s">
        <v>245</v>
      </c>
      <c r="G8" s="343" t="s">
        <v>122</v>
      </c>
      <c r="I8" s="343">
        <v>20260125</v>
      </c>
      <c r="J8" s="343">
        <v>11707.5</v>
      </c>
      <c r="K8" s="343">
        <v>75</v>
      </c>
      <c r="L8" s="343">
        <v>182</v>
      </c>
      <c r="M8" s="384">
        <v>46047</v>
      </c>
      <c r="N8" s="343" t="s">
        <v>245</v>
      </c>
      <c r="O8" s="343" t="s">
        <v>125</v>
      </c>
      <c r="Q8" s="343">
        <v>20260108</v>
      </c>
      <c r="R8" s="343">
        <v>4876.45</v>
      </c>
      <c r="S8" s="343">
        <v>21</v>
      </c>
      <c r="T8" s="343">
        <v>47</v>
      </c>
      <c r="U8" s="384">
        <v>46030</v>
      </c>
      <c r="V8" s="343" t="s">
        <v>235</v>
      </c>
      <c r="W8" s="343" t="s">
        <v>123</v>
      </c>
      <c r="Y8" s="343" t="s">
        <v>121</v>
      </c>
      <c r="Z8" s="343" t="s">
        <v>124</v>
      </c>
      <c r="AA8" s="384">
        <v>46034</v>
      </c>
      <c r="AB8" s="384">
        <v>46040</v>
      </c>
      <c r="AC8" s="343" t="s">
        <v>279</v>
      </c>
      <c r="AD8" s="343">
        <v>160</v>
      </c>
      <c r="AE8" s="343">
        <v>1619</v>
      </c>
      <c r="AF8" s="343">
        <v>0</v>
      </c>
      <c r="AG8" s="343">
        <v>0</v>
      </c>
      <c r="AH8" s="343">
        <v>1619</v>
      </c>
      <c r="AI8" s="343">
        <v>105.68</v>
      </c>
    </row>
    <row r="9" spans="1:35">
      <c r="A9" s="343">
        <v>20260105</v>
      </c>
      <c r="B9" s="343">
        <v>19390</v>
      </c>
      <c r="C9" s="343">
        <v>83</v>
      </c>
      <c r="D9" s="343">
        <v>178</v>
      </c>
      <c r="E9" s="384">
        <v>46027</v>
      </c>
      <c r="F9" s="343" t="s">
        <v>232</v>
      </c>
      <c r="G9" s="343" t="s">
        <v>123</v>
      </c>
      <c r="I9" s="343">
        <v>20260131</v>
      </c>
      <c r="J9" s="343">
        <v>10773.05</v>
      </c>
      <c r="K9" s="343">
        <v>54</v>
      </c>
      <c r="L9" s="343">
        <v>164</v>
      </c>
      <c r="M9" s="384">
        <v>46053</v>
      </c>
      <c r="N9" s="343" t="s">
        <v>244</v>
      </c>
      <c r="O9" s="343" t="s">
        <v>128</v>
      </c>
      <c r="Q9" s="343">
        <v>20260109</v>
      </c>
      <c r="R9" s="343">
        <v>9153.7000000000007</v>
      </c>
      <c r="S9" s="343">
        <v>69</v>
      </c>
      <c r="T9" s="343">
        <v>129</v>
      </c>
      <c r="U9" s="384">
        <v>46031</v>
      </c>
      <c r="V9" s="343" t="s">
        <v>236</v>
      </c>
      <c r="W9" s="343" t="s">
        <v>123</v>
      </c>
      <c r="Y9" s="343" t="s">
        <v>121</v>
      </c>
      <c r="Z9" s="343" t="s">
        <v>124</v>
      </c>
      <c r="AA9" s="384">
        <v>46034</v>
      </c>
      <c r="AB9" s="384">
        <v>46040</v>
      </c>
      <c r="AC9" s="343" t="s">
        <v>335</v>
      </c>
      <c r="AD9" s="343">
        <v>0</v>
      </c>
      <c r="AE9" s="343">
        <v>-49.34</v>
      </c>
      <c r="AF9" s="343">
        <v>0</v>
      </c>
      <c r="AG9" s="343">
        <v>49.34</v>
      </c>
      <c r="AH9" s="343">
        <v>0</v>
      </c>
      <c r="AI9" s="343">
        <v>0</v>
      </c>
    </row>
    <row r="10" spans="1:35">
      <c r="A10" s="343">
        <v>20260106</v>
      </c>
      <c r="B10" s="343">
        <v>16692</v>
      </c>
      <c r="C10" s="343">
        <v>110</v>
      </c>
      <c r="D10" s="343">
        <v>202</v>
      </c>
      <c r="E10" s="384">
        <v>46028</v>
      </c>
      <c r="F10" s="343" t="s">
        <v>233</v>
      </c>
      <c r="G10" s="343" t="s">
        <v>123</v>
      </c>
      <c r="I10" s="343">
        <v>20260201</v>
      </c>
      <c r="J10" s="343">
        <v>10308.790000000001</v>
      </c>
      <c r="K10" s="343">
        <v>49</v>
      </c>
      <c r="L10" s="343">
        <v>133</v>
      </c>
      <c r="M10" s="384">
        <v>46054</v>
      </c>
      <c r="N10" s="343" t="s">
        <v>245</v>
      </c>
      <c r="O10" s="343" t="s">
        <v>128</v>
      </c>
      <c r="Q10" s="343">
        <v>20260110</v>
      </c>
      <c r="R10" s="343">
        <v>9691.5</v>
      </c>
      <c r="S10" s="343">
        <v>65</v>
      </c>
      <c r="T10" s="343">
        <v>116</v>
      </c>
      <c r="U10" s="384">
        <v>46032</v>
      </c>
      <c r="V10" s="343" t="s">
        <v>244</v>
      </c>
      <c r="W10" s="343" t="s">
        <v>123</v>
      </c>
      <c r="Y10" s="343" t="s">
        <v>121</v>
      </c>
      <c r="Z10" s="343" t="s">
        <v>124</v>
      </c>
      <c r="AA10" s="384">
        <v>46034</v>
      </c>
      <c r="AB10" s="384">
        <v>46040</v>
      </c>
      <c r="AC10" s="343" t="s">
        <v>293</v>
      </c>
      <c r="AD10" s="343">
        <v>3</v>
      </c>
      <c r="AE10" s="343">
        <v>1130</v>
      </c>
      <c r="AF10" s="343">
        <v>0</v>
      </c>
      <c r="AG10" s="343">
        <v>0</v>
      </c>
      <c r="AH10" s="343">
        <v>1130</v>
      </c>
      <c r="AI10" s="343">
        <v>73.45</v>
      </c>
    </row>
    <row r="11" spans="1:35">
      <c r="A11" s="343">
        <v>20260107</v>
      </c>
      <c r="B11" s="343">
        <v>16501.490000000002</v>
      </c>
      <c r="C11" s="343">
        <v>76</v>
      </c>
      <c r="D11" s="343">
        <v>163</v>
      </c>
      <c r="E11" s="384">
        <v>46029</v>
      </c>
      <c r="F11" s="343" t="s">
        <v>234</v>
      </c>
      <c r="G11" s="343" t="s">
        <v>123</v>
      </c>
      <c r="I11" s="343">
        <v>20260207</v>
      </c>
      <c r="J11" s="343">
        <v>13630</v>
      </c>
      <c r="K11" s="343">
        <v>70</v>
      </c>
      <c r="L11" s="343">
        <v>174</v>
      </c>
      <c r="M11" s="384">
        <v>46060</v>
      </c>
      <c r="N11" s="343" t="s">
        <v>244</v>
      </c>
      <c r="O11" s="343" t="s">
        <v>129</v>
      </c>
      <c r="Q11" s="343">
        <v>20260114</v>
      </c>
      <c r="R11" s="343">
        <v>1891.5</v>
      </c>
      <c r="S11" s="343">
        <v>11</v>
      </c>
      <c r="T11" s="343">
        <v>16</v>
      </c>
      <c r="U11" s="384">
        <v>46036</v>
      </c>
      <c r="V11" s="343" t="s">
        <v>234</v>
      </c>
      <c r="W11" s="343" t="s">
        <v>124</v>
      </c>
      <c r="Y11" s="343" t="s">
        <v>121</v>
      </c>
      <c r="Z11" s="343" t="s">
        <v>124</v>
      </c>
      <c r="AA11" s="384">
        <v>46034</v>
      </c>
      <c r="AB11" s="384">
        <v>46040</v>
      </c>
      <c r="AC11" s="343" t="s">
        <v>106</v>
      </c>
      <c r="AD11" s="343">
        <v>5</v>
      </c>
      <c r="AE11" s="343">
        <v>904.8</v>
      </c>
      <c r="AF11" s="343">
        <v>0</v>
      </c>
      <c r="AG11" s="343">
        <v>0</v>
      </c>
      <c r="AH11" s="343">
        <v>904.8</v>
      </c>
      <c r="AI11" s="343">
        <v>0</v>
      </c>
    </row>
    <row r="12" spans="1:35">
      <c r="A12" s="343">
        <v>20260108</v>
      </c>
      <c r="B12" s="343">
        <v>26255.4</v>
      </c>
      <c r="C12" s="343">
        <v>94</v>
      </c>
      <c r="D12" s="343">
        <v>232</v>
      </c>
      <c r="E12" s="384">
        <v>46030</v>
      </c>
      <c r="F12" s="343" t="s">
        <v>235</v>
      </c>
      <c r="G12" s="343" t="s">
        <v>123</v>
      </c>
      <c r="I12" s="343">
        <v>20260208</v>
      </c>
      <c r="J12" s="343">
        <v>13413.25</v>
      </c>
      <c r="K12" s="343">
        <v>68</v>
      </c>
      <c r="L12" s="343">
        <v>175</v>
      </c>
      <c r="M12" s="384">
        <v>46061</v>
      </c>
      <c r="N12" s="343" t="s">
        <v>245</v>
      </c>
      <c r="O12" s="343" t="s">
        <v>129</v>
      </c>
      <c r="Q12" s="343">
        <v>20260115</v>
      </c>
      <c r="R12" s="343">
        <v>8891.35</v>
      </c>
      <c r="S12" s="343">
        <v>17</v>
      </c>
      <c r="T12" s="343">
        <v>57</v>
      </c>
      <c r="U12" s="384">
        <v>46037</v>
      </c>
      <c r="V12" s="343" t="s">
        <v>235</v>
      </c>
      <c r="W12" s="343" t="s">
        <v>124</v>
      </c>
      <c r="Y12" s="343" t="s">
        <v>121</v>
      </c>
      <c r="Z12" s="343" t="s">
        <v>125</v>
      </c>
      <c r="AA12" s="384">
        <v>46041</v>
      </c>
      <c r="AB12" s="384">
        <v>46047</v>
      </c>
      <c r="AC12" s="343" t="s">
        <v>106</v>
      </c>
      <c r="AD12" s="343">
        <v>7</v>
      </c>
      <c r="AE12" s="343">
        <v>1356.48</v>
      </c>
      <c r="AF12" s="343">
        <v>0</v>
      </c>
      <c r="AG12" s="343">
        <v>0</v>
      </c>
      <c r="AH12" s="343">
        <v>1356.48</v>
      </c>
      <c r="AI12" s="343">
        <v>0</v>
      </c>
    </row>
    <row r="13" spans="1:35">
      <c r="A13" s="343">
        <v>20260109</v>
      </c>
      <c r="B13" s="343">
        <v>28909.95</v>
      </c>
      <c r="C13" s="343">
        <v>161</v>
      </c>
      <c r="D13" s="343">
        <v>307</v>
      </c>
      <c r="E13" s="384">
        <v>46031</v>
      </c>
      <c r="F13" s="343" t="s">
        <v>236</v>
      </c>
      <c r="G13" s="343" t="s">
        <v>123</v>
      </c>
      <c r="I13" s="343">
        <v>20260214</v>
      </c>
      <c r="J13" s="343">
        <v>17179</v>
      </c>
      <c r="K13" s="343">
        <v>115</v>
      </c>
      <c r="L13" s="343">
        <v>230</v>
      </c>
      <c r="M13" s="384">
        <v>46067</v>
      </c>
      <c r="N13" s="343" t="s">
        <v>244</v>
      </c>
      <c r="O13" s="343" t="s">
        <v>130</v>
      </c>
      <c r="Q13" s="343">
        <v>20260116</v>
      </c>
      <c r="R13" s="343">
        <v>8555</v>
      </c>
      <c r="S13" s="343">
        <v>62</v>
      </c>
      <c r="T13" s="343">
        <v>103</v>
      </c>
      <c r="U13" s="384">
        <v>46038</v>
      </c>
      <c r="V13" s="343" t="s">
        <v>236</v>
      </c>
      <c r="W13" s="343" t="s">
        <v>124</v>
      </c>
      <c r="Y13" s="343" t="s">
        <v>121</v>
      </c>
      <c r="Z13" s="343" t="s">
        <v>125</v>
      </c>
      <c r="AA13" s="384">
        <v>46041</v>
      </c>
      <c r="AB13" s="384">
        <v>46047</v>
      </c>
      <c r="AC13" s="343" t="s">
        <v>339</v>
      </c>
      <c r="AD13" s="343">
        <v>3</v>
      </c>
      <c r="AE13" s="343">
        <v>715.5</v>
      </c>
      <c r="AF13" s="343">
        <v>0</v>
      </c>
      <c r="AG13" s="343">
        <v>0</v>
      </c>
      <c r="AH13" s="343">
        <v>715.5</v>
      </c>
      <c r="AI13" s="343">
        <v>46.51</v>
      </c>
    </row>
    <row r="14" spans="1:35">
      <c r="A14" s="343">
        <v>20260110</v>
      </c>
      <c r="B14" s="343">
        <v>44399.49</v>
      </c>
      <c r="C14" s="343">
        <v>216</v>
      </c>
      <c r="D14" s="343">
        <v>444</v>
      </c>
      <c r="E14" s="384">
        <v>46032</v>
      </c>
      <c r="F14" s="343" t="s">
        <v>244</v>
      </c>
      <c r="G14" s="343" t="s">
        <v>123</v>
      </c>
      <c r="I14" s="343">
        <v>20260215</v>
      </c>
      <c r="J14" s="343">
        <v>16640.099999999999</v>
      </c>
      <c r="K14" s="343">
        <v>108</v>
      </c>
      <c r="L14" s="343">
        <v>228</v>
      </c>
      <c r="M14" s="384">
        <v>46068</v>
      </c>
      <c r="N14" s="343" t="s">
        <v>245</v>
      </c>
      <c r="O14" s="343" t="s">
        <v>130</v>
      </c>
      <c r="Q14" s="343">
        <v>20260117</v>
      </c>
      <c r="R14" s="343">
        <v>17052.2</v>
      </c>
      <c r="S14" s="343">
        <v>62</v>
      </c>
      <c r="T14" s="343">
        <v>150</v>
      </c>
      <c r="U14" s="384">
        <v>46039</v>
      </c>
      <c r="V14" s="343" t="s">
        <v>244</v>
      </c>
      <c r="W14" s="343" t="s">
        <v>124</v>
      </c>
      <c r="Y14" s="343" t="s">
        <v>127</v>
      </c>
      <c r="Z14" s="343" t="s">
        <v>128</v>
      </c>
      <c r="AA14" s="384">
        <v>46048</v>
      </c>
      <c r="AB14" s="384">
        <v>46054</v>
      </c>
      <c r="AC14" s="343" t="s">
        <v>293</v>
      </c>
      <c r="AD14" s="343">
        <v>99</v>
      </c>
      <c r="AE14" s="343">
        <v>3858</v>
      </c>
      <c r="AF14" s="343">
        <v>0</v>
      </c>
      <c r="AG14" s="343">
        <v>0</v>
      </c>
      <c r="AH14" s="343">
        <v>3858</v>
      </c>
      <c r="AI14" s="343">
        <v>250.85</v>
      </c>
    </row>
    <row r="15" spans="1:35">
      <c r="A15" s="343">
        <v>20260111</v>
      </c>
      <c r="B15" s="343">
        <v>14390</v>
      </c>
      <c r="C15" s="343">
        <v>92</v>
      </c>
      <c r="D15" s="343">
        <v>170</v>
      </c>
      <c r="E15" s="384">
        <v>46033</v>
      </c>
      <c r="F15" s="343" t="s">
        <v>245</v>
      </c>
      <c r="G15" s="343" t="s">
        <v>123</v>
      </c>
      <c r="I15" s="343">
        <v>20260221</v>
      </c>
      <c r="J15" s="343">
        <v>11486.99</v>
      </c>
      <c r="K15" s="343">
        <v>78</v>
      </c>
      <c r="L15" s="343">
        <v>176</v>
      </c>
      <c r="M15" s="384">
        <v>46074</v>
      </c>
      <c r="N15" s="343" t="s">
        <v>244</v>
      </c>
      <c r="O15" s="343" t="s">
        <v>131</v>
      </c>
      <c r="Q15" s="343">
        <v>20260121</v>
      </c>
      <c r="R15" s="343">
        <v>7487.85</v>
      </c>
      <c r="S15" s="343">
        <v>12</v>
      </c>
      <c r="T15" s="343">
        <v>92</v>
      </c>
      <c r="U15" s="384">
        <v>46043</v>
      </c>
      <c r="V15" s="343" t="s">
        <v>234</v>
      </c>
      <c r="W15" s="343" t="s">
        <v>125</v>
      </c>
      <c r="Y15" s="343" t="s">
        <v>127</v>
      </c>
      <c r="Z15" s="343" t="s">
        <v>128</v>
      </c>
      <c r="AA15" s="384">
        <v>46048</v>
      </c>
      <c r="AB15" s="384">
        <v>46054</v>
      </c>
      <c r="AC15" s="343" t="s">
        <v>106</v>
      </c>
      <c r="AD15" s="343">
        <v>10</v>
      </c>
      <c r="AE15" s="343">
        <v>1533.53</v>
      </c>
      <c r="AF15" s="343">
        <v>0</v>
      </c>
      <c r="AG15" s="343">
        <v>0</v>
      </c>
      <c r="AH15" s="343">
        <v>1533.53</v>
      </c>
      <c r="AI15" s="343">
        <v>0</v>
      </c>
    </row>
    <row r="16" spans="1:35">
      <c r="A16" s="343">
        <v>20260112</v>
      </c>
      <c r="B16" s="343">
        <v>18074.060000000001</v>
      </c>
      <c r="C16" s="343">
        <v>69</v>
      </c>
      <c r="D16" s="343">
        <v>137</v>
      </c>
      <c r="E16" s="384">
        <v>46034</v>
      </c>
      <c r="F16" s="343" t="s">
        <v>232</v>
      </c>
      <c r="G16" s="343" t="s">
        <v>124</v>
      </c>
      <c r="I16" s="343">
        <v>20260222</v>
      </c>
      <c r="J16" s="343">
        <v>10595.5</v>
      </c>
      <c r="K16" s="343">
        <v>67</v>
      </c>
      <c r="L16" s="343">
        <v>151</v>
      </c>
      <c r="M16" s="384">
        <v>46075</v>
      </c>
      <c r="N16" s="343" t="s">
        <v>245</v>
      </c>
      <c r="O16" s="343" t="s">
        <v>131</v>
      </c>
      <c r="Q16" s="343">
        <v>20260122</v>
      </c>
      <c r="R16" s="343">
        <v>15405.61</v>
      </c>
      <c r="S16" s="343">
        <v>33</v>
      </c>
      <c r="T16" s="343">
        <v>129</v>
      </c>
      <c r="U16" s="384">
        <v>46044</v>
      </c>
      <c r="V16" s="343" t="s">
        <v>235</v>
      </c>
      <c r="W16" s="343" t="s">
        <v>125</v>
      </c>
      <c r="Y16" s="343" t="s">
        <v>127</v>
      </c>
      <c r="Z16" s="343" t="s">
        <v>128</v>
      </c>
      <c r="AA16" s="384">
        <v>46048</v>
      </c>
      <c r="AB16" s="384">
        <v>46054</v>
      </c>
      <c r="AC16" s="343" t="s">
        <v>339</v>
      </c>
      <c r="AD16" s="343">
        <v>1</v>
      </c>
      <c r="AE16" s="343">
        <v>232.5</v>
      </c>
      <c r="AF16" s="343">
        <v>0</v>
      </c>
      <c r="AG16" s="343">
        <v>0</v>
      </c>
      <c r="AH16" s="343">
        <v>232.5</v>
      </c>
      <c r="AI16" s="343">
        <v>15.11</v>
      </c>
    </row>
    <row r="17" spans="1:35">
      <c r="A17" s="343">
        <v>20260113</v>
      </c>
      <c r="B17" s="343">
        <v>15531</v>
      </c>
      <c r="C17" s="343">
        <v>71</v>
      </c>
      <c r="D17" s="343">
        <v>125</v>
      </c>
      <c r="E17" s="384">
        <v>46035</v>
      </c>
      <c r="F17" s="343" t="s">
        <v>233</v>
      </c>
      <c r="G17" s="343" t="s">
        <v>124</v>
      </c>
      <c r="I17" s="343">
        <v>20260228</v>
      </c>
      <c r="J17" s="343">
        <v>11870.9</v>
      </c>
      <c r="K17" s="343">
        <v>73</v>
      </c>
      <c r="L17" s="343">
        <v>167</v>
      </c>
      <c r="M17" s="384">
        <v>46081</v>
      </c>
      <c r="N17" s="343" t="s">
        <v>244</v>
      </c>
      <c r="O17" s="343" t="s">
        <v>134</v>
      </c>
      <c r="Q17" s="343">
        <v>20260123</v>
      </c>
      <c r="R17" s="343">
        <v>8887.5</v>
      </c>
      <c r="S17" s="343">
        <v>40</v>
      </c>
      <c r="T17" s="343">
        <v>66</v>
      </c>
      <c r="U17" s="384">
        <v>46045</v>
      </c>
      <c r="V17" s="343" t="s">
        <v>236</v>
      </c>
      <c r="W17" s="343" t="s">
        <v>125</v>
      </c>
      <c r="Y17" s="343" t="s">
        <v>127</v>
      </c>
      <c r="Z17" s="343" t="s">
        <v>129</v>
      </c>
      <c r="AA17" s="384">
        <v>46055</v>
      </c>
      <c r="AB17" s="384">
        <v>46061</v>
      </c>
      <c r="AC17" s="343" t="s">
        <v>340</v>
      </c>
      <c r="AD17" s="343">
        <v>1</v>
      </c>
      <c r="AE17" s="343">
        <v>40</v>
      </c>
      <c r="AF17" s="343">
        <v>0</v>
      </c>
      <c r="AG17" s="343">
        <v>0</v>
      </c>
      <c r="AH17" s="343">
        <v>40</v>
      </c>
      <c r="AI17" s="343">
        <v>2.6</v>
      </c>
    </row>
    <row r="18" spans="1:35">
      <c r="A18" s="343">
        <v>20260114</v>
      </c>
      <c r="B18" s="343">
        <v>19884.04</v>
      </c>
      <c r="C18" s="343">
        <v>84</v>
      </c>
      <c r="D18" s="343">
        <v>214</v>
      </c>
      <c r="E18" s="384">
        <v>46036</v>
      </c>
      <c r="F18" s="343" t="s">
        <v>234</v>
      </c>
      <c r="G18" s="343" t="s">
        <v>124</v>
      </c>
      <c r="I18" s="343">
        <v>20260301</v>
      </c>
      <c r="J18" s="343">
        <v>12810.5</v>
      </c>
      <c r="K18" s="343">
        <v>73</v>
      </c>
      <c r="L18" s="343">
        <v>177</v>
      </c>
      <c r="M18" s="384">
        <v>46082</v>
      </c>
      <c r="N18" s="343" t="s">
        <v>245</v>
      </c>
      <c r="O18" s="343" t="s">
        <v>134</v>
      </c>
      <c r="Q18" s="343">
        <v>20260124</v>
      </c>
      <c r="R18" s="343">
        <v>11929.7</v>
      </c>
      <c r="S18" s="343">
        <v>83</v>
      </c>
      <c r="T18" s="343">
        <v>124</v>
      </c>
      <c r="U18" s="384">
        <v>46046</v>
      </c>
      <c r="V18" s="343" t="s">
        <v>244</v>
      </c>
      <c r="W18" s="343" t="s">
        <v>125</v>
      </c>
      <c r="Y18" s="343" t="s">
        <v>127</v>
      </c>
      <c r="Z18" s="343" t="s">
        <v>129</v>
      </c>
      <c r="AA18" s="384">
        <v>46055</v>
      </c>
      <c r="AB18" s="384">
        <v>46061</v>
      </c>
      <c r="AC18" s="343" t="s">
        <v>279</v>
      </c>
      <c r="AD18" s="343">
        <v>212</v>
      </c>
      <c r="AE18" s="343">
        <v>2143.5</v>
      </c>
      <c r="AF18" s="343">
        <v>0</v>
      </c>
      <c r="AG18" s="343">
        <v>0</v>
      </c>
      <c r="AH18" s="343">
        <v>2143.5</v>
      </c>
      <c r="AI18" s="343">
        <v>139.85</v>
      </c>
    </row>
    <row r="19" spans="1:35">
      <c r="A19" s="343">
        <v>20260115</v>
      </c>
      <c r="B19" s="343">
        <v>20344.98</v>
      </c>
      <c r="C19" s="343">
        <v>120</v>
      </c>
      <c r="D19" s="343">
        <v>210</v>
      </c>
      <c r="E19" s="384">
        <v>46037</v>
      </c>
      <c r="F19" s="343" t="s">
        <v>235</v>
      </c>
      <c r="G19" s="343" t="s">
        <v>124</v>
      </c>
      <c r="I19" s="343">
        <v>20260307</v>
      </c>
      <c r="J19" s="343">
        <v>9762.5</v>
      </c>
      <c r="K19" s="343">
        <v>67</v>
      </c>
      <c r="L19" s="343">
        <v>156</v>
      </c>
      <c r="M19" s="384">
        <v>46088</v>
      </c>
      <c r="N19" s="343" t="s">
        <v>244</v>
      </c>
      <c r="O19" s="343" t="s">
        <v>135</v>
      </c>
      <c r="Q19" s="343">
        <v>20260128</v>
      </c>
      <c r="R19" s="343">
        <v>7392.8</v>
      </c>
      <c r="S19" s="343">
        <v>17</v>
      </c>
      <c r="T19" s="343">
        <v>44</v>
      </c>
      <c r="U19" s="384">
        <v>46050</v>
      </c>
      <c r="V19" s="343" t="s">
        <v>234</v>
      </c>
      <c r="W19" s="343" t="s">
        <v>128</v>
      </c>
      <c r="Y19" s="343" t="s">
        <v>127</v>
      </c>
      <c r="Z19" s="343" t="s">
        <v>129</v>
      </c>
      <c r="AA19" s="384">
        <v>46055</v>
      </c>
      <c r="AB19" s="384">
        <v>46061</v>
      </c>
      <c r="AC19" s="343" t="s">
        <v>335</v>
      </c>
      <c r="AD19" s="343">
        <v>0</v>
      </c>
      <c r="AE19" s="343">
        <v>-281.16000000000003</v>
      </c>
      <c r="AF19" s="343">
        <v>0</v>
      </c>
      <c r="AG19" s="343">
        <v>281.16000000000003</v>
      </c>
      <c r="AH19" s="343">
        <v>0</v>
      </c>
      <c r="AI19" s="343">
        <v>0</v>
      </c>
    </row>
    <row r="20" spans="1:35">
      <c r="A20" s="343">
        <v>20260116</v>
      </c>
      <c r="B20" s="343">
        <v>38639</v>
      </c>
      <c r="C20" s="343">
        <v>178</v>
      </c>
      <c r="D20" s="343">
        <v>338</v>
      </c>
      <c r="E20" s="384">
        <v>46038</v>
      </c>
      <c r="F20" s="343" t="s">
        <v>236</v>
      </c>
      <c r="G20" s="343" t="s">
        <v>124</v>
      </c>
      <c r="I20" s="343">
        <v>20260308</v>
      </c>
      <c r="J20" s="343">
        <v>13841.5</v>
      </c>
      <c r="K20" s="343">
        <v>76</v>
      </c>
      <c r="L20" s="343">
        <v>194</v>
      </c>
      <c r="M20" s="384">
        <v>46089</v>
      </c>
      <c r="N20" s="343" t="s">
        <v>245</v>
      </c>
      <c r="O20" s="343" t="s">
        <v>135</v>
      </c>
      <c r="Q20" s="343">
        <v>20260129</v>
      </c>
      <c r="R20" s="343">
        <v>4273.5</v>
      </c>
      <c r="S20" s="343">
        <v>28</v>
      </c>
      <c r="T20" s="343">
        <v>65</v>
      </c>
      <c r="U20" s="384">
        <v>46051</v>
      </c>
      <c r="V20" s="343" t="s">
        <v>235</v>
      </c>
      <c r="W20" s="343" t="s">
        <v>128</v>
      </c>
      <c r="Y20" s="343" t="s">
        <v>127</v>
      </c>
      <c r="Z20" s="343" t="s">
        <v>129</v>
      </c>
      <c r="AA20" s="384">
        <v>46055</v>
      </c>
      <c r="AB20" s="384">
        <v>46061</v>
      </c>
      <c r="AC20" s="343" t="s">
        <v>106</v>
      </c>
      <c r="AD20" s="343">
        <v>9</v>
      </c>
      <c r="AE20" s="343">
        <v>2435.09</v>
      </c>
      <c r="AF20" s="343">
        <v>0</v>
      </c>
      <c r="AG20" s="343">
        <v>0</v>
      </c>
      <c r="AH20" s="343">
        <v>2435.09</v>
      </c>
      <c r="AI20" s="343">
        <v>0</v>
      </c>
    </row>
    <row r="21" spans="1:35">
      <c r="A21" s="343">
        <v>20260117</v>
      </c>
      <c r="B21" s="343">
        <v>43898.96</v>
      </c>
      <c r="C21" s="343">
        <v>227</v>
      </c>
      <c r="D21" s="343">
        <v>432</v>
      </c>
      <c r="E21" s="384">
        <v>46039</v>
      </c>
      <c r="F21" s="343" t="s">
        <v>244</v>
      </c>
      <c r="G21" s="343" t="s">
        <v>124</v>
      </c>
      <c r="I21" s="343">
        <v>20260314</v>
      </c>
      <c r="J21" s="343">
        <v>6100</v>
      </c>
      <c r="K21" s="343">
        <v>45</v>
      </c>
      <c r="L21" s="343">
        <v>100</v>
      </c>
      <c r="M21" s="384">
        <v>46095</v>
      </c>
      <c r="N21" s="343" t="s">
        <v>244</v>
      </c>
      <c r="O21" s="343" t="s">
        <v>136</v>
      </c>
      <c r="Q21" s="343">
        <v>20260130</v>
      </c>
      <c r="R21" s="343">
        <v>12514.5</v>
      </c>
      <c r="S21" s="343">
        <v>73</v>
      </c>
      <c r="T21" s="343">
        <v>143</v>
      </c>
      <c r="U21" s="384">
        <v>46052</v>
      </c>
      <c r="V21" s="343" t="s">
        <v>236</v>
      </c>
      <c r="W21" s="343" t="s">
        <v>128</v>
      </c>
      <c r="Y21" s="343" t="s">
        <v>127</v>
      </c>
      <c r="Z21" s="343" t="s">
        <v>129</v>
      </c>
      <c r="AA21" s="384">
        <v>46055</v>
      </c>
      <c r="AB21" s="384">
        <v>46061</v>
      </c>
      <c r="AC21" s="343" t="s">
        <v>339</v>
      </c>
      <c r="AD21" s="343">
        <v>2</v>
      </c>
      <c r="AE21" s="343">
        <v>750</v>
      </c>
      <c r="AF21" s="343">
        <v>0</v>
      </c>
      <c r="AG21" s="343">
        <v>0</v>
      </c>
      <c r="AH21" s="343">
        <v>750</v>
      </c>
      <c r="AI21" s="343">
        <v>48.76</v>
      </c>
    </row>
    <row r="22" spans="1:35">
      <c r="A22" s="343">
        <v>20260118</v>
      </c>
      <c r="B22" s="343">
        <v>23655.02</v>
      </c>
      <c r="C22" s="343">
        <v>119</v>
      </c>
      <c r="D22" s="343">
        <v>258</v>
      </c>
      <c r="E22" s="384">
        <v>46040</v>
      </c>
      <c r="F22" s="343" t="s">
        <v>245</v>
      </c>
      <c r="G22" s="343" t="s">
        <v>124</v>
      </c>
      <c r="I22" s="343">
        <v>20260315</v>
      </c>
      <c r="J22" s="343">
        <v>9084.5</v>
      </c>
      <c r="K22" s="343">
        <v>67</v>
      </c>
      <c r="L22" s="343">
        <v>152</v>
      </c>
      <c r="M22" s="384">
        <v>46096</v>
      </c>
      <c r="N22" s="343" t="s">
        <v>245</v>
      </c>
      <c r="O22" s="343" t="s">
        <v>136</v>
      </c>
      <c r="Q22" s="343">
        <v>20260131</v>
      </c>
      <c r="R22" s="343">
        <v>12440.2</v>
      </c>
      <c r="S22" s="343">
        <v>82</v>
      </c>
      <c r="T22" s="343">
        <v>160</v>
      </c>
      <c r="U22" s="384">
        <v>46053</v>
      </c>
      <c r="V22" s="343" t="s">
        <v>244</v>
      </c>
      <c r="W22" s="343" t="s">
        <v>128</v>
      </c>
      <c r="Y22" s="343" t="s">
        <v>127</v>
      </c>
      <c r="Z22" s="343" t="s">
        <v>130</v>
      </c>
      <c r="AA22" s="384">
        <v>46062</v>
      </c>
      <c r="AB22" s="384">
        <v>46068</v>
      </c>
      <c r="AC22" s="343" t="s">
        <v>279</v>
      </c>
      <c r="AD22" s="343">
        <v>183</v>
      </c>
      <c r="AE22" s="343">
        <v>1859.5</v>
      </c>
      <c r="AF22" s="343">
        <v>0</v>
      </c>
      <c r="AG22" s="343">
        <v>0</v>
      </c>
      <c r="AH22" s="343">
        <v>1859.5</v>
      </c>
      <c r="AI22" s="343">
        <v>121.37</v>
      </c>
    </row>
    <row r="23" spans="1:35">
      <c r="A23" s="343">
        <v>20260119</v>
      </c>
      <c r="B23" s="343">
        <v>21433.4</v>
      </c>
      <c r="C23" s="343">
        <v>99</v>
      </c>
      <c r="D23" s="343">
        <v>215</v>
      </c>
      <c r="E23" s="384">
        <v>46041</v>
      </c>
      <c r="F23" s="343" t="s">
        <v>232</v>
      </c>
      <c r="G23" s="343" t="s">
        <v>125</v>
      </c>
      <c r="I23" s="343">
        <v>20260321</v>
      </c>
      <c r="J23" s="343">
        <v>17257.5</v>
      </c>
      <c r="K23" s="343">
        <v>102</v>
      </c>
      <c r="L23" s="343">
        <v>243</v>
      </c>
      <c r="M23" s="384">
        <v>46102</v>
      </c>
      <c r="N23" s="343" t="s">
        <v>244</v>
      </c>
      <c r="O23" s="343" t="s">
        <v>137</v>
      </c>
      <c r="Q23" s="343">
        <v>20260203</v>
      </c>
      <c r="R23" s="343">
        <v>5145</v>
      </c>
      <c r="S23" s="343">
        <v>1</v>
      </c>
      <c r="T23" s="343">
        <v>19</v>
      </c>
      <c r="U23" s="384">
        <v>46056</v>
      </c>
      <c r="V23" s="343" t="s">
        <v>233</v>
      </c>
      <c r="W23" s="343" t="s">
        <v>129</v>
      </c>
      <c r="Y23" s="343" t="s">
        <v>127</v>
      </c>
      <c r="Z23" s="343" t="s">
        <v>130</v>
      </c>
      <c r="AA23" s="384">
        <v>46062</v>
      </c>
      <c r="AB23" s="384">
        <v>46068</v>
      </c>
      <c r="AC23" s="343" t="s">
        <v>293</v>
      </c>
      <c r="AD23" s="343">
        <v>1</v>
      </c>
      <c r="AE23" s="343">
        <v>65</v>
      </c>
      <c r="AF23" s="343">
        <v>0</v>
      </c>
      <c r="AG23" s="343">
        <v>0</v>
      </c>
      <c r="AH23" s="343">
        <v>65</v>
      </c>
      <c r="AI23" s="343">
        <v>4.2300000000000004</v>
      </c>
    </row>
    <row r="24" spans="1:35">
      <c r="A24" s="343">
        <v>20260120</v>
      </c>
      <c r="B24" s="343">
        <v>13781</v>
      </c>
      <c r="C24" s="343">
        <v>102</v>
      </c>
      <c r="D24" s="343">
        <v>162</v>
      </c>
      <c r="E24" s="384">
        <v>46042</v>
      </c>
      <c r="F24" s="343" t="s">
        <v>233</v>
      </c>
      <c r="G24" s="343" t="s">
        <v>125</v>
      </c>
      <c r="I24" s="343">
        <v>20260322</v>
      </c>
      <c r="J24" s="343">
        <v>15996.25</v>
      </c>
      <c r="K24" s="343">
        <v>93</v>
      </c>
      <c r="L24" s="343">
        <v>215</v>
      </c>
      <c r="M24" s="384">
        <v>46103</v>
      </c>
      <c r="N24" s="343" t="s">
        <v>245</v>
      </c>
      <c r="O24" s="343" t="s">
        <v>137</v>
      </c>
      <c r="Q24" s="343">
        <v>20260204</v>
      </c>
      <c r="R24" s="343">
        <v>13200.6</v>
      </c>
      <c r="S24" s="343">
        <v>6</v>
      </c>
      <c r="T24" s="343">
        <v>45</v>
      </c>
      <c r="U24" s="384">
        <v>46057</v>
      </c>
      <c r="V24" s="343" t="s">
        <v>234</v>
      </c>
      <c r="W24" s="343" t="s">
        <v>129</v>
      </c>
      <c r="Y24" s="343" t="s">
        <v>127</v>
      </c>
      <c r="Z24" s="343" t="s">
        <v>130</v>
      </c>
      <c r="AA24" s="384">
        <v>46062</v>
      </c>
      <c r="AB24" s="384">
        <v>46068</v>
      </c>
      <c r="AC24" s="343" t="s">
        <v>106</v>
      </c>
      <c r="AD24" s="343">
        <v>9</v>
      </c>
      <c r="AE24" s="343">
        <v>758</v>
      </c>
      <c r="AF24" s="343">
        <v>0</v>
      </c>
      <c r="AG24" s="343">
        <v>0</v>
      </c>
      <c r="AH24" s="343">
        <v>758</v>
      </c>
      <c r="AI24" s="343">
        <v>0</v>
      </c>
    </row>
    <row r="25" spans="1:35">
      <c r="A25" s="343">
        <v>20260121</v>
      </c>
      <c r="B25" s="343">
        <v>23824.49</v>
      </c>
      <c r="C25" s="343">
        <v>95</v>
      </c>
      <c r="D25" s="343">
        <v>213</v>
      </c>
      <c r="E25" s="384">
        <v>46043</v>
      </c>
      <c r="F25" s="343" t="s">
        <v>234</v>
      </c>
      <c r="G25" s="343" t="s">
        <v>125</v>
      </c>
      <c r="I25" s="343">
        <v>20260328</v>
      </c>
      <c r="J25" s="343">
        <v>9481.5</v>
      </c>
      <c r="K25" s="343">
        <v>67</v>
      </c>
      <c r="L25" s="343">
        <v>152</v>
      </c>
      <c r="M25" s="384">
        <v>46109</v>
      </c>
      <c r="N25" s="343" t="s">
        <v>244</v>
      </c>
      <c r="O25" s="343" t="s">
        <v>138</v>
      </c>
      <c r="Q25" s="343">
        <v>20260205</v>
      </c>
      <c r="R25" s="343">
        <v>17989.72</v>
      </c>
      <c r="S25" s="343">
        <v>2</v>
      </c>
      <c r="T25" s="343">
        <v>70</v>
      </c>
      <c r="U25" s="384">
        <v>46058</v>
      </c>
      <c r="V25" s="343" t="s">
        <v>235</v>
      </c>
      <c r="W25" s="343" t="s">
        <v>129</v>
      </c>
      <c r="Y25" s="343" t="s">
        <v>127</v>
      </c>
      <c r="Z25" s="343" t="s">
        <v>130</v>
      </c>
      <c r="AA25" s="384">
        <v>46062</v>
      </c>
      <c r="AB25" s="384">
        <v>46068</v>
      </c>
      <c r="AC25" s="343" t="s">
        <v>339</v>
      </c>
      <c r="AD25" s="343">
        <v>4</v>
      </c>
      <c r="AE25" s="343">
        <v>1073.5</v>
      </c>
      <c r="AF25" s="343">
        <v>0</v>
      </c>
      <c r="AG25" s="343">
        <v>0</v>
      </c>
      <c r="AH25" s="343">
        <v>1073.5</v>
      </c>
      <c r="AI25" s="343">
        <v>69.78</v>
      </c>
    </row>
    <row r="26" spans="1:35">
      <c r="A26" s="343">
        <v>20260122</v>
      </c>
      <c r="B26" s="343">
        <v>30701.61</v>
      </c>
      <c r="C26" s="343">
        <v>138</v>
      </c>
      <c r="D26" s="343">
        <v>274</v>
      </c>
      <c r="E26" s="384">
        <v>46044</v>
      </c>
      <c r="F26" s="343" t="s">
        <v>235</v>
      </c>
      <c r="G26" s="343" t="s">
        <v>125</v>
      </c>
      <c r="I26" s="343">
        <v>20260329</v>
      </c>
      <c r="J26" s="343">
        <v>12793.51</v>
      </c>
      <c r="K26" s="343">
        <v>79</v>
      </c>
      <c r="L26" s="343">
        <v>184</v>
      </c>
      <c r="M26" s="384">
        <v>46110</v>
      </c>
      <c r="N26" s="343" t="s">
        <v>245</v>
      </c>
      <c r="O26" s="343" t="s">
        <v>138</v>
      </c>
      <c r="Q26" s="343">
        <v>20260206</v>
      </c>
      <c r="R26" s="343">
        <v>11829.5</v>
      </c>
      <c r="S26" s="343">
        <v>65</v>
      </c>
      <c r="T26" s="343">
        <v>132</v>
      </c>
      <c r="U26" s="384">
        <v>46059</v>
      </c>
      <c r="V26" s="343" t="s">
        <v>236</v>
      </c>
      <c r="W26" s="343" t="s">
        <v>129</v>
      </c>
      <c r="Y26" s="343" t="s">
        <v>127</v>
      </c>
      <c r="Z26" s="343" t="s">
        <v>131</v>
      </c>
      <c r="AA26" s="384">
        <v>46069</v>
      </c>
      <c r="AB26" s="384">
        <v>46075</v>
      </c>
      <c r="AC26" s="343" t="s">
        <v>340</v>
      </c>
      <c r="AD26" s="343">
        <v>1</v>
      </c>
      <c r="AE26" s="343">
        <v>158</v>
      </c>
      <c r="AF26" s="343">
        <v>0</v>
      </c>
      <c r="AG26" s="343">
        <v>0</v>
      </c>
      <c r="AH26" s="343">
        <v>158</v>
      </c>
      <c r="AI26" s="343">
        <v>10.27</v>
      </c>
    </row>
    <row r="27" spans="1:35">
      <c r="A27" s="343">
        <v>20260123</v>
      </c>
      <c r="B27" s="343">
        <v>35224.99</v>
      </c>
      <c r="C27" s="343">
        <v>215</v>
      </c>
      <c r="D27" s="343">
        <v>365</v>
      </c>
      <c r="E27" s="384">
        <v>46045</v>
      </c>
      <c r="F27" s="343" t="s">
        <v>236</v>
      </c>
      <c r="G27" s="343" t="s">
        <v>125</v>
      </c>
      <c r="I27" s="343">
        <v>20260404</v>
      </c>
      <c r="J27" s="343">
        <v>11594.4</v>
      </c>
      <c r="K27" s="343">
        <v>63</v>
      </c>
      <c r="L27" s="343">
        <v>173</v>
      </c>
      <c r="M27" s="384">
        <v>46116</v>
      </c>
      <c r="N27" s="343" t="s">
        <v>244</v>
      </c>
      <c r="O27" s="343" t="s">
        <v>141</v>
      </c>
      <c r="Q27" s="343">
        <v>20260207</v>
      </c>
      <c r="R27" s="343">
        <v>10694</v>
      </c>
      <c r="S27" s="343">
        <v>83</v>
      </c>
      <c r="T27" s="343">
        <v>153</v>
      </c>
      <c r="U27" s="384">
        <v>46060</v>
      </c>
      <c r="V27" s="343" t="s">
        <v>244</v>
      </c>
      <c r="W27" s="343" t="s">
        <v>129</v>
      </c>
      <c r="Y27" s="343" t="s">
        <v>127</v>
      </c>
      <c r="Z27" s="343" t="s">
        <v>131</v>
      </c>
      <c r="AA27" s="384">
        <v>46069</v>
      </c>
      <c r="AB27" s="384">
        <v>46075</v>
      </c>
      <c r="AC27" s="343" t="s">
        <v>279</v>
      </c>
      <c r="AD27" s="343">
        <v>209</v>
      </c>
      <c r="AE27" s="343">
        <v>2079</v>
      </c>
      <c r="AF27" s="343">
        <v>0</v>
      </c>
      <c r="AG27" s="343">
        <v>0</v>
      </c>
      <c r="AH27" s="343">
        <v>2079</v>
      </c>
      <c r="AI27" s="343">
        <v>135.65</v>
      </c>
    </row>
    <row r="28" spans="1:35">
      <c r="A28" s="343">
        <v>20260124</v>
      </c>
      <c r="B28" s="343">
        <v>41643.99</v>
      </c>
      <c r="C28" s="343">
        <v>224</v>
      </c>
      <c r="D28" s="343">
        <v>431</v>
      </c>
      <c r="E28" s="384">
        <v>46046</v>
      </c>
      <c r="F28" s="343" t="s">
        <v>244</v>
      </c>
      <c r="G28" s="343" t="s">
        <v>125</v>
      </c>
      <c r="I28" s="343">
        <v>20260405</v>
      </c>
      <c r="J28" s="343">
        <v>22472.6</v>
      </c>
      <c r="K28" s="343">
        <v>129</v>
      </c>
      <c r="L28" s="343">
        <v>320</v>
      </c>
      <c r="M28" s="384">
        <v>46117</v>
      </c>
      <c r="N28" s="343" t="s">
        <v>245</v>
      </c>
      <c r="O28" s="343" t="s">
        <v>141</v>
      </c>
      <c r="Q28" s="343">
        <v>20260208</v>
      </c>
      <c r="R28" s="343">
        <v>869</v>
      </c>
      <c r="S28" s="343">
        <v>5</v>
      </c>
      <c r="T28" s="343">
        <v>5</v>
      </c>
      <c r="U28" s="384">
        <v>46061</v>
      </c>
      <c r="V28" s="343" t="s">
        <v>245</v>
      </c>
      <c r="W28" s="343" t="s">
        <v>129</v>
      </c>
      <c r="Y28" s="343" t="s">
        <v>127</v>
      </c>
      <c r="Z28" s="343" t="s">
        <v>131</v>
      </c>
      <c r="AA28" s="384">
        <v>46069</v>
      </c>
      <c r="AB28" s="384">
        <v>46075</v>
      </c>
      <c r="AC28" s="343" t="s">
        <v>335</v>
      </c>
      <c r="AD28" s="343">
        <v>0</v>
      </c>
      <c r="AE28" s="343">
        <v>-43.45</v>
      </c>
      <c r="AF28" s="343">
        <v>0</v>
      </c>
      <c r="AG28" s="343">
        <v>43.45</v>
      </c>
      <c r="AH28" s="343">
        <v>0</v>
      </c>
      <c r="AI28" s="343">
        <v>0</v>
      </c>
    </row>
    <row r="29" spans="1:35">
      <c r="A29" s="343">
        <v>20260125</v>
      </c>
      <c r="B29" s="343">
        <v>19246.25</v>
      </c>
      <c r="C29" s="343">
        <v>100</v>
      </c>
      <c r="D29" s="343">
        <v>188</v>
      </c>
      <c r="E29" s="384">
        <v>46047</v>
      </c>
      <c r="F29" s="343" t="s">
        <v>245</v>
      </c>
      <c r="G29" s="343" t="s">
        <v>125</v>
      </c>
      <c r="I29" s="343">
        <v>20260411</v>
      </c>
      <c r="J29" s="343">
        <v>8849</v>
      </c>
      <c r="K29" s="343">
        <v>57</v>
      </c>
      <c r="L29" s="343">
        <v>152</v>
      </c>
      <c r="M29" s="384">
        <v>46123</v>
      </c>
      <c r="N29" s="343" t="s">
        <v>244</v>
      </c>
      <c r="O29" s="343" t="s">
        <v>142</v>
      </c>
      <c r="Q29" s="343">
        <v>20260210</v>
      </c>
      <c r="R29" s="343">
        <v>5250</v>
      </c>
      <c r="S29" s="343">
        <v>1</v>
      </c>
      <c r="T29" s="343">
        <v>30</v>
      </c>
      <c r="U29" s="384">
        <v>46063</v>
      </c>
      <c r="V29" s="343" t="s">
        <v>233</v>
      </c>
      <c r="W29" s="343" t="s">
        <v>130</v>
      </c>
      <c r="Y29" s="343" t="s">
        <v>127</v>
      </c>
      <c r="Z29" s="343" t="s">
        <v>131</v>
      </c>
      <c r="AA29" s="384">
        <v>46069</v>
      </c>
      <c r="AB29" s="384">
        <v>46075</v>
      </c>
      <c r="AC29" s="343" t="s">
        <v>293</v>
      </c>
      <c r="AD29" s="343">
        <v>2</v>
      </c>
      <c r="AE29" s="343">
        <v>450</v>
      </c>
      <c r="AF29" s="343">
        <v>0</v>
      </c>
      <c r="AG29" s="343">
        <v>0</v>
      </c>
      <c r="AH29" s="343">
        <v>450</v>
      </c>
      <c r="AI29" s="343">
        <v>29.26</v>
      </c>
    </row>
    <row r="30" spans="1:35">
      <c r="A30" s="343">
        <v>20260126</v>
      </c>
      <c r="B30" s="343">
        <v>20740.5</v>
      </c>
      <c r="C30" s="343">
        <v>69</v>
      </c>
      <c r="D30" s="343">
        <v>152</v>
      </c>
      <c r="E30" s="384">
        <v>46048</v>
      </c>
      <c r="F30" s="343" t="s">
        <v>232</v>
      </c>
      <c r="G30" s="343" t="s">
        <v>128</v>
      </c>
      <c r="I30" s="343">
        <v>20260412</v>
      </c>
      <c r="J30" s="343">
        <v>12384</v>
      </c>
      <c r="K30" s="343">
        <v>75</v>
      </c>
      <c r="L30" s="343">
        <v>196</v>
      </c>
      <c r="M30" s="384">
        <v>46124</v>
      </c>
      <c r="N30" s="343" t="s">
        <v>245</v>
      </c>
      <c r="O30" s="343" t="s">
        <v>142</v>
      </c>
      <c r="Q30" s="343">
        <v>20260211</v>
      </c>
      <c r="R30" s="343">
        <v>1800.1</v>
      </c>
      <c r="S30" s="343">
        <v>10</v>
      </c>
      <c r="T30" s="343">
        <v>19</v>
      </c>
      <c r="U30" s="384">
        <v>46064</v>
      </c>
      <c r="V30" s="343" t="s">
        <v>234</v>
      </c>
      <c r="W30" s="343" t="s">
        <v>130</v>
      </c>
      <c r="Y30" s="343" t="s">
        <v>127</v>
      </c>
      <c r="Z30" s="343" t="s">
        <v>131</v>
      </c>
      <c r="AA30" s="384">
        <v>46069</v>
      </c>
      <c r="AB30" s="384">
        <v>46075</v>
      </c>
      <c r="AC30" s="343" t="s">
        <v>106</v>
      </c>
      <c r="AD30" s="343">
        <v>9</v>
      </c>
      <c r="AE30" s="343">
        <v>1377.02</v>
      </c>
      <c r="AF30" s="343">
        <v>0</v>
      </c>
      <c r="AG30" s="343">
        <v>0</v>
      </c>
      <c r="AH30" s="343">
        <v>1377.02</v>
      </c>
      <c r="AI30" s="343">
        <v>0</v>
      </c>
    </row>
    <row r="31" spans="1:35">
      <c r="A31" s="343">
        <v>20260127</v>
      </c>
      <c r="B31" s="343">
        <v>21785.279999999999</v>
      </c>
      <c r="C31" s="343">
        <v>94</v>
      </c>
      <c r="D31" s="343">
        <v>195</v>
      </c>
      <c r="E31" s="384">
        <v>46049</v>
      </c>
      <c r="F31" s="343" t="s">
        <v>233</v>
      </c>
      <c r="G31" s="343" t="s">
        <v>128</v>
      </c>
      <c r="I31" s="343">
        <v>20260418</v>
      </c>
      <c r="J31" s="343">
        <v>11390.75</v>
      </c>
      <c r="K31" s="343">
        <v>77</v>
      </c>
      <c r="L31" s="343">
        <v>171</v>
      </c>
      <c r="M31" s="384">
        <v>46130</v>
      </c>
      <c r="N31" s="343" t="s">
        <v>244</v>
      </c>
      <c r="O31" s="343" t="s">
        <v>143</v>
      </c>
      <c r="Q31" s="343">
        <v>20260212</v>
      </c>
      <c r="R31" s="343">
        <v>5838.5</v>
      </c>
      <c r="S31" s="343">
        <v>44</v>
      </c>
      <c r="T31" s="343">
        <v>70</v>
      </c>
      <c r="U31" s="384">
        <v>46065</v>
      </c>
      <c r="V31" s="343" t="s">
        <v>235</v>
      </c>
      <c r="W31" s="343" t="s">
        <v>130</v>
      </c>
      <c r="Y31" s="343" t="s">
        <v>127</v>
      </c>
      <c r="Z31" s="343" t="s">
        <v>131</v>
      </c>
      <c r="AA31" s="384">
        <v>46069</v>
      </c>
      <c r="AB31" s="384">
        <v>46075</v>
      </c>
      <c r="AC31" s="343" t="s">
        <v>339</v>
      </c>
      <c r="AD31" s="343">
        <v>3</v>
      </c>
      <c r="AE31" s="343">
        <v>941</v>
      </c>
      <c r="AF31" s="343">
        <v>0</v>
      </c>
      <c r="AG31" s="343">
        <v>0</v>
      </c>
      <c r="AH31" s="343">
        <v>941</v>
      </c>
      <c r="AI31" s="343">
        <v>61.17</v>
      </c>
    </row>
    <row r="32" spans="1:35">
      <c r="A32" s="343">
        <v>20260128</v>
      </c>
      <c r="B32" s="343">
        <v>19385</v>
      </c>
      <c r="C32" s="343">
        <v>81</v>
      </c>
      <c r="D32" s="343">
        <v>172</v>
      </c>
      <c r="E32" s="384">
        <v>46050</v>
      </c>
      <c r="F32" s="343" t="s">
        <v>234</v>
      </c>
      <c r="G32" s="343" t="s">
        <v>128</v>
      </c>
      <c r="I32" s="343">
        <v>20260419</v>
      </c>
      <c r="J32" s="343">
        <v>27609.08</v>
      </c>
      <c r="K32" s="343">
        <v>14</v>
      </c>
      <c r="L32" s="343">
        <v>213</v>
      </c>
      <c r="M32" s="384">
        <v>46131</v>
      </c>
      <c r="N32" s="343" t="s">
        <v>245</v>
      </c>
      <c r="O32" s="343" t="s">
        <v>143</v>
      </c>
      <c r="Q32" s="343">
        <v>20260213</v>
      </c>
      <c r="R32" s="343">
        <v>10616.16</v>
      </c>
      <c r="S32" s="343">
        <v>70</v>
      </c>
      <c r="T32" s="343">
        <v>130</v>
      </c>
      <c r="U32" s="384">
        <v>46066</v>
      </c>
      <c r="V32" s="343" t="s">
        <v>236</v>
      </c>
      <c r="W32" s="343" t="s">
        <v>130</v>
      </c>
      <c r="Y32" s="343" t="s">
        <v>133</v>
      </c>
      <c r="Z32" s="343" t="s">
        <v>134</v>
      </c>
      <c r="AA32" s="384">
        <v>46076</v>
      </c>
      <c r="AB32" s="384">
        <v>46082</v>
      </c>
      <c r="AC32" s="343" t="s">
        <v>335</v>
      </c>
      <c r="AD32" s="343">
        <v>0</v>
      </c>
      <c r="AE32" s="343">
        <v>-60.07</v>
      </c>
      <c r="AF32" s="343">
        <v>0</v>
      </c>
      <c r="AG32" s="343">
        <v>60.07</v>
      </c>
      <c r="AH32" s="343">
        <v>0</v>
      </c>
      <c r="AI32" s="343">
        <v>0</v>
      </c>
    </row>
    <row r="33" spans="1:35">
      <c r="A33" s="343">
        <v>20260129</v>
      </c>
      <c r="B33" s="343">
        <v>28207.75</v>
      </c>
      <c r="C33" s="343">
        <v>103</v>
      </c>
      <c r="D33" s="343">
        <v>212</v>
      </c>
      <c r="E33" s="384">
        <v>46051</v>
      </c>
      <c r="F33" s="343" t="s">
        <v>235</v>
      </c>
      <c r="G33" s="343" t="s">
        <v>128</v>
      </c>
      <c r="I33" s="343">
        <v>20260425</v>
      </c>
      <c r="J33" s="343">
        <v>9860.51</v>
      </c>
      <c r="K33" s="343">
        <v>63</v>
      </c>
      <c r="L33" s="343">
        <v>147</v>
      </c>
      <c r="M33" s="384">
        <v>46137</v>
      </c>
      <c r="N33" s="343" t="s">
        <v>244</v>
      </c>
      <c r="O33" s="343" t="s">
        <v>144</v>
      </c>
      <c r="Q33" s="343">
        <v>20260214</v>
      </c>
      <c r="R33" s="343">
        <v>13729.2</v>
      </c>
      <c r="S33" s="343">
        <v>82</v>
      </c>
      <c r="T33" s="343">
        <v>160</v>
      </c>
      <c r="U33" s="384">
        <v>46067</v>
      </c>
      <c r="V33" s="343" t="s">
        <v>244</v>
      </c>
      <c r="W33" s="343" t="s">
        <v>130</v>
      </c>
      <c r="Y33" s="343" t="s">
        <v>133</v>
      </c>
      <c r="Z33" s="343" t="s">
        <v>134</v>
      </c>
      <c r="AA33" s="384">
        <v>46076</v>
      </c>
      <c r="AB33" s="384">
        <v>46082</v>
      </c>
      <c r="AC33" s="343" t="s">
        <v>293</v>
      </c>
      <c r="AD33" s="343">
        <v>1</v>
      </c>
      <c r="AE33" s="343">
        <v>90</v>
      </c>
      <c r="AF33" s="343">
        <v>0</v>
      </c>
      <c r="AG33" s="343">
        <v>0</v>
      </c>
      <c r="AH33" s="343">
        <v>90</v>
      </c>
      <c r="AI33" s="343">
        <v>5.85</v>
      </c>
    </row>
    <row r="34" spans="1:35">
      <c r="A34" s="343">
        <v>20260130</v>
      </c>
      <c r="B34" s="343">
        <v>38376.410000000003</v>
      </c>
      <c r="C34" s="343">
        <v>179</v>
      </c>
      <c r="D34" s="343">
        <v>355</v>
      </c>
      <c r="E34" s="384">
        <v>46052</v>
      </c>
      <c r="F34" s="343" t="s">
        <v>236</v>
      </c>
      <c r="G34" s="343" t="s">
        <v>128</v>
      </c>
      <c r="I34" s="343">
        <v>20260426</v>
      </c>
      <c r="J34" s="343">
        <v>12083.85</v>
      </c>
      <c r="K34" s="343">
        <v>70</v>
      </c>
      <c r="L34" s="343">
        <v>177</v>
      </c>
      <c r="M34" s="384">
        <v>46138</v>
      </c>
      <c r="N34" s="343" t="s">
        <v>245</v>
      </c>
      <c r="O34" s="343" t="s">
        <v>144</v>
      </c>
      <c r="Q34" s="343">
        <v>20260216</v>
      </c>
      <c r="R34" s="343">
        <v>5289</v>
      </c>
      <c r="S34" s="343">
        <v>3</v>
      </c>
      <c r="T34" s="343">
        <v>56</v>
      </c>
      <c r="U34" s="384">
        <v>46069</v>
      </c>
      <c r="V34" s="343" t="s">
        <v>232</v>
      </c>
      <c r="W34" s="343" t="s">
        <v>131</v>
      </c>
      <c r="Y34" s="343" t="s">
        <v>133</v>
      </c>
      <c r="Z34" s="343" t="s">
        <v>134</v>
      </c>
      <c r="AA34" s="384">
        <v>46076</v>
      </c>
      <c r="AB34" s="384">
        <v>46082</v>
      </c>
      <c r="AC34" s="343" t="s">
        <v>106</v>
      </c>
      <c r="AD34" s="343">
        <v>6</v>
      </c>
      <c r="AE34" s="343">
        <v>808.47</v>
      </c>
      <c r="AF34" s="343">
        <v>0</v>
      </c>
      <c r="AG34" s="343">
        <v>0</v>
      </c>
      <c r="AH34" s="343">
        <v>808.47</v>
      </c>
      <c r="AI34" s="343">
        <v>0</v>
      </c>
    </row>
    <row r="35" spans="1:35">
      <c r="A35" s="343">
        <v>20260131</v>
      </c>
      <c r="B35" s="343">
        <v>31379.5</v>
      </c>
      <c r="C35" s="343">
        <v>168</v>
      </c>
      <c r="D35" s="343">
        <v>317</v>
      </c>
      <c r="E35" s="384">
        <v>46053</v>
      </c>
      <c r="F35" s="343" t="s">
        <v>244</v>
      </c>
      <c r="G35" s="343" t="s">
        <v>128</v>
      </c>
      <c r="I35" s="343">
        <v>20260502</v>
      </c>
      <c r="J35" s="343">
        <v>8923.5</v>
      </c>
      <c r="K35" s="343">
        <v>63</v>
      </c>
      <c r="L35" s="343">
        <v>134</v>
      </c>
      <c r="M35" s="384">
        <v>46144</v>
      </c>
      <c r="N35" s="343" t="s">
        <v>244</v>
      </c>
      <c r="O35" s="343" t="s">
        <v>147</v>
      </c>
      <c r="Q35" s="343">
        <v>20260218</v>
      </c>
      <c r="R35" s="343">
        <v>2446.4</v>
      </c>
      <c r="S35" s="343">
        <v>13</v>
      </c>
      <c r="T35" s="343">
        <v>23</v>
      </c>
      <c r="U35" s="384">
        <v>46071</v>
      </c>
      <c r="V35" s="343" t="s">
        <v>234</v>
      </c>
      <c r="W35" s="343" t="s">
        <v>131</v>
      </c>
      <c r="Y35" s="343" t="s">
        <v>133</v>
      </c>
      <c r="Z35" s="343" t="s">
        <v>134</v>
      </c>
      <c r="AA35" s="384">
        <v>46076</v>
      </c>
      <c r="AB35" s="384">
        <v>46082</v>
      </c>
      <c r="AC35" s="343" t="s">
        <v>339</v>
      </c>
      <c r="AD35" s="343">
        <v>2</v>
      </c>
      <c r="AE35" s="343">
        <v>747</v>
      </c>
      <c r="AF35" s="343">
        <v>0</v>
      </c>
      <c r="AG35" s="343">
        <v>0</v>
      </c>
      <c r="AH35" s="343">
        <v>747</v>
      </c>
      <c r="AI35" s="343">
        <v>48.56</v>
      </c>
    </row>
    <row r="36" spans="1:35">
      <c r="A36" s="343">
        <v>20260201</v>
      </c>
      <c r="B36" s="343">
        <v>14901.02</v>
      </c>
      <c r="C36" s="343">
        <v>87</v>
      </c>
      <c r="D36" s="343">
        <v>153</v>
      </c>
      <c r="E36" s="384">
        <v>46054</v>
      </c>
      <c r="F36" s="343" t="s">
        <v>245</v>
      </c>
      <c r="G36" s="343" t="s">
        <v>128</v>
      </c>
      <c r="I36" s="343">
        <v>20260503</v>
      </c>
      <c r="J36" s="343">
        <v>12242.01</v>
      </c>
      <c r="K36" s="343">
        <v>71</v>
      </c>
      <c r="L36" s="343">
        <v>195</v>
      </c>
      <c r="M36" s="384">
        <v>46145</v>
      </c>
      <c r="N36" s="343" t="s">
        <v>245</v>
      </c>
      <c r="O36" s="343" t="s">
        <v>147</v>
      </c>
      <c r="Q36" s="343">
        <v>20260219</v>
      </c>
      <c r="R36" s="343">
        <v>4673.3999999999996</v>
      </c>
      <c r="S36" s="343">
        <v>41</v>
      </c>
      <c r="T36" s="343">
        <v>65</v>
      </c>
      <c r="U36" s="384">
        <v>46072</v>
      </c>
      <c r="V36" s="343" t="s">
        <v>235</v>
      </c>
      <c r="W36" s="343" t="s">
        <v>131</v>
      </c>
      <c r="Y36" s="343" t="s">
        <v>133</v>
      </c>
      <c r="Z36" s="343" t="s">
        <v>135</v>
      </c>
      <c r="AA36" s="384">
        <v>46083</v>
      </c>
      <c r="AB36" s="384">
        <v>46089</v>
      </c>
      <c r="AC36" s="343" t="s">
        <v>335</v>
      </c>
      <c r="AD36" s="343">
        <v>0</v>
      </c>
      <c r="AE36" s="343">
        <v>-646.37</v>
      </c>
      <c r="AF36" s="343">
        <v>0</v>
      </c>
      <c r="AG36" s="343">
        <v>646.37</v>
      </c>
      <c r="AH36" s="343">
        <v>0</v>
      </c>
      <c r="AI36" s="343">
        <v>0</v>
      </c>
    </row>
    <row r="37" spans="1:35">
      <c r="A37" s="343">
        <v>20260202</v>
      </c>
      <c r="B37" s="343">
        <v>15901.99</v>
      </c>
      <c r="C37" s="343">
        <v>72</v>
      </c>
      <c r="D37" s="343">
        <v>132</v>
      </c>
      <c r="E37" s="384">
        <v>46055</v>
      </c>
      <c r="F37" s="343" t="s">
        <v>232</v>
      </c>
      <c r="G37" s="343" t="s">
        <v>129</v>
      </c>
      <c r="I37" s="343">
        <v>20260509</v>
      </c>
      <c r="J37" s="343">
        <v>15078.54</v>
      </c>
      <c r="K37" s="343">
        <v>94</v>
      </c>
      <c r="L37" s="343">
        <v>237</v>
      </c>
      <c r="M37" s="384">
        <v>46151</v>
      </c>
      <c r="N37" s="343" t="s">
        <v>244</v>
      </c>
      <c r="O37" s="343" t="s">
        <v>148</v>
      </c>
      <c r="Q37" s="343">
        <v>20260220</v>
      </c>
      <c r="R37" s="343">
        <v>11712.4</v>
      </c>
      <c r="S37" s="343">
        <v>87</v>
      </c>
      <c r="T37" s="343">
        <v>172</v>
      </c>
      <c r="U37" s="384">
        <v>46073</v>
      </c>
      <c r="V37" s="343" t="s">
        <v>236</v>
      </c>
      <c r="W37" s="343" t="s">
        <v>131</v>
      </c>
      <c r="Y37" s="343" t="s">
        <v>133</v>
      </c>
      <c r="Z37" s="343" t="s">
        <v>135</v>
      </c>
      <c r="AA37" s="384">
        <v>46083</v>
      </c>
      <c r="AB37" s="384">
        <v>46089</v>
      </c>
      <c r="AC37" s="343" t="s">
        <v>293</v>
      </c>
      <c r="AD37" s="343">
        <v>1</v>
      </c>
      <c r="AE37" s="343">
        <v>385</v>
      </c>
      <c r="AF37" s="343">
        <v>0</v>
      </c>
      <c r="AG37" s="343">
        <v>0</v>
      </c>
      <c r="AH37" s="343">
        <v>385</v>
      </c>
      <c r="AI37" s="343">
        <v>25.03</v>
      </c>
    </row>
    <row r="38" spans="1:35">
      <c r="A38" s="343">
        <v>20260203</v>
      </c>
      <c r="B38" s="343">
        <v>26259.5</v>
      </c>
      <c r="C38" s="343">
        <v>100</v>
      </c>
      <c r="D38" s="343">
        <v>248</v>
      </c>
      <c r="E38" s="384">
        <v>46056</v>
      </c>
      <c r="F38" s="343" t="s">
        <v>233</v>
      </c>
      <c r="G38" s="343" t="s">
        <v>129</v>
      </c>
      <c r="I38" s="343">
        <v>20260510</v>
      </c>
      <c r="J38" s="343">
        <v>27423.5</v>
      </c>
      <c r="K38" s="343">
        <v>99</v>
      </c>
      <c r="L38" s="343">
        <v>280</v>
      </c>
      <c r="M38" s="384">
        <v>46152</v>
      </c>
      <c r="N38" s="343" t="s">
        <v>245</v>
      </c>
      <c r="O38" s="343" t="s">
        <v>148</v>
      </c>
      <c r="Q38" s="343">
        <v>20260221</v>
      </c>
      <c r="R38" s="343">
        <v>15700.65</v>
      </c>
      <c r="S38" s="343">
        <v>63</v>
      </c>
      <c r="T38" s="343">
        <v>178</v>
      </c>
      <c r="U38" s="384">
        <v>46074</v>
      </c>
      <c r="V38" s="343" t="s">
        <v>244</v>
      </c>
      <c r="W38" s="343" t="s">
        <v>131</v>
      </c>
      <c r="Y38" s="343" t="s">
        <v>133</v>
      </c>
      <c r="Z38" s="343" t="s">
        <v>135</v>
      </c>
      <c r="AA38" s="384">
        <v>46083</v>
      </c>
      <c r="AB38" s="384">
        <v>46089</v>
      </c>
      <c r="AC38" s="343" t="s">
        <v>106</v>
      </c>
      <c r="AD38" s="343">
        <v>6</v>
      </c>
      <c r="AE38" s="343">
        <v>938.85</v>
      </c>
      <c r="AF38" s="343">
        <v>0</v>
      </c>
      <c r="AG38" s="343">
        <v>0</v>
      </c>
      <c r="AH38" s="343">
        <v>938.85</v>
      </c>
      <c r="AI38" s="343">
        <v>0</v>
      </c>
    </row>
    <row r="39" spans="1:35">
      <c r="A39" s="343">
        <v>20260204</v>
      </c>
      <c r="B39" s="343">
        <v>26082.5</v>
      </c>
      <c r="C39" s="343">
        <v>113</v>
      </c>
      <c r="D39" s="343">
        <v>245</v>
      </c>
      <c r="E39" s="384">
        <v>46057</v>
      </c>
      <c r="F39" s="343" t="s">
        <v>234</v>
      </c>
      <c r="G39" s="343" t="s">
        <v>129</v>
      </c>
      <c r="I39" s="343">
        <v>20260516</v>
      </c>
      <c r="J39" s="343">
        <v>8601.5</v>
      </c>
      <c r="K39" s="343">
        <v>57</v>
      </c>
      <c r="L39" s="343">
        <v>153</v>
      </c>
      <c r="M39" s="384">
        <v>46158</v>
      </c>
      <c r="N39" s="343" t="s">
        <v>244</v>
      </c>
      <c r="O39" s="343" t="s">
        <v>149</v>
      </c>
      <c r="Q39" s="343">
        <v>20260222</v>
      </c>
      <c r="R39" s="343">
        <v>7069.65</v>
      </c>
      <c r="S39" s="343">
        <v>2</v>
      </c>
      <c r="T39" s="343">
        <v>11</v>
      </c>
      <c r="U39" s="384">
        <v>46075</v>
      </c>
      <c r="V39" s="343" t="s">
        <v>245</v>
      </c>
      <c r="W39" s="343" t="s">
        <v>131</v>
      </c>
      <c r="Y39" s="343" t="s">
        <v>133</v>
      </c>
      <c r="Z39" s="343" t="s">
        <v>135</v>
      </c>
      <c r="AA39" s="384">
        <v>46083</v>
      </c>
      <c r="AB39" s="384">
        <v>46089</v>
      </c>
      <c r="AC39" s="343" t="s">
        <v>339</v>
      </c>
      <c r="AD39" s="343">
        <v>1</v>
      </c>
      <c r="AE39" s="343">
        <v>38</v>
      </c>
      <c r="AF39" s="343">
        <v>0</v>
      </c>
      <c r="AG39" s="343">
        <v>0</v>
      </c>
      <c r="AH39" s="343">
        <v>38</v>
      </c>
      <c r="AI39" s="343">
        <v>2.4700000000000002</v>
      </c>
    </row>
    <row r="40" spans="1:35">
      <c r="A40" s="343">
        <v>20260205</v>
      </c>
      <c r="B40" s="343">
        <v>28833.200000000001</v>
      </c>
      <c r="C40" s="343">
        <v>119</v>
      </c>
      <c r="D40" s="343">
        <v>248</v>
      </c>
      <c r="E40" s="384">
        <v>46058</v>
      </c>
      <c r="F40" s="343" t="s">
        <v>235</v>
      </c>
      <c r="G40" s="343" t="s">
        <v>129</v>
      </c>
      <c r="I40" s="343">
        <v>20260517</v>
      </c>
      <c r="J40" s="343">
        <v>10284</v>
      </c>
      <c r="K40" s="343">
        <v>62</v>
      </c>
      <c r="L40" s="343">
        <v>152</v>
      </c>
      <c r="M40" s="384">
        <v>46159</v>
      </c>
      <c r="N40" s="343" t="s">
        <v>245</v>
      </c>
      <c r="O40" s="343" t="s">
        <v>149</v>
      </c>
      <c r="Q40" s="343">
        <v>20260225</v>
      </c>
      <c r="R40" s="343">
        <v>3002</v>
      </c>
      <c r="S40" s="343">
        <v>16</v>
      </c>
      <c r="T40" s="343">
        <v>74</v>
      </c>
      <c r="U40" s="384">
        <v>46078</v>
      </c>
      <c r="V40" s="343" t="s">
        <v>234</v>
      </c>
      <c r="W40" s="343" t="s">
        <v>134</v>
      </c>
      <c r="Y40" s="343" t="s">
        <v>133</v>
      </c>
      <c r="Z40" s="343" t="s">
        <v>136</v>
      </c>
      <c r="AA40" s="384">
        <v>46090</v>
      </c>
      <c r="AB40" s="384">
        <v>46096</v>
      </c>
      <c r="AC40" s="343" t="s">
        <v>293</v>
      </c>
      <c r="AD40" s="343">
        <v>2</v>
      </c>
      <c r="AE40" s="343">
        <v>130</v>
      </c>
      <c r="AF40" s="343">
        <v>0</v>
      </c>
      <c r="AG40" s="343">
        <v>0</v>
      </c>
      <c r="AH40" s="343">
        <v>130</v>
      </c>
      <c r="AI40" s="343">
        <v>8.4600000000000009</v>
      </c>
    </row>
    <row r="41" spans="1:35">
      <c r="A41" s="343">
        <v>20260206</v>
      </c>
      <c r="B41" s="343">
        <v>37242.160000000003</v>
      </c>
      <c r="C41" s="343">
        <v>184</v>
      </c>
      <c r="D41" s="343">
        <v>344</v>
      </c>
      <c r="E41" s="384">
        <v>46059</v>
      </c>
      <c r="F41" s="343" t="s">
        <v>236</v>
      </c>
      <c r="G41" s="343" t="s">
        <v>129</v>
      </c>
      <c r="I41" s="343">
        <v>20260521</v>
      </c>
      <c r="J41" s="343">
        <v>-83.36</v>
      </c>
      <c r="M41" s="384">
        <v>46163</v>
      </c>
      <c r="N41" s="343" t="s">
        <v>235</v>
      </c>
      <c r="O41" s="343" t="s">
        <v>150</v>
      </c>
      <c r="Q41" s="343">
        <v>20260226</v>
      </c>
      <c r="R41" s="343">
        <v>7173</v>
      </c>
      <c r="S41" s="343">
        <v>59</v>
      </c>
      <c r="T41" s="343">
        <v>140</v>
      </c>
      <c r="U41" s="384">
        <v>46079</v>
      </c>
      <c r="V41" s="343" t="s">
        <v>235</v>
      </c>
      <c r="W41" s="343" t="s">
        <v>134</v>
      </c>
      <c r="Y41" s="343" t="s">
        <v>133</v>
      </c>
      <c r="Z41" s="343" t="s">
        <v>136</v>
      </c>
      <c r="AA41" s="384">
        <v>46090</v>
      </c>
      <c r="AB41" s="384">
        <v>46096</v>
      </c>
      <c r="AC41" s="343" t="s">
        <v>106</v>
      </c>
      <c r="AD41" s="343">
        <v>3</v>
      </c>
      <c r="AE41" s="343">
        <v>565.75</v>
      </c>
      <c r="AF41" s="343">
        <v>0</v>
      </c>
      <c r="AG41" s="343">
        <v>0</v>
      </c>
      <c r="AH41" s="343">
        <v>565.75</v>
      </c>
      <c r="AI41" s="343">
        <v>0</v>
      </c>
    </row>
    <row r="42" spans="1:35">
      <c r="A42" s="343">
        <v>20260207</v>
      </c>
      <c r="B42" s="343">
        <v>41332.5</v>
      </c>
      <c r="C42" s="343">
        <v>238</v>
      </c>
      <c r="D42" s="343">
        <v>441</v>
      </c>
      <c r="E42" s="384">
        <v>46060</v>
      </c>
      <c r="F42" s="343" t="s">
        <v>244</v>
      </c>
      <c r="G42" s="343" t="s">
        <v>129</v>
      </c>
      <c r="I42" s="343">
        <v>20260523</v>
      </c>
      <c r="J42" s="343">
        <v>8692.98</v>
      </c>
      <c r="K42" s="343">
        <v>54</v>
      </c>
      <c r="L42" s="343">
        <v>117</v>
      </c>
      <c r="M42" s="384">
        <v>46165</v>
      </c>
      <c r="N42" s="343" t="s">
        <v>244</v>
      </c>
      <c r="O42" s="343" t="s">
        <v>150</v>
      </c>
      <c r="Q42" s="343">
        <v>20260227</v>
      </c>
      <c r="R42" s="343">
        <v>15119.62</v>
      </c>
      <c r="S42" s="343">
        <v>71</v>
      </c>
      <c r="T42" s="343">
        <v>146</v>
      </c>
      <c r="U42" s="384">
        <v>46080</v>
      </c>
      <c r="V42" s="343" t="s">
        <v>236</v>
      </c>
      <c r="W42" s="343" t="s">
        <v>134</v>
      </c>
      <c r="Y42" s="343" t="s">
        <v>133</v>
      </c>
      <c r="Z42" s="343" t="s">
        <v>137</v>
      </c>
      <c r="AA42" s="384">
        <v>46097</v>
      </c>
      <c r="AB42" s="384">
        <v>46103</v>
      </c>
      <c r="AC42" s="343" t="s">
        <v>293</v>
      </c>
      <c r="AD42" s="343">
        <v>3</v>
      </c>
      <c r="AE42" s="343">
        <v>245</v>
      </c>
      <c r="AF42" s="343">
        <v>0</v>
      </c>
      <c r="AG42" s="343">
        <v>0</v>
      </c>
      <c r="AH42" s="343">
        <v>245</v>
      </c>
      <c r="AI42" s="343">
        <v>15.93</v>
      </c>
    </row>
    <row r="43" spans="1:35">
      <c r="A43" s="343">
        <v>20260208</v>
      </c>
      <c r="B43" s="343">
        <v>10499</v>
      </c>
      <c r="C43" s="343">
        <v>67</v>
      </c>
      <c r="D43" s="343">
        <v>117</v>
      </c>
      <c r="E43" s="384">
        <v>46061</v>
      </c>
      <c r="F43" s="343" t="s">
        <v>245</v>
      </c>
      <c r="G43" s="343" t="s">
        <v>129</v>
      </c>
      <c r="I43" s="343">
        <v>20260524</v>
      </c>
      <c r="J43" s="343">
        <v>14224.41</v>
      </c>
      <c r="K43" s="343">
        <v>74</v>
      </c>
      <c r="L43" s="343">
        <v>174</v>
      </c>
      <c r="M43" s="384">
        <v>46166</v>
      </c>
      <c r="N43" s="343" t="s">
        <v>245</v>
      </c>
      <c r="O43" s="343" t="s">
        <v>150</v>
      </c>
      <c r="Q43" s="343">
        <v>20260228</v>
      </c>
      <c r="R43" s="343">
        <v>8663.7000000000007</v>
      </c>
      <c r="S43" s="343">
        <v>90</v>
      </c>
      <c r="T43" s="343">
        <v>162</v>
      </c>
      <c r="U43" s="384">
        <v>46081</v>
      </c>
      <c r="V43" s="343" t="s">
        <v>244</v>
      </c>
      <c r="W43" s="343" t="s">
        <v>134</v>
      </c>
      <c r="Y43" s="343" t="s">
        <v>133</v>
      </c>
      <c r="Z43" s="343" t="s">
        <v>137</v>
      </c>
      <c r="AA43" s="384">
        <v>46097</v>
      </c>
      <c r="AB43" s="384">
        <v>46103</v>
      </c>
      <c r="AC43" s="343" t="s">
        <v>106</v>
      </c>
      <c r="AD43" s="343">
        <v>3</v>
      </c>
      <c r="AE43" s="343">
        <v>497.43</v>
      </c>
      <c r="AF43" s="343">
        <v>0</v>
      </c>
      <c r="AG43" s="343">
        <v>0</v>
      </c>
      <c r="AH43" s="343">
        <v>497.43</v>
      </c>
      <c r="AI43" s="343">
        <v>0</v>
      </c>
    </row>
    <row r="44" spans="1:35">
      <c r="A44" s="343">
        <v>20260209</v>
      </c>
      <c r="B44" s="343">
        <v>17112.490000000002</v>
      </c>
      <c r="C44" s="343">
        <v>81</v>
      </c>
      <c r="D44" s="343">
        <v>159</v>
      </c>
      <c r="E44" s="384">
        <v>46062</v>
      </c>
      <c r="F44" s="343" t="s">
        <v>232</v>
      </c>
      <c r="G44" s="343" t="s">
        <v>130</v>
      </c>
      <c r="I44" s="343">
        <v>20260530</v>
      </c>
      <c r="J44" s="343">
        <v>6540</v>
      </c>
      <c r="K44" s="343">
        <v>43</v>
      </c>
      <c r="L44" s="343">
        <v>103</v>
      </c>
      <c r="M44" s="384">
        <v>46172</v>
      </c>
      <c r="N44" s="343" t="s">
        <v>244</v>
      </c>
      <c r="O44" s="343" t="s">
        <v>153</v>
      </c>
      <c r="Q44" s="343">
        <v>20260304</v>
      </c>
      <c r="R44" s="343">
        <v>7476.4</v>
      </c>
      <c r="S44" s="343">
        <v>21</v>
      </c>
      <c r="T44" s="343">
        <v>39</v>
      </c>
      <c r="U44" s="384">
        <v>46085</v>
      </c>
      <c r="V44" s="343" t="s">
        <v>234</v>
      </c>
      <c r="W44" s="343" t="s">
        <v>135</v>
      </c>
      <c r="Y44" s="343" t="s">
        <v>133</v>
      </c>
      <c r="Z44" s="343" t="s">
        <v>137</v>
      </c>
      <c r="AA44" s="384">
        <v>46097</v>
      </c>
      <c r="AB44" s="384">
        <v>46103</v>
      </c>
      <c r="AC44" s="343" t="s">
        <v>339</v>
      </c>
      <c r="AD44" s="343">
        <v>1</v>
      </c>
      <c r="AE44" s="343">
        <v>2794.05</v>
      </c>
      <c r="AF44" s="343">
        <v>0</v>
      </c>
      <c r="AG44" s="343">
        <v>0</v>
      </c>
      <c r="AH44" s="343">
        <v>2794.05</v>
      </c>
      <c r="AI44" s="343">
        <v>181.61</v>
      </c>
    </row>
    <row r="45" spans="1:35">
      <c r="A45" s="343">
        <v>20260210</v>
      </c>
      <c r="B45" s="343">
        <v>20709.5</v>
      </c>
      <c r="C45" s="343">
        <v>92</v>
      </c>
      <c r="D45" s="343">
        <v>201</v>
      </c>
      <c r="E45" s="384">
        <v>46063</v>
      </c>
      <c r="F45" s="343" t="s">
        <v>233</v>
      </c>
      <c r="G45" s="343" t="s">
        <v>130</v>
      </c>
      <c r="I45" s="343">
        <v>20260531</v>
      </c>
      <c r="J45" s="343">
        <v>11328</v>
      </c>
      <c r="K45" s="343">
        <v>56</v>
      </c>
      <c r="L45" s="343">
        <v>153</v>
      </c>
      <c r="M45" s="384">
        <v>46173</v>
      </c>
      <c r="N45" s="343" t="s">
        <v>245</v>
      </c>
      <c r="O45" s="343" t="s">
        <v>153</v>
      </c>
      <c r="Q45" s="343">
        <v>20260305</v>
      </c>
      <c r="R45" s="343">
        <v>5177.1000000000004</v>
      </c>
      <c r="S45" s="343">
        <v>50</v>
      </c>
      <c r="T45" s="343">
        <v>77</v>
      </c>
      <c r="U45" s="384">
        <v>46086</v>
      </c>
      <c r="V45" s="343" t="s">
        <v>235</v>
      </c>
      <c r="W45" s="343" t="s">
        <v>135</v>
      </c>
      <c r="Y45" s="343" t="s">
        <v>133</v>
      </c>
      <c r="Z45" s="343" t="s">
        <v>138</v>
      </c>
      <c r="AA45" s="384">
        <v>46104</v>
      </c>
      <c r="AB45" s="384">
        <v>46110</v>
      </c>
      <c r="AC45" s="343" t="s">
        <v>340</v>
      </c>
      <c r="AD45" s="343">
        <v>1</v>
      </c>
      <c r="AE45" s="343">
        <v>170</v>
      </c>
      <c r="AF45" s="343">
        <v>0</v>
      </c>
      <c r="AG45" s="343">
        <v>0</v>
      </c>
      <c r="AH45" s="343">
        <v>170</v>
      </c>
      <c r="AI45" s="343">
        <v>11.05</v>
      </c>
    </row>
    <row r="46" spans="1:35">
      <c r="A46" s="343">
        <v>20260211</v>
      </c>
      <c r="B46" s="343">
        <v>22573.599999999999</v>
      </c>
      <c r="C46" s="343">
        <v>102</v>
      </c>
      <c r="D46" s="343">
        <v>207</v>
      </c>
      <c r="E46" s="384">
        <v>46064</v>
      </c>
      <c r="F46" s="343" t="s">
        <v>234</v>
      </c>
      <c r="G46" s="343" t="s">
        <v>130</v>
      </c>
      <c r="I46" s="343">
        <v>20260606</v>
      </c>
      <c r="J46" s="343">
        <v>8384.2999999999993</v>
      </c>
      <c r="K46" s="343">
        <v>38</v>
      </c>
      <c r="L46" s="343">
        <v>115</v>
      </c>
      <c r="M46" s="384">
        <v>46179</v>
      </c>
      <c r="N46" s="343" t="s">
        <v>244</v>
      </c>
      <c r="O46" s="343" t="s">
        <v>154</v>
      </c>
      <c r="Q46" s="343">
        <v>20260306</v>
      </c>
      <c r="R46" s="343">
        <v>11207.2</v>
      </c>
      <c r="S46" s="343">
        <v>81</v>
      </c>
      <c r="T46" s="343">
        <v>152</v>
      </c>
      <c r="U46" s="384">
        <v>46087</v>
      </c>
      <c r="V46" s="343" t="s">
        <v>236</v>
      </c>
      <c r="W46" s="343" t="s">
        <v>135</v>
      </c>
      <c r="Y46" s="343" t="s">
        <v>133</v>
      </c>
      <c r="Z46" s="343" t="s">
        <v>138</v>
      </c>
      <c r="AA46" s="384">
        <v>46104</v>
      </c>
      <c r="AB46" s="384">
        <v>46110</v>
      </c>
      <c r="AC46" s="343" t="s">
        <v>279</v>
      </c>
      <c r="AD46" s="343">
        <v>161</v>
      </c>
      <c r="AE46" s="343">
        <v>1584.5</v>
      </c>
      <c r="AF46" s="343">
        <v>0</v>
      </c>
      <c r="AG46" s="343">
        <v>0</v>
      </c>
      <c r="AH46" s="343">
        <v>1584.5</v>
      </c>
      <c r="AI46" s="343">
        <v>103.4</v>
      </c>
    </row>
    <row r="47" spans="1:35">
      <c r="A47" s="343">
        <v>20260212</v>
      </c>
      <c r="B47" s="343">
        <v>31228.16</v>
      </c>
      <c r="C47" s="343">
        <v>137</v>
      </c>
      <c r="D47" s="343">
        <v>268</v>
      </c>
      <c r="E47" s="384">
        <v>46065</v>
      </c>
      <c r="F47" s="343" t="s">
        <v>235</v>
      </c>
      <c r="G47" s="343" t="s">
        <v>130</v>
      </c>
      <c r="I47" s="343">
        <v>20260607</v>
      </c>
      <c r="J47" s="343">
        <v>9795.25</v>
      </c>
      <c r="K47" s="343">
        <v>77</v>
      </c>
      <c r="L47" s="343">
        <v>169</v>
      </c>
      <c r="M47" s="384">
        <v>46180</v>
      </c>
      <c r="N47" s="343" t="s">
        <v>245</v>
      </c>
      <c r="O47" s="343" t="s">
        <v>154</v>
      </c>
      <c r="Q47" s="343">
        <v>20260307</v>
      </c>
      <c r="R47" s="343">
        <v>15975.55</v>
      </c>
      <c r="S47" s="343">
        <v>44</v>
      </c>
      <c r="T47" s="343">
        <v>145</v>
      </c>
      <c r="U47" s="384">
        <v>46088</v>
      </c>
      <c r="V47" s="343" t="s">
        <v>244</v>
      </c>
      <c r="W47" s="343" t="s">
        <v>135</v>
      </c>
      <c r="Y47" s="343" t="s">
        <v>133</v>
      </c>
      <c r="Z47" s="343" t="s">
        <v>138</v>
      </c>
      <c r="AA47" s="384">
        <v>46104</v>
      </c>
      <c r="AB47" s="384">
        <v>46110</v>
      </c>
      <c r="AC47" s="343" t="s">
        <v>293</v>
      </c>
      <c r="AD47" s="343">
        <v>1</v>
      </c>
      <c r="AE47" s="343">
        <v>950</v>
      </c>
      <c r="AF47" s="343">
        <v>0</v>
      </c>
      <c r="AG47" s="343">
        <v>0</v>
      </c>
      <c r="AH47" s="343">
        <v>950</v>
      </c>
      <c r="AI47" s="343">
        <v>61.75</v>
      </c>
    </row>
    <row r="48" spans="1:35">
      <c r="A48" s="343">
        <v>20260213</v>
      </c>
      <c r="B48" s="343">
        <v>40757.99</v>
      </c>
      <c r="C48" s="343">
        <v>222</v>
      </c>
      <c r="D48" s="343">
        <v>392</v>
      </c>
      <c r="E48" s="384">
        <v>46066</v>
      </c>
      <c r="F48" s="343" t="s">
        <v>236</v>
      </c>
      <c r="G48" s="343" t="s">
        <v>130</v>
      </c>
      <c r="I48" s="343">
        <v>20260613</v>
      </c>
      <c r="J48" s="343">
        <v>6797.8</v>
      </c>
      <c r="K48" s="343">
        <v>49</v>
      </c>
      <c r="L48" s="343">
        <v>128</v>
      </c>
      <c r="M48" s="384">
        <v>46186</v>
      </c>
      <c r="N48" s="343" t="s">
        <v>244</v>
      </c>
      <c r="O48" s="343" t="s">
        <v>155</v>
      </c>
      <c r="Q48" s="343">
        <v>20260309</v>
      </c>
      <c r="R48" s="343">
        <v>6783</v>
      </c>
      <c r="S48" s="343">
        <v>1</v>
      </c>
      <c r="T48" s="343">
        <v>26</v>
      </c>
      <c r="U48" s="384">
        <v>46090</v>
      </c>
      <c r="V48" s="343" t="s">
        <v>232</v>
      </c>
      <c r="W48" s="343" t="s">
        <v>136</v>
      </c>
      <c r="Y48" s="343" t="s">
        <v>133</v>
      </c>
      <c r="Z48" s="343" t="s">
        <v>138</v>
      </c>
      <c r="AA48" s="384">
        <v>46104</v>
      </c>
      <c r="AB48" s="384">
        <v>46110</v>
      </c>
      <c r="AC48" s="343" t="s">
        <v>106</v>
      </c>
      <c r="AD48" s="343">
        <v>17</v>
      </c>
      <c r="AE48" s="343">
        <v>1966.47</v>
      </c>
      <c r="AF48" s="343">
        <v>0</v>
      </c>
      <c r="AG48" s="343">
        <v>0</v>
      </c>
      <c r="AH48" s="343">
        <v>1966.47</v>
      </c>
      <c r="AI48" s="343">
        <v>0</v>
      </c>
    </row>
    <row r="49" spans="1:35">
      <c r="A49" s="343">
        <v>20260214</v>
      </c>
      <c r="B49" s="343">
        <v>66090.84</v>
      </c>
      <c r="C49" s="343">
        <v>288</v>
      </c>
      <c r="D49" s="343">
        <v>501</v>
      </c>
      <c r="E49" s="384">
        <v>46067</v>
      </c>
      <c r="F49" s="343" t="s">
        <v>244</v>
      </c>
      <c r="G49" s="343" t="s">
        <v>130</v>
      </c>
      <c r="I49" s="343">
        <v>20260614</v>
      </c>
      <c r="J49" s="343">
        <v>9971.02</v>
      </c>
      <c r="K49" s="343">
        <v>65</v>
      </c>
      <c r="L49" s="343">
        <v>153</v>
      </c>
      <c r="M49" s="384">
        <v>46187</v>
      </c>
      <c r="N49" s="343" t="s">
        <v>245</v>
      </c>
      <c r="O49" s="343" t="s">
        <v>155</v>
      </c>
      <c r="Q49" s="343">
        <v>20260311</v>
      </c>
      <c r="R49" s="343">
        <v>1593</v>
      </c>
      <c r="S49" s="343">
        <v>12</v>
      </c>
      <c r="T49" s="343">
        <v>16</v>
      </c>
      <c r="U49" s="384">
        <v>46092</v>
      </c>
      <c r="V49" s="343" t="s">
        <v>234</v>
      </c>
      <c r="W49" s="343" t="s">
        <v>136</v>
      </c>
      <c r="Y49" s="343" t="s">
        <v>140</v>
      </c>
      <c r="Z49" s="343" t="s">
        <v>141</v>
      </c>
      <c r="AA49" s="384">
        <v>46111</v>
      </c>
      <c r="AB49" s="384">
        <v>46117</v>
      </c>
      <c r="AC49" s="343" t="s">
        <v>106</v>
      </c>
      <c r="AD49" s="343">
        <v>2</v>
      </c>
      <c r="AE49" s="343">
        <v>147.15</v>
      </c>
      <c r="AF49" s="343">
        <v>0</v>
      </c>
      <c r="AG49" s="343">
        <v>0</v>
      </c>
      <c r="AH49" s="343">
        <v>147.15</v>
      </c>
      <c r="AI49" s="343">
        <v>0</v>
      </c>
    </row>
    <row r="50" spans="1:35">
      <c r="A50" s="343">
        <v>20260215</v>
      </c>
      <c r="B50" s="343">
        <v>35160.15</v>
      </c>
      <c r="C50" s="343">
        <v>189</v>
      </c>
      <c r="D50" s="343">
        <v>363</v>
      </c>
      <c r="E50" s="384">
        <v>46068</v>
      </c>
      <c r="F50" s="343" t="s">
        <v>245</v>
      </c>
      <c r="G50" s="343" t="s">
        <v>130</v>
      </c>
      <c r="I50" s="343">
        <v>20260620</v>
      </c>
      <c r="J50" s="343">
        <v>7520</v>
      </c>
      <c r="K50" s="343">
        <v>50</v>
      </c>
      <c r="L50" s="343">
        <v>124</v>
      </c>
      <c r="M50" s="384">
        <v>46193</v>
      </c>
      <c r="N50" s="343" t="s">
        <v>244</v>
      </c>
      <c r="O50" s="343" t="s">
        <v>156</v>
      </c>
      <c r="Q50" s="343">
        <v>20260312</v>
      </c>
      <c r="R50" s="343">
        <v>7148.45</v>
      </c>
      <c r="S50" s="343">
        <v>19</v>
      </c>
      <c r="T50" s="343">
        <v>43</v>
      </c>
      <c r="U50" s="384">
        <v>46093</v>
      </c>
      <c r="V50" s="343" t="s">
        <v>235</v>
      </c>
      <c r="W50" s="343" t="s">
        <v>136</v>
      </c>
      <c r="Y50" s="343" t="s">
        <v>140</v>
      </c>
      <c r="Z50" s="343" t="s">
        <v>142</v>
      </c>
      <c r="AA50" s="384">
        <v>46118</v>
      </c>
      <c r="AB50" s="384">
        <v>46124</v>
      </c>
      <c r="AC50" s="343" t="s">
        <v>279</v>
      </c>
      <c r="AD50" s="343">
        <v>195</v>
      </c>
      <c r="AE50" s="343">
        <v>1932</v>
      </c>
      <c r="AF50" s="343">
        <v>0</v>
      </c>
      <c r="AG50" s="343">
        <v>0</v>
      </c>
      <c r="AH50" s="343">
        <v>1932</v>
      </c>
      <c r="AI50" s="343">
        <v>126.08</v>
      </c>
    </row>
    <row r="51" spans="1:35">
      <c r="A51" s="343">
        <v>20260216</v>
      </c>
      <c r="B51" s="343">
        <v>24742</v>
      </c>
      <c r="C51" s="343">
        <v>116</v>
      </c>
      <c r="D51" s="343">
        <v>230</v>
      </c>
      <c r="E51" s="384">
        <v>46069</v>
      </c>
      <c r="F51" s="343" t="s">
        <v>232</v>
      </c>
      <c r="G51" s="343" t="s">
        <v>131</v>
      </c>
      <c r="I51" s="343">
        <v>20260621</v>
      </c>
      <c r="J51" s="343">
        <v>19111</v>
      </c>
      <c r="K51" s="343">
        <v>72</v>
      </c>
      <c r="L51" s="343">
        <v>221</v>
      </c>
      <c r="M51" s="384">
        <v>46194</v>
      </c>
      <c r="N51" s="343" t="s">
        <v>245</v>
      </c>
      <c r="O51" s="343" t="s">
        <v>156</v>
      </c>
      <c r="Q51" s="343">
        <v>20260313</v>
      </c>
      <c r="R51" s="343">
        <v>5575.5</v>
      </c>
      <c r="S51" s="343">
        <v>52</v>
      </c>
      <c r="T51" s="343">
        <v>72</v>
      </c>
      <c r="U51" s="384">
        <v>46094</v>
      </c>
      <c r="V51" s="343" t="s">
        <v>236</v>
      </c>
      <c r="W51" s="343" t="s">
        <v>136</v>
      </c>
      <c r="Y51" s="343" t="s">
        <v>140</v>
      </c>
      <c r="Z51" s="343" t="s">
        <v>142</v>
      </c>
      <c r="AA51" s="384">
        <v>46118</v>
      </c>
      <c r="AB51" s="384">
        <v>46124</v>
      </c>
      <c r="AC51" s="343" t="s">
        <v>335</v>
      </c>
      <c r="AD51" s="343">
        <v>0</v>
      </c>
      <c r="AE51" s="343">
        <v>-358.56</v>
      </c>
      <c r="AF51" s="343">
        <v>0</v>
      </c>
      <c r="AG51" s="343">
        <v>358.56</v>
      </c>
      <c r="AH51" s="343">
        <v>0</v>
      </c>
      <c r="AI51" s="343">
        <v>0</v>
      </c>
    </row>
    <row r="52" spans="1:35">
      <c r="A52" s="343">
        <v>20260217</v>
      </c>
      <c r="B52" s="343">
        <v>39084.959999999999</v>
      </c>
      <c r="C52" s="343">
        <v>141</v>
      </c>
      <c r="D52" s="343">
        <v>330</v>
      </c>
      <c r="E52" s="384">
        <v>46070</v>
      </c>
      <c r="F52" s="343" t="s">
        <v>233</v>
      </c>
      <c r="G52" s="343" t="s">
        <v>131</v>
      </c>
      <c r="I52" s="343">
        <v>20260627</v>
      </c>
      <c r="J52" s="343">
        <v>7181.5</v>
      </c>
      <c r="K52" s="343">
        <v>52</v>
      </c>
      <c r="L52" s="343">
        <v>112</v>
      </c>
      <c r="M52" s="384">
        <v>46200</v>
      </c>
      <c r="N52" s="343" t="s">
        <v>244</v>
      </c>
      <c r="O52" s="343" t="s">
        <v>157</v>
      </c>
      <c r="Q52" s="343">
        <v>20260314</v>
      </c>
      <c r="R52" s="343">
        <v>6478</v>
      </c>
      <c r="S52" s="343">
        <v>55</v>
      </c>
      <c r="T52" s="343">
        <v>91</v>
      </c>
      <c r="U52" s="384">
        <v>46095</v>
      </c>
      <c r="V52" s="343" t="s">
        <v>244</v>
      </c>
      <c r="W52" s="343" t="s">
        <v>136</v>
      </c>
      <c r="Y52" s="343" t="s">
        <v>140</v>
      </c>
      <c r="Z52" s="343" t="s">
        <v>142</v>
      </c>
      <c r="AA52" s="384">
        <v>46118</v>
      </c>
      <c r="AB52" s="384">
        <v>46124</v>
      </c>
      <c r="AC52" s="343" t="s">
        <v>293</v>
      </c>
      <c r="AD52" s="343">
        <v>1</v>
      </c>
      <c r="AE52" s="343">
        <v>65</v>
      </c>
      <c r="AF52" s="343">
        <v>0</v>
      </c>
      <c r="AG52" s="343">
        <v>0</v>
      </c>
      <c r="AH52" s="343">
        <v>65</v>
      </c>
      <c r="AI52" s="343">
        <v>4.2300000000000004</v>
      </c>
    </row>
    <row r="53" spans="1:35">
      <c r="A53" s="343">
        <v>20260218</v>
      </c>
      <c r="B53" s="343">
        <v>32571.3</v>
      </c>
      <c r="C53" s="343">
        <v>119</v>
      </c>
      <c r="D53" s="343">
        <v>258</v>
      </c>
      <c r="E53" s="384">
        <v>46071</v>
      </c>
      <c r="F53" s="343" t="s">
        <v>234</v>
      </c>
      <c r="G53" s="343" t="s">
        <v>131</v>
      </c>
      <c r="I53" s="343">
        <v>20260628</v>
      </c>
      <c r="J53" s="343">
        <v>7620.51</v>
      </c>
      <c r="K53" s="343">
        <v>54</v>
      </c>
      <c r="L53" s="343">
        <v>118</v>
      </c>
      <c r="M53" s="384">
        <v>46201</v>
      </c>
      <c r="N53" s="343" t="s">
        <v>245</v>
      </c>
      <c r="O53" s="343" t="s">
        <v>157</v>
      </c>
      <c r="Q53" s="343">
        <v>20260318</v>
      </c>
      <c r="R53" s="343">
        <v>6763.68</v>
      </c>
      <c r="S53" s="343">
        <v>7</v>
      </c>
      <c r="T53" s="343">
        <v>38</v>
      </c>
      <c r="U53" s="384">
        <v>46099</v>
      </c>
      <c r="V53" s="343" t="s">
        <v>234</v>
      </c>
      <c r="W53" s="343" t="s">
        <v>137</v>
      </c>
      <c r="Y53" s="343" t="s">
        <v>140</v>
      </c>
      <c r="Z53" s="343" t="s">
        <v>142</v>
      </c>
      <c r="AA53" s="384">
        <v>46118</v>
      </c>
      <c r="AB53" s="384">
        <v>46124</v>
      </c>
      <c r="AC53" s="343" t="s">
        <v>106</v>
      </c>
      <c r="AD53" s="343">
        <v>7</v>
      </c>
      <c r="AE53" s="343">
        <v>1290.68</v>
      </c>
      <c r="AF53" s="343">
        <v>0</v>
      </c>
      <c r="AG53" s="343">
        <v>0</v>
      </c>
      <c r="AH53" s="343">
        <v>1290.68</v>
      </c>
      <c r="AI53" s="343">
        <v>0</v>
      </c>
    </row>
    <row r="54" spans="1:35">
      <c r="A54" s="343">
        <v>20260219</v>
      </c>
      <c r="B54" s="343">
        <v>28978.35</v>
      </c>
      <c r="C54" s="343">
        <v>168</v>
      </c>
      <c r="D54" s="343">
        <v>304</v>
      </c>
      <c r="E54" s="384">
        <v>46072</v>
      </c>
      <c r="F54" s="343" t="s">
        <v>235</v>
      </c>
      <c r="G54" s="343" t="s">
        <v>131</v>
      </c>
      <c r="I54" s="343">
        <v>20260704</v>
      </c>
      <c r="J54" s="343">
        <v>4853</v>
      </c>
      <c r="K54" s="343">
        <v>31</v>
      </c>
      <c r="L54" s="343">
        <v>79</v>
      </c>
      <c r="M54" s="384">
        <v>46207</v>
      </c>
      <c r="N54" s="343" t="s">
        <v>244</v>
      </c>
      <c r="O54" s="343" t="s">
        <v>160</v>
      </c>
      <c r="Q54" s="343">
        <v>20260319</v>
      </c>
      <c r="R54" s="343">
        <v>3929.05</v>
      </c>
      <c r="S54" s="343">
        <v>73</v>
      </c>
      <c r="T54" s="343">
        <v>203</v>
      </c>
      <c r="U54" s="384">
        <v>46100</v>
      </c>
      <c r="V54" s="343" t="s">
        <v>235</v>
      </c>
      <c r="W54" s="343" t="s">
        <v>137</v>
      </c>
      <c r="Y54" s="343" t="s">
        <v>140</v>
      </c>
      <c r="Z54" s="343" t="s">
        <v>142</v>
      </c>
      <c r="AA54" s="384">
        <v>46118</v>
      </c>
      <c r="AB54" s="384">
        <v>46124</v>
      </c>
      <c r="AC54" s="343" t="s">
        <v>339</v>
      </c>
      <c r="AD54" s="343">
        <v>3</v>
      </c>
      <c r="AE54" s="343">
        <v>183</v>
      </c>
      <c r="AF54" s="343">
        <v>0</v>
      </c>
      <c r="AG54" s="343">
        <v>0</v>
      </c>
      <c r="AH54" s="343">
        <v>183</v>
      </c>
      <c r="AI54" s="343">
        <v>11.9</v>
      </c>
    </row>
    <row r="55" spans="1:35">
      <c r="A55" s="343">
        <v>20260220</v>
      </c>
      <c r="B55" s="343">
        <v>40289.5</v>
      </c>
      <c r="C55" s="343">
        <v>223</v>
      </c>
      <c r="D55" s="343">
        <v>406</v>
      </c>
      <c r="E55" s="384">
        <v>46073</v>
      </c>
      <c r="F55" s="343" t="s">
        <v>236</v>
      </c>
      <c r="G55" s="343" t="s">
        <v>131</v>
      </c>
      <c r="I55" s="343">
        <v>20260705</v>
      </c>
      <c r="J55" s="343">
        <v>5708.5</v>
      </c>
      <c r="K55" s="343">
        <v>42</v>
      </c>
      <c r="L55" s="343">
        <v>89</v>
      </c>
      <c r="M55" s="384">
        <v>46208</v>
      </c>
      <c r="N55" s="343" t="s">
        <v>245</v>
      </c>
      <c r="O55" s="343" t="s">
        <v>160</v>
      </c>
      <c r="Q55" s="343">
        <v>20260320</v>
      </c>
      <c r="R55" s="343">
        <v>10555.1</v>
      </c>
      <c r="S55" s="343">
        <v>53</v>
      </c>
      <c r="T55" s="343">
        <v>114</v>
      </c>
      <c r="U55" s="384">
        <v>46101</v>
      </c>
      <c r="V55" s="343" t="s">
        <v>236</v>
      </c>
      <c r="W55" s="343" t="s">
        <v>137</v>
      </c>
      <c r="Y55" s="343" t="s">
        <v>140</v>
      </c>
      <c r="Z55" s="343" t="s">
        <v>143</v>
      </c>
      <c r="AA55" s="384">
        <v>46125</v>
      </c>
      <c r="AB55" s="384">
        <v>46131</v>
      </c>
      <c r="AC55" s="343" t="s">
        <v>340</v>
      </c>
      <c r="AD55" s="343">
        <v>2</v>
      </c>
      <c r="AE55" s="343">
        <v>735.16</v>
      </c>
      <c r="AF55" s="343">
        <v>0</v>
      </c>
      <c r="AG55" s="343">
        <v>0</v>
      </c>
      <c r="AH55" s="343">
        <v>735.16</v>
      </c>
      <c r="AI55" s="343">
        <v>47.79</v>
      </c>
    </row>
    <row r="56" spans="1:35">
      <c r="A56" s="343">
        <v>20260221</v>
      </c>
      <c r="B56" s="343">
        <v>45165.42</v>
      </c>
      <c r="C56" s="343">
        <v>251</v>
      </c>
      <c r="D56" s="343">
        <v>484</v>
      </c>
      <c r="E56" s="384">
        <v>46074</v>
      </c>
      <c r="F56" s="343" t="s">
        <v>244</v>
      </c>
      <c r="G56" s="343" t="s">
        <v>131</v>
      </c>
      <c r="I56" s="343">
        <v>20260711</v>
      </c>
      <c r="J56" s="343">
        <v>8640.7000000000007</v>
      </c>
      <c r="K56" s="343">
        <v>63</v>
      </c>
      <c r="L56" s="343">
        <v>136</v>
      </c>
      <c r="M56" s="384">
        <v>46214</v>
      </c>
      <c r="N56" s="343" t="s">
        <v>244</v>
      </c>
      <c r="O56" s="343" t="s">
        <v>161</v>
      </c>
      <c r="Q56" s="343">
        <v>20260321</v>
      </c>
      <c r="R56" s="343">
        <v>5988</v>
      </c>
      <c r="S56" s="343">
        <v>35</v>
      </c>
      <c r="T56" s="343">
        <v>76</v>
      </c>
      <c r="U56" s="384">
        <v>46102</v>
      </c>
      <c r="V56" s="343" t="s">
        <v>244</v>
      </c>
      <c r="W56" s="343" t="s">
        <v>137</v>
      </c>
      <c r="Y56" s="343" t="s">
        <v>140</v>
      </c>
      <c r="Z56" s="343" t="s">
        <v>143</v>
      </c>
      <c r="AA56" s="384">
        <v>46125</v>
      </c>
      <c r="AB56" s="384">
        <v>46131</v>
      </c>
      <c r="AC56" s="343" t="s">
        <v>106</v>
      </c>
      <c r="AD56" s="343">
        <v>11</v>
      </c>
      <c r="AE56" s="343">
        <v>2333.4299999999998</v>
      </c>
      <c r="AF56" s="343">
        <v>0</v>
      </c>
      <c r="AG56" s="343">
        <v>0</v>
      </c>
      <c r="AH56" s="343">
        <v>2333.4299999999998</v>
      </c>
      <c r="AI56" s="343">
        <v>0</v>
      </c>
    </row>
    <row r="57" spans="1:35">
      <c r="A57" s="343">
        <v>20260222</v>
      </c>
      <c r="B57" s="343">
        <v>20194.5</v>
      </c>
      <c r="C57" s="343">
        <v>92</v>
      </c>
      <c r="D57" s="343">
        <v>193</v>
      </c>
      <c r="E57" s="384">
        <v>46075</v>
      </c>
      <c r="F57" s="343" t="s">
        <v>245</v>
      </c>
      <c r="G57" s="343" t="s">
        <v>131</v>
      </c>
      <c r="I57" s="343">
        <v>20260712</v>
      </c>
      <c r="J57" s="343">
        <v>11180.98</v>
      </c>
      <c r="K57" s="343">
        <v>62</v>
      </c>
      <c r="L57" s="343">
        <v>155</v>
      </c>
      <c r="M57" s="384">
        <v>46215</v>
      </c>
      <c r="N57" s="343" t="s">
        <v>245</v>
      </c>
      <c r="O57" s="343" t="s">
        <v>161</v>
      </c>
      <c r="Q57" s="343">
        <v>20260323</v>
      </c>
      <c r="S57" s="343">
        <v>1</v>
      </c>
      <c r="T57" s="343">
        <v>1</v>
      </c>
      <c r="U57" s="384">
        <v>46104</v>
      </c>
      <c r="V57" s="343" t="s">
        <v>232</v>
      </c>
      <c r="W57" s="343" t="s">
        <v>138</v>
      </c>
      <c r="Y57" s="343" t="s">
        <v>140</v>
      </c>
      <c r="Z57" s="343" t="s">
        <v>143</v>
      </c>
      <c r="AA57" s="384">
        <v>46125</v>
      </c>
      <c r="AB57" s="384">
        <v>46131</v>
      </c>
      <c r="AC57" s="343" t="s">
        <v>339</v>
      </c>
      <c r="AD57" s="343">
        <v>11</v>
      </c>
      <c r="AE57" s="343">
        <v>1082</v>
      </c>
      <c r="AF57" s="343">
        <v>0</v>
      </c>
      <c r="AG57" s="343">
        <v>0</v>
      </c>
      <c r="AH57" s="343">
        <v>1082</v>
      </c>
      <c r="AI57" s="343">
        <v>70.34</v>
      </c>
    </row>
    <row r="58" spans="1:35">
      <c r="A58" s="343">
        <v>20260223</v>
      </c>
      <c r="B58" s="343">
        <v>17399</v>
      </c>
      <c r="C58" s="343">
        <v>64</v>
      </c>
      <c r="D58" s="343">
        <v>126</v>
      </c>
      <c r="E58" s="384">
        <v>46076</v>
      </c>
      <c r="F58" s="343" t="s">
        <v>232</v>
      </c>
      <c r="G58" s="343" t="s">
        <v>134</v>
      </c>
      <c r="I58" s="343">
        <v>20260718</v>
      </c>
      <c r="J58" s="343">
        <v>7870.9</v>
      </c>
      <c r="K58" s="343">
        <v>41</v>
      </c>
      <c r="L58" s="343">
        <v>120</v>
      </c>
      <c r="M58" s="384">
        <v>46221</v>
      </c>
      <c r="N58" s="343" t="s">
        <v>244</v>
      </c>
      <c r="O58" s="343" t="s">
        <v>162</v>
      </c>
      <c r="Q58" s="343">
        <v>20260324</v>
      </c>
      <c r="R58" s="343">
        <v>3587.85</v>
      </c>
      <c r="S58" s="343">
        <v>1</v>
      </c>
      <c r="T58" s="343">
        <v>20</v>
      </c>
      <c r="U58" s="384">
        <v>46105</v>
      </c>
      <c r="V58" s="343" t="s">
        <v>233</v>
      </c>
      <c r="W58" s="343" t="s">
        <v>138</v>
      </c>
      <c r="Y58" s="343" t="s">
        <v>140</v>
      </c>
      <c r="Z58" s="343" t="s">
        <v>144</v>
      </c>
      <c r="AA58" s="384">
        <v>46132</v>
      </c>
      <c r="AB58" s="384">
        <v>46138</v>
      </c>
      <c r="AC58" s="343" t="s">
        <v>106</v>
      </c>
      <c r="AD58" s="343">
        <v>16</v>
      </c>
      <c r="AE58" s="343">
        <v>1211.8800000000001</v>
      </c>
      <c r="AF58" s="343">
        <v>0</v>
      </c>
      <c r="AG58" s="343">
        <v>0</v>
      </c>
      <c r="AH58" s="343">
        <v>1211.8800000000001</v>
      </c>
      <c r="AI58" s="343">
        <v>0</v>
      </c>
    </row>
    <row r="59" spans="1:35">
      <c r="A59" s="343">
        <v>20260224</v>
      </c>
      <c r="B59" s="343">
        <v>23858.5</v>
      </c>
      <c r="C59" s="343">
        <v>82</v>
      </c>
      <c r="D59" s="343">
        <v>182</v>
      </c>
      <c r="E59" s="384">
        <v>46077</v>
      </c>
      <c r="F59" s="343" t="s">
        <v>233</v>
      </c>
      <c r="G59" s="343" t="s">
        <v>134</v>
      </c>
      <c r="I59" s="343">
        <v>20260719</v>
      </c>
      <c r="J59" s="343">
        <v>8028.25</v>
      </c>
      <c r="K59" s="343">
        <v>59</v>
      </c>
      <c r="L59" s="343">
        <v>130</v>
      </c>
      <c r="M59" s="384">
        <v>46222</v>
      </c>
      <c r="N59" s="343" t="s">
        <v>245</v>
      </c>
      <c r="O59" s="343" t="s">
        <v>162</v>
      </c>
      <c r="Q59" s="343">
        <v>20260325</v>
      </c>
      <c r="R59" s="343">
        <v>3931</v>
      </c>
      <c r="S59" s="343">
        <v>26</v>
      </c>
      <c r="T59" s="343">
        <v>72</v>
      </c>
      <c r="U59" s="384">
        <v>46106</v>
      </c>
      <c r="V59" s="343" t="s">
        <v>234</v>
      </c>
      <c r="W59" s="343" t="s">
        <v>138</v>
      </c>
      <c r="Y59" s="343" t="s">
        <v>140</v>
      </c>
      <c r="Z59" s="343" t="s">
        <v>144</v>
      </c>
      <c r="AA59" s="384">
        <v>46132</v>
      </c>
      <c r="AB59" s="384">
        <v>46138</v>
      </c>
      <c r="AC59" s="343" t="s">
        <v>339</v>
      </c>
      <c r="AD59" s="343">
        <v>6</v>
      </c>
      <c r="AE59" s="343">
        <v>1005.8</v>
      </c>
      <c r="AF59" s="343">
        <v>0</v>
      </c>
      <c r="AG59" s="343">
        <v>0</v>
      </c>
      <c r="AH59" s="343">
        <v>1005.8</v>
      </c>
      <c r="AI59" s="343">
        <v>65.38</v>
      </c>
    </row>
    <row r="60" spans="1:35">
      <c r="A60" s="343">
        <v>20260225</v>
      </c>
      <c r="B60" s="343">
        <v>19801.93</v>
      </c>
      <c r="C60" s="343">
        <v>95</v>
      </c>
      <c r="D60" s="343">
        <v>178</v>
      </c>
      <c r="E60" s="384">
        <v>46078</v>
      </c>
      <c r="F60" s="343" t="s">
        <v>234</v>
      </c>
      <c r="G60" s="343" t="s">
        <v>134</v>
      </c>
      <c r="I60" s="343">
        <v>20260725</v>
      </c>
      <c r="J60" s="343">
        <v>6271</v>
      </c>
      <c r="K60" s="343">
        <v>52</v>
      </c>
      <c r="L60" s="343">
        <v>123</v>
      </c>
      <c r="M60" s="384">
        <v>46228</v>
      </c>
      <c r="N60" s="343" t="s">
        <v>244</v>
      </c>
      <c r="O60" s="343" t="s">
        <v>163</v>
      </c>
      <c r="Q60" s="343">
        <v>20260326</v>
      </c>
      <c r="R60" s="343">
        <v>9587.65</v>
      </c>
      <c r="S60" s="343">
        <v>19</v>
      </c>
      <c r="T60" s="343">
        <v>58</v>
      </c>
      <c r="U60" s="384">
        <v>46107</v>
      </c>
      <c r="V60" s="343" t="s">
        <v>235</v>
      </c>
      <c r="W60" s="343" t="s">
        <v>138</v>
      </c>
      <c r="Y60" s="343" t="s">
        <v>146</v>
      </c>
      <c r="Z60" s="343" t="s">
        <v>147</v>
      </c>
      <c r="AA60" s="384">
        <v>46139</v>
      </c>
      <c r="AB60" s="384">
        <v>46145</v>
      </c>
      <c r="AC60" s="343" t="s">
        <v>340</v>
      </c>
      <c r="AD60" s="343">
        <v>1</v>
      </c>
      <c r="AE60" s="343">
        <v>7142.86</v>
      </c>
      <c r="AF60" s="343">
        <v>0</v>
      </c>
      <c r="AG60" s="343">
        <v>0</v>
      </c>
      <c r="AH60" s="343">
        <v>7142.86</v>
      </c>
      <c r="AI60" s="343">
        <v>0</v>
      </c>
    </row>
    <row r="61" spans="1:35">
      <c r="A61" s="343">
        <v>20260226</v>
      </c>
      <c r="B61" s="343">
        <v>22557.8</v>
      </c>
      <c r="C61" s="343">
        <v>110</v>
      </c>
      <c r="D61" s="343">
        <v>220</v>
      </c>
      <c r="E61" s="384">
        <v>46079</v>
      </c>
      <c r="F61" s="343" t="s">
        <v>235</v>
      </c>
      <c r="G61" s="343" t="s">
        <v>134</v>
      </c>
      <c r="I61" s="343">
        <v>20260726</v>
      </c>
      <c r="J61" s="343">
        <v>9223.5</v>
      </c>
      <c r="K61" s="343">
        <v>54</v>
      </c>
      <c r="L61" s="343">
        <v>150</v>
      </c>
      <c r="M61" s="384">
        <v>46229</v>
      </c>
      <c r="N61" s="343" t="s">
        <v>245</v>
      </c>
      <c r="O61" s="343" t="s">
        <v>163</v>
      </c>
      <c r="Q61" s="343">
        <v>20260327</v>
      </c>
      <c r="R61" s="343">
        <v>15036.32</v>
      </c>
      <c r="S61" s="343">
        <v>2</v>
      </c>
      <c r="T61" s="343">
        <v>50</v>
      </c>
      <c r="U61" s="384">
        <v>46108</v>
      </c>
      <c r="V61" s="343" t="s">
        <v>236</v>
      </c>
      <c r="W61" s="343" t="s">
        <v>138</v>
      </c>
      <c r="Y61" s="343" t="s">
        <v>146</v>
      </c>
      <c r="Z61" s="343" t="s">
        <v>147</v>
      </c>
      <c r="AA61" s="384">
        <v>46139</v>
      </c>
      <c r="AB61" s="384">
        <v>46145</v>
      </c>
      <c r="AC61" s="343" t="s">
        <v>335</v>
      </c>
      <c r="AD61" s="343">
        <v>0</v>
      </c>
      <c r="AE61" s="343">
        <v>-20.45</v>
      </c>
      <c r="AF61" s="343">
        <v>0</v>
      </c>
      <c r="AG61" s="343">
        <v>20.45</v>
      </c>
      <c r="AH61" s="343">
        <v>0</v>
      </c>
      <c r="AI61" s="343">
        <v>0</v>
      </c>
    </row>
    <row r="62" spans="1:35">
      <c r="A62" s="343">
        <v>20260227</v>
      </c>
      <c r="B62" s="343">
        <v>42717.01</v>
      </c>
      <c r="C62" s="343">
        <v>206</v>
      </c>
      <c r="D62" s="343">
        <v>401</v>
      </c>
      <c r="E62" s="384">
        <v>46080</v>
      </c>
      <c r="F62" s="343" t="s">
        <v>236</v>
      </c>
      <c r="G62" s="343" t="s">
        <v>134</v>
      </c>
      <c r="I62" s="343">
        <v>20260801</v>
      </c>
      <c r="J62" s="343">
        <v>10931.93</v>
      </c>
      <c r="K62" s="343">
        <v>52</v>
      </c>
      <c r="L62" s="343">
        <v>168</v>
      </c>
      <c r="M62" s="384">
        <v>46235</v>
      </c>
      <c r="N62" s="343" t="s">
        <v>244</v>
      </c>
      <c r="O62" s="343" t="s">
        <v>166</v>
      </c>
      <c r="Q62" s="343">
        <v>20260328</v>
      </c>
      <c r="R62" s="343">
        <v>10215.799999999999</v>
      </c>
      <c r="S62" s="343">
        <v>42</v>
      </c>
      <c r="T62" s="343">
        <v>104</v>
      </c>
      <c r="U62" s="384">
        <v>46109</v>
      </c>
      <c r="V62" s="343" t="s">
        <v>244</v>
      </c>
      <c r="W62" s="343" t="s">
        <v>138</v>
      </c>
      <c r="Y62" s="343" t="s">
        <v>146</v>
      </c>
      <c r="Z62" s="343" t="s">
        <v>147</v>
      </c>
      <c r="AA62" s="384">
        <v>46139</v>
      </c>
      <c r="AB62" s="384">
        <v>46145</v>
      </c>
      <c r="AC62" s="343" t="s">
        <v>106</v>
      </c>
      <c r="AD62" s="343">
        <v>5</v>
      </c>
      <c r="AE62" s="343">
        <v>813.19</v>
      </c>
      <c r="AF62" s="343">
        <v>0</v>
      </c>
      <c r="AG62" s="343">
        <v>0</v>
      </c>
      <c r="AH62" s="343">
        <v>813.19</v>
      </c>
      <c r="AI62" s="343">
        <v>0</v>
      </c>
    </row>
    <row r="63" spans="1:35">
      <c r="A63" s="343">
        <v>20260228</v>
      </c>
      <c r="B63" s="343">
        <v>41040.519999999997</v>
      </c>
      <c r="C63" s="343">
        <v>201</v>
      </c>
      <c r="D63" s="343">
        <v>410</v>
      </c>
      <c r="E63" s="384">
        <v>46081</v>
      </c>
      <c r="F63" s="343" t="s">
        <v>244</v>
      </c>
      <c r="G63" s="343" t="s">
        <v>134</v>
      </c>
      <c r="I63" s="343">
        <v>20260802</v>
      </c>
      <c r="J63" s="343">
        <v>12653.01</v>
      </c>
      <c r="K63" s="343">
        <v>74</v>
      </c>
      <c r="L63" s="343">
        <v>184</v>
      </c>
      <c r="M63" s="384">
        <v>46236</v>
      </c>
      <c r="N63" s="343" t="s">
        <v>245</v>
      </c>
      <c r="O63" s="343" t="s">
        <v>166</v>
      </c>
      <c r="Q63" s="343">
        <v>20260401</v>
      </c>
      <c r="R63" s="343">
        <v>3070.5</v>
      </c>
      <c r="S63" s="343">
        <v>16</v>
      </c>
      <c r="T63" s="343">
        <v>31</v>
      </c>
      <c r="U63" s="384">
        <v>46113</v>
      </c>
      <c r="V63" s="343" t="s">
        <v>234</v>
      </c>
      <c r="W63" s="343" t="s">
        <v>141</v>
      </c>
      <c r="Y63" s="343" t="s">
        <v>146</v>
      </c>
      <c r="Z63" s="343" t="s">
        <v>147</v>
      </c>
      <c r="AA63" s="384">
        <v>46139</v>
      </c>
      <c r="AB63" s="384">
        <v>46145</v>
      </c>
      <c r="AC63" s="343" t="s">
        <v>339</v>
      </c>
      <c r="AD63" s="343">
        <v>2</v>
      </c>
      <c r="AE63" s="343">
        <v>767</v>
      </c>
      <c r="AF63" s="343">
        <v>0</v>
      </c>
      <c r="AG63" s="343">
        <v>0</v>
      </c>
      <c r="AH63" s="343">
        <v>767</v>
      </c>
      <c r="AI63" s="343">
        <v>49.86</v>
      </c>
    </row>
    <row r="64" spans="1:35">
      <c r="A64" s="343">
        <v>20260301</v>
      </c>
      <c r="B64" s="343">
        <v>19180.5</v>
      </c>
      <c r="C64" s="343">
        <v>89</v>
      </c>
      <c r="D64" s="343">
        <v>178</v>
      </c>
      <c r="E64" s="384">
        <v>46082</v>
      </c>
      <c r="F64" s="343" t="s">
        <v>245</v>
      </c>
      <c r="G64" s="343" t="s">
        <v>134</v>
      </c>
      <c r="I64" s="343">
        <v>20260808</v>
      </c>
      <c r="J64" s="343">
        <v>7817.5</v>
      </c>
      <c r="K64" s="343">
        <v>64</v>
      </c>
      <c r="L64" s="343">
        <v>150</v>
      </c>
      <c r="M64" s="384">
        <v>46242</v>
      </c>
      <c r="N64" s="343" t="s">
        <v>244</v>
      </c>
      <c r="O64" s="343" t="s">
        <v>167</v>
      </c>
      <c r="Q64" s="343">
        <v>20260402</v>
      </c>
      <c r="R64" s="343">
        <v>4341</v>
      </c>
      <c r="S64" s="343">
        <v>40</v>
      </c>
      <c r="T64" s="343">
        <v>66</v>
      </c>
      <c r="U64" s="384">
        <v>46114</v>
      </c>
      <c r="V64" s="343" t="s">
        <v>235</v>
      </c>
      <c r="W64" s="343" t="s">
        <v>141</v>
      </c>
      <c r="Y64" s="343" t="s">
        <v>146</v>
      </c>
      <c r="Z64" s="343" t="s">
        <v>148</v>
      </c>
      <c r="AA64" s="384">
        <v>46146</v>
      </c>
      <c r="AB64" s="384">
        <v>46152</v>
      </c>
      <c r="AC64" s="343" t="s">
        <v>340</v>
      </c>
      <c r="AD64" s="343">
        <v>1</v>
      </c>
      <c r="AE64" s="343">
        <v>128</v>
      </c>
      <c r="AF64" s="343">
        <v>0</v>
      </c>
      <c r="AG64" s="343">
        <v>0</v>
      </c>
      <c r="AH64" s="343">
        <v>128</v>
      </c>
      <c r="AI64" s="343">
        <v>8.32</v>
      </c>
    </row>
    <row r="65" spans="1:35">
      <c r="A65" s="343">
        <v>20260302</v>
      </c>
      <c r="B65" s="343">
        <v>17845.2</v>
      </c>
      <c r="C65" s="343">
        <v>61</v>
      </c>
      <c r="D65" s="343">
        <v>115</v>
      </c>
      <c r="E65" s="384">
        <v>46083</v>
      </c>
      <c r="F65" s="343" t="s">
        <v>232</v>
      </c>
      <c r="G65" s="343" t="s">
        <v>135</v>
      </c>
      <c r="I65" s="343">
        <v>20260809</v>
      </c>
      <c r="J65" s="343">
        <v>10549</v>
      </c>
      <c r="K65" s="343">
        <v>67</v>
      </c>
      <c r="L65" s="343">
        <v>149</v>
      </c>
      <c r="M65" s="384">
        <v>46243</v>
      </c>
      <c r="N65" s="343" t="s">
        <v>245</v>
      </c>
      <c r="O65" s="343" t="s">
        <v>167</v>
      </c>
      <c r="Q65" s="343">
        <v>20260403</v>
      </c>
      <c r="R65" s="343">
        <v>6358.51</v>
      </c>
      <c r="S65" s="343">
        <v>41</v>
      </c>
      <c r="T65" s="343">
        <v>74</v>
      </c>
      <c r="U65" s="384">
        <v>46115</v>
      </c>
      <c r="V65" s="343" t="s">
        <v>236</v>
      </c>
      <c r="W65" s="343" t="s">
        <v>141</v>
      </c>
      <c r="Y65" s="343" t="s">
        <v>146</v>
      </c>
      <c r="Z65" s="343" t="s">
        <v>148</v>
      </c>
      <c r="AA65" s="384">
        <v>46146</v>
      </c>
      <c r="AB65" s="384">
        <v>46152</v>
      </c>
      <c r="AC65" s="343" t="s">
        <v>279</v>
      </c>
      <c r="AD65" s="343">
        <v>223</v>
      </c>
      <c r="AE65" s="343">
        <v>2212</v>
      </c>
      <c r="AF65" s="343">
        <v>0</v>
      </c>
      <c r="AG65" s="343">
        <v>0</v>
      </c>
      <c r="AH65" s="343">
        <v>2212</v>
      </c>
      <c r="AI65" s="343">
        <v>144.36000000000001</v>
      </c>
    </row>
    <row r="66" spans="1:35">
      <c r="A66" s="343">
        <v>20260303</v>
      </c>
      <c r="B66" s="343">
        <v>15227</v>
      </c>
      <c r="C66" s="343">
        <v>60</v>
      </c>
      <c r="D66" s="343">
        <v>130</v>
      </c>
      <c r="E66" s="384">
        <v>46084</v>
      </c>
      <c r="F66" s="343" t="s">
        <v>233</v>
      </c>
      <c r="G66" s="343" t="s">
        <v>135</v>
      </c>
      <c r="I66" s="343">
        <v>20260815</v>
      </c>
      <c r="J66" s="343">
        <v>5913</v>
      </c>
      <c r="K66" s="343">
        <v>47</v>
      </c>
      <c r="L66" s="343">
        <v>98</v>
      </c>
      <c r="M66" s="384">
        <v>46249</v>
      </c>
      <c r="N66" s="343" t="s">
        <v>244</v>
      </c>
      <c r="O66" s="343" t="s">
        <v>168</v>
      </c>
      <c r="Q66" s="343">
        <v>20260404</v>
      </c>
      <c r="R66" s="343">
        <v>6530.08</v>
      </c>
      <c r="S66" s="343">
        <v>48</v>
      </c>
      <c r="T66" s="343">
        <v>82</v>
      </c>
      <c r="U66" s="384">
        <v>46116</v>
      </c>
      <c r="V66" s="343" t="s">
        <v>244</v>
      </c>
      <c r="W66" s="343" t="s">
        <v>141</v>
      </c>
      <c r="Y66" s="343" t="s">
        <v>146</v>
      </c>
      <c r="Z66" s="343" t="s">
        <v>148</v>
      </c>
      <c r="AA66" s="384">
        <v>46146</v>
      </c>
      <c r="AB66" s="384">
        <v>46152</v>
      </c>
      <c r="AC66" s="343" t="s">
        <v>293</v>
      </c>
      <c r="AD66" s="343">
        <v>32</v>
      </c>
      <c r="AE66" s="343">
        <v>1380</v>
      </c>
      <c r="AF66" s="343">
        <v>0</v>
      </c>
      <c r="AG66" s="343">
        <v>0</v>
      </c>
      <c r="AH66" s="343">
        <v>1380</v>
      </c>
      <c r="AI66" s="343">
        <v>89.86</v>
      </c>
    </row>
    <row r="67" spans="1:35">
      <c r="A67" s="343">
        <v>20260304</v>
      </c>
      <c r="B67" s="343">
        <v>18770</v>
      </c>
      <c r="C67" s="343">
        <v>88</v>
      </c>
      <c r="D67" s="343">
        <v>166</v>
      </c>
      <c r="E67" s="384">
        <v>46085</v>
      </c>
      <c r="F67" s="343" t="s">
        <v>234</v>
      </c>
      <c r="G67" s="343" t="s">
        <v>135</v>
      </c>
      <c r="I67" s="343">
        <v>20260816</v>
      </c>
      <c r="J67" s="343">
        <v>9348</v>
      </c>
      <c r="K67" s="343">
        <v>57</v>
      </c>
      <c r="L67" s="343">
        <v>153</v>
      </c>
      <c r="M67" s="384">
        <v>46250</v>
      </c>
      <c r="N67" s="343" t="s">
        <v>245</v>
      </c>
      <c r="O67" s="343" t="s">
        <v>168</v>
      </c>
      <c r="Q67" s="343">
        <v>20260406</v>
      </c>
      <c r="R67" s="343">
        <v>7127.4</v>
      </c>
      <c r="S67" s="343">
        <v>1</v>
      </c>
      <c r="T67" s="343">
        <v>3</v>
      </c>
      <c r="U67" s="384">
        <v>46118</v>
      </c>
      <c r="V67" s="343" t="s">
        <v>232</v>
      </c>
      <c r="W67" s="343" t="s">
        <v>142</v>
      </c>
      <c r="Y67" s="343" t="s">
        <v>146</v>
      </c>
      <c r="Z67" s="343" t="s">
        <v>148</v>
      </c>
      <c r="AA67" s="384">
        <v>46146</v>
      </c>
      <c r="AB67" s="384">
        <v>46152</v>
      </c>
      <c r="AC67" s="343" t="s">
        <v>106</v>
      </c>
      <c r="AD67" s="343">
        <v>6</v>
      </c>
      <c r="AE67" s="343">
        <v>1235.73</v>
      </c>
      <c r="AF67" s="343">
        <v>0</v>
      </c>
      <c r="AG67" s="343">
        <v>0</v>
      </c>
      <c r="AH67" s="343">
        <v>1235.73</v>
      </c>
      <c r="AI67" s="343">
        <v>0</v>
      </c>
    </row>
    <row r="68" spans="1:35">
      <c r="A68" s="343">
        <v>20260305</v>
      </c>
      <c r="B68" s="343">
        <v>25572.63</v>
      </c>
      <c r="C68" s="343">
        <v>117</v>
      </c>
      <c r="D68" s="343">
        <v>244</v>
      </c>
      <c r="E68" s="384">
        <v>46086</v>
      </c>
      <c r="F68" s="343" t="s">
        <v>235</v>
      </c>
      <c r="G68" s="343" t="s">
        <v>135</v>
      </c>
      <c r="I68" s="343">
        <v>20260822</v>
      </c>
      <c r="J68" s="343">
        <v>10425.5</v>
      </c>
      <c r="K68" s="343">
        <v>56</v>
      </c>
      <c r="L68" s="343">
        <v>163</v>
      </c>
      <c r="M68" s="384">
        <v>46256</v>
      </c>
      <c r="N68" s="343" t="s">
        <v>244</v>
      </c>
      <c r="O68" s="343" t="s">
        <v>101</v>
      </c>
      <c r="Q68" s="343">
        <v>20260407</v>
      </c>
      <c r="R68" s="343">
        <v>7876.58</v>
      </c>
      <c r="S68" s="343">
        <v>1</v>
      </c>
      <c r="T68" s="343">
        <v>54</v>
      </c>
      <c r="U68" s="384">
        <v>46119</v>
      </c>
      <c r="V68" s="343" t="s">
        <v>233</v>
      </c>
      <c r="W68" s="343" t="s">
        <v>142</v>
      </c>
      <c r="Y68" s="343" t="s">
        <v>146</v>
      </c>
      <c r="Z68" s="343" t="s">
        <v>148</v>
      </c>
      <c r="AA68" s="384">
        <v>46146</v>
      </c>
      <c r="AB68" s="384">
        <v>46152</v>
      </c>
      <c r="AC68" s="343" t="s">
        <v>339</v>
      </c>
      <c r="AD68" s="343">
        <v>1</v>
      </c>
      <c r="AE68" s="343">
        <v>4.5</v>
      </c>
      <c r="AF68" s="343">
        <v>0</v>
      </c>
      <c r="AG68" s="343">
        <v>0</v>
      </c>
      <c r="AH68" s="343">
        <v>4.5</v>
      </c>
      <c r="AI68" s="343">
        <v>0.28999999999999998</v>
      </c>
    </row>
    <row r="69" spans="1:35">
      <c r="A69" s="343">
        <v>20260306</v>
      </c>
      <c r="B69" s="343">
        <v>37655.51</v>
      </c>
      <c r="C69" s="343">
        <v>208</v>
      </c>
      <c r="D69" s="343">
        <v>365</v>
      </c>
      <c r="E69" s="384">
        <v>46087</v>
      </c>
      <c r="F69" s="343" t="s">
        <v>236</v>
      </c>
      <c r="G69" s="343" t="s">
        <v>135</v>
      </c>
      <c r="I69" s="343">
        <v>20260823</v>
      </c>
      <c r="J69" s="343">
        <v>7360.5</v>
      </c>
      <c r="K69" s="343">
        <v>54</v>
      </c>
      <c r="L69" s="343">
        <v>136</v>
      </c>
      <c r="M69" s="384">
        <v>46257</v>
      </c>
      <c r="N69" s="343" t="s">
        <v>245</v>
      </c>
      <c r="O69" s="343" t="s">
        <v>101</v>
      </c>
      <c r="Q69" s="343">
        <v>20260408</v>
      </c>
      <c r="R69" s="343">
        <v>6174.8</v>
      </c>
      <c r="S69" s="343">
        <v>20</v>
      </c>
      <c r="T69" s="343">
        <v>48</v>
      </c>
      <c r="U69" s="384">
        <v>46120</v>
      </c>
      <c r="V69" s="343" t="s">
        <v>234</v>
      </c>
      <c r="W69" s="343" t="s">
        <v>142</v>
      </c>
      <c r="Y69" s="343" t="s">
        <v>146</v>
      </c>
      <c r="Z69" s="343" t="s">
        <v>149</v>
      </c>
      <c r="AA69" s="384">
        <v>46153</v>
      </c>
      <c r="AB69" s="384">
        <v>46159</v>
      </c>
      <c r="AC69" s="343" t="s">
        <v>340</v>
      </c>
      <c r="AD69" s="343">
        <v>1</v>
      </c>
      <c r="AE69" s="343">
        <v>172</v>
      </c>
      <c r="AF69" s="343">
        <v>0</v>
      </c>
      <c r="AG69" s="343">
        <v>0</v>
      </c>
      <c r="AH69" s="343">
        <v>172</v>
      </c>
      <c r="AI69" s="343">
        <v>11.18</v>
      </c>
    </row>
    <row r="70" spans="1:35">
      <c r="A70" s="343">
        <v>20260307</v>
      </c>
      <c r="B70" s="343">
        <v>45643.58</v>
      </c>
      <c r="C70" s="343">
        <v>203</v>
      </c>
      <c r="D70" s="343">
        <v>431</v>
      </c>
      <c r="E70" s="384">
        <v>46088</v>
      </c>
      <c r="F70" s="343" t="s">
        <v>244</v>
      </c>
      <c r="G70" s="343" t="s">
        <v>135</v>
      </c>
      <c r="Q70" s="343">
        <v>20260409</v>
      </c>
      <c r="R70" s="343">
        <v>10056.450000000001</v>
      </c>
      <c r="S70" s="343">
        <v>39</v>
      </c>
      <c r="T70" s="343">
        <v>85</v>
      </c>
      <c r="U70" s="384">
        <v>46121</v>
      </c>
      <c r="V70" s="343" t="s">
        <v>235</v>
      </c>
      <c r="W70" s="343" t="s">
        <v>142</v>
      </c>
      <c r="Y70" s="343" t="s">
        <v>146</v>
      </c>
      <c r="Z70" s="343" t="s">
        <v>149</v>
      </c>
      <c r="AA70" s="384">
        <v>46153</v>
      </c>
      <c r="AB70" s="384">
        <v>46159</v>
      </c>
      <c r="AC70" s="343" t="s">
        <v>335</v>
      </c>
      <c r="AD70" s="343">
        <v>0</v>
      </c>
      <c r="AE70" s="343">
        <v>-150</v>
      </c>
      <c r="AF70" s="343">
        <v>0</v>
      </c>
      <c r="AG70" s="343">
        <v>150</v>
      </c>
      <c r="AH70" s="343">
        <v>0</v>
      </c>
      <c r="AI70" s="343">
        <v>0</v>
      </c>
    </row>
    <row r="71" spans="1:35">
      <c r="A71" s="343">
        <v>20260308</v>
      </c>
      <c r="B71" s="343">
        <v>20470.75</v>
      </c>
      <c r="C71" s="343">
        <v>99</v>
      </c>
      <c r="D71" s="343">
        <v>198</v>
      </c>
      <c r="E71" s="384">
        <v>46089</v>
      </c>
      <c r="F71" s="343" t="s">
        <v>245</v>
      </c>
      <c r="G71" s="343" t="s">
        <v>135</v>
      </c>
      <c r="Q71" s="343">
        <v>20260410</v>
      </c>
      <c r="R71" s="343">
        <v>5715.5</v>
      </c>
      <c r="S71" s="343">
        <v>52</v>
      </c>
      <c r="T71" s="343">
        <v>79</v>
      </c>
      <c r="U71" s="384">
        <v>46122</v>
      </c>
      <c r="V71" s="343" t="s">
        <v>236</v>
      </c>
      <c r="W71" s="343" t="s">
        <v>142</v>
      </c>
      <c r="Y71" s="343" t="s">
        <v>146</v>
      </c>
      <c r="Z71" s="343" t="s">
        <v>149</v>
      </c>
      <c r="AA71" s="384">
        <v>46153</v>
      </c>
      <c r="AB71" s="384">
        <v>46159</v>
      </c>
      <c r="AC71" s="343" t="s">
        <v>293</v>
      </c>
      <c r="AD71" s="343">
        <v>30</v>
      </c>
      <c r="AE71" s="343">
        <v>1925</v>
      </c>
      <c r="AF71" s="343">
        <v>0</v>
      </c>
      <c r="AG71" s="343">
        <v>0</v>
      </c>
      <c r="AH71" s="343">
        <v>1925</v>
      </c>
      <c r="AI71" s="343">
        <v>125.26</v>
      </c>
    </row>
    <row r="72" spans="1:35">
      <c r="A72" s="343">
        <v>20260309</v>
      </c>
      <c r="B72" s="343">
        <v>23610.05</v>
      </c>
      <c r="C72" s="343">
        <v>80</v>
      </c>
      <c r="D72" s="343">
        <v>195</v>
      </c>
      <c r="E72" s="384">
        <v>46090</v>
      </c>
      <c r="F72" s="343" t="s">
        <v>232</v>
      </c>
      <c r="G72" s="343" t="s">
        <v>136</v>
      </c>
      <c r="Q72" s="343">
        <v>20260411</v>
      </c>
      <c r="R72" s="343">
        <v>9973.58</v>
      </c>
      <c r="S72" s="343">
        <v>78</v>
      </c>
      <c r="T72" s="343">
        <v>136</v>
      </c>
      <c r="U72" s="384">
        <v>46123</v>
      </c>
      <c r="V72" s="343" t="s">
        <v>244</v>
      </c>
      <c r="W72" s="343" t="s">
        <v>142</v>
      </c>
      <c r="Y72" s="343" t="s">
        <v>146</v>
      </c>
      <c r="Z72" s="343" t="s">
        <v>149</v>
      </c>
      <c r="AA72" s="384">
        <v>46153</v>
      </c>
      <c r="AB72" s="384">
        <v>46159</v>
      </c>
      <c r="AC72" s="343" t="s">
        <v>106</v>
      </c>
      <c r="AD72" s="343">
        <v>9</v>
      </c>
      <c r="AE72" s="343">
        <v>2147.42</v>
      </c>
      <c r="AF72" s="343">
        <v>0</v>
      </c>
      <c r="AG72" s="343">
        <v>0</v>
      </c>
      <c r="AH72" s="343">
        <v>2147.42</v>
      </c>
      <c r="AI72" s="343">
        <v>0</v>
      </c>
    </row>
    <row r="73" spans="1:35">
      <c r="A73" s="343">
        <v>20260310</v>
      </c>
      <c r="B73" s="343">
        <v>21213</v>
      </c>
      <c r="C73" s="343">
        <v>101</v>
      </c>
      <c r="D73" s="343">
        <v>202</v>
      </c>
      <c r="E73" s="384">
        <v>46091</v>
      </c>
      <c r="F73" s="343" t="s">
        <v>233</v>
      </c>
      <c r="G73" s="343" t="s">
        <v>136</v>
      </c>
      <c r="Q73" s="343">
        <v>20260415</v>
      </c>
      <c r="R73" s="343">
        <v>11116</v>
      </c>
      <c r="S73" s="343">
        <v>5</v>
      </c>
      <c r="T73" s="343">
        <v>51</v>
      </c>
      <c r="U73" s="384">
        <v>46127</v>
      </c>
      <c r="V73" s="343" t="s">
        <v>234</v>
      </c>
      <c r="W73" s="343" t="s">
        <v>143</v>
      </c>
      <c r="Y73" s="343" t="s">
        <v>146</v>
      </c>
      <c r="Z73" s="343" t="s">
        <v>149</v>
      </c>
      <c r="AA73" s="384">
        <v>46153</v>
      </c>
      <c r="AB73" s="384">
        <v>46159</v>
      </c>
      <c r="AC73" s="343" t="s">
        <v>339</v>
      </c>
      <c r="AD73" s="343">
        <v>2</v>
      </c>
      <c r="AE73" s="343">
        <v>828.5</v>
      </c>
      <c r="AF73" s="343">
        <v>0</v>
      </c>
      <c r="AG73" s="343">
        <v>0</v>
      </c>
      <c r="AH73" s="343">
        <v>828.5</v>
      </c>
      <c r="AI73" s="343">
        <v>53.86</v>
      </c>
    </row>
    <row r="74" spans="1:35">
      <c r="A74" s="343">
        <v>20260311</v>
      </c>
      <c r="B74" s="343">
        <v>25076.5</v>
      </c>
      <c r="C74" s="343">
        <v>119</v>
      </c>
      <c r="D74" s="343">
        <v>243</v>
      </c>
      <c r="E74" s="384">
        <v>46092</v>
      </c>
      <c r="F74" s="343" t="s">
        <v>234</v>
      </c>
      <c r="G74" s="343" t="s">
        <v>136</v>
      </c>
      <c r="Q74" s="343">
        <v>20260416</v>
      </c>
      <c r="R74" s="343">
        <v>4356.5</v>
      </c>
      <c r="S74" s="343">
        <v>28</v>
      </c>
      <c r="T74" s="343">
        <v>59</v>
      </c>
      <c r="U74" s="384">
        <v>46128</v>
      </c>
      <c r="V74" s="343" t="s">
        <v>235</v>
      </c>
      <c r="W74" s="343" t="s">
        <v>143</v>
      </c>
      <c r="Y74" s="343" t="s">
        <v>146</v>
      </c>
      <c r="Z74" s="343" t="s">
        <v>150</v>
      </c>
      <c r="AA74" s="384">
        <v>46160</v>
      </c>
      <c r="AB74" s="384">
        <v>46166</v>
      </c>
      <c r="AC74" s="343" t="s">
        <v>340</v>
      </c>
      <c r="AD74" s="343">
        <v>1</v>
      </c>
      <c r="AE74" s="343">
        <v>489.5</v>
      </c>
      <c r="AF74" s="343">
        <v>0</v>
      </c>
      <c r="AG74" s="343">
        <v>0</v>
      </c>
      <c r="AH74" s="343">
        <v>489.5</v>
      </c>
      <c r="AI74" s="343">
        <v>31.82</v>
      </c>
    </row>
    <row r="75" spans="1:35">
      <c r="A75" s="343">
        <v>20260312</v>
      </c>
      <c r="B75" s="343">
        <v>24146.5</v>
      </c>
      <c r="C75" s="343">
        <v>103</v>
      </c>
      <c r="D75" s="343">
        <v>227</v>
      </c>
      <c r="E75" s="384">
        <v>46093</v>
      </c>
      <c r="F75" s="343" t="s">
        <v>235</v>
      </c>
      <c r="G75" s="343" t="s">
        <v>136</v>
      </c>
      <c r="Q75" s="343">
        <v>20260417</v>
      </c>
      <c r="R75" s="343">
        <v>7755</v>
      </c>
      <c r="S75" s="343">
        <v>61</v>
      </c>
      <c r="T75" s="343">
        <v>112</v>
      </c>
      <c r="U75" s="384">
        <v>46129</v>
      </c>
      <c r="V75" s="343" t="s">
        <v>236</v>
      </c>
      <c r="W75" s="343" t="s">
        <v>143</v>
      </c>
      <c r="Y75" s="343" t="s">
        <v>146</v>
      </c>
      <c r="Z75" s="343" t="s">
        <v>150</v>
      </c>
      <c r="AA75" s="384">
        <v>46160</v>
      </c>
      <c r="AB75" s="384">
        <v>46166</v>
      </c>
      <c r="AC75" s="343" t="s">
        <v>279</v>
      </c>
      <c r="AD75" s="343">
        <v>209</v>
      </c>
      <c r="AE75" s="343">
        <v>2123</v>
      </c>
      <c r="AF75" s="343">
        <v>0</v>
      </c>
      <c r="AG75" s="343">
        <v>0</v>
      </c>
      <c r="AH75" s="343">
        <v>2123</v>
      </c>
      <c r="AI75" s="343">
        <v>138.5</v>
      </c>
    </row>
    <row r="76" spans="1:35">
      <c r="A76" s="343">
        <v>20260313</v>
      </c>
      <c r="B76" s="343">
        <v>34878.720000000001</v>
      </c>
      <c r="C76" s="343">
        <v>170</v>
      </c>
      <c r="D76" s="343">
        <v>343</v>
      </c>
      <c r="E76" s="384">
        <v>46094</v>
      </c>
      <c r="F76" s="343" t="s">
        <v>236</v>
      </c>
      <c r="G76" s="343" t="s">
        <v>136</v>
      </c>
      <c r="Q76" s="343">
        <v>20260418</v>
      </c>
      <c r="R76" s="343">
        <v>9944.26</v>
      </c>
      <c r="S76" s="343">
        <v>62</v>
      </c>
      <c r="T76" s="343">
        <v>143</v>
      </c>
      <c r="U76" s="384">
        <v>46130</v>
      </c>
      <c r="V76" s="343" t="s">
        <v>244</v>
      </c>
      <c r="W76" s="343" t="s">
        <v>143</v>
      </c>
      <c r="Y76" s="343" t="s">
        <v>146</v>
      </c>
      <c r="Z76" s="343" t="s">
        <v>150</v>
      </c>
      <c r="AA76" s="384">
        <v>46160</v>
      </c>
      <c r="AB76" s="384">
        <v>46166</v>
      </c>
      <c r="AC76" s="343" t="s">
        <v>335</v>
      </c>
      <c r="AD76" s="343">
        <v>0</v>
      </c>
      <c r="AE76" s="343">
        <v>-83.36</v>
      </c>
      <c r="AF76" s="343">
        <v>0</v>
      </c>
      <c r="AG76" s="343">
        <v>83.36</v>
      </c>
      <c r="AH76" s="343">
        <v>0</v>
      </c>
      <c r="AI76" s="343">
        <v>0</v>
      </c>
    </row>
    <row r="77" spans="1:35">
      <c r="A77" s="343">
        <v>20260314</v>
      </c>
      <c r="B77" s="343">
        <v>41196.54</v>
      </c>
      <c r="C77" s="343">
        <v>197</v>
      </c>
      <c r="D77" s="343">
        <v>379</v>
      </c>
      <c r="E77" s="384">
        <v>46095</v>
      </c>
      <c r="F77" s="343" t="s">
        <v>244</v>
      </c>
      <c r="G77" s="343" t="s">
        <v>136</v>
      </c>
      <c r="Q77" s="343">
        <v>20260421</v>
      </c>
      <c r="R77" s="343">
        <v>2254.35</v>
      </c>
      <c r="S77" s="343">
        <v>1</v>
      </c>
      <c r="T77" s="343">
        <v>13</v>
      </c>
      <c r="U77" s="384">
        <v>46133</v>
      </c>
      <c r="V77" s="343" t="s">
        <v>233</v>
      </c>
      <c r="W77" s="343" t="s">
        <v>144</v>
      </c>
      <c r="Y77" s="343" t="s">
        <v>146</v>
      </c>
      <c r="Z77" s="343" t="s">
        <v>150</v>
      </c>
      <c r="AA77" s="384">
        <v>46160</v>
      </c>
      <c r="AB77" s="384">
        <v>46166</v>
      </c>
      <c r="AC77" s="343" t="s">
        <v>106</v>
      </c>
      <c r="AD77" s="343">
        <v>18</v>
      </c>
      <c r="AE77" s="343">
        <v>1946.88</v>
      </c>
      <c r="AF77" s="343">
        <v>0</v>
      </c>
      <c r="AG77" s="343">
        <v>0</v>
      </c>
      <c r="AH77" s="343">
        <v>1946.88</v>
      </c>
      <c r="AI77" s="343">
        <v>0</v>
      </c>
    </row>
    <row r="78" spans="1:35">
      <c r="A78" s="343">
        <v>20260315</v>
      </c>
      <c r="B78" s="343">
        <v>14632.8</v>
      </c>
      <c r="C78" s="343">
        <v>71</v>
      </c>
      <c r="D78" s="343">
        <v>148</v>
      </c>
      <c r="E78" s="384">
        <v>46096</v>
      </c>
      <c r="F78" s="343" t="s">
        <v>245</v>
      </c>
      <c r="G78" s="343" t="s">
        <v>136</v>
      </c>
      <c r="Q78" s="343">
        <v>20260422</v>
      </c>
      <c r="R78" s="343">
        <v>2831</v>
      </c>
      <c r="S78" s="343">
        <v>8</v>
      </c>
      <c r="T78" s="343">
        <v>15</v>
      </c>
      <c r="U78" s="384">
        <v>46134</v>
      </c>
      <c r="V78" s="343" t="s">
        <v>234</v>
      </c>
      <c r="W78" s="343" t="s">
        <v>144</v>
      </c>
      <c r="Y78" s="343" t="s">
        <v>146</v>
      </c>
      <c r="Z78" s="343" t="s">
        <v>150</v>
      </c>
      <c r="AA78" s="384">
        <v>46160</v>
      </c>
      <c r="AB78" s="384">
        <v>46166</v>
      </c>
      <c r="AC78" s="343" t="s">
        <v>339</v>
      </c>
      <c r="AD78" s="343">
        <v>3</v>
      </c>
      <c r="AE78" s="343">
        <v>955</v>
      </c>
      <c r="AF78" s="343">
        <v>0</v>
      </c>
      <c r="AG78" s="343">
        <v>0</v>
      </c>
      <c r="AH78" s="343">
        <v>955</v>
      </c>
      <c r="AI78" s="343">
        <v>62.08</v>
      </c>
    </row>
    <row r="79" spans="1:35">
      <c r="A79" s="343">
        <v>20260316</v>
      </c>
      <c r="B79" s="343">
        <v>14349.5</v>
      </c>
      <c r="C79" s="343">
        <v>60</v>
      </c>
      <c r="D79" s="343">
        <v>133</v>
      </c>
      <c r="E79" s="384">
        <v>46097</v>
      </c>
      <c r="F79" s="343" t="s">
        <v>232</v>
      </c>
      <c r="G79" s="343" t="s">
        <v>137</v>
      </c>
      <c r="Q79" s="343">
        <v>20260423</v>
      </c>
      <c r="R79" s="343">
        <v>3139.01</v>
      </c>
      <c r="S79" s="343">
        <v>35</v>
      </c>
      <c r="T79" s="343">
        <v>45</v>
      </c>
      <c r="U79" s="384">
        <v>46135</v>
      </c>
      <c r="V79" s="343" t="s">
        <v>235</v>
      </c>
      <c r="W79" s="343" t="s">
        <v>144</v>
      </c>
      <c r="Y79" s="343" t="s">
        <v>152</v>
      </c>
      <c r="Z79" s="343" t="s">
        <v>153</v>
      </c>
      <c r="AA79" s="384">
        <v>46167</v>
      </c>
      <c r="AB79" s="384">
        <v>46173</v>
      </c>
      <c r="AC79" s="343" t="s">
        <v>279</v>
      </c>
      <c r="AD79" s="343">
        <v>154</v>
      </c>
      <c r="AE79" s="343">
        <v>1529</v>
      </c>
      <c r="AF79" s="343">
        <v>0</v>
      </c>
      <c r="AG79" s="343">
        <v>0</v>
      </c>
      <c r="AH79" s="343">
        <v>1529</v>
      </c>
      <c r="AI79" s="343">
        <v>99.8</v>
      </c>
    </row>
    <row r="80" spans="1:35">
      <c r="A80" s="343">
        <v>20260317</v>
      </c>
      <c r="B80" s="343">
        <v>19956.05</v>
      </c>
      <c r="C80" s="343">
        <v>85</v>
      </c>
      <c r="D80" s="343">
        <v>160</v>
      </c>
      <c r="E80" s="384">
        <v>46098</v>
      </c>
      <c r="F80" s="343" t="s">
        <v>233</v>
      </c>
      <c r="G80" s="343" t="s">
        <v>137</v>
      </c>
      <c r="Q80" s="343">
        <v>20260424</v>
      </c>
      <c r="R80" s="343">
        <v>6718.01</v>
      </c>
      <c r="S80" s="343">
        <v>78</v>
      </c>
      <c r="T80" s="343">
        <v>114</v>
      </c>
      <c r="U80" s="384">
        <v>46136</v>
      </c>
      <c r="V80" s="343" t="s">
        <v>236</v>
      </c>
      <c r="W80" s="343" t="s">
        <v>144</v>
      </c>
      <c r="Y80" s="343" t="s">
        <v>152</v>
      </c>
      <c r="Z80" s="343" t="s">
        <v>153</v>
      </c>
      <c r="AA80" s="384">
        <v>46167</v>
      </c>
      <c r="AB80" s="384">
        <v>46173</v>
      </c>
      <c r="AC80" s="343" t="s">
        <v>293</v>
      </c>
      <c r="AD80" s="343">
        <v>1</v>
      </c>
      <c r="AE80" s="343">
        <v>65</v>
      </c>
      <c r="AF80" s="343">
        <v>0</v>
      </c>
      <c r="AG80" s="343">
        <v>0</v>
      </c>
      <c r="AH80" s="343">
        <v>65</v>
      </c>
      <c r="AI80" s="343">
        <v>4.2300000000000004</v>
      </c>
    </row>
    <row r="81" spans="1:35">
      <c r="A81" s="343">
        <v>20260318</v>
      </c>
      <c r="B81" s="343">
        <v>24096.65</v>
      </c>
      <c r="C81" s="343">
        <v>111</v>
      </c>
      <c r="D81" s="343">
        <v>219</v>
      </c>
      <c r="E81" s="384">
        <v>46099</v>
      </c>
      <c r="F81" s="343" t="s">
        <v>234</v>
      </c>
      <c r="G81" s="343" t="s">
        <v>137</v>
      </c>
      <c r="Q81" s="343">
        <v>20260425</v>
      </c>
      <c r="R81" s="343">
        <v>8169</v>
      </c>
      <c r="S81" s="343">
        <v>64</v>
      </c>
      <c r="T81" s="343">
        <v>105</v>
      </c>
      <c r="U81" s="384">
        <v>46137</v>
      </c>
      <c r="V81" s="343" t="s">
        <v>244</v>
      </c>
      <c r="W81" s="343" t="s">
        <v>144</v>
      </c>
      <c r="Y81" s="343" t="s">
        <v>152</v>
      </c>
      <c r="Z81" s="343" t="s">
        <v>153</v>
      </c>
      <c r="AA81" s="384">
        <v>46167</v>
      </c>
      <c r="AB81" s="384">
        <v>46173</v>
      </c>
      <c r="AC81" s="343" t="s">
        <v>106</v>
      </c>
      <c r="AD81" s="343">
        <v>5</v>
      </c>
      <c r="AE81" s="343">
        <v>254.5</v>
      </c>
      <c r="AF81" s="343">
        <v>0</v>
      </c>
      <c r="AG81" s="343">
        <v>0</v>
      </c>
      <c r="AH81" s="343">
        <v>254.5</v>
      </c>
      <c r="AI81" s="343">
        <v>0</v>
      </c>
    </row>
    <row r="82" spans="1:35">
      <c r="A82" s="343">
        <v>20260319</v>
      </c>
      <c r="B82" s="343">
        <v>28362.5</v>
      </c>
      <c r="C82" s="343">
        <v>149</v>
      </c>
      <c r="D82" s="343">
        <v>275</v>
      </c>
      <c r="E82" s="384">
        <v>46100</v>
      </c>
      <c r="F82" s="343" t="s">
        <v>235</v>
      </c>
      <c r="G82" s="343" t="s">
        <v>137</v>
      </c>
      <c r="Q82" s="343">
        <v>20260429</v>
      </c>
      <c r="R82" s="343">
        <v>14969.65</v>
      </c>
      <c r="S82" s="343">
        <v>12</v>
      </c>
      <c r="T82" s="343">
        <v>100</v>
      </c>
      <c r="U82" s="384">
        <v>46141</v>
      </c>
      <c r="V82" s="343" t="s">
        <v>234</v>
      </c>
      <c r="W82" s="343" t="s">
        <v>147</v>
      </c>
      <c r="Y82" s="343" t="s">
        <v>152</v>
      </c>
      <c r="Z82" s="343" t="s">
        <v>153</v>
      </c>
      <c r="AA82" s="384">
        <v>46167</v>
      </c>
      <c r="AB82" s="384">
        <v>46173</v>
      </c>
      <c r="AC82" s="343" t="s">
        <v>339</v>
      </c>
      <c r="AD82" s="343">
        <v>3</v>
      </c>
      <c r="AE82" s="343">
        <v>1207.23</v>
      </c>
      <c r="AF82" s="343">
        <v>0</v>
      </c>
      <c r="AG82" s="343">
        <v>0</v>
      </c>
      <c r="AH82" s="343">
        <v>1207.23</v>
      </c>
      <c r="AI82" s="343">
        <v>78.47</v>
      </c>
    </row>
    <row r="83" spans="1:35">
      <c r="A83" s="343">
        <v>20260320</v>
      </c>
      <c r="B83" s="343">
        <v>38267.25</v>
      </c>
      <c r="C83" s="343">
        <v>195</v>
      </c>
      <c r="D83" s="343">
        <v>378</v>
      </c>
      <c r="E83" s="384">
        <v>46101</v>
      </c>
      <c r="F83" s="343" t="s">
        <v>236</v>
      </c>
      <c r="G83" s="343" t="s">
        <v>137</v>
      </c>
      <c r="Q83" s="343">
        <v>20260430</v>
      </c>
      <c r="R83" s="343">
        <v>2381</v>
      </c>
      <c r="S83" s="343">
        <v>17</v>
      </c>
      <c r="T83" s="343">
        <v>28</v>
      </c>
      <c r="U83" s="384">
        <v>46142</v>
      </c>
      <c r="V83" s="343" t="s">
        <v>235</v>
      </c>
      <c r="W83" s="343" t="s">
        <v>147</v>
      </c>
      <c r="Y83" s="343" t="s">
        <v>152</v>
      </c>
      <c r="Z83" s="343" t="s">
        <v>154</v>
      </c>
      <c r="AA83" s="384">
        <v>46174</v>
      </c>
      <c r="AB83" s="384">
        <v>46180</v>
      </c>
      <c r="AC83" s="343" t="s">
        <v>340</v>
      </c>
      <c r="AD83" s="343">
        <v>2</v>
      </c>
      <c r="AE83" s="343">
        <v>6327</v>
      </c>
      <c r="AF83" s="343">
        <v>0</v>
      </c>
      <c r="AG83" s="343">
        <v>0</v>
      </c>
      <c r="AH83" s="343">
        <v>6327</v>
      </c>
      <c r="AI83" s="343">
        <v>411.26</v>
      </c>
    </row>
    <row r="84" spans="1:35">
      <c r="A84" s="343">
        <v>20260321</v>
      </c>
      <c r="B84" s="343">
        <v>37489.4</v>
      </c>
      <c r="C84" s="343">
        <v>208</v>
      </c>
      <c r="D84" s="343">
        <v>414</v>
      </c>
      <c r="E84" s="384">
        <v>46102</v>
      </c>
      <c r="F84" s="343" t="s">
        <v>244</v>
      </c>
      <c r="G84" s="343" t="s">
        <v>137</v>
      </c>
      <c r="Q84" s="343">
        <v>20260501</v>
      </c>
      <c r="R84" s="343">
        <v>7383.3</v>
      </c>
      <c r="S84" s="343">
        <v>68</v>
      </c>
      <c r="T84" s="343">
        <v>109</v>
      </c>
      <c r="U84" s="384">
        <v>46143</v>
      </c>
      <c r="V84" s="343" t="s">
        <v>236</v>
      </c>
      <c r="W84" s="343" t="s">
        <v>147</v>
      </c>
      <c r="Y84" s="343" t="s">
        <v>152</v>
      </c>
      <c r="Z84" s="343" t="s">
        <v>154</v>
      </c>
      <c r="AA84" s="384">
        <v>46174</v>
      </c>
      <c r="AB84" s="384">
        <v>46180</v>
      </c>
      <c r="AC84" s="343" t="s">
        <v>293</v>
      </c>
      <c r="AD84" s="343">
        <v>1</v>
      </c>
      <c r="AE84" s="343">
        <v>350</v>
      </c>
      <c r="AF84" s="343">
        <v>0</v>
      </c>
      <c r="AG84" s="343">
        <v>0</v>
      </c>
      <c r="AH84" s="343">
        <v>350</v>
      </c>
      <c r="AI84" s="343">
        <v>22.75</v>
      </c>
    </row>
    <row r="85" spans="1:35">
      <c r="A85" s="343">
        <v>20260322</v>
      </c>
      <c r="B85" s="343">
        <v>21726.5</v>
      </c>
      <c r="C85" s="343">
        <v>104</v>
      </c>
      <c r="D85" s="343">
        <v>211</v>
      </c>
      <c r="E85" s="384">
        <v>46103</v>
      </c>
      <c r="F85" s="343" t="s">
        <v>245</v>
      </c>
      <c r="G85" s="343" t="s">
        <v>137</v>
      </c>
      <c r="Q85" s="343">
        <v>20260502</v>
      </c>
      <c r="R85" s="343">
        <v>8707.2000000000007</v>
      </c>
      <c r="S85" s="343">
        <v>49</v>
      </c>
      <c r="T85" s="343">
        <v>101</v>
      </c>
      <c r="U85" s="384">
        <v>46144</v>
      </c>
      <c r="V85" s="343" t="s">
        <v>244</v>
      </c>
      <c r="W85" s="343" t="s">
        <v>147</v>
      </c>
      <c r="Y85" s="343" t="s">
        <v>152</v>
      </c>
      <c r="Z85" s="343" t="s">
        <v>154</v>
      </c>
      <c r="AA85" s="384">
        <v>46174</v>
      </c>
      <c r="AB85" s="384">
        <v>46180</v>
      </c>
      <c r="AC85" s="343" t="s">
        <v>106</v>
      </c>
      <c r="AD85" s="343">
        <v>5</v>
      </c>
      <c r="AE85" s="343">
        <v>797.4</v>
      </c>
      <c r="AF85" s="343">
        <v>0</v>
      </c>
      <c r="AG85" s="343">
        <v>0</v>
      </c>
      <c r="AH85" s="343">
        <v>797.4</v>
      </c>
      <c r="AI85" s="343">
        <v>0</v>
      </c>
    </row>
    <row r="86" spans="1:35">
      <c r="A86" s="343">
        <v>20260323</v>
      </c>
      <c r="B86" s="343">
        <v>22897.9</v>
      </c>
      <c r="C86" s="343">
        <v>82</v>
      </c>
      <c r="D86" s="343">
        <v>195</v>
      </c>
      <c r="E86" s="384">
        <v>46104</v>
      </c>
      <c r="F86" s="343" t="s">
        <v>232</v>
      </c>
      <c r="G86" s="343" t="s">
        <v>138</v>
      </c>
      <c r="Q86" s="343">
        <v>20260505</v>
      </c>
      <c r="R86" s="343">
        <v>7200.9</v>
      </c>
      <c r="S86" s="343">
        <v>1</v>
      </c>
      <c r="T86" s="343">
        <v>30</v>
      </c>
      <c r="U86" s="384">
        <v>46147</v>
      </c>
      <c r="V86" s="343" t="s">
        <v>233</v>
      </c>
      <c r="W86" s="343" t="s">
        <v>148</v>
      </c>
      <c r="Y86" s="343" t="s">
        <v>152</v>
      </c>
      <c r="Z86" s="343" t="s">
        <v>155</v>
      </c>
      <c r="AA86" s="384">
        <v>46181</v>
      </c>
      <c r="AB86" s="384">
        <v>46187</v>
      </c>
      <c r="AC86" s="343" t="s">
        <v>293</v>
      </c>
      <c r="AD86" s="343">
        <v>1</v>
      </c>
      <c r="AE86" s="343">
        <v>65</v>
      </c>
      <c r="AF86" s="343">
        <v>0</v>
      </c>
      <c r="AG86" s="343">
        <v>0</v>
      </c>
      <c r="AH86" s="343">
        <v>65</v>
      </c>
      <c r="AI86" s="343">
        <v>4.2300000000000004</v>
      </c>
    </row>
    <row r="87" spans="1:35">
      <c r="A87" s="343">
        <v>20260324</v>
      </c>
      <c r="B87" s="343">
        <v>24909.65</v>
      </c>
      <c r="C87" s="343">
        <v>83</v>
      </c>
      <c r="D87" s="343">
        <v>199</v>
      </c>
      <c r="E87" s="384">
        <v>46105</v>
      </c>
      <c r="F87" s="343" t="s">
        <v>233</v>
      </c>
      <c r="G87" s="343" t="s">
        <v>138</v>
      </c>
      <c r="Q87" s="343">
        <v>20260506</v>
      </c>
      <c r="R87" s="343">
        <v>6296.6</v>
      </c>
      <c r="S87" s="343">
        <v>19</v>
      </c>
      <c r="T87" s="343">
        <v>36</v>
      </c>
      <c r="U87" s="384">
        <v>46148</v>
      </c>
      <c r="V87" s="343" t="s">
        <v>234</v>
      </c>
      <c r="W87" s="343" t="s">
        <v>148</v>
      </c>
      <c r="Y87" s="343" t="s">
        <v>152</v>
      </c>
      <c r="Z87" s="343" t="s">
        <v>155</v>
      </c>
      <c r="AA87" s="384">
        <v>46181</v>
      </c>
      <c r="AB87" s="384">
        <v>46187</v>
      </c>
      <c r="AC87" s="343" t="s">
        <v>106</v>
      </c>
      <c r="AD87" s="343">
        <v>6</v>
      </c>
      <c r="AE87" s="343">
        <v>487.2</v>
      </c>
      <c r="AF87" s="343">
        <v>0</v>
      </c>
      <c r="AG87" s="343">
        <v>0</v>
      </c>
      <c r="AH87" s="343">
        <v>487.2</v>
      </c>
      <c r="AI87" s="343">
        <v>0</v>
      </c>
    </row>
    <row r="88" spans="1:35">
      <c r="A88" s="343">
        <v>20260325</v>
      </c>
      <c r="B88" s="343">
        <v>20304.98</v>
      </c>
      <c r="C88" s="343">
        <v>100</v>
      </c>
      <c r="D88" s="343">
        <v>196</v>
      </c>
      <c r="E88" s="384">
        <v>46106</v>
      </c>
      <c r="F88" s="343" t="s">
        <v>234</v>
      </c>
      <c r="G88" s="343" t="s">
        <v>138</v>
      </c>
      <c r="Q88" s="343">
        <v>20260507</v>
      </c>
      <c r="R88" s="343">
        <v>5090.99</v>
      </c>
      <c r="S88" s="343">
        <v>19</v>
      </c>
      <c r="T88" s="343">
        <v>50</v>
      </c>
      <c r="U88" s="384">
        <v>46149</v>
      </c>
      <c r="V88" s="343" t="s">
        <v>235</v>
      </c>
      <c r="W88" s="343" t="s">
        <v>148</v>
      </c>
      <c r="Y88" s="343" t="s">
        <v>152</v>
      </c>
      <c r="Z88" s="343" t="s">
        <v>155</v>
      </c>
      <c r="AA88" s="384">
        <v>46181</v>
      </c>
      <c r="AB88" s="384">
        <v>46187</v>
      </c>
      <c r="AC88" s="343" t="s">
        <v>339</v>
      </c>
      <c r="AD88" s="343">
        <v>1</v>
      </c>
      <c r="AE88" s="343">
        <v>47</v>
      </c>
      <c r="AF88" s="343">
        <v>0</v>
      </c>
      <c r="AG88" s="343">
        <v>0</v>
      </c>
      <c r="AH88" s="343">
        <v>47</v>
      </c>
      <c r="AI88" s="343">
        <v>3.06</v>
      </c>
    </row>
    <row r="89" spans="1:35">
      <c r="A89" s="343">
        <v>20260326</v>
      </c>
      <c r="B89" s="343">
        <v>19857.099999999999</v>
      </c>
      <c r="C89" s="343">
        <v>97</v>
      </c>
      <c r="D89" s="343">
        <v>180</v>
      </c>
      <c r="E89" s="384">
        <v>46107</v>
      </c>
      <c r="F89" s="343" t="s">
        <v>235</v>
      </c>
      <c r="G89" s="343" t="s">
        <v>138</v>
      </c>
      <c r="Q89" s="343">
        <v>20260508</v>
      </c>
      <c r="R89" s="343">
        <v>14753.1</v>
      </c>
      <c r="S89" s="343">
        <v>45</v>
      </c>
      <c r="T89" s="343">
        <v>99</v>
      </c>
      <c r="U89" s="384">
        <v>46150</v>
      </c>
      <c r="V89" s="343" t="s">
        <v>236</v>
      </c>
      <c r="W89" s="343" t="s">
        <v>148</v>
      </c>
      <c r="Y89" s="343" t="s">
        <v>152</v>
      </c>
      <c r="Z89" s="343" t="s">
        <v>156</v>
      </c>
      <c r="AA89" s="384">
        <v>46188</v>
      </c>
      <c r="AB89" s="384">
        <v>46194</v>
      </c>
      <c r="AC89" s="343" t="s">
        <v>335</v>
      </c>
      <c r="AD89" s="343">
        <v>0</v>
      </c>
      <c r="AE89" s="343">
        <v>-178.92</v>
      </c>
      <c r="AF89" s="343">
        <v>0</v>
      </c>
      <c r="AG89" s="343">
        <v>178.92</v>
      </c>
      <c r="AH89" s="343">
        <v>0</v>
      </c>
      <c r="AI89" s="343">
        <v>0</v>
      </c>
    </row>
    <row r="90" spans="1:35">
      <c r="A90" s="343">
        <v>20260327</v>
      </c>
      <c r="B90" s="343">
        <v>42978.21</v>
      </c>
      <c r="C90" s="343">
        <v>216</v>
      </c>
      <c r="D90" s="343">
        <v>428</v>
      </c>
      <c r="E90" s="384">
        <v>46108</v>
      </c>
      <c r="F90" s="343" t="s">
        <v>236</v>
      </c>
      <c r="G90" s="343" t="s">
        <v>138</v>
      </c>
      <c r="Q90" s="343">
        <v>20260509</v>
      </c>
      <c r="R90" s="343">
        <v>15742.5</v>
      </c>
      <c r="S90" s="343">
        <v>70</v>
      </c>
      <c r="T90" s="343">
        <v>227</v>
      </c>
      <c r="U90" s="384">
        <v>46151</v>
      </c>
      <c r="V90" s="343" t="s">
        <v>244</v>
      </c>
      <c r="W90" s="343" t="s">
        <v>148</v>
      </c>
      <c r="Y90" s="343" t="s">
        <v>152</v>
      </c>
      <c r="Z90" s="343" t="s">
        <v>156</v>
      </c>
      <c r="AA90" s="384">
        <v>46188</v>
      </c>
      <c r="AB90" s="384">
        <v>46194</v>
      </c>
      <c r="AC90" s="343" t="s">
        <v>106</v>
      </c>
      <c r="AD90" s="343">
        <v>3</v>
      </c>
      <c r="AE90" s="343">
        <v>484.05</v>
      </c>
      <c r="AF90" s="343">
        <v>0</v>
      </c>
      <c r="AG90" s="343">
        <v>0</v>
      </c>
      <c r="AH90" s="343">
        <v>484.05</v>
      </c>
      <c r="AI90" s="343">
        <v>0</v>
      </c>
    </row>
    <row r="91" spans="1:35">
      <c r="A91" s="343">
        <v>20260328</v>
      </c>
      <c r="B91" s="343">
        <v>43735.05</v>
      </c>
      <c r="C91" s="343">
        <v>186</v>
      </c>
      <c r="D91" s="343">
        <v>386</v>
      </c>
      <c r="E91" s="384">
        <v>46109</v>
      </c>
      <c r="F91" s="343" t="s">
        <v>244</v>
      </c>
      <c r="G91" s="343" t="s">
        <v>138</v>
      </c>
      <c r="Q91" s="343">
        <v>20260510</v>
      </c>
      <c r="R91" s="343">
        <v>2328.5</v>
      </c>
      <c r="S91" s="343">
        <v>5</v>
      </c>
      <c r="T91" s="343">
        <v>22</v>
      </c>
      <c r="U91" s="384">
        <v>46152</v>
      </c>
      <c r="V91" s="343" t="s">
        <v>245</v>
      </c>
      <c r="W91" s="343" t="s">
        <v>148</v>
      </c>
      <c r="Y91" s="343" t="s">
        <v>152</v>
      </c>
      <c r="Z91" s="343" t="s">
        <v>156</v>
      </c>
      <c r="AA91" s="384">
        <v>46188</v>
      </c>
      <c r="AB91" s="384">
        <v>46194</v>
      </c>
      <c r="AC91" s="343" t="s">
        <v>339</v>
      </c>
      <c r="AD91" s="343">
        <v>1</v>
      </c>
      <c r="AE91" s="343">
        <v>1672.26</v>
      </c>
      <c r="AF91" s="343">
        <v>0</v>
      </c>
      <c r="AG91" s="343">
        <v>0</v>
      </c>
      <c r="AH91" s="343">
        <v>1672.26</v>
      </c>
      <c r="AI91" s="343">
        <v>108.7</v>
      </c>
    </row>
    <row r="92" spans="1:35">
      <c r="A92" s="343">
        <v>20260329</v>
      </c>
      <c r="B92" s="343">
        <v>15765</v>
      </c>
      <c r="C92" s="343">
        <v>80</v>
      </c>
      <c r="D92" s="343">
        <v>168</v>
      </c>
      <c r="E92" s="384">
        <v>46110</v>
      </c>
      <c r="F92" s="343" t="s">
        <v>245</v>
      </c>
      <c r="G92" s="343" t="s">
        <v>138</v>
      </c>
      <c r="Q92" s="343">
        <v>20260511</v>
      </c>
      <c r="S92" s="343">
        <v>1</v>
      </c>
      <c r="T92" s="343">
        <v>1</v>
      </c>
      <c r="U92" s="384">
        <v>46153</v>
      </c>
      <c r="V92" s="343" t="s">
        <v>232</v>
      </c>
      <c r="W92" s="343" t="s">
        <v>149</v>
      </c>
      <c r="Y92" s="343" t="s">
        <v>152</v>
      </c>
      <c r="Z92" s="343" t="s">
        <v>157</v>
      </c>
      <c r="AA92" s="384">
        <v>46195</v>
      </c>
      <c r="AB92" s="384">
        <v>46201</v>
      </c>
      <c r="AC92" s="343" t="s">
        <v>293</v>
      </c>
      <c r="AD92" s="343">
        <v>1</v>
      </c>
      <c r="AE92" s="343">
        <v>345</v>
      </c>
      <c r="AF92" s="343">
        <v>0</v>
      </c>
      <c r="AG92" s="343">
        <v>0</v>
      </c>
      <c r="AH92" s="343">
        <v>345</v>
      </c>
      <c r="AI92" s="343">
        <v>22.43</v>
      </c>
    </row>
    <row r="93" spans="1:35">
      <c r="A93" s="343">
        <v>20260330</v>
      </c>
      <c r="B93" s="343">
        <v>11440.5</v>
      </c>
      <c r="C93" s="343">
        <v>64</v>
      </c>
      <c r="D93" s="343">
        <v>127</v>
      </c>
      <c r="E93" s="384">
        <v>46111</v>
      </c>
      <c r="F93" s="343" t="s">
        <v>232</v>
      </c>
      <c r="G93" s="343" t="s">
        <v>141</v>
      </c>
      <c r="Q93" s="343">
        <v>20260513</v>
      </c>
      <c r="R93" s="343">
        <v>7693</v>
      </c>
      <c r="S93" s="343">
        <v>17</v>
      </c>
      <c r="T93" s="343">
        <v>45</v>
      </c>
      <c r="U93" s="384">
        <v>46155</v>
      </c>
      <c r="V93" s="343" t="s">
        <v>234</v>
      </c>
      <c r="W93" s="343" t="s">
        <v>149</v>
      </c>
      <c r="Y93" s="343" t="s">
        <v>152</v>
      </c>
      <c r="Z93" s="343" t="s">
        <v>157</v>
      </c>
      <c r="AA93" s="384">
        <v>46195</v>
      </c>
      <c r="AB93" s="384">
        <v>46201</v>
      </c>
      <c r="AC93" s="343" t="s">
        <v>106</v>
      </c>
      <c r="AD93" s="343">
        <v>7</v>
      </c>
      <c r="AE93" s="343">
        <v>1246.22</v>
      </c>
      <c r="AF93" s="343">
        <v>0</v>
      </c>
      <c r="AG93" s="343">
        <v>0</v>
      </c>
      <c r="AH93" s="343">
        <v>1246.22</v>
      </c>
      <c r="AI93" s="343">
        <v>0</v>
      </c>
    </row>
    <row r="94" spans="1:35">
      <c r="A94" s="343">
        <v>20260331</v>
      </c>
      <c r="B94" s="343">
        <v>20864.5</v>
      </c>
      <c r="C94" s="343">
        <v>108</v>
      </c>
      <c r="D94" s="343">
        <v>217</v>
      </c>
      <c r="E94" s="384">
        <v>46112</v>
      </c>
      <c r="F94" s="343" t="s">
        <v>233</v>
      </c>
      <c r="G94" s="343" t="s">
        <v>141</v>
      </c>
      <c r="Q94" s="343">
        <v>20260514</v>
      </c>
      <c r="R94" s="343">
        <v>7114</v>
      </c>
      <c r="S94" s="343">
        <v>25</v>
      </c>
      <c r="T94" s="343">
        <v>53</v>
      </c>
      <c r="U94" s="384">
        <v>46156</v>
      </c>
      <c r="V94" s="343" t="s">
        <v>235</v>
      </c>
      <c r="W94" s="343" t="s">
        <v>149</v>
      </c>
      <c r="Y94" s="343" t="s">
        <v>152</v>
      </c>
      <c r="Z94" s="343" t="s">
        <v>157</v>
      </c>
      <c r="AA94" s="384">
        <v>46195</v>
      </c>
      <c r="AB94" s="384">
        <v>46201</v>
      </c>
      <c r="AC94" s="343" t="s">
        <v>339</v>
      </c>
      <c r="AD94" s="343">
        <v>1</v>
      </c>
      <c r="AE94" s="343">
        <v>177</v>
      </c>
      <c r="AF94" s="343">
        <v>0</v>
      </c>
      <c r="AG94" s="343">
        <v>0</v>
      </c>
      <c r="AH94" s="343">
        <v>177</v>
      </c>
      <c r="AI94" s="343">
        <v>11.51</v>
      </c>
    </row>
    <row r="95" spans="1:35">
      <c r="A95" s="343">
        <v>20260401</v>
      </c>
      <c r="B95" s="343">
        <v>20926</v>
      </c>
      <c r="C95" s="343">
        <v>115</v>
      </c>
      <c r="D95" s="343">
        <v>211</v>
      </c>
      <c r="E95" s="384">
        <v>46113</v>
      </c>
      <c r="F95" s="343" t="s">
        <v>234</v>
      </c>
      <c r="G95" s="343" t="s">
        <v>141</v>
      </c>
      <c r="Q95" s="343">
        <v>20260515</v>
      </c>
      <c r="R95" s="343">
        <v>19008.32</v>
      </c>
      <c r="S95" s="343">
        <v>87</v>
      </c>
      <c r="T95" s="343">
        <v>194</v>
      </c>
      <c r="U95" s="384">
        <v>46157</v>
      </c>
      <c r="V95" s="343" t="s">
        <v>236</v>
      </c>
      <c r="W95" s="343" t="s">
        <v>149</v>
      </c>
      <c r="Y95" s="343" t="s">
        <v>159</v>
      </c>
      <c r="Z95" s="343" t="s">
        <v>160</v>
      </c>
      <c r="AA95" s="384">
        <v>46202</v>
      </c>
      <c r="AB95" s="384">
        <v>46208</v>
      </c>
      <c r="AC95" s="343" t="s">
        <v>340</v>
      </c>
      <c r="AD95" s="343">
        <v>1</v>
      </c>
      <c r="AE95" s="343">
        <v>2400</v>
      </c>
      <c r="AF95" s="343">
        <v>0</v>
      </c>
      <c r="AG95" s="343">
        <v>0</v>
      </c>
      <c r="AH95" s="343">
        <v>2400</v>
      </c>
      <c r="AI95" s="343">
        <v>156</v>
      </c>
    </row>
    <row r="96" spans="1:35">
      <c r="A96" s="343">
        <v>20260402</v>
      </c>
      <c r="B96" s="343">
        <v>22971</v>
      </c>
      <c r="C96" s="343">
        <v>108</v>
      </c>
      <c r="D96" s="343">
        <v>217</v>
      </c>
      <c r="E96" s="384">
        <v>46114</v>
      </c>
      <c r="F96" s="343" t="s">
        <v>235</v>
      </c>
      <c r="G96" s="343" t="s">
        <v>141</v>
      </c>
      <c r="Q96" s="343">
        <v>20260516</v>
      </c>
      <c r="R96" s="343">
        <v>12159.5</v>
      </c>
      <c r="S96" s="343">
        <v>25</v>
      </c>
      <c r="T96" s="343">
        <v>99</v>
      </c>
      <c r="U96" s="384">
        <v>46158</v>
      </c>
      <c r="V96" s="343" t="s">
        <v>244</v>
      </c>
      <c r="W96" s="343" t="s">
        <v>149</v>
      </c>
      <c r="Y96" s="343" t="s">
        <v>159</v>
      </c>
      <c r="Z96" s="343" t="s">
        <v>160</v>
      </c>
      <c r="AA96" s="384">
        <v>46202</v>
      </c>
      <c r="AB96" s="384">
        <v>46208</v>
      </c>
      <c r="AC96" s="343" t="s">
        <v>279</v>
      </c>
      <c r="AD96" s="343">
        <v>125</v>
      </c>
      <c r="AE96" s="343">
        <v>1253.5</v>
      </c>
      <c r="AF96" s="343">
        <v>0</v>
      </c>
      <c r="AG96" s="343">
        <v>0</v>
      </c>
      <c r="AH96" s="343">
        <v>1253.5</v>
      </c>
      <c r="AI96" s="343">
        <v>81.760000000000005</v>
      </c>
    </row>
    <row r="97" spans="1:35">
      <c r="A97" s="343">
        <v>20260403</v>
      </c>
      <c r="B97" s="343">
        <v>40514.89</v>
      </c>
      <c r="C97" s="343">
        <v>196</v>
      </c>
      <c r="D97" s="343">
        <v>395</v>
      </c>
      <c r="E97" s="384">
        <v>46115</v>
      </c>
      <c r="F97" s="343" t="s">
        <v>236</v>
      </c>
      <c r="G97" s="343" t="s">
        <v>141</v>
      </c>
      <c r="Q97" s="343">
        <v>20260518</v>
      </c>
      <c r="R97" s="343">
        <v>6314.7</v>
      </c>
      <c r="S97" s="343">
        <v>1</v>
      </c>
      <c r="T97" s="343">
        <v>41</v>
      </c>
      <c r="U97" s="384">
        <v>46160</v>
      </c>
      <c r="V97" s="343" t="s">
        <v>232</v>
      </c>
      <c r="W97" s="343" t="s">
        <v>150</v>
      </c>
      <c r="Y97" s="343" t="s">
        <v>159</v>
      </c>
      <c r="Z97" s="343" t="s">
        <v>160</v>
      </c>
      <c r="AA97" s="384">
        <v>46202</v>
      </c>
      <c r="AB97" s="384">
        <v>46208</v>
      </c>
      <c r="AC97" s="343" t="s">
        <v>293</v>
      </c>
      <c r="AD97" s="343">
        <v>1</v>
      </c>
      <c r="AE97" s="343">
        <v>90</v>
      </c>
      <c r="AF97" s="343">
        <v>0</v>
      </c>
      <c r="AG97" s="343">
        <v>0</v>
      </c>
      <c r="AH97" s="343">
        <v>90</v>
      </c>
      <c r="AI97" s="343">
        <v>5.85</v>
      </c>
    </row>
    <row r="98" spans="1:35">
      <c r="A98" s="343">
        <v>20260404</v>
      </c>
      <c r="B98" s="343">
        <v>42016.65</v>
      </c>
      <c r="C98" s="343">
        <v>213</v>
      </c>
      <c r="D98" s="343">
        <v>415</v>
      </c>
      <c r="E98" s="384">
        <v>46116</v>
      </c>
      <c r="F98" s="343" t="s">
        <v>244</v>
      </c>
      <c r="G98" s="343" t="s">
        <v>141</v>
      </c>
      <c r="Q98" s="343">
        <v>20260520</v>
      </c>
      <c r="R98" s="343">
        <v>4619.5</v>
      </c>
      <c r="S98" s="343">
        <v>22</v>
      </c>
      <c r="T98" s="343">
        <v>37</v>
      </c>
      <c r="U98" s="384">
        <v>46162</v>
      </c>
      <c r="V98" s="343" t="s">
        <v>234</v>
      </c>
      <c r="W98" s="343" t="s">
        <v>150</v>
      </c>
      <c r="Y98" s="343" t="s">
        <v>159</v>
      </c>
      <c r="Z98" s="343" t="s">
        <v>160</v>
      </c>
      <c r="AA98" s="384">
        <v>46202</v>
      </c>
      <c r="AB98" s="384">
        <v>46208</v>
      </c>
      <c r="AC98" s="343" t="s">
        <v>106</v>
      </c>
      <c r="AD98" s="343">
        <v>2</v>
      </c>
      <c r="AE98" s="343">
        <v>468.97</v>
      </c>
      <c r="AF98" s="343">
        <v>0</v>
      </c>
      <c r="AG98" s="343">
        <v>0</v>
      </c>
      <c r="AH98" s="343">
        <v>468.97</v>
      </c>
      <c r="AI98" s="343">
        <v>0</v>
      </c>
    </row>
    <row r="99" spans="1:35">
      <c r="A99" s="343">
        <v>20260405</v>
      </c>
      <c r="B99" s="343">
        <v>23189.51</v>
      </c>
      <c r="C99" s="343">
        <v>109</v>
      </c>
      <c r="D99" s="343">
        <v>247</v>
      </c>
      <c r="E99" s="384">
        <v>46117</v>
      </c>
      <c r="F99" s="343" t="s">
        <v>245</v>
      </c>
      <c r="G99" s="343" t="s">
        <v>141</v>
      </c>
      <c r="Q99" s="343">
        <v>20260521</v>
      </c>
      <c r="R99" s="343">
        <v>6592.75</v>
      </c>
      <c r="S99" s="343">
        <v>26</v>
      </c>
      <c r="T99" s="343">
        <v>74</v>
      </c>
      <c r="U99" s="384">
        <v>46163</v>
      </c>
      <c r="V99" s="343" t="s">
        <v>235</v>
      </c>
      <c r="W99" s="343" t="s">
        <v>150</v>
      </c>
      <c r="Y99" s="343" t="s">
        <v>159</v>
      </c>
      <c r="Z99" s="343" t="s">
        <v>161</v>
      </c>
      <c r="AA99" s="384">
        <v>46209</v>
      </c>
      <c r="AB99" s="384">
        <v>46215</v>
      </c>
      <c r="AC99" s="343" t="s">
        <v>340</v>
      </c>
      <c r="AD99" s="343">
        <v>1</v>
      </c>
      <c r="AE99" s="343">
        <v>2500</v>
      </c>
      <c r="AF99" s="343">
        <v>0</v>
      </c>
      <c r="AG99" s="343">
        <v>0</v>
      </c>
      <c r="AH99" s="343">
        <v>2500</v>
      </c>
      <c r="AI99" s="343">
        <v>162.5</v>
      </c>
    </row>
    <row r="100" spans="1:35">
      <c r="A100" s="343">
        <v>20260406</v>
      </c>
      <c r="B100" s="343">
        <v>10810.44</v>
      </c>
      <c r="C100" s="343">
        <v>59</v>
      </c>
      <c r="D100" s="343">
        <v>106</v>
      </c>
      <c r="E100" s="384">
        <v>46118</v>
      </c>
      <c r="F100" s="343" t="s">
        <v>232</v>
      </c>
      <c r="G100" s="343" t="s">
        <v>142</v>
      </c>
      <c r="Q100" s="343">
        <v>20260522</v>
      </c>
      <c r="R100" s="343">
        <v>12600</v>
      </c>
      <c r="S100" s="343">
        <v>1</v>
      </c>
      <c r="T100" s="343">
        <v>1</v>
      </c>
      <c r="U100" s="384">
        <v>46164</v>
      </c>
      <c r="V100" s="343" t="s">
        <v>236</v>
      </c>
      <c r="W100" s="343" t="s">
        <v>150</v>
      </c>
      <c r="Y100" s="343" t="s">
        <v>159</v>
      </c>
      <c r="Z100" s="343" t="s">
        <v>161</v>
      </c>
      <c r="AA100" s="384">
        <v>46209</v>
      </c>
      <c r="AB100" s="384">
        <v>46215</v>
      </c>
      <c r="AC100" s="343" t="s">
        <v>293</v>
      </c>
      <c r="AD100" s="343">
        <v>2</v>
      </c>
      <c r="AE100" s="343">
        <v>530</v>
      </c>
      <c r="AF100" s="343">
        <v>0</v>
      </c>
      <c r="AG100" s="343">
        <v>0</v>
      </c>
      <c r="AH100" s="343">
        <v>530</v>
      </c>
      <c r="AI100" s="343">
        <v>34.46</v>
      </c>
    </row>
    <row r="101" spans="1:35">
      <c r="A101" s="343">
        <v>20260407</v>
      </c>
      <c r="B101" s="343">
        <v>21833.1</v>
      </c>
      <c r="C101" s="343">
        <v>91</v>
      </c>
      <c r="D101" s="343">
        <v>201</v>
      </c>
      <c r="E101" s="384">
        <v>46119</v>
      </c>
      <c r="F101" s="343" t="s">
        <v>233</v>
      </c>
      <c r="G101" s="343" t="s">
        <v>142</v>
      </c>
      <c r="Q101" s="343">
        <v>20260523</v>
      </c>
      <c r="R101" s="343">
        <v>6906</v>
      </c>
      <c r="S101" s="343">
        <v>49</v>
      </c>
      <c r="T101" s="343">
        <v>89</v>
      </c>
      <c r="U101" s="384">
        <v>46165</v>
      </c>
      <c r="V101" s="343" t="s">
        <v>244</v>
      </c>
      <c r="W101" s="343" t="s">
        <v>150</v>
      </c>
      <c r="Y101" s="343" t="s">
        <v>159</v>
      </c>
      <c r="Z101" s="343" t="s">
        <v>161</v>
      </c>
      <c r="AA101" s="384">
        <v>46209</v>
      </c>
      <c r="AB101" s="384">
        <v>46215</v>
      </c>
      <c r="AC101" s="343" t="s">
        <v>106</v>
      </c>
      <c r="AD101" s="343">
        <v>3</v>
      </c>
      <c r="AE101" s="343">
        <v>580.35</v>
      </c>
      <c r="AF101" s="343">
        <v>0</v>
      </c>
      <c r="AG101" s="343">
        <v>0</v>
      </c>
      <c r="AH101" s="343">
        <v>580.35</v>
      </c>
      <c r="AI101" s="343">
        <v>0</v>
      </c>
    </row>
    <row r="102" spans="1:35">
      <c r="A102" s="343">
        <v>20260408</v>
      </c>
      <c r="B102" s="343">
        <v>21439.75</v>
      </c>
      <c r="C102" s="343">
        <v>92</v>
      </c>
      <c r="D102" s="343">
        <v>209</v>
      </c>
      <c r="E102" s="384">
        <v>46120</v>
      </c>
      <c r="F102" s="343" t="s">
        <v>234</v>
      </c>
      <c r="G102" s="343" t="s">
        <v>142</v>
      </c>
      <c r="Q102" s="343">
        <v>20260527</v>
      </c>
      <c r="R102" s="343">
        <v>2939.3</v>
      </c>
      <c r="S102" s="343">
        <v>15</v>
      </c>
      <c r="T102" s="343">
        <v>23</v>
      </c>
      <c r="U102" s="384">
        <v>46169</v>
      </c>
      <c r="V102" s="343" t="s">
        <v>234</v>
      </c>
      <c r="W102" s="343" t="s">
        <v>153</v>
      </c>
      <c r="Y102" s="343" t="s">
        <v>159</v>
      </c>
      <c r="Z102" s="343" t="s">
        <v>162</v>
      </c>
      <c r="AA102" s="384">
        <v>46216</v>
      </c>
      <c r="AB102" s="384">
        <v>46222</v>
      </c>
      <c r="AC102" s="343" t="s">
        <v>341</v>
      </c>
      <c r="AD102" s="343">
        <v>2</v>
      </c>
      <c r="AE102" s="343">
        <v>375.58</v>
      </c>
      <c r="AF102" s="343">
        <v>0</v>
      </c>
      <c r="AG102" s="343">
        <v>0</v>
      </c>
      <c r="AH102" s="343">
        <v>375.58</v>
      </c>
      <c r="AI102" s="343">
        <v>24.42</v>
      </c>
    </row>
    <row r="103" spans="1:35">
      <c r="A103" s="343">
        <v>20260409</v>
      </c>
      <c r="B103" s="343">
        <v>25218.799999999999</v>
      </c>
      <c r="C103" s="343">
        <v>135</v>
      </c>
      <c r="D103" s="343">
        <v>253</v>
      </c>
      <c r="E103" s="384">
        <v>46121</v>
      </c>
      <c r="F103" s="343" t="s">
        <v>235</v>
      </c>
      <c r="G103" s="343" t="s">
        <v>142</v>
      </c>
      <c r="Q103" s="343">
        <v>20260528</v>
      </c>
      <c r="R103" s="343">
        <v>2921</v>
      </c>
      <c r="S103" s="343">
        <v>19</v>
      </c>
      <c r="T103" s="343">
        <v>57</v>
      </c>
      <c r="U103" s="384">
        <v>46170</v>
      </c>
      <c r="V103" s="343" t="s">
        <v>235</v>
      </c>
      <c r="W103" s="343" t="s">
        <v>153</v>
      </c>
      <c r="Y103" s="343" t="s">
        <v>159</v>
      </c>
      <c r="Z103" s="343" t="s">
        <v>162</v>
      </c>
      <c r="AA103" s="384">
        <v>46216</v>
      </c>
      <c r="AB103" s="384">
        <v>46222</v>
      </c>
      <c r="AC103" s="343" t="s">
        <v>293</v>
      </c>
      <c r="AD103" s="343">
        <v>13</v>
      </c>
      <c r="AE103" s="343">
        <v>572.5</v>
      </c>
      <c r="AF103" s="343">
        <v>0</v>
      </c>
      <c r="AG103" s="343">
        <v>0</v>
      </c>
      <c r="AH103" s="343">
        <v>572.5</v>
      </c>
      <c r="AI103" s="343">
        <v>37.22</v>
      </c>
    </row>
    <row r="104" spans="1:35">
      <c r="A104" s="343">
        <v>20260410</v>
      </c>
      <c r="B104" s="343">
        <v>33765.1</v>
      </c>
      <c r="C104" s="343">
        <v>175</v>
      </c>
      <c r="D104" s="343">
        <v>347</v>
      </c>
      <c r="E104" s="384">
        <v>46122</v>
      </c>
      <c r="F104" s="343" t="s">
        <v>236</v>
      </c>
      <c r="G104" s="343" t="s">
        <v>142</v>
      </c>
      <c r="Q104" s="343">
        <v>20260529</v>
      </c>
      <c r="R104" s="343">
        <v>11631.5</v>
      </c>
      <c r="S104" s="343">
        <v>57</v>
      </c>
      <c r="T104" s="343">
        <v>105</v>
      </c>
      <c r="U104" s="384">
        <v>46171</v>
      </c>
      <c r="V104" s="343" t="s">
        <v>236</v>
      </c>
      <c r="W104" s="343" t="s">
        <v>153</v>
      </c>
      <c r="Y104" s="343" t="s">
        <v>159</v>
      </c>
      <c r="Z104" s="343" t="s">
        <v>162</v>
      </c>
      <c r="AA104" s="384">
        <v>46216</v>
      </c>
      <c r="AB104" s="384">
        <v>46222</v>
      </c>
      <c r="AC104" s="343" t="s">
        <v>106</v>
      </c>
      <c r="AD104" s="343">
        <v>6</v>
      </c>
      <c r="AE104" s="343">
        <v>1200.08</v>
      </c>
      <c r="AF104" s="343">
        <v>0</v>
      </c>
      <c r="AG104" s="343">
        <v>0</v>
      </c>
      <c r="AH104" s="343">
        <v>1200.08</v>
      </c>
      <c r="AI104" s="343">
        <v>0</v>
      </c>
    </row>
    <row r="105" spans="1:35">
      <c r="A105" s="343">
        <v>20260411</v>
      </c>
      <c r="B105" s="343">
        <v>46114.89</v>
      </c>
      <c r="C105" s="343">
        <v>263</v>
      </c>
      <c r="D105" s="343">
        <v>493</v>
      </c>
      <c r="E105" s="384">
        <v>46123</v>
      </c>
      <c r="F105" s="343" t="s">
        <v>244</v>
      </c>
      <c r="G105" s="343" t="s">
        <v>142</v>
      </c>
      <c r="Q105" s="343">
        <v>20260530</v>
      </c>
      <c r="R105" s="343">
        <v>9240.98</v>
      </c>
      <c r="S105" s="343">
        <v>75</v>
      </c>
      <c r="T105" s="343">
        <v>120</v>
      </c>
      <c r="U105" s="384">
        <v>46172</v>
      </c>
      <c r="V105" s="343" t="s">
        <v>244</v>
      </c>
      <c r="W105" s="343" t="s">
        <v>153</v>
      </c>
      <c r="Y105" s="343" t="s">
        <v>159</v>
      </c>
      <c r="Z105" s="343" t="s">
        <v>162</v>
      </c>
      <c r="AA105" s="384">
        <v>46216</v>
      </c>
      <c r="AB105" s="384">
        <v>46222</v>
      </c>
      <c r="AC105" s="343" t="s">
        <v>339</v>
      </c>
      <c r="AD105" s="343">
        <v>2</v>
      </c>
      <c r="AE105" s="343">
        <v>657</v>
      </c>
      <c r="AF105" s="343">
        <v>0</v>
      </c>
      <c r="AG105" s="343">
        <v>0</v>
      </c>
      <c r="AH105" s="343">
        <v>657</v>
      </c>
      <c r="AI105" s="343">
        <v>42.71</v>
      </c>
    </row>
    <row r="106" spans="1:35">
      <c r="A106" s="343">
        <v>20260412</v>
      </c>
      <c r="B106" s="343">
        <v>19549</v>
      </c>
      <c r="C106" s="343">
        <v>97</v>
      </c>
      <c r="D106" s="343">
        <v>201</v>
      </c>
      <c r="E106" s="384">
        <v>46124</v>
      </c>
      <c r="F106" s="343" t="s">
        <v>245</v>
      </c>
      <c r="G106" s="343" t="s">
        <v>142</v>
      </c>
      <c r="Q106" s="343">
        <v>20260604</v>
      </c>
      <c r="R106" s="343">
        <v>8854</v>
      </c>
      <c r="S106" s="343">
        <v>14</v>
      </c>
      <c r="T106" s="343">
        <v>47</v>
      </c>
      <c r="U106" s="384">
        <v>46177</v>
      </c>
      <c r="V106" s="343" t="s">
        <v>235</v>
      </c>
      <c r="W106" s="343" t="s">
        <v>154</v>
      </c>
      <c r="Y106" s="343" t="s">
        <v>159</v>
      </c>
      <c r="Z106" s="343" t="s">
        <v>163</v>
      </c>
      <c r="AA106" s="384">
        <v>46223</v>
      </c>
      <c r="AB106" s="384">
        <v>46229</v>
      </c>
      <c r="AC106" s="343" t="s">
        <v>106</v>
      </c>
      <c r="AD106" s="343">
        <v>4</v>
      </c>
      <c r="AE106" s="343">
        <v>647.70000000000005</v>
      </c>
      <c r="AF106" s="343">
        <v>0</v>
      </c>
      <c r="AG106" s="343">
        <v>0</v>
      </c>
      <c r="AH106" s="343">
        <v>647.70000000000005</v>
      </c>
      <c r="AI106" s="343">
        <v>0</v>
      </c>
    </row>
    <row r="107" spans="1:35">
      <c r="A107" s="343">
        <v>20260413</v>
      </c>
      <c r="B107" s="343">
        <v>15598.8</v>
      </c>
      <c r="C107" s="343">
        <v>69</v>
      </c>
      <c r="D107" s="343">
        <v>145</v>
      </c>
      <c r="E107" s="384">
        <v>46125</v>
      </c>
      <c r="F107" s="343" t="s">
        <v>232</v>
      </c>
      <c r="G107" s="343" t="s">
        <v>143</v>
      </c>
      <c r="Q107" s="343">
        <v>20260605</v>
      </c>
      <c r="R107" s="343">
        <v>11711</v>
      </c>
      <c r="S107" s="343">
        <v>61</v>
      </c>
      <c r="T107" s="343">
        <v>115</v>
      </c>
      <c r="U107" s="384">
        <v>46178</v>
      </c>
      <c r="V107" s="343" t="s">
        <v>236</v>
      </c>
      <c r="W107" s="343" t="s">
        <v>154</v>
      </c>
      <c r="Y107" s="343" t="s">
        <v>165</v>
      </c>
      <c r="Z107" s="343" t="s">
        <v>166</v>
      </c>
      <c r="AA107" s="384">
        <v>46230</v>
      </c>
      <c r="AB107" s="384">
        <v>46236</v>
      </c>
      <c r="AC107" s="343" t="s">
        <v>279</v>
      </c>
      <c r="AD107" s="343">
        <v>198</v>
      </c>
      <c r="AE107" s="343">
        <v>1980</v>
      </c>
      <c r="AF107" s="343">
        <v>0</v>
      </c>
      <c r="AG107" s="343">
        <v>0</v>
      </c>
      <c r="AH107" s="343">
        <v>1980</v>
      </c>
      <c r="AI107" s="343">
        <v>127.96</v>
      </c>
    </row>
    <row r="108" spans="1:35">
      <c r="A108" s="343">
        <v>20260414</v>
      </c>
      <c r="B108" s="343">
        <v>23773.5</v>
      </c>
      <c r="C108" s="343">
        <v>84</v>
      </c>
      <c r="D108" s="343">
        <v>196</v>
      </c>
      <c r="E108" s="384">
        <v>46126</v>
      </c>
      <c r="F108" s="343" t="s">
        <v>233</v>
      </c>
      <c r="G108" s="343" t="s">
        <v>143</v>
      </c>
      <c r="Q108" s="343">
        <v>20260606</v>
      </c>
      <c r="R108" s="343">
        <v>10231.700000000001</v>
      </c>
      <c r="S108" s="343">
        <v>71</v>
      </c>
      <c r="T108" s="343">
        <v>139</v>
      </c>
      <c r="U108" s="384">
        <v>46179</v>
      </c>
      <c r="V108" s="343" t="s">
        <v>244</v>
      </c>
      <c r="W108" s="343" t="s">
        <v>154</v>
      </c>
      <c r="Y108" s="343" t="s">
        <v>165</v>
      </c>
      <c r="Z108" s="343" t="s">
        <v>166</v>
      </c>
      <c r="AA108" s="384">
        <v>46230</v>
      </c>
      <c r="AB108" s="384">
        <v>46236</v>
      </c>
      <c r="AC108" s="343" t="s">
        <v>106</v>
      </c>
      <c r="AD108" s="343">
        <v>15</v>
      </c>
      <c r="AE108" s="343">
        <v>527.15</v>
      </c>
      <c r="AF108" s="343">
        <v>0</v>
      </c>
      <c r="AG108" s="343">
        <v>0</v>
      </c>
      <c r="AH108" s="343">
        <v>527.15</v>
      </c>
      <c r="AI108" s="343">
        <v>0</v>
      </c>
    </row>
    <row r="109" spans="1:35">
      <c r="A109" s="343">
        <v>20260415</v>
      </c>
      <c r="B109" s="343">
        <v>21399.3</v>
      </c>
      <c r="C109" s="343">
        <v>94</v>
      </c>
      <c r="D109" s="343">
        <v>183</v>
      </c>
      <c r="E109" s="384">
        <v>46127</v>
      </c>
      <c r="F109" s="343" t="s">
        <v>234</v>
      </c>
      <c r="G109" s="343" t="s">
        <v>143</v>
      </c>
      <c r="Q109" s="343">
        <v>20260610</v>
      </c>
      <c r="R109" s="343">
        <v>2856.2</v>
      </c>
      <c r="S109" s="343">
        <v>18</v>
      </c>
      <c r="T109" s="343">
        <v>36</v>
      </c>
      <c r="U109" s="384">
        <v>46183</v>
      </c>
      <c r="V109" s="343" t="s">
        <v>234</v>
      </c>
      <c r="W109" s="343" t="s">
        <v>155</v>
      </c>
      <c r="Y109" s="343" t="s">
        <v>165</v>
      </c>
      <c r="Z109" s="343" t="s">
        <v>167</v>
      </c>
      <c r="AA109" s="384">
        <v>46237</v>
      </c>
      <c r="AB109" s="384">
        <v>46243</v>
      </c>
      <c r="AC109" s="343" t="s">
        <v>340</v>
      </c>
      <c r="AD109" s="343">
        <v>1</v>
      </c>
      <c r="AE109" s="343">
        <v>68.489999999999995</v>
      </c>
      <c r="AF109" s="343">
        <v>0</v>
      </c>
      <c r="AG109" s="343">
        <v>0</v>
      </c>
      <c r="AH109" s="343">
        <v>68.489999999999995</v>
      </c>
      <c r="AI109" s="343">
        <v>4.45</v>
      </c>
    </row>
    <row r="110" spans="1:35">
      <c r="A110" s="343">
        <v>20260416</v>
      </c>
      <c r="B110" s="343">
        <v>26426.7</v>
      </c>
      <c r="C110" s="343">
        <v>130</v>
      </c>
      <c r="D110" s="343">
        <v>257</v>
      </c>
      <c r="E110" s="384">
        <v>46128</v>
      </c>
      <c r="F110" s="343" t="s">
        <v>235</v>
      </c>
      <c r="G110" s="343" t="s">
        <v>143</v>
      </c>
      <c r="Q110" s="343">
        <v>20260611</v>
      </c>
      <c r="R110" s="343">
        <v>3392.2</v>
      </c>
      <c r="S110" s="343">
        <v>18</v>
      </c>
      <c r="T110" s="343">
        <v>29</v>
      </c>
      <c r="U110" s="384">
        <v>46184</v>
      </c>
      <c r="V110" s="343" t="s">
        <v>235</v>
      </c>
      <c r="W110" s="343" t="s">
        <v>155</v>
      </c>
      <c r="Y110" s="343" t="s">
        <v>165</v>
      </c>
      <c r="Z110" s="343" t="s">
        <v>167</v>
      </c>
      <c r="AA110" s="384">
        <v>46237</v>
      </c>
      <c r="AB110" s="384">
        <v>46243</v>
      </c>
      <c r="AC110" s="343" t="s">
        <v>341</v>
      </c>
      <c r="AD110" s="343">
        <v>1</v>
      </c>
      <c r="AE110" s="343">
        <v>364.19</v>
      </c>
      <c r="AF110" s="343">
        <v>0</v>
      </c>
      <c r="AG110" s="343">
        <v>0</v>
      </c>
      <c r="AH110" s="343">
        <v>364.19</v>
      </c>
      <c r="AI110" s="343">
        <v>23.67</v>
      </c>
    </row>
    <row r="111" spans="1:35">
      <c r="A111" s="343">
        <v>20260417</v>
      </c>
      <c r="B111" s="343">
        <v>39509.980000000003</v>
      </c>
      <c r="C111" s="343">
        <v>189</v>
      </c>
      <c r="D111" s="343">
        <v>397</v>
      </c>
      <c r="E111" s="384">
        <v>46129</v>
      </c>
      <c r="F111" s="343" t="s">
        <v>236</v>
      </c>
      <c r="G111" s="343" t="s">
        <v>143</v>
      </c>
      <c r="Q111" s="343">
        <v>20260612</v>
      </c>
      <c r="R111" s="343">
        <v>9772</v>
      </c>
      <c r="S111" s="343">
        <v>58</v>
      </c>
      <c r="T111" s="343">
        <v>79</v>
      </c>
      <c r="U111" s="384">
        <v>46185</v>
      </c>
      <c r="V111" s="343" t="s">
        <v>236</v>
      </c>
      <c r="W111" s="343" t="s">
        <v>155</v>
      </c>
      <c r="Y111" s="343" t="s">
        <v>165</v>
      </c>
      <c r="Z111" s="343" t="s">
        <v>167</v>
      </c>
      <c r="AA111" s="384">
        <v>46237</v>
      </c>
      <c r="AB111" s="384">
        <v>46243</v>
      </c>
      <c r="AC111" s="343" t="s">
        <v>335</v>
      </c>
      <c r="AD111" s="343">
        <v>0</v>
      </c>
      <c r="AE111" s="343">
        <v>-137.03</v>
      </c>
      <c r="AF111" s="343">
        <v>0</v>
      </c>
      <c r="AG111" s="343">
        <v>137.03</v>
      </c>
      <c r="AH111" s="343">
        <v>0</v>
      </c>
      <c r="AI111" s="343">
        <v>0</v>
      </c>
    </row>
    <row r="112" spans="1:35">
      <c r="A112" s="343">
        <v>20260418</v>
      </c>
      <c r="B112" s="343">
        <v>35108.67</v>
      </c>
      <c r="C112" s="343">
        <v>201</v>
      </c>
      <c r="D112" s="343">
        <v>358</v>
      </c>
      <c r="E112" s="384">
        <v>46130</v>
      </c>
      <c r="F112" s="343" t="s">
        <v>244</v>
      </c>
      <c r="G112" s="343" t="s">
        <v>143</v>
      </c>
      <c r="Q112" s="343">
        <v>20260613</v>
      </c>
      <c r="R112" s="343">
        <v>6835</v>
      </c>
      <c r="S112" s="343">
        <v>63</v>
      </c>
      <c r="T112" s="343">
        <v>77</v>
      </c>
      <c r="U112" s="384">
        <v>46186</v>
      </c>
      <c r="V112" s="343" t="s">
        <v>244</v>
      </c>
      <c r="W112" s="343" t="s">
        <v>155</v>
      </c>
      <c r="Y112" s="343" t="s">
        <v>165</v>
      </c>
      <c r="Z112" s="343" t="s">
        <v>167</v>
      </c>
      <c r="AA112" s="384">
        <v>46237</v>
      </c>
      <c r="AB112" s="384">
        <v>46243</v>
      </c>
      <c r="AC112" s="343" t="s">
        <v>293</v>
      </c>
      <c r="AD112" s="343">
        <v>3</v>
      </c>
      <c r="AE112" s="343">
        <v>63.5</v>
      </c>
      <c r="AF112" s="343">
        <v>0</v>
      </c>
      <c r="AG112" s="343">
        <v>0</v>
      </c>
      <c r="AH112" s="343">
        <v>63.5</v>
      </c>
      <c r="AI112" s="343">
        <v>4.1399999999999997</v>
      </c>
    </row>
    <row r="113" spans="1:35">
      <c r="A113" s="343">
        <v>20260419</v>
      </c>
      <c r="B113" s="343">
        <v>24630.52</v>
      </c>
      <c r="C113" s="343">
        <v>102</v>
      </c>
      <c r="D113" s="343">
        <v>214</v>
      </c>
      <c r="E113" s="384">
        <v>46131</v>
      </c>
      <c r="F113" s="343" t="s">
        <v>245</v>
      </c>
      <c r="G113" s="343" t="s">
        <v>143</v>
      </c>
      <c r="Q113" s="343">
        <v>20260615</v>
      </c>
      <c r="R113" s="343">
        <v>-178.92</v>
      </c>
      <c r="U113" s="384">
        <v>46188</v>
      </c>
      <c r="V113" s="343" t="s">
        <v>232</v>
      </c>
      <c r="W113" s="343" t="s">
        <v>156</v>
      </c>
      <c r="Y113" s="343" t="s">
        <v>165</v>
      </c>
      <c r="Z113" s="343" t="s">
        <v>167</v>
      </c>
      <c r="AA113" s="384">
        <v>46237</v>
      </c>
      <c r="AB113" s="384">
        <v>46243</v>
      </c>
      <c r="AC113" s="343" t="s">
        <v>106</v>
      </c>
      <c r="AD113" s="343">
        <v>7</v>
      </c>
      <c r="AE113" s="343">
        <v>748.77</v>
      </c>
      <c r="AF113" s="343">
        <v>0</v>
      </c>
      <c r="AG113" s="343">
        <v>0</v>
      </c>
      <c r="AH113" s="343">
        <v>748.77</v>
      </c>
      <c r="AI113" s="343">
        <v>0</v>
      </c>
    </row>
    <row r="114" spans="1:35">
      <c r="A114" s="343">
        <v>20260420</v>
      </c>
      <c r="B114" s="343">
        <v>14245.5</v>
      </c>
      <c r="C114" s="343">
        <v>69</v>
      </c>
      <c r="D114" s="343">
        <v>128</v>
      </c>
      <c r="E114" s="384">
        <v>46132</v>
      </c>
      <c r="F114" s="343" t="s">
        <v>232</v>
      </c>
      <c r="G114" s="343" t="s">
        <v>144</v>
      </c>
      <c r="Q114" s="343">
        <v>20260617</v>
      </c>
      <c r="R114" s="343">
        <v>3467.8</v>
      </c>
      <c r="S114" s="343">
        <v>19</v>
      </c>
      <c r="T114" s="343">
        <v>85</v>
      </c>
      <c r="U114" s="384">
        <v>46190</v>
      </c>
      <c r="V114" s="343" t="s">
        <v>234</v>
      </c>
      <c r="W114" s="343" t="s">
        <v>156</v>
      </c>
      <c r="Y114" s="343" t="s">
        <v>165</v>
      </c>
      <c r="Z114" s="343" t="s">
        <v>167</v>
      </c>
      <c r="AA114" s="384">
        <v>46237</v>
      </c>
      <c r="AB114" s="384">
        <v>46243</v>
      </c>
      <c r="AC114" s="343" t="s">
        <v>339</v>
      </c>
      <c r="AD114" s="343">
        <v>4</v>
      </c>
      <c r="AE114" s="343">
        <v>330</v>
      </c>
      <c r="AF114" s="343">
        <v>0</v>
      </c>
      <c r="AG114" s="343">
        <v>0</v>
      </c>
      <c r="AH114" s="343">
        <v>330</v>
      </c>
      <c r="AI114" s="343">
        <v>21.45</v>
      </c>
    </row>
    <row r="115" spans="1:35">
      <c r="A115" s="343">
        <v>20260421</v>
      </c>
      <c r="B115" s="343">
        <v>26198.65</v>
      </c>
      <c r="C115" s="343">
        <v>91</v>
      </c>
      <c r="D115" s="343">
        <v>198</v>
      </c>
      <c r="E115" s="384">
        <v>46133</v>
      </c>
      <c r="F115" s="343" t="s">
        <v>233</v>
      </c>
      <c r="G115" s="343" t="s">
        <v>144</v>
      </c>
      <c r="Q115" s="343">
        <v>20260618</v>
      </c>
      <c r="R115" s="343">
        <v>2274.5</v>
      </c>
      <c r="S115" s="343">
        <v>20</v>
      </c>
      <c r="T115" s="343">
        <v>27</v>
      </c>
      <c r="U115" s="384">
        <v>46191</v>
      </c>
      <c r="V115" s="343" t="s">
        <v>235</v>
      </c>
      <c r="W115" s="343" t="s">
        <v>156</v>
      </c>
      <c r="Y115" s="343" t="s">
        <v>165</v>
      </c>
      <c r="Z115" s="343" t="s">
        <v>168</v>
      </c>
      <c r="AA115" s="384">
        <v>46244</v>
      </c>
      <c r="AB115" s="384">
        <v>46250</v>
      </c>
      <c r="AC115" s="343" t="s">
        <v>106</v>
      </c>
      <c r="AD115" s="343">
        <v>6</v>
      </c>
      <c r="AE115" s="343">
        <v>877.03</v>
      </c>
      <c r="AF115" s="343">
        <v>0</v>
      </c>
      <c r="AG115" s="343">
        <v>0</v>
      </c>
      <c r="AH115" s="343">
        <v>877.03</v>
      </c>
      <c r="AI115" s="343">
        <v>0</v>
      </c>
    </row>
    <row r="116" spans="1:35">
      <c r="A116" s="343">
        <v>20260422</v>
      </c>
      <c r="B116" s="343">
        <v>23770.06</v>
      </c>
      <c r="C116" s="343">
        <v>99</v>
      </c>
      <c r="D116" s="343">
        <v>191</v>
      </c>
      <c r="E116" s="384">
        <v>46134</v>
      </c>
      <c r="F116" s="343" t="s">
        <v>234</v>
      </c>
      <c r="G116" s="343" t="s">
        <v>144</v>
      </c>
      <c r="Q116" s="343">
        <v>20260619</v>
      </c>
      <c r="R116" s="343">
        <v>7272.5</v>
      </c>
      <c r="S116" s="343">
        <v>50</v>
      </c>
      <c r="T116" s="343">
        <v>84</v>
      </c>
      <c r="U116" s="384">
        <v>46192</v>
      </c>
      <c r="V116" s="343" t="s">
        <v>236</v>
      </c>
      <c r="W116" s="343" t="s">
        <v>156</v>
      </c>
      <c r="Y116" s="343" t="s">
        <v>165</v>
      </c>
      <c r="Z116" s="343" t="s">
        <v>101</v>
      </c>
      <c r="AA116" s="384">
        <v>46251</v>
      </c>
      <c r="AB116" s="384">
        <v>46257</v>
      </c>
      <c r="AC116" s="343" t="s">
        <v>106</v>
      </c>
      <c r="AD116" s="343">
        <v>7</v>
      </c>
      <c r="AE116" s="343">
        <v>745.53</v>
      </c>
      <c r="AF116" s="343">
        <v>0</v>
      </c>
      <c r="AG116" s="343">
        <v>0</v>
      </c>
      <c r="AH116" s="343">
        <v>745.53</v>
      </c>
      <c r="AI116" s="343">
        <v>0</v>
      </c>
    </row>
    <row r="117" spans="1:35">
      <c r="A117" s="343">
        <v>20260423</v>
      </c>
      <c r="B117" s="343">
        <v>22657.7</v>
      </c>
      <c r="C117" s="343">
        <v>104</v>
      </c>
      <c r="D117" s="343">
        <v>206</v>
      </c>
      <c r="E117" s="384">
        <v>46135</v>
      </c>
      <c r="F117" s="343" t="s">
        <v>235</v>
      </c>
      <c r="G117" s="343" t="s">
        <v>144</v>
      </c>
      <c r="Q117" s="343">
        <v>20260620</v>
      </c>
      <c r="R117" s="343">
        <v>14054.65</v>
      </c>
      <c r="S117" s="343">
        <v>61</v>
      </c>
      <c r="T117" s="343">
        <v>155</v>
      </c>
      <c r="U117" s="384">
        <v>46193</v>
      </c>
      <c r="V117" s="343" t="s">
        <v>244</v>
      </c>
      <c r="W117" s="343" t="s">
        <v>156</v>
      </c>
      <c r="Y117" s="343" t="s">
        <v>121</v>
      </c>
      <c r="Z117" s="343" t="s">
        <v>122</v>
      </c>
      <c r="AA117" s="384">
        <v>46020</v>
      </c>
      <c r="AB117" s="384">
        <v>46026</v>
      </c>
      <c r="AC117" s="343" t="s">
        <v>285</v>
      </c>
      <c r="AD117" s="343">
        <v>6847</v>
      </c>
      <c r="AE117" s="343">
        <v>198218.28</v>
      </c>
      <c r="AF117" s="343">
        <v>4682.25</v>
      </c>
      <c r="AG117" s="343">
        <v>0</v>
      </c>
      <c r="AH117" s="343">
        <v>202900.53</v>
      </c>
      <c r="AI117" s="343">
        <v>12894.45</v>
      </c>
    </row>
    <row r="118" spans="1:35">
      <c r="A118" s="343">
        <v>20260424</v>
      </c>
      <c r="B118" s="343">
        <v>35303.58</v>
      </c>
      <c r="C118" s="343">
        <v>199</v>
      </c>
      <c r="D118" s="343">
        <v>369</v>
      </c>
      <c r="E118" s="384">
        <v>46136</v>
      </c>
      <c r="F118" s="343" t="s">
        <v>236</v>
      </c>
      <c r="G118" s="343" t="s">
        <v>144</v>
      </c>
      <c r="Q118" s="343">
        <v>20260624</v>
      </c>
      <c r="R118" s="343">
        <v>8125.95</v>
      </c>
      <c r="S118" s="343">
        <v>2</v>
      </c>
      <c r="T118" s="343">
        <v>50</v>
      </c>
      <c r="U118" s="384">
        <v>46197</v>
      </c>
      <c r="V118" s="343" t="s">
        <v>234</v>
      </c>
      <c r="W118" s="343" t="s">
        <v>157</v>
      </c>
      <c r="Y118" s="343" t="s">
        <v>121</v>
      </c>
      <c r="Z118" s="343" t="s">
        <v>122</v>
      </c>
      <c r="AA118" s="384">
        <v>46020</v>
      </c>
      <c r="AB118" s="384">
        <v>46026</v>
      </c>
      <c r="AC118" s="343" t="s">
        <v>281</v>
      </c>
      <c r="AD118" s="343">
        <v>2778</v>
      </c>
      <c r="AE118" s="343">
        <v>57098</v>
      </c>
      <c r="AF118" s="343">
        <v>1037</v>
      </c>
      <c r="AG118" s="343">
        <v>0</v>
      </c>
      <c r="AH118" s="343">
        <v>58135</v>
      </c>
      <c r="AI118" s="343">
        <v>3717.25</v>
      </c>
    </row>
    <row r="119" spans="1:35">
      <c r="A119" s="343">
        <v>20260425</v>
      </c>
      <c r="B119" s="343">
        <v>46342</v>
      </c>
      <c r="C119" s="343">
        <v>231</v>
      </c>
      <c r="D119" s="343">
        <v>450</v>
      </c>
      <c r="E119" s="384">
        <v>46137</v>
      </c>
      <c r="F119" s="343" t="s">
        <v>244</v>
      </c>
      <c r="G119" s="343" t="s">
        <v>144</v>
      </c>
      <c r="Q119" s="343">
        <v>20260625</v>
      </c>
      <c r="R119" s="343">
        <v>11940.66</v>
      </c>
      <c r="S119" s="343">
        <v>24</v>
      </c>
      <c r="T119" s="343">
        <v>85</v>
      </c>
      <c r="U119" s="384">
        <v>46198</v>
      </c>
      <c r="V119" s="343" t="s">
        <v>235</v>
      </c>
      <c r="W119" s="343" t="s">
        <v>157</v>
      </c>
      <c r="Y119" s="343" t="s">
        <v>121</v>
      </c>
      <c r="Z119" s="343" t="s">
        <v>122</v>
      </c>
      <c r="AA119" s="384">
        <v>46020</v>
      </c>
      <c r="AB119" s="384">
        <v>46026</v>
      </c>
      <c r="AC119" s="343" t="s">
        <v>342</v>
      </c>
      <c r="AD119" s="343">
        <v>1275</v>
      </c>
      <c r="AE119" s="343">
        <v>10582</v>
      </c>
      <c r="AF119" s="343">
        <v>204</v>
      </c>
      <c r="AG119" s="343">
        <v>0</v>
      </c>
      <c r="AH119" s="343">
        <v>10786</v>
      </c>
      <c r="AI119" s="343">
        <v>691.04</v>
      </c>
    </row>
    <row r="120" spans="1:35">
      <c r="A120" s="343">
        <v>20260426</v>
      </c>
      <c r="B120" s="343">
        <v>21712.3</v>
      </c>
      <c r="C120" s="343">
        <v>94</v>
      </c>
      <c r="D120" s="343">
        <v>209</v>
      </c>
      <c r="E120" s="384">
        <v>46138</v>
      </c>
      <c r="F120" s="343" t="s">
        <v>245</v>
      </c>
      <c r="G120" s="343" t="s">
        <v>144</v>
      </c>
      <c r="Q120" s="343">
        <v>20260626</v>
      </c>
      <c r="R120" s="343">
        <v>8052.6</v>
      </c>
      <c r="S120" s="343">
        <v>58</v>
      </c>
      <c r="T120" s="343">
        <v>81</v>
      </c>
      <c r="U120" s="384">
        <v>46199</v>
      </c>
      <c r="V120" s="343" t="s">
        <v>236</v>
      </c>
      <c r="W120" s="343" t="s">
        <v>157</v>
      </c>
      <c r="Y120" s="343" t="s">
        <v>121</v>
      </c>
      <c r="Z120" s="343" t="s">
        <v>122</v>
      </c>
      <c r="AA120" s="384">
        <v>46020</v>
      </c>
      <c r="AB120" s="384">
        <v>46026</v>
      </c>
      <c r="AC120" s="343" t="s">
        <v>277</v>
      </c>
      <c r="AD120" s="343">
        <v>1031</v>
      </c>
      <c r="AE120" s="343">
        <v>30654.01</v>
      </c>
      <c r="AF120" s="343">
        <v>1461</v>
      </c>
      <c r="AG120" s="343">
        <v>0</v>
      </c>
      <c r="AH120" s="343">
        <v>32115.01</v>
      </c>
      <c r="AI120" s="343">
        <v>1994.41</v>
      </c>
    </row>
    <row r="121" spans="1:35">
      <c r="A121" s="343">
        <v>20260427</v>
      </c>
      <c r="B121" s="343">
        <v>14605.8</v>
      </c>
      <c r="C121" s="343">
        <v>76</v>
      </c>
      <c r="D121" s="343">
        <v>149</v>
      </c>
      <c r="E121" s="384">
        <v>46139</v>
      </c>
      <c r="F121" s="343" t="s">
        <v>232</v>
      </c>
      <c r="G121" s="343" t="s">
        <v>147</v>
      </c>
      <c r="Q121" s="343">
        <v>20260627</v>
      </c>
      <c r="R121" s="343">
        <v>7671.5</v>
      </c>
      <c r="S121" s="343">
        <v>64</v>
      </c>
      <c r="T121" s="343">
        <v>100</v>
      </c>
      <c r="U121" s="384">
        <v>46200</v>
      </c>
      <c r="V121" s="343" t="s">
        <v>244</v>
      </c>
      <c r="W121" s="343" t="s">
        <v>157</v>
      </c>
      <c r="Y121" s="343" t="s">
        <v>121</v>
      </c>
      <c r="Z121" s="343" t="s">
        <v>123</v>
      </c>
      <c r="AA121" s="384">
        <v>46027</v>
      </c>
      <c r="AB121" s="384">
        <v>46033</v>
      </c>
      <c r="AC121" s="343" t="s">
        <v>279</v>
      </c>
      <c r="AD121" s="343">
        <v>154</v>
      </c>
      <c r="AE121" s="343">
        <v>1580</v>
      </c>
      <c r="AF121" s="343">
        <v>9.5</v>
      </c>
      <c r="AG121" s="343">
        <v>0</v>
      </c>
      <c r="AH121" s="343">
        <v>1589.5</v>
      </c>
      <c r="AI121" s="343">
        <v>103.14</v>
      </c>
    </row>
    <row r="122" spans="1:35">
      <c r="A122" s="343">
        <v>20260428</v>
      </c>
      <c r="B122" s="343">
        <v>26452.5</v>
      </c>
      <c r="C122" s="343">
        <v>104</v>
      </c>
      <c r="D122" s="343">
        <v>224</v>
      </c>
      <c r="E122" s="384">
        <v>46140</v>
      </c>
      <c r="F122" s="343" t="s">
        <v>233</v>
      </c>
      <c r="G122" s="343" t="s">
        <v>147</v>
      </c>
      <c r="Q122" s="343">
        <v>20260701</v>
      </c>
      <c r="R122" s="343">
        <v>962.5</v>
      </c>
      <c r="S122" s="343">
        <v>13</v>
      </c>
      <c r="T122" s="343">
        <v>15</v>
      </c>
      <c r="U122" s="384">
        <v>46204</v>
      </c>
      <c r="V122" s="343" t="s">
        <v>234</v>
      </c>
      <c r="W122" s="343" t="s">
        <v>160</v>
      </c>
      <c r="Y122" s="343" t="s">
        <v>121</v>
      </c>
      <c r="Z122" s="343" t="s">
        <v>123</v>
      </c>
      <c r="AA122" s="384">
        <v>46027</v>
      </c>
      <c r="AB122" s="384">
        <v>46033</v>
      </c>
      <c r="AC122" s="343" t="s">
        <v>285</v>
      </c>
      <c r="AD122" s="343">
        <v>5256</v>
      </c>
      <c r="AE122" s="343">
        <v>143727.28</v>
      </c>
      <c r="AF122" s="343">
        <v>4291.7</v>
      </c>
      <c r="AG122" s="343">
        <v>0</v>
      </c>
      <c r="AH122" s="343">
        <v>148018.98000000001</v>
      </c>
      <c r="AI122" s="343">
        <v>9351.6299999999992</v>
      </c>
    </row>
    <row r="123" spans="1:35">
      <c r="A123" s="343">
        <v>20260429</v>
      </c>
      <c r="B123" s="343">
        <v>22396.5</v>
      </c>
      <c r="C123" s="343">
        <v>108</v>
      </c>
      <c r="D123" s="343">
        <v>225</v>
      </c>
      <c r="E123" s="384">
        <v>46141</v>
      </c>
      <c r="F123" s="343" t="s">
        <v>234</v>
      </c>
      <c r="G123" s="343" t="s">
        <v>147</v>
      </c>
      <c r="Q123" s="343">
        <v>20260702</v>
      </c>
      <c r="R123" s="343">
        <v>5274</v>
      </c>
      <c r="S123" s="343">
        <v>31</v>
      </c>
      <c r="T123" s="343">
        <v>56</v>
      </c>
      <c r="U123" s="384">
        <v>46205</v>
      </c>
      <c r="V123" s="343" t="s">
        <v>235</v>
      </c>
      <c r="W123" s="343" t="s">
        <v>160</v>
      </c>
      <c r="Y123" s="343" t="s">
        <v>121</v>
      </c>
      <c r="Z123" s="343" t="s">
        <v>123</v>
      </c>
      <c r="AA123" s="384">
        <v>46027</v>
      </c>
      <c r="AB123" s="384">
        <v>46033</v>
      </c>
      <c r="AC123" s="343" t="s">
        <v>281</v>
      </c>
      <c r="AD123" s="343">
        <v>2050</v>
      </c>
      <c r="AE123" s="343">
        <v>38820.06</v>
      </c>
      <c r="AF123" s="343">
        <v>1002.94</v>
      </c>
      <c r="AG123" s="343">
        <v>0</v>
      </c>
      <c r="AH123" s="343">
        <v>39823</v>
      </c>
      <c r="AI123" s="343">
        <v>2527.8200000000002</v>
      </c>
    </row>
    <row r="124" spans="1:35">
      <c r="A124" s="343">
        <v>20260430</v>
      </c>
      <c r="B124" s="343">
        <v>21822.35</v>
      </c>
      <c r="C124" s="343">
        <v>129</v>
      </c>
      <c r="D124" s="343">
        <v>231</v>
      </c>
      <c r="E124" s="384">
        <v>46142</v>
      </c>
      <c r="F124" s="343" t="s">
        <v>235</v>
      </c>
      <c r="G124" s="343" t="s">
        <v>147</v>
      </c>
      <c r="Q124" s="343">
        <v>20260703</v>
      </c>
      <c r="R124" s="343">
        <v>3645</v>
      </c>
      <c r="S124" s="343">
        <v>26</v>
      </c>
      <c r="T124" s="343">
        <v>54</v>
      </c>
      <c r="U124" s="384">
        <v>46206</v>
      </c>
      <c r="V124" s="343" t="s">
        <v>236</v>
      </c>
      <c r="W124" s="343" t="s">
        <v>160</v>
      </c>
      <c r="Y124" s="343" t="s">
        <v>121</v>
      </c>
      <c r="Z124" s="343" t="s">
        <v>123</v>
      </c>
      <c r="AA124" s="384">
        <v>46027</v>
      </c>
      <c r="AB124" s="384">
        <v>46033</v>
      </c>
      <c r="AC124" s="343" t="s">
        <v>342</v>
      </c>
      <c r="AD124" s="343">
        <v>1095</v>
      </c>
      <c r="AE124" s="343">
        <v>8812.4</v>
      </c>
      <c r="AF124" s="343">
        <v>278.60000000000002</v>
      </c>
      <c r="AG124" s="343">
        <v>0</v>
      </c>
      <c r="AH124" s="343">
        <v>9091</v>
      </c>
      <c r="AI124" s="343">
        <v>575.44000000000005</v>
      </c>
    </row>
    <row r="125" spans="1:35">
      <c r="A125" s="343">
        <v>20260501</v>
      </c>
      <c r="B125" s="343">
        <v>33782.33</v>
      </c>
      <c r="C125" s="343">
        <v>208</v>
      </c>
      <c r="D125" s="343">
        <v>371</v>
      </c>
      <c r="E125" s="384">
        <v>46143</v>
      </c>
      <c r="F125" s="343" t="s">
        <v>236</v>
      </c>
      <c r="G125" s="343" t="s">
        <v>147</v>
      </c>
      <c r="Q125" s="343">
        <v>20260704</v>
      </c>
      <c r="R125" s="343">
        <v>2735</v>
      </c>
      <c r="S125" s="343">
        <v>18</v>
      </c>
      <c r="T125" s="343">
        <v>32</v>
      </c>
      <c r="U125" s="384">
        <v>46207</v>
      </c>
      <c r="V125" s="343" t="s">
        <v>244</v>
      </c>
      <c r="W125" s="343" t="s">
        <v>160</v>
      </c>
      <c r="Y125" s="343" t="s">
        <v>121</v>
      </c>
      <c r="Z125" s="343" t="s">
        <v>123</v>
      </c>
      <c r="AA125" s="384">
        <v>46027</v>
      </c>
      <c r="AB125" s="384">
        <v>46033</v>
      </c>
      <c r="AC125" s="343" t="s">
        <v>277</v>
      </c>
      <c r="AD125" s="343">
        <v>788</v>
      </c>
      <c r="AE125" s="343">
        <v>24620.84</v>
      </c>
      <c r="AF125" s="343">
        <v>769.16</v>
      </c>
      <c r="AG125" s="343">
        <v>0</v>
      </c>
      <c r="AH125" s="343">
        <v>25390</v>
      </c>
      <c r="AI125" s="343">
        <v>1602.06</v>
      </c>
    </row>
    <row r="126" spans="1:35">
      <c r="A126" s="343">
        <v>20260502</v>
      </c>
      <c r="B126" s="343">
        <v>40726.5</v>
      </c>
      <c r="C126" s="343">
        <v>194</v>
      </c>
      <c r="D126" s="343">
        <v>397</v>
      </c>
      <c r="E126" s="384">
        <v>46144</v>
      </c>
      <c r="F126" s="343" t="s">
        <v>244</v>
      </c>
      <c r="G126" s="343" t="s">
        <v>147</v>
      </c>
      <c r="Q126" s="343">
        <v>20260705</v>
      </c>
      <c r="R126" s="343">
        <v>7804.35</v>
      </c>
      <c r="S126" s="343">
        <v>2</v>
      </c>
      <c r="T126" s="343">
        <v>1</v>
      </c>
      <c r="U126" s="384">
        <v>46208</v>
      </c>
      <c r="V126" s="343" t="s">
        <v>245</v>
      </c>
      <c r="W126" s="343" t="s">
        <v>160</v>
      </c>
      <c r="Y126" s="343" t="s">
        <v>121</v>
      </c>
      <c r="Z126" s="343" t="s">
        <v>124</v>
      </c>
      <c r="AA126" s="384">
        <v>46034</v>
      </c>
      <c r="AB126" s="384">
        <v>46040</v>
      </c>
      <c r="AC126" s="343" t="s">
        <v>285</v>
      </c>
      <c r="AD126" s="343">
        <v>5452</v>
      </c>
      <c r="AE126" s="343">
        <v>152032.59</v>
      </c>
      <c r="AF126" s="343">
        <v>3634.91</v>
      </c>
      <c r="AG126" s="343">
        <v>0</v>
      </c>
      <c r="AH126" s="343">
        <v>155667.5</v>
      </c>
      <c r="AI126" s="343">
        <v>9891.84</v>
      </c>
    </row>
    <row r="127" spans="1:35">
      <c r="A127" s="343">
        <v>20260503</v>
      </c>
      <c r="B127" s="343">
        <v>22772.5</v>
      </c>
      <c r="C127" s="343">
        <v>107</v>
      </c>
      <c r="D127" s="343">
        <v>208</v>
      </c>
      <c r="E127" s="384">
        <v>46145</v>
      </c>
      <c r="F127" s="343" t="s">
        <v>245</v>
      </c>
      <c r="G127" s="343" t="s">
        <v>147</v>
      </c>
      <c r="Q127" s="343">
        <v>20260706</v>
      </c>
      <c r="S127" s="343">
        <v>1</v>
      </c>
      <c r="T127" s="343">
        <v>1</v>
      </c>
      <c r="U127" s="384">
        <v>46209</v>
      </c>
      <c r="V127" s="343" t="s">
        <v>232</v>
      </c>
      <c r="W127" s="343" t="s">
        <v>161</v>
      </c>
      <c r="Y127" s="343" t="s">
        <v>121</v>
      </c>
      <c r="Z127" s="343" t="s">
        <v>124</v>
      </c>
      <c r="AA127" s="384">
        <v>46034</v>
      </c>
      <c r="AB127" s="384">
        <v>46040</v>
      </c>
      <c r="AC127" s="343" t="s">
        <v>281</v>
      </c>
      <c r="AD127" s="343">
        <v>2423</v>
      </c>
      <c r="AE127" s="343">
        <v>48753.26</v>
      </c>
      <c r="AF127" s="343">
        <v>890.74</v>
      </c>
      <c r="AG127" s="343">
        <v>0</v>
      </c>
      <c r="AH127" s="343">
        <v>49644</v>
      </c>
      <c r="AI127" s="343">
        <v>3174.24</v>
      </c>
    </row>
    <row r="128" spans="1:35">
      <c r="A128" s="343">
        <v>20260504</v>
      </c>
      <c r="B128" s="343">
        <v>13605.25</v>
      </c>
      <c r="C128" s="343">
        <v>67</v>
      </c>
      <c r="D128" s="343">
        <v>137</v>
      </c>
      <c r="E128" s="384">
        <v>46146</v>
      </c>
      <c r="F128" s="343" t="s">
        <v>232</v>
      </c>
      <c r="G128" s="343" t="s">
        <v>148</v>
      </c>
      <c r="Q128" s="343">
        <v>20260708</v>
      </c>
      <c r="R128" s="343">
        <v>7193.92</v>
      </c>
      <c r="S128" s="343">
        <v>8</v>
      </c>
      <c r="T128" s="343">
        <v>49</v>
      </c>
      <c r="U128" s="384">
        <v>46211</v>
      </c>
      <c r="V128" s="343" t="s">
        <v>234</v>
      </c>
      <c r="W128" s="343" t="s">
        <v>161</v>
      </c>
      <c r="Y128" s="343" t="s">
        <v>121</v>
      </c>
      <c r="Z128" s="343" t="s">
        <v>124</v>
      </c>
      <c r="AA128" s="384">
        <v>46034</v>
      </c>
      <c r="AB128" s="384">
        <v>46040</v>
      </c>
      <c r="AC128" s="343" t="s">
        <v>342</v>
      </c>
      <c r="AD128" s="343">
        <v>1094</v>
      </c>
      <c r="AE128" s="343">
        <v>8834.5</v>
      </c>
      <c r="AF128" s="343">
        <v>226.5</v>
      </c>
      <c r="AG128" s="343">
        <v>0</v>
      </c>
      <c r="AH128" s="343">
        <v>9061</v>
      </c>
      <c r="AI128" s="343">
        <v>576.80999999999995</v>
      </c>
    </row>
    <row r="129" spans="1:35">
      <c r="A129" s="343">
        <v>20260505</v>
      </c>
      <c r="B129" s="343">
        <v>17917</v>
      </c>
      <c r="C129" s="343">
        <v>76</v>
      </c>
      <c r="D129" s="343">
        <v>156</v>
      </c>
      <c r="E129" s="384">
        <v>46147</v>
      </c>
      <c r="F129" s="343" t="s">
        <v>233</v>
      </c>
      <c r="G129" s="343" t="s">
        <v>148</v>
      </c>
      <c r="Q129" s="343">
        <v>20260709</v>
      </c>
      <c r="R129" s="343">
        <v>3980</v>
      </c>
      <c r="S129" s="343">
        <v>32</v>
      </c>
      <c r="T129" s="343">
        <v>68</v>
      </c>
      <c r="U129" s="384">
        <v>46212</v>
      </c>
      <c r="V129" s="343" t="s">
        <v>235</v>
      </c>
      <c r="W129" s="343" t="s">
        <v>161</v>
      </c>
      <c r="Y129" s="343" t="s">
        <v>121</v>
      </c>
      <c r="Z129" s="343" t="s">
        <v>124</v>
      </c>
      <c r="AA129" s="384">
        <v>46034</v>
      </c>
      <c r="AB129" s="384">
        <v>46040</v>
      </c>
      <c r="AC129" s="343" t="s">
        <v>277</v>
      </c>
      <c r="AD129" s="343">
        <v>861</v>
      </c>
      <c r="AE129" s="343">
        <v>29015</v>
      </c>
      <c r="AF129" s="343">
        <v>674</v>
      </c>
      <c r="AG129" s="343">
        <v>0</v>
      </c>
      <c r="AH129" s="343">
        <v>29689</v>
      </c>
      <c r="AI129" s="343">
        <v>1887.56</v>
      </c>
    </row>
    <row r="130" spans="1:35">
      <c r="A130" s="343">
        <v>20260506</v>
      </c>
      <c r="B130" s="343">
        <v>22046.02</v>
      </c>
      <c r="C130" s="343">
        <v>105</v>
      </c>
      <c r="D130" s="343">
        <v>207</v>
      </c>
      <c r="E130" s="384">
        <v>46148</v>
      </c>
      <c r="F130" s="343" t="s">
        <v>234</v>
      </c>
      <c r="G130" s="343" t="s">
        <v>148</v>
      </c>
      <c r="Q130" s="343">
        <v>20260710</v>
      </c>
      <c r="R130" s="343">
        <v>8592.1</v>
      </c>
      <c r="S130" s="343">
        <v>73</v>
      </c>
      <c r="T130" s="343">
        <v>134</v>
      </c>
      <c r="U130" s="384">
        <v>46213</v>
      </c>
      <c r="V130" s="343" t="s">
        <v>236</v>
      </c>
      <c r="W130" s="343" t="s">
        <v>161</v>
      </c>
      <c r="Y130" s="343" t="s">
        <v>121</v>
      </c>
      <c r="Z130" s="343" t="s">
        <v>125</v>
      </c>
      <c r="AA130" s="384">
        <v>46041</v>
      </c>
      <c r="AB130" s="384">
        <v>46047</v>
      </c>
      <c r="AC130" s="343" t="s">
        <v>279</v>
      </c>
      <c r="AD130" s="343">
        <v>170</v>
      </c>
      <c r="AE130" s="343">
        <v>1693.5</v>
      </c>
      <c r="AF130" s="343">
        <v>9.5</v>
      </c>
      <c r="AG130" s="343">
        <v>0</v>
      </c>
      <c r="AH130" s="343">
        <v>1703</v>
      </c>
      <c r="AI130" s="343">
        <v>110.48</v>
      </c>
    </row>
    <row r="131" spans="1:35">
      <c r="A131" s="343">
        <v>20260507</v>
      </c>
      <c r="B131" s="343">
        <v>31183.08</v>
      </c>
      <c r="C131" s="343">
        <v>124</v>
      </c>
      <c r="D131" s="343">
        <v>278</v>
      </c>
      <c r="E131" s="384">
        <v>46149</v>
      </c>
      <c r="F131" s="343" t="s">
        <v>235</v>
      </c>
      <c r="G131" s="343" t="s">
        <v>148</v>
      </c>
      <c r="Q131" s="343">
        <v>20260711</v>
      </c>
      <c r="R131" s="343">
        <v>19615.16</v>
      </c>
      <c r="S131" s="343">
        <v>36</v>
      </c>
      <c r="T131" s="343">
        <v>55</v>
      </c>
      <c r="U131" s="384">
        <v>46214</v>
      </c>
      <c r="V131" s="343" t="s">
        <v>244</v>
      </c>
      <c r="W131" s="343" t="s">
        <v>161</v>
      </c>
      <c r="Y131" s="343" t="s">
        <v>121</v>
      </c>
      <c r="Z131" s="343" t="s">
        <v>125</v>
      </c>
      <c r="AA131" s="384">
        <v>46041</v>
      </c>
      <c r="AB131" s="384">
        <v>46047</v>
      </c>
      <c r="AC131" s="343" t="s">
        <v>285</v>
      </c>
      <c r="AD131" s="343">
        <v>5307</v>
      </c>
      <c r="AE131" s="343">
        <v>148612.51</v>
      </c>
      <c r="AF131" s="343">
        <v>4221.9799999999996</v>
      </c>
      <c r="AG131" s="343">
        <v>0</v>
      </c>
      <c r="AH131" s="343">
        <v>152834.49</v>
      </c>
      <c r="AI131" s="343">
        <v>9668.66</v>
      </c>
    </row>
    <row r="132" spans="1:35">
      <c r="A132" s="343">
        <v>20260508</v>
      </c>
      <c r="B132" s="343">
        <v>44447.4</v>
      </c>
      <c r="C132" s="343">
        <v>209</v>
      </c>
      <c r="D132" s="343">
        <v>432</v>
      </c>
      <c r="E132" s="384">
        <v>46150</v>
      </c>
      <c r="F132" s="343" t="s">
        <v>236</v>
      </c>
      <c r="G132" s="343" t="s">
        <v>148</v>
      </c>
      <c r="Q132" s="343">
        <v>20260715</v>
      </c>
      <c r="R132" s="343">
        <v>4647.88</v>
      </c>
      <c r="S132" s="343">
        <v>15</v>
      </c>
      <c r="T132" s="343">
        <v>34</v>
      </c>
      <c r="U132" s="384">
        <v>46218</v>
      </c>
      <c r="V132" s="343" t="s">
        <v>234</v>
      </c>
      <c r="W132" s="343" t="s">
        <v>162</v>
      </c>
      <c r="Y132" s="343" t="s">
        <v>121</v>
      </c>
      <c r="Z132" s="343" t="s">
        <v>125</v>
      </c>
      <c r="AA132" s="384">
        <v>46041</v>
      </c>
      <c r="AB132" s="384">
        <v>46047</v>
      </c>
      <c r="AC132" s="343" t="s">
        <v>281</v>
      </c>
      <c r="AD132" s="343">
        <v>2441</v>
      </c>
      <c r="AE132" s="343">
        <v>48114.57</v>
      </c>
      <c r="AF132" s="343">
        <v>845.47</v>
      </c>
      <c r="AG132" s="343">
        <v>0</v>
      </c>
      <c r="AH132" s="343">
        <v>48960.04</v>
      </c>
      <c r="AI132" s="343">
        <v>3133.09</v>
      </c>
    </row>
    <row r="133" spans="1:35">
      <c r="A133" s="343">
        <v>20260509</v>
      </c>
      <c r="B133" s="343">
        <v>52259.199999999997</v>
      </c>
      <c r="C133" s="343">
        <v>276</v>
      </c>
      <c r="D133" s="343">
        <v>546</v>
      </c>
      <c r="E133" s="384">
        <v>46151</v>
      </c>
      <c r="F133" s="343" t="s">
        <v>244</v>
      </c>
      <c r="G133" s="343" t="s">
        <v>148</v>
      </c>
      <c r="Q133" s="343">
        <v>20260716</v>
      </c>
      <c r="R133" s="343">
        <v>6534.98</v>
      </c>
      <c r="S133" s="343">
        <v>43</v>
      </c>
      <c r="T133" s="343">
        <v>59</v>
      </c>
      <c r="U133" s="384">
        <v>46219</v>
      </c>
      <c r="V133" s="343" t="s">
        <v>235</v>
      </c>
      <c r="W133" s="343" t="s">
        <v>162</v>
      </c>
      <c r="Y133" s="343" t="s">
        <v>121</v>
      </c>
      <c r="Z133" s="343" t="s">
        <v>125</v>
      </c>
      <c r="AA133" s="384">
        <v>46041</v>
      </c>
      <c r="AB133" s="384">
        <v>46047</v>
      </c>
      <c r="AC133" s="343" t="s">
        <v>342</v>
      </c>
      <c r="AD133" s="343">
        <v>1070</v>
      </c>
      <c r="AE133" s="343">
        <v>9062.15</v>
      </c>
      <c r="AF133" s="343">
        <v>171.86</v>
      </c>
      <c r="AG133" s="343">
        <v>0</v>
      </c>
      <c r="AH133" s="343">
        <v>9234.01</v>
      </c>
      <c r="AI133" s="343">
        <v>591.62</v>
      </c>
    </row>
    <row r="134" spans="1:35">
      <c r="A134" s="343">
        <v>20260510</v>
      </c>
      <c r="B134" s="343">
        <v>32867.25</v>
      </c>
      <c r="C134" s="343">
        <v>159</v>
      </c>
      <c r="D134" s="343">
        <v>336</v>
      </c>
      <c r="E134" s="384">
        <v>46152</v>
      </c>
      <c r="F134" s="343" t="s">
        <v>245</v>
      </c>
      <c r="G134" s="343" t="s">
        <v>148</v>
      </c>
      <c r="Q134" s="343">
        <v>20260717</v>
      </c>
      <c r="R134" s="343">
        <v>9231</v>
      </c>
      <c r="S134" s="343">
        <v>84</v>
      </c>
      <c r="T134" s="343">
        <v>115</v>
      </c>
      <c r="U134" s="384">
        <v>46220</v>
      </c>
      <c r="V134" s="343" t="s">
        <v>236</v>
      </c>
      <c r="W134" s="343" t="s">
        <v>162</v>
      </c>
      <c r="Y134" s="343" t="s">
        <v>121</v>
      </c>
      <c r="Z134" s="343" t="s">
        <v>125</v>
      </c>
      <c r="AA134" s="384">
        <v>46041</v>
      </c>
      <c r="AB134" s="384">
        <v>46047</v>
      </c>
      <c r="AC134" s="343" t="s">
        <v>277</v>
      </c>
      <c r="AD134" s="343">
        <v>864</v>
      </c>
      <c r="AE134" s="343">
        <v>31719.18</v>
      </c>
      <c r="AF134" s="343">
        <v>701.84</v>
      </c>
      <c r="AG134" s="343">
        <v>0</v>
      </c>
      <c r="AH134" s="343">
        <v>32421.02</v>
      </c>
      <c r="AI134" s="343">
        <v>2063.5700000000002</v>
      </c>
    </row>
    <row r="135" spans="1:35">
      <c r="A135" s="343">
        <v>20260511</v>
      </c>
      <c r="B135" s="343">
        <v>22516.07</v>
      </c>
      <c r="C135" s="343">
        <v>93</v>
      </c>
      <c r="D135" s="343">
        <v>223</v>
      </c>
      <c r="E135" s="384">
        <v>46153</v>
      </c>
      <c r="F135" s="343" t="s">
        <v>232</v>
      </c>
      <c r="G135" s="343" t="s">
        <v>149</v>
      </c>
      <c r="Q135" s="343">
        <v>20260718</v>
      </c>
      <c r="R135" s="343">
        <v>9600</v>
      </c>
      <c r="S135" s="343">
        <v>63</v>
      </c>
      <c r="T135" s="343">
        <v>106</v>
      </c>
      <c r="U135" s="384">
        <v>46221</v>
      </c>
      <c r="V135" s="343" t="s">
        <v>244</v>
      </c>
      <c r="W135" s="343" t="s">
        <v>162</v>
      </c>
      <c r="Y135" s="343" t="s">
        <v>127</v>
      </c>
      <c r="Z135" s="343" t="s">
        <v>128</v>
      </c>
      <c r="AA135" s="384">
        <v>46048</v>
      </c>
      <c r="AB135" s="384">
        <v>46054</v>
      </c>
      <c r="AC135" s="343" t="s">
        <v>279</v>
      </c>
      <c r="AD135" s="343">
        <v>185</v>
      </c>
      <c r="AE135" s="343">
        <v>1883.5</v>
      </c>
      <c r="AF135" s="343">
        <v>19</v>
      </c>
      <c r="AG135" s="343">
        <v>0</v>
      </c>
      <c r="AH135" s="343">
        <v>1902.5</v>
      </c>
      <c r="AI135" s="343">
        <v>122.93</v>
      </c>
    </row>
    <row r="136" spans="1:35">
      <c r="A136" s="343">
        <v>20260512</v>
      </c>
      <c r="B136" s="343">
        <v>32199.8</v>
      </c>
      <c r="C136" s="343">
        <v>117</v>
      </c>
      <c r="D136" s="343">
        <v>294</v>
      </c>
      <c r="E136" s="384">
        <v>46154</v>
      </c>
      <c r="F136" s="343" t="s">
        <v>233</v>
      </c>
      <c r="G136" s="343" t="s">
        <v>149</v>
      </c>
      <c r="Q136" s="343">
        <v>20260719</v>
      </c>
      <c r="R136" s="343">
        <v>1284</v>
      </c>
      <c r="S136" s="343">
        <v>13</v>
      </c>
      <c r="T136" s="343">
        <v>16</v>
      </c>
      <c r="U136" s="384">
        <v>46222</v>
      </c>
      <c r="V136" s="343" t="s">
        <v>245</v>
      </c>
      <c r="W136" s="343" t="s">
        <v>162</v>
      </c>
      <c r="Y136" s="343" t="s">
        <v>127</v>
      </c>
      <c r="Z136" s="343" t="s">
        <v>128</v>
      </c>
      <c r="AA136" s="384">
        <v>46048</v>
      </c>
      <c r="AB136" s="384">
        <v>46054</v>
      </c>
      <c r="AC136" s="343" t="s">
        <v>285</v>
      </c>
      <c r="AD136" s="343">
        <v>4989</v>
      </c>
      <c r="AE136" s="343">
        <v>138580.76999999999</v>
      </c>
      <c r="AF136" s="343">
        <v>3268.8</v>
      </c>
      <c r="AG136" s="343">
        <v>0</v>
      </c>
      <c r="AH136" s="343">
        <v>141849.57</v>
      </c>
      <c r="AI136" s="343">
        <v>9016.2800000000007</v>
      </c>
    </row>
    <row r="137" spans="1:35">
      <c r="A137" s="343">
        <v>20260513</v>
      </c>
      <c r="B137" s="343">
        <v>22451.5</v>
      </c>
      <c r="C137" s="343">
        <v>111</v>
      </c>
      <c r="D137" s="343">
        <v>228</v>
      </c>
      <c r="E137" s="384">
        <v>46155</v>
      </c>
      <c r="F137" s="343" t="s">
        <v>234</v>
      </c>
      <c r="G137" s="343" t="s">
        <v>149</v>
      </c>
      <c r="Q137" s="343">
        <v>20260721</v>
      </c>
      <c r="S137" s="343">
        <v>1</v>
      </c>
      <c r="T137" s="343">
        <v>1</v>
      </c>
      <c r="U137" s="384">
        <v>46224</v>
      </c>
      <c r="V137" s="343" t="s">
        <v>233</v>
      </c>
      <c r="W137" s="343" t="s">
        <v>163</v>
      </c>
      <c r="Y137" s="343" t="s">
        <v>127</v>
      </c>
      <c r="Z137" s="343" t="s">
        <v>128</v>
      </c>
      <c r="AA137" s="384">
        <v>46048</v>
      </c>
      <c r="AB137" s="384">
        <v>46054</v>
      </c>
      <c r="AC137" s="343" t="s">
        <v>281</v>
      </c>
      <c r="AD137" s="343">
        <v>2446</v>
      </c>
      <c r="AE137" s="343">
        <v>44957</v>
      </c>
      <c r="AF137" s="343">
        <v>558</v>
      </c>
      <c r="AG137" s="343">
        <v>0</v>
      </c>
      <c r="AH137" s="343">
        <v>45515</v>
      </c>
      <c r="AI137" s="343">
        <v>2927.29</v>
      </c>
    </row>
    <row r="138" spans="1:35">
      <c r="A138" s="343">
        <v>20260514</v>
      </c>
      <c r="B138" s="343">
        <v>18889.53</v>
      </c>
      <c r="C138" s="343">
        <v>113</v>
      </c>
      <c r="D138" s="343">
        <v>197</v>
      </c>
      <c r="E138" s="384">
        <v>46156</v>
      </c>
      <c r="F138" s="343" t="s">
        <v>235</v>
      </c>
      <c r="G138" s="343" t="s">
        <v>149</v>
      </c>
      <c r="Q138" s="343">
        <v>20260722</v>
      </c>
      <c r="R138" s="343">
        <v>11036.2</v>
      </c>
      <c r="S138" s="343">
        <v>3</v>
      </c>
      <c r="T138" s="343">
        <v>63</v>
      </c>
      <c r="U138" s="384">
        <v>46225</v>
      </c>
      <c r="V138" s="343" t="s">
        <v>234</v>
      </c>
      <c r="W138" s="343" t="s">
        <v>163</v>
      </c>
      <c r="Y138" s="343" t="s">
        <v>127</v>
      </c>
      <c r="Z138" s="343" t="s">
        <v>128</v>
      </c>
      <c r="AA138" s="384">
        <v>46048</v>
      </c>
      <c r="AB138" s="384">
        <v>46054</v>
      </c>
      <c r="AC138" s="343" t="s">
        <v>342</v>
      </c>
      <c r="AD138" s="343">
        <v>963</v>
      </c>
      <c r="AE138" s="343">
        <v>7430</v>
      </c>
      <c r="AF138" s="343">
        <v>42</v>
      </c>
      <c r="AG138" s="343">
        <v>0</v>
      </c>
      <c r="AH138" s="343">
        <v>7472</v>
      </c>
      <c r="AI138" s="343">
        <v>485.01</v>
      </c>
    </row>
    <row r="139" spans="1:35">
      <c r="A139" s="343">
        <v>20260515</v>
      </c>
      <c r="B139" s="343">
        <v>39061.4</v>
      </c>
      <c r="C139" s="343">
        <v>206</v>
      </c>
      <c r="D139" s="343">
        <v>411</v>
      </c>
      <c r="E139" s="384">
        <v>46157</v>
      </c>
      <c r="F139" s="343" t="s">
        <v>236</v>
      </c>
      <c r="G139" s="343" t="s">
        <v>149</v>
      </c>
      <c r="Q139" s="343">
        <v>20260723</v>
      </c>
      <c r="R139" s="343">
        <v>6445.8</v>
      </c>
      <c r="S139" s="343">
        <v>30</v>
      </c>
      <c r="T139" s="343">
        <v>49</v>
      </c>
      <c r="U139" s="384">
        <v>46226</v>
      </c>
      <c r="V139" s="343" t="s">
        <v>235</v>
      </c>
      <c r="W139" s="343" t="s">
        <v>163</v>
      </c>
      <c r="Y139" s="343" t="s">
        <v>127</v>
      </c>
      <c r="Z139" s="343" t="s">
        <v>128</v>
      </c>
      <c r="AA139" s="384">
        <v>46048</v>
      </c>
      <c r="AB139" s="384">
        <v>46054</v>
      </c>
      <c r="AC139" s="343" t="s">
        <v>277</v>
      </c>
      <c r="AD139" s="343">
        <v>969</v>
      </c>
      <c r="AE139" s="343">
        <v>34003</v>
      </c>
      <c r="AF139" s="343">
        <v>432</v>
      </c>
      <c r="AG139" s="343">
        <v>0</v>
      </c>
      <c r="AH139" s="343">
        <v>34435</v>
      </c>
      <c r="AI139" s="343">
        <v>2212.19</v>
      </c>
    </row>
    <row r="140" spans="1:35">
      <c r="A140" s="343">
        <v>20260516</v>
      </c>
      <c r="B140" s="343">
        <v>42214.5</v>
      </c>
      <c r="C140" s="343">
        <v>217</v>
      </c>
      <c r="D140" s="343">
        <v>425</v>
      </c>
      <c r="E140" s="384">
        <v>46158</v>
      </c>
      <c r="F140" s="343" t="s">
        <v>244</v>
      </c>
      <c r="G140" s="343" t="s">
        <v>149</v>
      </c>
      <c r="Q140" s="343">
        <v>20260724</v>
      </c>
      <c r="R140" s="343">
        <v>8651</v>
      </c>
      <c r="S140" s="343">
        <v>71</v>
      </c>
      <c r="T140" s="343">
        <v>95</v>
      </c>
      <c r="U140" s="384">
        <v>46227</v>
      </c>
      <c r="V140" s="343" t="s">
        <v>236</v>
      </c>
      <c r="W140" s="343" t="s">
        <v>163</v>
      </c>
      <c r="Y140" s="343" t="s">
        <v>127</v>
      </c>
      <c r="Z140" s="343" t="s">
        <v>129</v>
      </c>
      <c r="AA140" s="384">
        <v>46055</v>
      </c>
      <c r="AB140" s="384">
        <v>46061</v>
      </c>
      <c r="AC140" s="343" t="s">
        <v>285</v>
      </c>
      <c r="AD140" s="343">
        <v>5825</v>
      </c>
      <c r="AE140" s="343">
        <v>166843.46</v>
      </c>
      <c r="AF140" s="343">
        <v>5162.03</v>
      </c>
      <c r="AG140" s="343">
        <v>0</v>
      </c>
      <c r="AH140" s="343">
        <v>172005.49</v>
      </c>
      <c r="AI140" s="343">
        <v>10854.18</v>
      </c>
    </row>
    <row r="141" spans="1:35">
      <c r="A141" s="343">
        <v>20260517</v>
      </c>
      <c r="B141" s="343">
        <v>15241.48</v>
      </c>
      <c r="C141" s="343">
        <v>88</v>
      </c>
      <c r="D141" s="343">
        <v>174</v>
      </c>
      <c r="E141" s="384">
        <v>46159</v>
      </c>
      <c r="F141" s="343" t="s">
        <v>245</v>
      </c>
      <c r="G141" s="343" t="s">
        <v>149</v>
      </c>
      <c r="Q141" s="343">
        <v>20260725</v>
      </c>
      <c r="R141" s="343">
        <v>8000.5</v>
      </c>
      <c r="S141" s="343">
        <v>85</v>
      </c>
      <c r="T141" s="343">
        <v>100</v>
      </c>
      <c r="U141" s="384">
        <v>46228</v>
      </c>
      <c r="V141" s="343" t="s">
        <v>244</v>
      </c>
      <c r="W141" s="343" t="s">
        <v>163</v>
      </c>
      <c r="Y141" s="343" t="s">
        <v>127</v>
      </c>
      <c r="Z141" s="343" t="s">
        <v>129</v>
      </c>
      <c r="AA141" s="384">
        <v>46055</v>
      </c>
      <c r="AB141" s="384">
        <v>46061</v>
      </c>
      <c r="AC141" s="343" t="s">
        <v>281</v>
      </c>
      <c r="AD141" s="343">
        <v>3064</v>
      </c>
      <c r="AE141" s="343">
        <v>60094.63</v>
      </c>
      <c r="AF141" s="343">
        <v>887.37</v>
      </c>
      <c r="AG141" s="343">
        <v>0</v>
      </c>
      <c r="AH141" s="343">
        <v>60982</v>
      </c>
      <c r="AI141" s="343">
        <v>3912.08</v>
      </c>
    </row>
    <row r="142" spans="1:35">
      <c r="A142" s="343">
        <v>20260518</v>
      </c>
      <c r="B142" s="343">
        <v>21593.1</v>
      </c>
      <c r="C142" s="343">
        <v>81</v>
      </c>
      <c r="D142" s="343">
        <v>195</v>
      </c>
      <c r="E142" s="384">
        <v>46160</v>
      </c>
      <c r="F142" s="343" t="s">
        <v>232</v>
      </c>
      <c r="G142" s="343" t="s">
        <v>150</v>
      </c>
      <c r="Q142" s="343">
        <v>20260728</v>
      </c>
      <c r="R142" s="343">
        <v>6302.62</v>
      </c>
      <c r="S142" s="343">
        <v>1</v>
      </c>
      <c r="T142" s="343">
        <v>18</v>
      </c>
      <c r="U142" s="384">
        <v>46231</v>
      </c>
      <c r="V142" s="343" t="s">
        <v>233</v>
      </c>
      <c r="W142" s="343" t="s">
        <v>166</v>
      </c>
      <c r="Y142" s="343" t="s">
        <v>127</v>
      </c>
      <c r="Z142" s="343" t="s">
        <v>129</v>
      </c>
      <c r="AA142" s="384">
        <v>46055</v>
      </c>
      <c r="AB142" s="384">
        <v>46061</v>
      </c>
      <c r="AC142" s="343" t="s">
        <v>342</v>
      </c>
      <c r="AD142" s="343">
        <v>989</v>
      </c>
      <c r="AE142" s="343">
        <v>8019.44</v>
      </c>
      <c r="AF142" s="343">
        <v>209.56</v>
      </c>
      <c r="AG142" s="343">
        <v>0</v>
      </c>
      <c r="AH142" s="343">
        <v>8229</v>
      </c>
      <c r="AI142" s="343">
        <v>523.51</v>
      </c>
    </row>
    <row r="143" spans="1:35">
      <c r="A143" s="343">
        <v>20260519</v>
      </c>
      <c r="B143" s="343">
        <v>21223.48</v>
      </c>
      <c r="C143" s="343">
        <v>82</v>
      </c>
      <c r="D143" s="343">
        <v>185</v>
      </c>
      <c r="E143" s="384">
        <v>46161</v>
      </c>
      <c r="F143" s="343" t="s">
        <v>233</v>
      </c>
      <c r="G143" s="343" t="s">
        <v>150</v>
      </c>
      <c r="Q143" s="343">
        <v>20260729</v>
      </c>
      <c r="R143" s="343">
        <v>2555</v>
      </c>
      <c r="S143" s="343">
        <v>27</v>
      </c>
      <c r="T143" s="343">
        <v>55</v>
      </c>
      <c r="U143" s="384">
        <v>46232</v>
      </c>
      <c r="V143" s="343" t="s">
        <v>234</v>
      </c>
      <c r="W143" s="343" t="s">
        <v>166</v>
      </c>
      <c r="Y143" s="343" t="s">
        <v>127</v>
      </c>
      <c r="Z143" s="343" t="s">
        <v>129</v>
      </c>
      <c r="AA143" s="384">
        <v>46055</v>
      </c>
      <c r="AB143" s="384">
        <v>46061</v>
      </c>
      <c r="AC143" s="343" t="s">
        <v>277</v>
      </c>
      <c r="AD143" s="343">
        <v>1039</v>
      </c>
      <c r="AE143" s="343">
        <v>32876.959999999999</v>
      </c>
      <c r="AF143" s="343">
        <v>1076.04</v>
      </c>
      <c r="AG143" s="343">
        <v>0</v>
      </c>
      <c r="AH143" s="343">
        <v>33953</v>
      </c>
      <c r="AI143" s="343">
        <v>2138.9499999999998</v>
      </c>
    </row>
    <row r="144" spans="1:35">
      <c r="A144" s="343">
        <v>20260520</v>
      </c>
      <c r="B144" s="343">
        <v>29781.599999999999</v>
      </c>
      <c r="C144" s="343">
        <v>111</v>
      </c>
      <c r="D144" s="343">
        <v>254</v>
      </c>
      <c r="E144" s="384">
        <v>46162</v>
      </c>
      <c r="F144" s="343" t="s">
        <v>234</v>
      </c>
      <c r="G144" s="343" t="s">
        <v>150</v>
      </c>
      <c r="Q144" s="343">
        <v>20260730</v>
      </c>
      <c r="R144" s="343">
        <v>8506</v>
      </c>
      <c r="S144" s="343">
        <v>52</v>
      </c>
      <c r="T144" s="343">
        <v>67</v>
      </c>
      <c r="U144" s="384">
        <v>46233</v>
      </c>
      <c r="V144" s="343" t="s">
        <v>235</v>
      </c>
      <c r="W144" s="343" t="s">
        <v>166</v>
      </c>
      <c r="Y144" s="343" t="s">
        <v>127</v>
      </c>
      <c r="Z144" s="343" t="s">
        <v>130</v>
      </c>
      <c r="AA144" s="384">
        <v>46062</v>
      </c>
      <c r="AB144" s="384">
        <v>46068</v>
      </c>
      <c r="AC144" s="343" t="s">
        <v>285</v>
      </c>
      <c r="AD144" s="343">
        <v>7361</v>
      </c>
      <c r="AE144" s="343">
        <v>207495.45</v>
      </c>
      <c r="AF144" s="343">
        <v>4661.9799999999996</v>
      </c>
      <c r="AG144" s="343">
        <v>0</v>
      </c>
      <c r="AH144" s="343">
        <v>212157.43</v>
      </c>
      <c r="AI144" s="343">
        <v>13174.83</v>
      </c>
    </row>
    <row r="145" spans="1:35">
      <c r="A145" s="343">
        <v>20260521</v>
      </c>
      <c r="B145" s="343">
        <v>24571.47</v>
      </c>
      <c r="C145" s="343">
        <v>109</v>
      </c>
      <c r="D145" s="343">
        <v>228</v>
      </c>
      <c r="E145" s="384">
        <v>46163</v>
      </c>
      <c r="F145" s="343" t="s">
        <v>235</v>
      </c>
      <c r="G145" s="343" t="s">
        <v>150</v>
      </c>
      <c r="Q145" s="343">
        <v>20260731</v>
      </c>
      <c r="R145" s="343">
        <v>9512.9</v>
      </c>
      <c r="S145" s="343">
        <v>79</v>
      </c>
      <c r="T145" s="343">
        <v>104</v>
      </c>
      <c r="U145" s="384">
        <v>46234</v>
      </c>
      <c r="V145" s="343" t="s">
        <v>236</v>
      </c>
      <c r="W145" s="343" t="s">
        <v>166</v>
      </c>
      <c r="Y145" s="343" t="s">
        <v>127</v>
      </c>
      <c r="Z145" s="343" t="s">
        <v>130</v>
      </c>
      <c r="AA145" s="384">
        <v>46062</v>
      </c>
      <c r="AB145" s="384">
        <v>46068</v>
      </c>
      <c r="AC145" s="343" t="s">
        <v>281</v>
      </c>
      <c r="AD145" s="343">
        <v>2959</v>
      </c>
      <c r="AE145" s="343">
        <v>56710.239999999998</v>
      </c>
      <c r="AF145" s="343">
        <v>1720.92</v>
      </c>
      <c r="AG145" s="343">
        <v>0</v>
      </c>
      <c r="AH145" s="343">
        <v>58431.16</v>
      </c>
      <c r="AI145" s="343">
        <v>3693.06</v>
      </c>
    </row>
    <row r="146" spans="1:35">
      <c r="A146" s="343">
        <v>20260522</v>
      </c>
      <c r="B146" s="343">
        <v>42910.51</v>
      </c>
      <c r="C146" s="343">
        <v>186</v>
      </c>
      <c r="D146" s="343">
        <v>411</v>
      </c>
      <c r="E146" s="384">
        <v>46164</v>
      </c>
      <c r="F146" s="343" t="s">
        <v>236</v>
      </c>
      <c r="G146" s="343" t="s">
        <v>150</v>
      </c>
      <c r="Q146" s="343">
        <v>20260801</v>
      </c>
      <c r="R146" s="343">
        <v>6334.6</v>
      </c>
      <c r="S146" s="343">
        <v>52</v>
      </c>
      <c r="T146" s="343">
        <v>75</v>
      </c>
      <c r="U146" s="384">
        <v>46235</v>
      </c>
      <c r="V146" s="343" t="s">
        <v>244</v>
      </c>
      <c r="W146" s="343" t="s">
        <v>166</v>
      </c>
      <c r="Y146" s="343" t="s">
        <v>127</v>
      </c>
      <c r="Z146" s="343" t="s">
        <v>130</v>
      </c>
      <c r="AA146" s="384">
        <v>46062</v>
      </c>
      <c r="AB146" s="384">
        <v>46068</v>
      </c>
      <c r="AC146" s="343" t="s">
        <v>342</v>
      </c>
      <c r="AD146" s="343">
        <v>1282</v>
      </c>
      <c r="AE146" s="343">
        <v>10055.1</v>
      </c>
      <c r="AF146" s="343">
        <v>378.9</v>
      </c>
      <c r="AG146" s="343">
        <v>0</v>
      </c>
      <c r="AH146" s="343">
        <v>10434</v>
      </c>
      <c r="AI146" s="343">
        <v>656.77</v>
      </c>
    </row>
    <row r="147" spans="1:35">
      <c r="A147" s="343">
        <v>20260523</v>
      </c>
      <c r="B147" s="343">
        <v>34229.550000000003</v>
      </c>
      <c r="C147" s="343">
        <v>166</v>
      </c>
      <c r="D147" s="343">
        <v>348</v>
      </c>
      <c r="E147" s="384">
        <v>46165</v>
      </c>
      <c r="F147" s="343" t="s">
        <v>244</v>
      </c>
      <c r="G147" s="343" t="s">
        <v>150</v>
      </c>
      <c r="Q147" s="343">
        <v>20260803</v>
      </c>
      <c r="R147" s="343">
        <v>-137.03</v>
      </c>
      <c r="U147" s="384">
        <v>46237</v>
      </c>
      <c r="V147" s="343" t="s">
        <v>232</v>
      </c>
      <c r="W147" s="343" t="s">
        <v>167</v>
      </c>
      <c r="Y147" s="343" t="s">
        <v>127</v>
      </c>
      <c r="Z147" s="343" t="s">
        <v>130</v>
      </c>
      <c r="AA147" s="384">
        <v>46062</v>
      </c>
      <c r="AB147" s="384">
        <v>46068</v>
      </c>
      <c r="AC147" s="343" t="s">
        <v>277</v>
      </c>
      <c r="AD147" s="343">
        <v>1048</v>
      </c>
      <c r="AE147" s="343">
        <v>26669</v>
      </c>
      <c r="AF147" s="343">
        <v>469</v>
      </c>
      <c r="AG147" s="343">
        <v>0</v>
      </c>
      <c r="AH147" s="343">
        <v>27138</v>
      </c>
      <c r="AI147" s="343">
        <v>1735.51</v>
      </c>
    </row>
    <row r="148" spans="1:35">
      <c r="A148" s="343">
        <v>20260524</v>
      </c>
      <c r="B148" s="343">
        <v>33893.5</v>
      </c>
      <c r="C148" s="343">
        <v>150</v>
      </c>
      <c r="D148" s="343">
        <v>300</v>
      </c>
      <c r="E148" s="384">
        <v>46166</v>
      </c>
      <c r="F148" s="343" t="s">
        <v>245</v>
      </c>
      <c r="G148" s="343" t="s">
        <v>150</v>
      </c>
      <c r="Q148" s="343">
        <v>20260805</v>
      </c>
      <c r="R148" s="343">
        <v>7794.02</v>
      </c>
      <c r="S148" s="343">
        <v>13</v>
      </c>
      <c r="T148" s="343">
        <v>66</v>
      </c>
      <c r="U148" s="384">
        <v>46239</v>
      </c>
      <c r="V148" s="343" t="s">
        <v>234</v>
      </c>
      <c r="W148" s="343" t="s">
        <v>167</v>
      </c>
      <c r="Y148" s="343" t="s">
        <v>127</v>
      </c>
      <c r="Z148" s="343" t="s">
        <v>131</v>
      </c>
      <c r="AA148" s="384">
        <v>46069</v>
      </c>
      <c r="AB148" s="384">
        <v>46075</v>
      </c>
      <c r="AC148" s="343" t="s">
        <v>285</v>
      </c>
      <c r="AD148" s="343">
        <v>6539.5</v>
      </c>
      <c r="AE148" s="343">
        <v>184615.9</v>
      </c>
      <c r="AF148" s="343">
        <v>4981.59</v>
      </c>
      <c r="AG148" s="343">
        <v>0</v>
      </c>
      <c r="AH148" s="343">
        <v>189597.49</v>
      </c>
      <c r="AI148" s="343">
        <v>12011.14</v>
      </c>
    </row>
    <row r="149" spans="1:35">
      <c r="A149" s="343">
        <v>20260525</v>
      </c>
      <c r="B149" s="343">
        <v>12807.5</v>
      </c>
      <c r="C149" s="343">
        <v>63</v>
      </c>
      <c r="D149" s="343">
        <v>133</v>
      </c>
      <c r="E149" s="384">
        <v>46167</v>
      </c>
      <c r="F149" s="343" t="s">
        <v>232</v>
      </c>
      <c r="G149" s="343" t="s">
        <v>153</v>
      </c>
      <c r="Q149" s="343">
        <v>20260806</v>
      </c>
      <c r="R149" s="343">
        <v>3547</v>
      </c>
      <c r="S149" s="343">
        <v>23</v>
      </c>
      <c r="T149" s="343">
        <v>33</v>
      </c>
      <c r="U149" s="384">
        <v>46240</v>
      </c>
      <c r="V149" s="343" t="s">
        <v>235</v>
      </c>
      <c r="W149" s="343" t="s">
        <v>167</v>
      </c>
      <c r="Y149" s="343" t="s">
        <v>127</v>
      </c>
      <c r="Z149" s="343" t="s">
        <v>131</v>
      </c>
      <c r="AA149" s="384">
        <v>46069</v>
      </c>
      <c r="AB149" s="384">
        <v>46075</v>
      </c>
      <c r="AC149" s="343" t="s">
        <v>281</v>
      </c>
      <c r="AD149" s="343">
        <v>3235</v>
      </c>
      <c r="AE149" s="343">
        <v>63865.09</v>
      </c>
      <c r="AF149" s="343">
        <v>1707.41</v>
      </c>
      <c r="AG149" s="343">
        <v>0</v>
      </c>
      <c r="AH149" s="343">
        <v>65572.5</v>
      </c>
      <c r="AI149" s="343">
        <v>4155.4799999999996</v>
      </c>
    </row>
    <row r="150" spans="1:35">
      <c r="A150" s="343">
        <v>20260526</v>
      </c>
      <c r="B150" s="343">
        <v>18503.73</v>
      </c>
      <c r="C150" s="343">
        <v>58</v>
      </c>
      <c r="D150" s="343">
        <v>152</v>
      </c>
      <c r="E150" s="384">
        <v>46168</v>
      </c>
      <c r="F150" s="343" t="s">
        <v>233</v>
      </c>
      <c r="G150" s="343" t="s">
        <v>153</v>
      </c>
      <c r="Q150" s="343">
        <v>20260807</v>
      </c>
      <c r="R150" s="343">
        <v>10853.99</v>
      </c>
      <c r="S150" s="343">
        <v>75</v>
      </c>
      <c r="T150" s="343">
        <v>101</v>
      </c>
      <c r="U150" s="384">
        <v>46241</v>
      </c>
      <c r="V150" s="343" t="s">
        <v>236</v>
      </c>
      <c r="W150" s="343" t="s">
        <v>167</v>
      </c>
      <c r="Y150" s="343" t="s">
        <v>127</v>
      </c>
      <c r="Z150" s="343" t="s">
        <v>131</v>
      </c>
      <c r="AA150" s="384">
        <v>46069</v>
      </c>
      <c r="AB150" s="384">
        <v>46075</v>
      </c>
      <c r="AC150" s="343" t="s">
        <v>342</v>
      </c>
      <c r="AD150" s="343">
        <v>1306</v>
      </c>
      <c r="AE150" s="343">
        <v>10781.9</v>
      </c>
      <c r="AF150" s="343">
        <v>330.16</v>
      </c>
      <c r="AG150" s="343">
        <v>0</v>
      </c>
      <c r="AH150" s="343">
        <v>11112.06</v>
      </c>
      <c r="AI150" s="343">
        <v>703.98</v>
      </c>
    </row>
    <row r="151" spans="1:35">
      <c r="A151" s="343">
        <v>20260527</v>
      </c>
      <c r="B151" s="343">
        <v>21312.799999999999</v>
      </c>
      <c r="C151" s="343">
        <v>91</v>
      </c>
      <c r="D151" s="343">
        <v>188</v>
      </c>
      <c r="E151" s="384">
        <v>46169</v>
      </c>
      <c r="F151" s="343" t="s">
        <v>234</v>
      </c>
      <c r="G151" s="343" t="s">
        <v>153</v>
      </c>
      <c r="Q151" s="343">
        <v>20260808</v>
      </c>
      <c r="R151" s="343">
        <v>8041</v>
      </c>
      <c r="S151" s="343">
        <v>84</v>
      </c>
      <c r="T151" s="343">
        <v>110</v>
      </c>
      <c r="U151" s="384">
        <v>46242</v>
      </c>
      <c r="V151" s="343" t="s">
        <v>244</v>
      </c>
      <c r="W151" s="343" t="s">
        <v>167</v>
      </c>
      <c r="Y151" s="343" t="s">
        <v>127</v>
      </c>
      <c r="Z151" s="343" t="s">
        <v>131</v>
      </c>
      <c r="AA151" s="384">
        <v>46069</v>
      </c>
      <c r="AB151" s="384">
        <v>46075</v>
      </c>
      <c r="AC151" s="343" t="s">
        <v>277</v>
      </c>
      <c r="AD151" s="343">
        <v>1083</v>
      </c>
      <c r="AE151" s="343">
        <v>35775.56</v>
      </c>
      <c r="AF151" s="343">
        <v>1211.44</v>
      </c>
      <c r="AG151" s="343">
        <v>0</v>
      </c>
      <c r="AH151" s="343">
        <v>36987</v>
      </c>
      <c r="AI151" s="343">
        <v>2327.42</v>
      </c>
    </row>
    <row r="152" spans="1:35">
      <c r="A152" s="343">
        <v>20260528</v>
      </c>
      <c r="B152" s="343">
        <v>21060.74</v>
      </c>
      <c r="C152" s="343">
        <v>117</v>
      </c>
      <c r="D152" s="343">
        <v>219</v>
      </c>
      <c r="E152" s="384">
        <v>46170</v>
      </c>
      <c r="F152" s="343" t="s">
        <v>235</v>
      </c>
      <c r="G152" s="343" t="s">
        <v>153</v>
      </c>
      <c r="Q152" s="343">
        <v>20260811</v>
      </c>
      <c r="R152" s="343">
        <v>0</v>
      </c>
      <c r="S152" s="343">
        <v>5</v>
      </c>
      <c r="T152" s="343">
        <v>5</v>
      </c>
      <c r="U152" s="384">
        <v>46245</v>
      </c>
      <c r="V152" s="343" t="s">
        <v>233</v>
      </c>
      <c r="W152" s="343" t="s">
        <v>168</v>
      </c>
      <c r="Y152" s="343" t="s">
        <v>133</v>
      </c>
      <c r="Z152" s="343" t="s">
        <v>134</v>
      </c>
      <c r="AA152" s="384">
        <v>46076</v>
      </c>
      <c r="AB152" s="384">
        <v>46082</v>
      </c>
      <c r="AC152" s="343" t="s">
        <v>279</v>
      </c>
      <c r="AD152" s="343">
        <v>138</v>
      </c>
      <c r="AE152" s="343">
        <v>1352.5</v>
      </c>
      <c r="AF152" s="343">
        <v>19</v>
      </c>
      <c r="AG152" s="343">
        <v>0</v>
      </c>
      <c r="AH152" s="343">
        <v>1371.5</v>
      </c>
      <c r="AI152" s="343">
        <v>88.26</v>
      </c>
    </row>
    <row r="153" spans="1:35">
      <c r="A153" s="343">
        <v>20260529</v>
      </c>
      <c r="B153" s="343">
        <v>30109.21</v>
      </c>
      <c r="C153" s="343">
        <v>159</v>
      </c>
      <c r="D153" s="343">
        <v>281</v>
      </c>
      <c r="E153" s="384">
        <v>46171</v>
      </c>
      <c r="F153" s="343" t="s">
        <v>236</v>
      </c>
      <c r="G153" s="343" t="s">
        <v>153</v>
      </c>
      <c r="Q153" s="343">
        <v>20260812</v>
      </c>
      <c r="R153" s="343">
        <v>3510.5</v>
      </c>
      <c r="S153" s="343">
        <v>25</v>
      </c>
      <c r="T153" s="343">
        <v>40</v>
      </c>
      <c r="U153" s="384">
        <v>46246</v>
      </c>
      <c r="V153" s="343" t="s">
        <v>234</v>
      </c>
      <c r="W153" s="343" t="s">
        <v>168</v>
      </c>
      <c r="Y153" s="343" t="s">
        <v>133</v>
      </c>
      <c r="Z153" s="343" t="s">
        <v>134</v>
      </c>
      <c r="AA153" s="384">
        <v>46076</v>
      </c>
      <c r="AB153" s="384">
        <v>46082</v>
      </c>
      <c r="AC153" s="343" t="s">
        <v>285</v>
      </c>
      <c r="AD153" s="343">
        <v>5514</v>
      </c>
      <c r="AE153" s="343">
        <v>149462.10999999999</v>
      </c>
      <c r="AF153" s="343">
        <v>3940.91</v>
      </c>
      <c r="AG153" s="343">
        <v>0</v>
      </c>
      <c r="AH153" s="343">
        <v>153403.01999999999</v>
      </c>
      <c r="AI153" s="343">
        <v>9715.15</v>
      </c>
    </row>
    <row r="154" spans="1:35">
      <c r="A154" s="343">
        <v>20260530</v>
      </c>
      <c r="B154" s="343">
        <v>37194.01</v>
      </c>
      <c r="C154" s="343">
        <v>182</v>
      </c>
      <c r="D154" s="343">
        <v>393</v>
      </c>
      <c r="E154" s="384">
        <v>46172</v>
      </c>
      <c r="F154" s="343" t="s">
        <v>244</v>
      </c>
      <c r="G154" s="343" t="s">
        <v>153</v>
      </c>
      <c r="Q154" s="343">
        <v>20260813</v>
      </c>
      <c r="R154" s="343">
        <v>5929</v>
      </c>
      <c r="S154" s="343">
        <v>16</v>
      </c>
      <c r="T154" s="343">
        <v>42</v>
      </c>
      <c r="U154" s="384">
        <v>46247</v>
      </c>
      <c r="V154" s="343" t="s">
        <v>235</v>
      </c>
      <c r="W154" s="343" t="s">
        <v>168</v>
      </c>
      <c r="Y154" s="343" t="s">
        <v>133</v>
      </c>
      <c r="Z154" s="343" t="s">
        <v>134</v>
      </c>
      <c r="AA154" s="384">
        <v>46076</v>
      </c>
      <c r="AB154" s="384">
        <v>46082</v>
      </c>
      <c r="AC154" s="343" t="s">
        <v>281</v>
      </c>
      <c r="AD154" s="343">
        <v>2962</v>
      </c>
      <c r="AE154" s="343">
        <v>55581.89</v>
      </c>
      <c r="AF154" s="343">
        <v>990.11</v>
      </c>
      <c r="AG154" s="343">
        <v>0</v>
      </c>
      <c r="AH154" s="343">
        <v>56572</v>
      </c>
      <c r="AI154" s="343">
        <v>3608.77</v>
      </c>
    </row>
    <row r="155" spans="1:35">
      <c r="A155" s="343">
        <v>20260531</v>
      </c>
      <c r="B155" s="343">
        <v>17851.509999999998</v>
      </c>
      <c r="C155" s="343">
        <v>87</v>
      </c>
      <c r="D155" s="343">
        <v>196</v>
      </c>
      <c r="E155" s="384">
        <v>46173</v>
      </c>
      <c r="F155" s="343" t="s">
        <v>245</v>
      </c>
      <c r="G155" s="343" t="s">
        <v>153</v>
      </c>
      <c r="Q155" s="343">
        <v>20260814</v>
      </c>
      <c r="R155" s="343">
        <v>11727.3</v>
      </c>
      <c r="S155" s="343">
        <v>50</v>
      </c>
      <c r="T155" s="343">
        <v>62</v>
      </c>
      <c r="U155" s="384">
        <v>46248</v>
      </c>
      <c r="V155" s="343" t="s">
        <v>236</v>
      </c>
      <c r="W155" s="343" t="s">
        <v>168</v>
      </c>
      <c r="Y155" s="343" t="s">
        <v>133</v>
      </c>
      <c r="Z155" s="343" t="s">
        <v>134</v>
      </c>
      <c r="AA155" s="384">
        <v>46076</v>
      </c>
      <c r="AB155" s="384">
        <v>46082</v>
      </c>
      <c r="AC155" s="343" t="s">
        <v>342</v>
      </c>
      <c r="AD155" s="343">
        <v>961</v>
      </c>
      <c r="AE155" s="343">
        <v>7766.88</v>
      </c>
      <c r="AF155" s="343">
        <v>194.12</v>
      </c>
      <c r="AG155" s="343">
        <v>0</v>
      </c>
      <c r="AH155" s="343">
        <v>7961</v>
      </c>
      <c r="AI155" s="343">
        <v>506.17</v>
      </c>
    </row>
    <row r="156" spans="1:35">
      <c r="A156" s="343">
        <v>20260601</v>
      </c>
      <c r="B156" s="343">
        <v>12845.5</v>
      </c>
      <c r="C156" s="343">
        <v>67</v>
      </c>
      <c r="D156" s="343">
        <v>128</v>
      </c>
      <c r="E156" s="384">
        <v>46174</v>
      </c>
      <c r="F156" s="343" t="s">
        <v>232</v>
      </c>
      <c r="G156" s="343" t="s">
        <v>154</v>
      </c>
      <c r="Q156" s="343">
        <v>20260815</v>
      </c>
      <c r="R156" s="343">
        <v>11335</v>
      </c>
      <c r="S156" s="343">
        <v>78</v>
      </c>
      <c r="T156" s="343">
        <v>115</v>
      </c>
      <c r="U156" s="384">
        <v>46249</v>
      </c>
      <c r="V156" s="343" t="s">
        <v>244</v>
      </c>
      <c r="W156" s="343" t="s">
        <v>168</v>
      </c>
      <c r="Y156" s="343" t="s">
        <v>133</v>
      </c>
      <c r="Z156" s="343" t="s">
        <v>134</v>
      </c>
      <c r="AA156" s="384">
        <v>46076</v>
      </c>
      <c r="AB156" s="384">
        <v>46082</v>
      </c>
      <c r="AC156" s="343" t="s">
        <v>277</v>
      </c>
      <c r="AD156" s="343">
        <v>944</v>
      </c>
      <c r="AE156" s="343">
        <v>29446.2</v>
      </c>
      <c r="AF156" s="343">
        <v>362.81</v>
      </c>
      <c r="AG156" s="343">
        <v>0</v>
      </c>
      <c r="AH156" s="343">
        <v>29809.01</v>
      </c>
      <c r="AI156" s="343">
        <v>1915.63</v>
      </c>
    </row>
    <row r="157" spans="1:35">
      <c r="A157" s="343">
        <v>20260602</v>
      </c>
      <c r="B157" s="343">
        <v>13073.99</v>
      </c>
      <c r="C157" s="343">
        <v>67</v>
      </c>
      <c r="D157" s="343">
        <v>137</v>
      </c>
      <c r="E157" s="384">
        <v>46175</v>
      </c>
      <c r="F157" s="343" t="s">
        <v>233</v>
      </c>
      <c r="G157" s="343" t="s">
        <v>154</v>
      </c>
      <c r="Q157" s="343">
        <v>20260819</v>
      </c>
      <c r="R157" s="343">
        <v>5545.3</v>
      </c>
      <c r="S157" s="343">
        <v>24</v>
      </c>
      <c r="T157" s="343">
        <v>40</v>
      </c>
      <c r="U157" s="384">
        <v>46253</v>
      </c>
      <c r="V157" s="343" t="s">
        <v>234</v>
      </c>
      <c r="W157" s="343" t="s">
        <v>101</v>
      </c>
      <c r="Y157" s="343" t="s">
        <v>133</v>
      </c>
      <c r="Z157" s="343" t="s">
        <v>135</v>
      </c>
      <c r="AA157" s="384">
        <v>46083</v>
      </c>
      <c r="AB157" s="384">
        <v>46089</v>
      </c>
      <c r="AC157" s="343" t="s">
        <v>279</v>
      </c>
      <c r="AD157" s="343">
        <v>178</v>
      </c>
      <c r="AE157" s="343">
        <v>1690.39</v>
      </c>
      <c r="AF157" s="343">
        <v>33.61</v>
      </c>
      <c r="AG157" s="343">
        <v>0</v>
      </c>
      <c r="AH157" s="343">
        <v>1724</v>
      </c>
      <c r="AI157" s="343">
        <v>110.28</v>
      </c>
    </row>
    <row r="158" spans="1:35">
      <c r="A158" s="343">
        <v>20260603</v>
      </c>
      <c r="B158" s="343">
        <v>18194.5</v>
      </c>
      <c r="C158" s="343">
        <v>100</v>
      </c>
      <c r="D158" s="343">
        <v>189</v>
      </c>
      <c r="E158" s="384">
        <v>46176</v>
      </c>
      <c r="F158" s="343" t="s">
        <v>234</v>
      </c>
      <c r="G158" s="343" t="s">
        <v>154</v>
      </c>
      <c r="Q158" s="343">
        <v>20260820</v>
      </c>
      <c r="R158" s="343">
        <v>6751.57</v>
      </c>
      <c r="S158" s="343">
        <v>39</v>
      </c>
      <c r="T158" s="343">
        <v>54</v>
      </c>
      <c r="U158" s="384">
        <v>46254</v>
      </c>
      <c r="V158" s="343" t="s">
        <v>235</v>
      </c>
      <c r="W158" s="343" t="s">
        <v>101</v>
      </c>
      <c r="Y158" s="343" t="s">
        <v>133</v>
      </c>
      <c r="Z158" s="343" t="s">
        <v>135</v>
      </c>
      <c r="AA158" s="384">
        <v>46083</v>
      </c>
      <c r="AB158" s="384">
        <v>46089</v>
      </c>
      <c r="AC158" s="343" t="s">
        <v>285</v>
      </c>
      <c r="AD158" s="343">
        <v>5361</v>
      </c>
      <c r="AE158" s="343">
        <v>148922.38</v>
      </c>
      <c r="AF158" s="343">
        <v>3113.6</v>
      </c>
      <c r="AG158" s="343">
        <v>0</v>
      </c>
      <c r="AH158" s="343">
        <v>152035.98000000001</v>
      </c>
      <c r="AI158" s="343">
        <v>9672.01</v>
      </c>
    </row>
    <row r="159" spans="1:35">
      <c r="A159" s="343">
        <v>20260604</v>
      </c>
      <c r="B159" s="343">
        <v>21851.61</v>
      </c>
      <c r="C159" s="343">
        <v>105</v>
      </c>
      <c r="D159" s="343">
        <v>212</v>
      </c>
      <c r="E159" s="384">
        <v>46177</v>
      </c>
      <c r="F159" s="343" t="s">
        <v>235</v>
      </c>
      <c r="G159" s="343" t="s">
        <v>154</v>
      </c>
      <c r="Q159" s="343">
        <v>20260821</v>
      </c>
      <c r="R159" s="343">
        <v>14923.72</v>
      </c>
      <c r="S159" s="343">
        <v>88</v>
      </c>
      <c r="T159" s="343">
        <v>141</v>
      </c>
      <c r="U159" s="384">
        <v>46255</v>
      </c>
      <c r="V159" s="343" t="s">
        <v>236</v>
      </c>
      <c r="W159" s="343" t="s">
        <v>101</v>
      </c>
      <c r="Y159" s="343" t="s">
        <v>133</v>
      </c>
      <c r="Z159" s="343" t="s">
        <v>135</v>
      </c>
      <c r="AA159" s="384">
        <v>46083</v>
      </c>
      <c r="AB159" s="384">
        <v>46089</v>
      </c>
      <c r="AC159" s="343" t="s">
        <v>281</v>
      </c>
      <c r="AD159" s="343">
        <v>2801</v>
      </c>
      <c r="AE159" s="343">
        <v>56504.78</v>
      </c>
      <c r="AF159" s="343">
        <v>612.72</v>
      </c>
      <c r="AG159" s="343">
        <v>0</v>
      </c>
      <c r="AH159" s="343">
        <v>57117.5</v>
      </c>
      <c r="AI159" s="343">
        <v>3678.72</v>
      </c>
    </row>
    <row r="160" spans="1:35">
      <c r="A160" s="343">
        <v>20260605</v>
      </c>
      <c r="B160" s="343">
        <v>34006.339999999997</v>
      </c>
      <c r="C160" s="343">
        <v>189</v>
      </c>
      <c r="D160" s="343">
        <v>351</v>
      </c>
      <c r="E160" s="384">
        <v>46178</v>
      </c>
      <c r="F160" s="343" t="s">
        <v>236</v>
      </c>
      <c r="G160" s="343" t="s">
        <v>154</v>
      </c>
      <c r="Q160" s="343">
        <v>20260822</v>
      </c>
      <c r="R160" s="343">
        <v>12040.45</v>
      </c>
      <c r="S160" s="343">
        <v>79</v>
      </c>
      <c r="T160" s="343">
        <v>109</v>
      </c>
      <c r="U160" s="384">
        <v>46256</v>
      </c>
      <c r="V160" s="343" t="s">
        <v>244</v>
      </c>
      <c r="W160" s="343" t="s">
        <v>101</v>
      </c>
      <c r="Y160" s="343" t="s">
        <v>133</v>
      </c>
      <c r="Z160" s="343" t="s">
        <v>135</v>
      </c>
      <c r="AA160" s="384">
        <v>46083</v>
      </c>
      <c r="AB160" s="384">
        <v>46089</v>
      </c>
      <c r="AC160" s="343" t="s">
        <v>342</v>
      </c>
      <c r="AD160" s="343">
        <v>1031</v>
      </c>
      <c r="AE160" s="343">
        <v>8391.7099999999991</v>
      </c>
      <c r="AF160" s="343">
        <v>69.290000000000006</v>
      </c>
      <c r="AG160" s="343">
        <v>0</v>
      </c>
      <c r="AH160" s="343">
        <v>8461</v>
      </c>
      <c r="AI160" s="343">
        <v>544.05999999999995</v>
      </c>
    </row>
    <row r="161" spans="1:35">
      <c r="A161" s="343">
        <v>20260606</v>
      </c>
      <c r="B161" s="343">
        <v>39508.25</v>
      </c>
      <c r="C161" s="343">
        <v>183</v>
      </c>
      <c r="D161" s="343">
        <v>372</v>
      </c>
      <c r="E161" s="384">
        <v>46179</v>
      </c>
      <c r="F161" s="343" t="s">
        <v>244</v>
      </c>
      <c r="G161" s="343" t="s">
        <v>154</v>
      </c>
      <c r="Y161" s="343" t="s">
        <v>133</v>
      </c>
      <c r="Z161" s="343" t="s">
        <v>135</v>
      </c>
      <c r="AA161" s="384">
        <v>46083</v>
      </c>
      <c r="AB161" s="384">
        <v>46089</v>
      </c>
      <c r="AC161" s="343" t="s">
        <v>277</v>
      </c>
      <c r="AD161" s="343">
        <v>828</v>
      </c>
      <c r="AE161" s="343">
        <v>28400.18</v>
      </c>
      <c r="AF161" s="343">
        <v>495.83</v>
      </c>
      <c r="AG161" s="343">
        <v>0</v>
      </c>
      <c r="AH161" s="343">
        <v>28896.01</v>
      </c>
      <c r="AI161" s="343">
        <v>1847.75</v>
      </c>
    </row>
    <row r="162" spans="1:35">
      <c r="A162" s="343">
        <v>20260607</v>
      </c>
      <c r="B162" s="343">
        <v>22798</v>
      </c>
      <c r="C162" s="343">
        <v>92</v>
      </c>
      <c r="D162" s="343">
        <v>215</v>
      </c>
      <c r="E162" s="384">
        <v>46180</v>
      </c>
      <c r="F162" s="343" t="s">
        <v>245</v>
      </c>
      <c r="G162" s="343" t="s">
        <v>154</v>
      </c>
      <c r="Y162" s="343" t="s">
        <v>133</v>
      </c>
      <c r="Z162" s="343" t="s">
        <v>136</v>
      </c>
      <c r="AA162" s="384">
        <v>46090</v>
      </c>
      <c r="AB162" s="384">
        <v>46096</v>
      </c>
      <c r="AC162" s="343" t="s">
        <v>279</v>
      </c>
      <c r="AD162" s="343">
        <v>155</v>
      </c>
      <c r="AE162" s="343">
        <v>1586</v>
      </c>
      <c r="AF162" s="343">
        <v>15</v>
      </c>
      <c r="AG162" s="343">
        <v>0</v>
      </c>
      <c r="AH162" s="343">
        <v>1601</v>
      </c>
      <c r="AI162" s="343">
        <v>103.5</v>
      </c>
    </row>
    <row r="163" spans="1:35">
      <c r="A163" s="343">
        <v>20260608</v>
      </c>
      <c r="B163" s="343">
        <v>19334.7</v>
      </c>
      <c r="C163" s="343">
        <v>81</v>
      </c>
      <c r="D163" s="343">
        <v>180</v>
      </c>
      <c r="E163" s="384">
        <v>46181</v>
      </c>
      <c r="F163" s="343" t="s">
        <v>232</v>
      </c>
      <c r="G163" s="343" t="s">
        <v>155</v>
      </c>
      <c r="Y163" s="343" t="s">
        <v>133</v>
      </c>
      <c r="Z163" s="343" t="s">
        <v>136</v>
      </c>
      <c r="AA163" s="384">
        <v>46090</v>
      </c>
      <c r="AB163" s="384">
        <v>46096</v>
      </c>
      <c r="AC163" s="343" t="s">
        <v>285</v>
      </c>
      <c r="AD163" s="343">
        <v>5116</v>
      </c>
      <c r="AE163" s="343">
        <v>147517.17000000001</v>
      </c>
      <c r="AF163" s="343">
        <v>4310.84</v>
      </c>
      <c r="AG163" s="343">
        <v>0</v>
      </c>
      <c r="AH163" s="343">
        <v>151828.01</v>
      </c>
      <c r="AI163" s="343">
        <v>9597.6</v>
      </c>
    </row>
    <row r="164" spans="1:35">
      <c r="A164" s="343">
        <v>20260609</v>
      </c>
      <c r="B164" s="343">
        <v>12312.01</v>
      </c>
      <c r="C164" s="343">
        <v>56</v>
      </c>
      <c r="D164" s="343">
        <v>131</v>
      </c>
      <c r="E164" s="384">
        <v>46182</v>
      </c>
      <c r="F164" s="343" t="s">
        <v>233</v>
      </c>
      <c r="G164" s="343" t="s">
        <v>155</v>
      </c>
      <c r="Y164" s="343" t="s">
        <v>133</v>
      </c>
      <c r="Z164" s="343" t="s">
        <v>136</v>
      </c>
      <c r="AA164" s="384">
        <v>46090</v>
      </c>
      <c r="AB164" s="384">
        <v>46096</v>
      </c>
      <c r="AC164" s="343" t="s">
        <v>281</v>
      </c>
      <c r="AD164" s="343">
        <v>2385</v>
      </c>
      <c r="AE164" s="343">
        <v>45949.38</v>
      </c>
      <c r="AF164" s="343">
        <v>827.12</v>
      </c>
      <c r="AG164" s="343">
        <v>0</v>
      </c>
      <c r="AH164" s="343">
        <v>46776.5</v>
      </c>
      <c r="AI164" s="343">
        <v>2992.07</v>
      </c>
    </row>
    <row r="165" spans="1:35">
      <c r="A165" s="343">
        <v>20260610</v>
      </c>
      <c r="B165" s="343">
        <v>22762.799999999999</v>
      </c>
      <c r="C165" s="343">
        <v>112</v>
      </c>
      <c r="D165" s="343">
        <v>207</v>
      </c>
      <c r="E165" s="384">
        <v>46183</v>
      </c>
      <c r="F165" s="343" t="s">
        <v>234</v>
      </c>
      <c r="G165" s="343" t="s">
        <v>155</v>
      </c>
      <c r="Y165" s="343" t="s">
        <v>133</v>
      </c>
      <c r="Z165" s="343" t="s">
        <v>136</v>
      </c>
      <c r="AA165" s="384">
        <v>46090</v>
      </c>
      <c r="AB165" s="384">
        <v>46096</v>
      </c>
      <c r="AC165" s="343" t="s">
        <v>342</v>
      </c>
      <c r="AD165" s="343">
        <v>958</v>
      </c>
      <c r="AE165" s="343">
        <v>7702.02</v>
      </c>
      <c r="AF165" s="343">
        <v>85.98</v>
      </c>
      <c r="AG165" s="343">
        <v>0</v>
      </c>
      <c r="AH165" s="343">
        <v>7788</v>
      </c>
      <c r="AI165" s="343">
        <v>502.89</v>
      </c>
    </row>
    <row r="166" spans="1:35">
      <c r="A166" s="343">
        <v>20260611</v>
      </c>
      <c r="B166" s="343">
        <v>20243.25</v>
      </c>
      <c r="C166" s="343">
        <v>92</v>
      </c>
      <c r="D166" s="343">
        <v>179</v>
      </c>
      <c r="E166" s="384">
        <v>46184</v>
      </c>
      <c r="F166" s="343" t="s">
        <v>235</v>
      </c>
      <c r="G166" s="343" t="s">
        <v>155</v>
      </c>
      <c r="Y166" s="343" t="s">
        <v>133</v>
      </c>
      <c r="Z166" s="343" t="s">
        <v>136</v>
      </c>
      <c r="AA166" s="384">
        <v>46090</v>
      </c>
      <c r="AB166" s="384">
        <v>46096</v>
      </c>
      <c r="AC166" s="343" t="s">
        <v>277</v>
      </c>
      <c r="AD166" s="343">
        <v>854</v>
      </c>
      <c r="AE166" s="343">
        <v>24066.240000000002</v>
      </c>
      <c r="AF166" s="343">
        <v>1117.76</v>
      </c>
      <c r="AG166" s="343">
        <v>0</v>
      </c>
      <c r="AH166" s="343">
        <v>25184</v>
      </c>
      <c r="AI166" s="343">
        <v>1565.95</v>
      </c>
    </row>
    <row r="167" spans="1:35">
      <c r="A167" s="343">
        <v>20260612</v>
      </c>
      <c r="B167" s="343">
        <v>29291.5</v>
      </c>
      <c r="C167" s="343">
        <v>168</v>
      </c>
      <c r="D167" s="343">
        <v>306</v>
      </c>
      <c r="E167" s="384">
        <v>46185</v>
      </c>
      <c r="F167" s="343" t="s">
        <v>236</v>
      </c>
      <c r="G167" s="343" t="s">
        <v>155</v>
      </c>
      <c r="Y167" s="343" t="s">
        <v>133</v>
      </c>
      <c r="Z167" s="343" t="s">
        <v>137</v>
      </c>
      <c r="AA167" s="384">
        <v>46097</v>
      </c>
      <c r="AB167" s="384">
        <v>46103</v>
      </c>
      <c r="AC167" s="343" t="s">
        <v>279</v>
      </c>
      <c r="AD167" s="343">
        <v>219</v>
      </c>
      <c r="AE167" s="343">
        <v>2181.3200000000002</v>
      </c>
      <c r="AF167" s="343">
        <v>14.68</v>
      </c>
      <c r="AG167" s="343">
        <v>0</v>
      </c>
      <c r="AH167" s="343">
        <v>2196</v>
      </c>
      <c r="AI167" s="343">
        <v>142.35</v>
      </c>
    </row>
    <row r="168" spans="1:35">
      <c r="A168" s="343">
        <v>20260613</v>
      </c>
      <c r="B168" s="343">
        <v>33911.71</v>
      </c>
      <c r="C168" s="343">
        <v>166</v>
      </c>
      <c r="D168" s="343">
        <v>323</v>
      </c>
      <c r="E168" s="384">
        <v>46186</v>
      </c>
      <c r="F168" s="343" t="s">
        <v>244</v>
      </c>
      <c r="G168" s="343" t="s">
        <v>155</v>
      </c>
      <c r="Y168" s="343" t="s">
        <v>133</v>
      </c>
      <c r="Z168" s="343" t="s">
        <v>137</v>
      </c>
      <c r="AA168" s="384">
        <v>46097</v>
      </c>
      <c r="AB168" s="384">
        <v>46103</v>
      </c>
      <c r="AC168" s="343" t="s">
        <v>285</v>
      </c>
      <c r="AD168" s="343">
        <v>5992</v>
      </c>
      <c r="AE168" s="343">
        <v>151524.37</v>
      </c>
      <c r="AF168" s="343">
        <v>5231.63</v>
      </c>
      <c r="AG168" s="343">
        <v>0</v>
      </c>
      <c r="AH168" s="343">
        <v>156756</v>
      </c>
      <c r="AI168" s="343">
        <v>9859.4500000000007</v>
      </c>
    </row>
    <row r="169" spans="1:35">
      <c r="A169" s="343">
        <v>20260614</v>
      </c>
      <c r="B169" s="343">
        <v>14300.5</v>
      </c>
      <c r="C169" s="343">
        <v>89</v>
      </c>
      <c r="D169" s="343">
        <v>163</v>
      </c>
      <c r="E169" s="384">
        <v>46187</v>
      </c>
      <c r="F169" s="343" t="s">
        <v>245</v>
      </c>
      <c r="G169" s="343" t="s">
        <v>155</v>
      </c>
      <c r="Y169" s="343" t="s">
        <v>133</v>
      </c>
      <c r="Z169" s="343" t="s">
        <v>137</v>
      </c>
      <c r="AA169" s="384">
        <v>46097</v>
      </c>
      <c r="AB169" s="384">
        <v>46103</v>
      </c>
      <c r="AC169" s="343" t="s">
        <v>281</v>
      </c>
      <c r="AD169" s="343">
        <v>2816</v>
      </c>
      <c r="AE169" s="343">
        <v>51614.34</v>
      </c>
      <c r="AF169" s="343">
        <v>773.2</v>
      </c>
      <c r="AG169" s="343">
        <v>0</v>
      </c>
      <c r="AH169" s="343">
        <v>52387.54</v>
      </c>
      <c r="AI169" s="343">
        <v>3360.99</v>
      </c>
    </row>
    <row r="170" spans="1:35">
      <c r="A170" s="343">
        <v>20260615</v>
      </c>
      <c r="B170" s="343">
        <v>14596.5</v>
      </c>
      <c r="C170" s="343">
        <v>69</v>
      </c>
      <c r="D170" s="343">
        <v>143</v>
      </c>
      <c r="E170" s="384">
        <v>46188</v>
      </c>
      <c r="F170" s="343" t="s">
        <v>232</v>
      </c>
      <c r="G170" s="343" t="s">
        <v>156</v>
      </c>
      <c r="Y170" s="343" t="s">
        <v>133</v>
      </c>
      <c r="Z170" s="343" t="s">
        <v>137</v>
      </c>
      <c r="AA170" s="384">
        <v>46097</v>
      </c>
      <c r="AB170" s="384">
        <v>46103</v>
      </c>
      <c r="AC170" s="343" t="s">
        <v>342</v>
      </c>
      <c r="AD170" s="343">
        <v>1058</v>
      </c>
      <c r="AE170" s="343">
        <v>8465.32</v>
      </c>
      <c r="AF170" s="343">
        <v>138.69</v>
      </c>
      <c r="AG170" s="343">
        <v>0</v>
      </c>
      <c r="AH170" s="343">
        <v>8604.01</v>
      </c>
      <c r="AI170" s="343">
        <v>552.70000000000005</v>
      </c>
    </row>
    <row r="171" spans="1:35">
      <c r="A171" s="343">
        <v>20260616</v>
      </c>
      <c r="B171" s="343">
        <v>15174.76</v>
      </c>
      <c r="C171" s="343">
        <v>50</v>
      </c>
      <c r="D171" s="343">
        <v>103</v>
      </c>
      <c r="E171" s="384">
        <v>46189</v>
      </c>
      <c r="F171" s="343" t="s">
        <v>233</v>
      </c>
      <c r="G171" s="343" t="s">
        <v>156</v>
      </c>
      <c r="Y171" s="343" t="s">
        <v>133</v>
      </c>
      <c r="Z171" s="343" t="s">
        <v>137</v>
      </c>
      <c r="AA171" s="384">
        <v>46097</v>
      </c>
      <c r="AB171" s="384">
        <v>46103</v>
      </c>
      <c r="AC171" s="343" t="s">
        <v>277</v>
      </c>
      <c r="AD171" s="343">
        <v>1040</v>
      </c>
      <c r="AE171" s="343">
        <v>27415.599999999999</v>
      </c>
      <c r="AF171" s="343">
        <v>1188.4000000000001</v>
      </c>
      <c r="AG171" s="343">
        <v>0</v>
      </c>
      <c r="AH171" s="343">
        <v>28604</v>
      </c>
      <c r="AI171" s="343">
        <v>1783.7</v>
      </c>
    </row>
    <row r="172" spans="1:35">
      <c r="A172" s="343">
        <v>20260617</v>
      </c>
      <c r="B172" s="343">
        <v>21913.5</v>
      </c>
      <c r="C172" s="343">
        <v>96</v>
      </c>
      <c r="D172" s="343">
        <v>227</v>
      </c>
      <c r="E172" s="384">
        <v>46190</v>
      </c>
      <c r="F172" s="343" t="s">
        <v>234</v>
      </c>
      <c r="G172" s="343" t="s">
        <v>156</v>
      </c>
      <c r="Y172" s="343" t="s">
        <v>133</v>
      </c>
      <c r="Z172" s="343" t="s">
        <v>138</v>
      </c>
      <c r="AA172" s="384">
        <v>46104</v>
      </c>
      <c r="AB172" s="384">
        <v>46110</v>
      </c>
      <c r="AC172" s="343" t="s">
        <v>285</v>
      </c>
      <c r="AD172" s="343">
        <v>5902</v>
      </c>
      <c r="AE172" s="343">
        <v>160797.53</v>
      </c>
      <c r="AF172" s="343">
        <v>3888.97</v>
      </c>
      <c r="AG172" s="343">
        <v>0</v>
      </c>
      <c r="AH172" s="343">
        <v>164686.5</v>
      </c>
      <c r="AI172" s="343">
        <v>10460.9</v>
      </c>
    </row>
    <row r="173" spans="1:35">
      <c r="A173" s="343">
        <v>20260618</v>
      </c>
      <c r="B173" s="343">
        <v>20973</v>
      </c>
      <c r="C173" s="343">
        <v>118</v>
      </c>
      <c r="D173" s="343">
        <v>223</v>
      </c>
      <c r="E173" s="384">
        <v>46191</v>
      </c>
      <c r="F173" s="343" t="s">
        <v>235</v>
      </c>
      <c r="G173" s="343" t="s">
        <v>156</v>
      </c>
      <c r="Y173" s="343" t="s">
        <v>133</v>
      </c>
      <c r="Z173" s="343" t="s">
        <v>138</v>
      </c>
      <c r="AA173" s="384">
        <v>46104</v>
      </c>
      <c r="AB173" s="384">
        <v>46110</v>
      </c>
      <c r="AC173" s="343" t="s">
        <v>281</v>
      </c>
      <c r="AD173" s="343">
        <v>2796</v>
      </c>
      <c r="AE173" s="343">
        <v>53379.63</v>
      </c>
      <c r="AF173" s="343">
        <v>995.37</v>
      </c>
      <c r="AG173" s="343">
        <v>0</v>
      </c>
      <c r="AH173" s="343">
        <v>54375</v>
      </c>
      <c r="AI173" s="343">
        <v>3475.24</v>
      </c>
    </row>
    <row r="174" spans="1:35">
      <c r="A174" s="343">
        <v>20260619</v>
      </c>
      <c r="B174" s="343">
        <v>30238.5</v>
      </c>
      <c r="C174" s="343">
        <v>163</v>
      </c>
      <c r="D174" s="343">
        <v>302</v>
      </c>
      <c r="E174" s="384">
        <v>46192</v>
      </c>
      <c r="F174" s="343" t="s">
        <v>236</v>
      </c>
      <c r="G174" s="343" t="s">
        <v>156</v>
      </c>
      <c r="Y174" s="343" t="s">
        <v>133</v>
      </c>
      <c r="Z174" s="343" t="s">
        <v>138</v>
      </c>
      <c r="AA174" s="384">
        <v>46104</v>
      </c>
      <c r="AB174" s="384">
        <v>46110</v>
      </c>
      <c r="AC174" s="343" t="s">
        <v>342</v>
      </c>
      <c r="AD174" s="343">
        <v>960</v>
      </c>
      <c r="AE174" s="343">
        <v>7728.29</v>
      </c>
      <c r="AF174" s="343">
        <v>92.71</v>
      </c>
      <c r="AG174" s="343">
        <v>0</v>
      </c>
      <c r="AH174" s="343">
        <v>7821</v>
      </c>
      <c r="AI174" s="343">
        <v>504.49</v>
      </c>
    </row>
    <row r="175" spans="1:35">
      <c r="A175" s="343">
        <v>20260620</v>
      </c>
      <c r="B175" s="343">
        <v>39981.99</v>
      </c>
      <c r="C175" s="343">
        <v>209</v>
      </c>
      <c r="D175" s="343">
        <v>414</v>
      </c>
      <c r="E175" s="384">
        <v>46193</v>
      </c>
      <c r="F175" s="343" t="s">
        <v>244</v>
      </c>
      <c r="G175" s="343" t="s">
        <v>156</v>
      </c>
      <c r="Y175" s="343" t="s">
        <v>133</v>
      </c>
      <c r="Z175" s="343" t="s">
        <v>138</v>
      </c>
      <c r="AA175" s="384">
        <v>46104</v>
      </c>
      <c r="AB175" s="384">
        <v>46110</v>
      </c>
      <c r="AC175" s="343" t="s">
        <v>277</v>
      </c>
      <c r="AD175" s="343">
        <v>902</v>
      </c>
      <c r="AE175" s="343">
        <v>28505.1</v>
      </c>
      <c r="AF175" s="343">
        <v>572.9</v>
      </c>
      <c r="AG175" s="343">
        <v>0</v>
      </c>
      <c r="AH175" s="343">
        <v>29078</v>
      </c>
      <c r="AI175" s="343">
        <v>1854.4</v>
      </c>
    </row>
    <row r="176" spans="1:35">
      <c r="A176" s="343">
        <v>20260621</v>
      </c>
      <c r="B176" s="343">
        <v>29589.35</v>
      </c>
      <c r="C176" s="343">
        <v>130</v>
      </c>
      <c r="D176" s="343">
        <v>311</v>
      </c>
      <c r="E176" s="384">
        <v>46194</v>
      </c>
      <c r="F176" s="343" t="s">
        <v>245</v>
      </c>
      <c r="G176" s="343" t="s">
        <v>156</v>
      </c>
      <c r="Y176" s="343" t="s">
        <v>140</v>
      </c>
      <c r="Z176" s="343" t="s">
        <v>141</v>
      </c>
      <c r="AA176" s="384">
        <v>46111</v>
      </c>
      <c r="AB176" s="384">
        <v>46117</v>
      </c>
      <c r="AC176" s="343" t="s">
        <v>279</v>
      </c>
      <c r="AD176" s="343">
        <v>198</v>
      </c>
      <c r="AE176" s="343">
        <v>1975.74</v>
      </c>
      <c r="AF176" s="343">
        <v>9.76</v>
      </c>
      <c r="AG176" s="343">
        <v>0</v>
      </c>
      <c r="AH176" s="343">
        <v>1985.5</v>
      </c>
      <c r="AI176" s="343">
        <v>128.94999999999999</v>
      </c>
    </row>
    <row r="177" spans="1:35">
      <c r="A177" s="343">
        <v>20260622</v>
      </c>
      <c r="B177" s="343">
        <v>17581.52</v>
      </c>
      <c r="C177" s="343">
        <v>74</v>
      </c>
      <c r="D177" s="343">
        <v>613</v>
      </c>
      <c r="E177" s="384">
        <v>46195</v>
      </c>
      <c r="F177" s="343" t="s">
        <v>232</v>
      </c>
      <c r="G177" s="343" t="s">
        <v>157</v>
      </c>
      <c r="Y177" s="343" t="s">
        <v>140</v>
      </c>
      <c r="Z177" s="343" t="s">
        <v>141</v>
      </c>
      <c r="AA177" s="384">
        <v>46111</v>
      </c>
      <c r="AB177" s="384">
        <v>46117</v>
      </c>
      <c r="AC177" s="343" t="s">
        <v>285</v>
      </c>
      <c r="AD177" s="343">
        <v>5766</v>
      </c>
      <c r="AE177" s="343">
        <v>154807.94</v>
      </c>
      <c r="AF177" s="343">
        <v>4872.7</v>
      </c>
      <c r="AG177" s="343">
        <v>0</v>
      </c>
      <c r="AH177" s="343">
        <v>159680.64000000001</v>
      </c>
      <c r="AI177" s="343">
        <v>10072.629999999999</v>
      </c>
    </row>
    <row r="178" spans="1:35">
      <c r="A178" s="343">
        <v>20260623</v>
      </c>
      <c r="B178" s="343">
        <v>24182.25</v>
      </c>
      <c r="C178" s="343">
        <v>87</v>
      </c>
      <c r="D178" s="343">
        <v>185</v>
      </c>
      <c r="E178" s="384">
        <v>46196</v>
      </c>
      <c r="F178" s="343" t="s">
        <v>233</v>
      </c>
      <c r="G178" s="343" t="s">
        <v>157</v>
      </c>
      <c r="Y178" s="343" t="s">
        <v>140</v>
      </c>
      <c r="Z178" s="343" t="s">
        <v>141</v>
      </c>
      <c r="AA178" s="384">
        <v>46111</v>
      </c>
      <c r="AB178" s="384">
        <v>46117</v>
      </c>
      <c r="AC178" s="343" t="s">
        <v>281</v>
      </c>
      <c r="AD178" s="343">
        <v>2484</v>
      </c>
      <c r="AE178" s="343">
        <v>46004.9</v>
      </c>
      <c r="AF178" s="343">
        <v>703.18</v>
      </c>
      <c r="AG178" s="343">
        <v>0</v>
      </c>
      <c r="AH178" s="343">
        <v>46708.08</v>
      </c>
      <c r="AI178" s="343">
        <v>2995.93</v>
      </c>
    </row>
    <row r="179" spans="1:35">
      <c r="A179" s="343">
        <v>20260624</v>
      </c>
      <c r="B179" s="343">
        <v>18320.5</v>
      </c>
      <c r="C179" s="343">
        <v>101</v>
      </c>
      <c r="D179" s="343">
        <v>185</v>
      </c>
      <c r="E179" s="384">
        <v>46197</v>
      </c>
      <c r="F179" s="343" t="s">
        <v>234</v>
      </c>
      <c r="G179" s="343" t="s">
        <v>157</v>
      </c>
      <c r="Y179" s="343" t="s">
        <v>140</v>
      </c>
      <c r="Z179" s="343" t="s">
        <v>141</v>
      </c>
      <c r="AA179" s="384">
        <v>46111</v>
      </c>
      <c r="AB179" s="384">
        <v>46117</v>
      </c>
      <c r="AC179" s="343" t="s">
        <v>342</v>
      </c>
      <c r="AD179" s="343">
        <v>1125</v>
      </c>
      <c r="AE179" s="343">
        <v>8617.2800000000007</v>
      </c>
      <c r="AF179" s="343">
        <v>116.74</v>
      </c>
      <c r="AG179" s="343">
        <v>0</v>
      </c>
      <c r="AH179" s="343">
        <v>8734.02</v>
      </c>
      <c r="AI179" s="343">
        <v>562.48</v>
      </c>
    </row>
    <row r="180" spans="1:35">
      <c r="A180" s="343">
        <v>20260625</v>
      </c>
      <c r="B180" s="343">
        <v>29987.32</v>
      </c>
      <c r="C180" s="343">
        <v>123</v>
      </c>
      <c r="D180" s="343">
        <v>288</v>
      </c>
      <c r="E180" s="384">
        <v>46198</v>
      </c>
      <c r="F180" s="343" t="s">
        <v>235</v>
      </c>
      <c r="G180" s="343" t="s">
        <v>157</v>
      </c>
      <c r="Y180" s="343" t="s">
        <v>140</v>
      </c>
      <c r="Z180" s="343" t="s">
        <v>141</v>
      </c>
      <c r="AA180" s="384">
        <v>46111</v>
      </c>
      <c r="AB180" s="384">
        <v>46117</v>
      </c>
      <c r="AC180" s="343" t="s">
        <v>293</v>
      </c>
      <c r="AD180" s="343">
        <v>113</v>
      </c>
      <c r="AE180" s="343">
        <v>2410.0500000000002</v>
      </c>
      <c r="AF180" s="343">
        <v>29.95</v>
      </c>
      <c r="AG180" s="343">
        <v>0</v>
      </c>
      <c r="AH180" s="343">
        <v>2440</v>
      </c>
      <c r="AI180" s="343">
        <v>156.9</v>
      </c>
    </row>
    <row r="181" spans="1:35">
      <c r="A181" s="343">
        <v>20260626</v>
      </c>
      <c r="B181" s="343">
        <v>30895.9</v>
      </c>
      <c r="C181" s="343">
        <v>165</v>
      </c>
      <c r="D181" s="343">
        <v>315</v>
      </c>
      <c r="E181" s="384">
        <v>46199</v>
      </c>
      <c r="F181" s="343" t="s">
        <v>236</v>
      </c>
      <c r="G181" s="343" t="s">
        <v>157</v>
      </c>
      <c r="Y181" s="343" t="s">
        <v>140</v>
      </c>
      <c r="Z181" s="343" t="s">
        <v>141</v>
      </c>
      <c r="AA181" s="384">
        <v>46111</v>
      </c>
      <c r="AB181" s="384">
        <v>46117</v>
      </c>
      <c r="AC181" s="343" t="s">
        <v>277</v>
      </c>
      <c r="AD181" s="343">
        <v>907</v>
      </c>
      <c r="AE181" s="343">
        <v>22327.08</v>
      </c>
      <c r="AF181" s="343">
        <v>1150.92</v>
      </c>
      <c r="AG181" s="343">
        <v>0</v>
      </c>
      <c r="AH181" s="343">
        <v>23478</v>
      </c>
      <c r="AI181" s="343">
        <v>1452.88</v>
      </c>
    </row>
    <row r="182" spans="1:35">
      <c r="A182" s="343">
        <v>20260627</v>
      </c>
      <c r="B182" s="343">
        <v>33521.82</v>
      </c>
      <c r="C182" s="343">
        <v>177</v>
      </c>
      <c r="D182" s="343">
        <v>342</v>
      </c>
      <c r="E182" s="384">
        <v>46200</v>
      </c>
      <c r="F182" s="343" t="s">
        <v>244</v>
      </c>
      <c r="G182" s="343" t="s">
        <v>157</v>
      </c>
      <c r="Y182" s="343" t="s">
        <v>140</v>
      </c>
      <c r="Z182" s="343" t="s">
        <v>142</v>
      </c>
      <c r="AA182" s="384">
        <v>46118</v>
      </c>
      <c r="AB182" s="384">
        <v>46124</v>
      </c>
      <c r="AC182" s="343" t="s">
        <v>285</v>
      </c>
      <c r="AD182" s="343">
        <v>6471</v>
      </c>
      <c r="AE182" s="343">
        <v>158798.96</v>
      </c>
      <c r="AF182" s="343">
        <v>4073.53</v>
      </c>
      <c r="AG182" s="343">
        <v>0</v>
      </c>
      <c r="AH182" s="343">
        <v>162872.49</v>
      </c>
      <c r="AI182" s="343">
        <v>10331.39</v>
      </c>
    </row>
    <row r="183" spans="1:35">
      <c r="A183" s="343">
        <v>20260628</v>
      </c>
      <c r="B183" s="343">
        <v>16552.5</v>
      </c>
      <c r="C183" s="343">
        <v>93</v>
      </c>
      <c r="D183" s="343">
        <v>184</v>
      </c>
      <c r="E183" s="384">
        <v>46201</v>
      </c>
      <c r="F183" s="343" t="s">
        <v>245</v>
      </c>
      <c r="G183" s="343" t="s">
        <v>157</v>
      </c>
      <c r="Y183" s="343" t="s">
        <v>140</v>
      </c>
      <c r="Z183" s="343" t="s">
        <v>142</v>
      </c>
      <c r="AA183" s="384">
        <v>46118</v>
      </c>
      <c r="AB183" s="384">
        <v>46124</v>
      </c>
      <c r="AC183" s="343" t="s">
        <v>281</v>
      </c>
      <c r="AD183" s="343">
        <v>2709</v>
      </c>
      <c r="AE183" s="343">
        <v>51686.58</v>
      </c>
      <c r="AF183" s="343">
        <v>1319</v>
      </c>
      <c r="AG183" s="343">
        <v>0</v>
      </c>
      <c r="AH183" s="343">
        <v>53005.58</v>
      </c>
      <c r="AI183" s="343">
        <v>3365.76</v>
      </c>
    </row>
    <row r="184" spans="1:35">
      <c r="A184" s="343">
        <v>20260629</v>
      </c>
      <c r="B184" s="343">
        <v>16335.13</v>
      </c>
      <c r="C184" s="343">
        <v>59</v>
      </c>
      <c r="D184" s="343">
        <v>143</v>
      </c>
      <c r="E184" s="384">
        <v>46202</v>
      </c>
      <c r="F184" s="343" t="s">
        <v>232</v>
      </c>
      <c r="G184" s="343" t="s">
        <v>160</v>
      </c>
      <c r="Y184" s="343" t="s">
        <v>140</v>
      </c>
      <c r="Z184" s="343" t="s">
        <v>142</v>
      </c>
      <c r="AA184" s="384">
        <v>46118</v>
      </c>
      <c r="AB184" s="384">
        <v>46124</v>
      </c>
      <c r="AC184" s="343" t="s">
        <v>342</v>
      </c>
      <c r="AD184" s="343">
        <v>1031</v>
      </c>
      <c r="AE184" s="343">
        <v>8199.19</v>
      </c>
      <c r="AF184" s="343">
        <v>181.81</v>
      </c>
      <c r="AG184" s="343">
        <v>0</v>
      </c>
      <c r="AH184" s="343">
        <v>8381</v>
      </c>
      <c r="AI184" s="343">
        <v>535.15</v>
      </c>
    </row>
    <row r="185" spans="1:35">
      <c r="A185" s="343">
        <v>20260630</v>
      </c>
      <c r="B185" s="343">
        <v>13225</v>
      </c>
      <c r="C185" s="343">
        <v>86</v>
      </c>
      <c r="D185" s="343">
        <v>144</v>
      </c>
      <c r="E185" s="384">
        <v>46203</v>
      </c>
      <c r="F185" s="343" t="s">
        <v>233</v>
      </c>
      <c r="G185" s="343" t="s">
        <v>160</v>
      </c>
      <c r="Y185" s="343" t="s">
        <v>140</v>
      </c>
      <c r="Z185" s="343" t="s">
        <v>142</v>
      </c>
      <c r="AA185" s="384">
        <v>46118</v>
      </c>
      <c r="AB185" s="384">
        <v>46124</v>
      </c>
      <c r="AC185" s="343" t="s">
        <v>277</v>
      </c>
      <c r="AD185" s="343">
        <v>926</v>
      </c>
      <c r="AE185" s="343">
        <v>25091.54</v>
      </c>
      <c r="AF185" s="343">
        <v>851.46</v>
      </c>
      <c r="AG185" s="343">
        <v>0</v>
      </c>
      <c r="AH185" s="343">
        <v>25943</v>
      </c>
      <c r="AI185" s="343">
        <v>1632.53</v>
      </c>
    </row>
    <row r="186" spans="1:35">
      <c r="A186" s="343">
        <v>20260701</v>
      </c>
      <c r="B186" s="343">
        <v>18392</v>
      </c>
      <c r="C186" s="343">
        <v>98</v>
      </c>
      <c r="D186" s="343">
        <v>191</v>
      </c>
      <c r="E186" s="384">
        <v>46204</v>
      </c>
      <c r="F186" s="343" t="s">
        <v>234</v>
      </c>
      <c r="G186" s="343" t="s">
        <v>160</v>
      </c>
      <c r="Y186" s="343" t="s">
        <v>140</v>
      </c>
      <c r="Z186" s="343" t="s">
        <v>143</v>
      </c>
      <c r="AA186" s="384">
        <v>46125</v>
      </c>
      <c r="AB186" s="384">
        <v>46131</v>
      </c>
      <c r="AC186" s="343" t="s">
        <v>279</v>
      </c>
      <c r="AD186" s="343">
        <v>176</v>
      </c>
      <c r="AE186" s="343">
        <v>1721.44</v>
      </c>
      <c r="AF186" s="343">
        <v>5.56</v>
      </c>
      <c r="AG186" s="343">
        <v>0</v>
      </c>
      <c r="AH186" s="343">
        <v>1727</v>
      </c>
      <c r="AI186" s="343">
        <v>112.35</v>
      </c>
    </row>
    <row r="187" spans="1:35">
      <c r="A187" s="343">
        <v>20260702</v>
      </c>
      <c r="B187" s="343">
        <v>25236</v>
      </c>
      <c r="C187" s="343">
        <v>125</v>
      </c>
      <c r="D187" s="343">
        <v>243</v>
      </c>
      <c r="E187" s="384">
        <v>46205</v>
      </c>
      <c r="F187" s="343" t="s">
        <v>235</v>
      </c>
      <c r="G187" s="343" t="s">
        <v>160</v>
      </c>
      <c r="Y187" s="343" t="s">
        <v>140</v>
      </c>
      <c r="Z187" s="343" t="s">
        <v>143</v>
      </c>
      <c r="AA187" s="384">
        <v>46125</v>
      </c>
      <c r="AB187" s="384">
        <v>46131</v>
      </c>
      <c r="AC187" s="343" t="s">
        <v>285</v>
      </c>
      <c r="AD187" s="343">
        <v>5250</v>
      </c>
      <c r="AE187" s="343">
        <v>167579.35</v>
      </c>
      <c r="AF187" s="343">
        <v>4844.17</v>
      </c>
      <c r="AG187" s="343">
        <v>0</v>
      </c>
      <c r="AH187" s="343">
        <v>172423.52</v>
      </c>
      <c r="AI187" s="343">
        <v>9211.74</v>
      </c>
    </row>
    <row r="188" spans="1:35">
      <c r="A188" s="343">
        <v>20260703</v>
      </c>
      <c r="B188" s="343">
        <v>30264.28</v>
      </c>
      <c r="C188" s="343">
        <v>151</v>
      </c>
      <c r="D188" s="343">
        <v>310</v>
      </c>
      <c r="E188" s="384">
        <v>46206</v>
      </c>
      <c r="F188" s="343" t="s">
        <v>236</v>
      </c>
      <c r="G188" s="343" t="s">
        <v>160</v>
      </c>
      <c r="Y188" s="343" t="s">
        <v>140</v>
      </c>
      <c r="Z188" s="343" t="s">
        <v>143</v>
      </c>
      <c r="AA188" s="384">
        <v>46125</v>
      </c>
      <c r="AB188" s="384">
        <v>46131</v>
      </c>
      <c r="AC188" s="343" t="s">
        <v>281</v>
      </c>
      <c r="AD188" s="343">
        <v>2440</v>
      </c>
      <c r="AE188" s="343">
        <v>50140.5</v>
      </c>
      <c r="AF188" s="343">
        <v>1783.57</v>
      </c>
      <c r="AG188" s="343">
        <v>0</v>
      </c>
      <c r="AH188" s="343">
        <v>51924.07</v>
      </c>
      <c r="AI188" s="343">
        <v>3264.21</v>
      </c>
    </row>
    <row r="189" spans="1:35">
      <c r="A189" s="343">
        <v>20260704</v>
      </c>
      <c r="B189" s="343">
        <v>15913.5</v>
      </c>
      <c r="C189" s="343">
        <v>69</v>
      </c>
      <c r="D189" s="343">
        <v>157</v>
      </c>
      <c r="E189" s="384">
        <v>46207</v>
      </c>
      <c r="F189" s="343" t="s">
        <v>244</v>
      </c>
      <c r="G189" s="343" t="s">
        <v>160</v>
      </c>
      <c r="Y189" s="343" t="s">
        <v>140</v>
      </c>
      <c r="Z189" s="343" t="s">
        <v>143</v>
      </c>
      <c r="AA189" s="384">
        <v>46125</v>
      </c>
      <c r="AB189" s="384">
        <v>46131</v>
      </c>
      <c r="AC189" s="343" t="s">
        <v>342</v>
      </c>
      <c r="AD189" s="343">
        <v>885</v>
      </c>
      <c r="AE189" s="343">
        <v>7297.43</v>
      </c>
      <c r="AF189" s="343">
        <v>107.55</v>
      </c>
      <c r="AG189" s="343">
        <v>0</v>
      </c>
      <c r="AH189" s="343">
        <v>7404.98</v>
      </c>
      <c r="AI189" s="343">
        <v>476.21</v>
      </c>
    </row>
    <row r="190" spans="1:35">
      <c r="A190" s="343">
        <v>20260705</v>
      </c>
      <c r="B190" s="343">
        <v>13643.25</v>
      </c>
      <c r="C190" s="343">
        <v>65</v>
      </c>
      <c r="D190" s="343">
        <v>154</v>
      </c>
      <c r="E190" s="384">
        <v>46208</v>
      </c>
      <c r="F190" s="343" t="s">
        <v>245</v>
      </c>
      <c r="G190" s="343" t="s">
        <v>160</v>
      </c>
      <c r="Y190" s="343" t="s">
        <v>140</v>
      </c>
      <c r="Z190" s="343" t="s">
        <v>143</v>
      </c>
      <c r="AA190" s="384">
        <v>46125</v>
      </c>
      <c r="AB190" s="384">
        <v>46131</v>
      </c>
      <c r="AC190" s="343" t="s">
        <v>277</v>
      </c>
      <c r="AD190" s="343">
        <v>859</v>
      </c>
      <c r="AE190" s="343">
        <v>27729.75</v>
      </c>
      <c r="AF190" s="343">
        <v>834.25</v>
      </c>
      <c r="AG190" s="343">
        <v>0</v>
      </c>
      <c r="AH190" s="343">
        <v>28564</v>
      </c>
      <c r="AI190" s="343">
        <v>1804.07</v>
      </c>
    </row>
    <row r="191" spans="1:35">
      <c r="A191" s="343">
        <v>20260706</v>
      </c>
      <c r="B191" s="343">
        <v>7366</v>
      </c>
      <c r="C191" s="343">
        <v>39</v>
      </c>
      <c r="D191" s="343">
        <v>75</v>
      </c>
      <c r="E191" s="384">
        <v>46209</v>
      </c>
      <c r="F191" s="343" t="s">
        <v>232</v>
      </c>
      <c r="G191" s="343" t="s">
        <v>161</v>
      </c>
      <c r="Y191" s="343" t="s">
        <v>140</v>
      </c>
      <c r="Z191" s="343" t="s">
        <v>144</v>
      </c>
      <c r="AA191" s="384">
        <v>46132</v>
      </c>
      <c r="AB191" s="384">
        <v>46138</v>
      </c>
      <c r="AC191" s="343" t="s">
        <v>279</v>
      </c>
      <c r="AD191" s="343">
        <v>166</v>
      </c>
      <c r="AE191" s="343">
        <v>1669.5</v>
      </c>
      <c r="AF191" s="343">
        <v>23</v>
      </c>
      <c r="AG191" s="343">
        <v>0</v>
      </c>
      <c r="AH191" s="343">
        <v>1692.5</v>
      </c>
      <c r="AI191" s="343">
        <v>108.95</v>
      </c>
    </row>
    <row r="192" spans="1:35">
      <c r="A192" s="343">
        <v>20260707</v>
      </c>
      <c r="B192" s="343">
        <v>19547.5</v>
      </c>
      <c r="C192" s="343">
        <v>90</v>
      </c>
      <c r="D192" s="343">
        <v>183</v>
      </c>
      <c r="E192" s="384">
        <v>46210</v>
      </c>
      <c r="F192" s="343" t="s">
        <v>233</v>
      </c>
      <c r="G192" s="343" t="s">
        <v>161</v>
      </c>
      <c r="Y192" s="343" t="s">
        <v>140</v>
      </c>
      <c r="Z192" s="343" t="s">
        <v>144</v>
      </c>
      <c r="AA192" s="384">
        <v>46132</v>
      </c>
      <c r="AB192" s="384">
        <v>46138</v>
      </c>
      <c r="AC192" s="343" t="s">
        <v>285</v>
      </c>
      <c r="AD192" s="343">
        <v>6226</v>
      </c>
      <c r="AE192" s="343">
        <v>150139.98000000001</v>
      </c>
      <c r="AF192" s="343">
        <v>3141.54</v>
      </c>
      <c r="AG192" s="343">
        <v>0</v>
      </c>
      <c r="AH192" s="343">
        <v>153281.51999999999</v>
      </c>
      <c r="AI192" s="343">
        <v>9762.39</v>
      </c>
    </row>
    <row r="193" spans="1:35">
      <c r="A193" s="343">
        <v>20260708</v>
      </c>
      <c r="B193" s="343">
        <v>20565.18</v>
      </c>
      <c r="C193" s="343">
        <v>94</v>
      </c>
      <c r="D193" s="343">
        <v>165</v>
      </c>
      <c r="E193" s="384">
        <v>46211</v>
      </c>
      <c r="F193" s="343" t="s">
        <v>234</v>
      </c>
      <c r="G193" s="343" t="s">
        <v>161</v>
      </c>
      <c r="Y193" s="343" t="s">
        <v>140</v>
      </c>
      <c r="Z193" s="343" t="s">
        <v>144</v>
      </c>
      <c r="AA193" s="384">
        <v>46132</v>
      </c>
      <c r="AB193" s="384">
        <v>46138</v>
      </c>
      <c r="AC193" s="343" t="s">
        <v>281</v>
      </c>
      <c r="AD193" s="343">
        <v>2394</v>
      </c>
      <c r="AE193" s="343">
        <v>45227.66</v>
      </c>
      <c r="AF193" s="343">
        <v>653.85</v>
      </c>
      <c r="AG193" s="343">
        <v>0</v>
      </c>
      <c r="AH193" s="343">
        <v>45881.51</v>
      </c>
      <c r="AI193" s="343">
        <v>2945.06</v>
      </c>
    </row>
    <row r="194" spans="1:35">
      <c r="A194" s="343">
        <v>20260709</v>
      </c>
      <c r="B194" s="343">
        <v>24788.5</v>
      </c>
      <c r="C194" s="343">
        <v>111</v>
      </c>
      <c r="D194" s="343">
        <v>236</v>
      </c>
      <c r="E194" s="384">
        <v>46212</v>
      </c>
      <c r="F194" s="343" t="s">
        <v>235</v>
      </c>
      <c r="G194" s="343" t="s">
        <v>161</v>
      </c>
      <c r="Y194" s="343" t="s">
        <v>140</v>
      </c>
      <c r="Z194" s="343" t="s">
        <v>144</v>
      </c>
      <c r="AA194" s="384">
        <v>46132</v>
      </c>
      <c r="AB194" s="384">
        <v>46138</v>
      </c>
      <c r="AC194" s="343" t="s">
        <v>342</v>
      </c>
      <c r="AD194" s="343">
        <v>938</v>
      </c>
      <c r="AE194" s="343">
        <v>7483.43</v>
      </c>
      <c r="AF194" s="343">
        <v>101.58</v>
      </c>
      <c r="AG194" s="343">
        <v>0</v>
      </c>
      <c r="AH194" s="343">
        <v>7585.01</v>
      </c>
      <c r="AI194" s="343">
        <v>488.33</v>
      </c>
    </row>
    <row r="195" spans="1:35">
      <c r="A195" s="343">
        <v>20260710</v>
      </c>
      <c r="B195" s="343">
        <v>31183.48</v>
      </c>
      <c r="C195" s="343">
        <v>169</v>
      </c>
      <c r="D195" s="343">
        <v>320</v>
      </c>
      <c r="E195" s="384">
        <v>46213</v>
      </c>
      <c r="F195" s="343" t="s">
        <v>236</v>
      </c>
      <c r="G195" s="343" t="s">
        <v>161</v>
      </c>
      <c r="Y195" s="343" t="s">
        <v>140</v>
      </c>
      <c r="Z195" s="343" t="s">
        <v>144</v>
      </c>
      <c r="AA195" s="384">
        <v>46132</v>
      </c>
      <c r="AB195" s="384">
        <v>46138</v>
      </c>
      <c r="AC195" s="343" t="s">
        <v>277</v>
      </c>
      <c r="AD195" s="343">
        <v>869</v>
      </c>
      <c r="AE195" s="343">
        <v>28547.27</v>
      </c>
      <c r="AF195" s="343">
        <v>570.73</v>
      </c>
      <c r="AG195" s="343">
        <v>0</v>
      </c>
      <c r="AH195" s="343">
        <v>29118</v>
      </c>
      <c r="AI195" s="343">
        <v>1857.24</v>
      </c>
    </row>
    <row r="196" spans="1:35">
      <c r="A196" s="343">
        <v>20260711</v>
      </c>
      <c r="B196" s="343">
        <v>32468</v>
      </c>
      <c r="C196" s="343">
        <v>182</v>
      </c>
      <c r="D196" s="343">
        <v>348</v>
      </c>
      <c r="E196" s="384">
        <v>46214</v>
      </c>
      <c r="F196" s="343" t="s">
        <v>244</v>
      </c>
      <c r="G196" s="343" t="s">
        <v>161</v>
      </c>
      <c r="Y196" s="343" t="s">
        <v>146</v>
      </c>
      <c r="Z196" s="343" t="s">
        <v>147</v>
      </c>
      <c r="AA196" s="384">
        <v>46139</v>
      </c>
      <c r="AB196" s="384">
        <v>46145</v>
      </c>
      <c r="AC196" s="343" t="s">
        <v>279</v>
      </c>
      <c r="AD196" s="343">
        <v>174</v>
      </c>
      <c r="AE196" s="343">
        <v>1718.6</v>
      </c>
      <c r="AF196" s="343">
        <v>11.4</v>
      </c>
      <c r="AG196" s="343">
        <v>0</v>
      </c>
      <c r="AH196" s="343">
        <v>1730</v>
      </c>
      <c r="AI196" s="343">
        <v>112.18</v>
      </c>
    </row>
    <row r="197" spans="1:35">
      <c r="A197" s="343">
        <v>20260712</v>
      </c>
      <c r="B197" s="343">
        <v>15789</v>
      </c>
      <c r="C197" s="343">
        <v>77</v>
      </c>
      <c r="D197" s="343">
        <v>160</v>
      </c>
      <c r="E197" s="384">
        <v>46215</v>
      </c>
      <c r="F197" s="343" t="s">
        <v>245</v>
      </c>
      <c r="G197" s="343" t="s">
        <v>161</v>
      </c>
      <c r="Y197" s="343" t="s">
        <v>146</v>
      </c>
      <c r="Z197" s="343" t="s">
        <v>147</v>
      </c>
      <c r="AA197" s="384">
        <v>46139</v>
      </c>
      <c r="AB197" s="384">
        <v>46145</v>
      </c>
      <c r="AC197" s="343" t="s">
        <v>285</v>
      </c>
      <c r="AD197" s="343">
        <v>5520</v>
      </c>
      <c r="AE197" s="343">
        <v>146680.29</v>
      </c>
      <c r="AF197" s="343">
        <v>4810.6499999999996</v>
      </c>
      <c r="AG197" s="343">
        <v>0</v>
      </c>
      <c r="AH197" s="343">
        <v>151490.94</v>
      </c>
      <c r="AI197" s="343">
        <v>9540.2099999999991</v>
      </c>
    </row>
    <row r="198" spans="1:35">
      <c r="A198" s="343">
        <v>20260713</v>
      </c>
      <c r="B198" s="343">
        <v>12066.1</v>
      </c>
      <c r="C198" s="343">
        <v>54</v>
      </c>
      <c r="D198" s="343">
        <v>121</v>
      </c>
      <c r="E198" s="384">
        <v>46216</v>
      </c>
      <c r="F198" s="343" t="s">
        <v>232</v>
      </c>
      <c r="G198" s="343" t="s">
        <v>162</v>
      </c>
      <c r="Y198" s="343" t="s">
        <v>146</v>
      </c>
      <c r="Z198" s="343" t="s">
        <v>147</v>
      </c>
      <c r="AA198" s="384">
        <v>46139</v>
      </c>
      <c r="AB198" s="384">
        <v>46145</v>
      </c>
      <c r="AC198" s="343" t="s">
        <v>281</v>
      </c>
      <c r="AD198" s="343">
        <v>2405</v>
      </c>
      <c r="AE198" s="343">
        <v>45172.12</v>
      </c>
      <c r="AF198" s="343">
        <v>1127.18</v>
      </c>
      <c r="AG198" s="343">
        <v>0</v>
      </c>
      <c r="AH198" s="343">
        <v>46299.3</v>
      </c>
      <c r="AI198" s="343">
        <v>2941.19</v>
      </c>
    </row>
    <row r="199" spans="1:35">
      <c r="A199" s="343">
        <v>20260714</v>
      </c>
      <c r="B199" s="343">
        <v>21464.5</v>
      </c>
      <c r="C199" s="343">
        <v>82</v>
      </c>
      <c r="D199" s="343">
        <v>188</v>
      </c>
      <c r="E199" s="384">
        <v>46217</v>
      </c>
      <c r="F199" s="343" t="s">
        <v>233</v>
      </c>
      <c r="G199" s="343" t="s">
        <v>162</v>
      </c>
      <c r="Y199" s="343" t="s">
        <v>146</v>
      </c>
      <c r="Z199" s="343" t="s">
        <v>147</v>
      </c>
      <c r="AA199" s="384">
        <v>46139</v>
      </c>
      <c r="AB199" s="384">
        <v>46145</v>
      </c>
      <c r="AC199" s="343" t="s">
        <v>342</v>
      </c>
      <c r="AD199" s="343">
        <v>907</v>
      </c>
      <c r="AE199" s="343">
        <v>7204.45</v>
      </c>
      <c r="AF199" s="343">
        <v>162.55000000000001</v>
      </c>
      <c r="AG199" s="343">
        <v>0</v>
      </c>
      <c r="AH199" s="343">
        <v>7367</v>
      </c>
      <c r="AI199" s="343">
        <v>469.36</v>
      </c>
    </row>
    <row r="200" spans="1:35">
      <c r="A200" s="343">
        <v>20260715</v>
      </c>
      <c r="B200" s="343">
        <v>21435.48</v>
      </c>
      <c r="C200" s="343">
        <v>114</v>
      </c>
      <c r="D200" s="343">
        <v>226</v>
      </c>
      <c r="E200" s="384">
        <v>46218</v>
      </c>
      <c r="F200" s="343" t="s">
        <v>234</v>
      </c>
      <c r="G200" s="343" t="s">
        <v>162</v>
      </c>
      <c r="Y200" s="343" t="s">
        <v>146</v>
      </c>
      <c r="Z200" s="343" t="s">
        <v>147</v>
      </c>
      <c r="AA200" s="384">
        <v>46139</v>
      </c>
      <c r="AB200" s="384">
        <v>46145</v>
      </c>
      <c r="AC200" s="343" t="s">
        <v>277</v>
      </c>
      <c r="AD200" s="343">
        <v>1018</v>
      </c>
      <c r="AE200" s="343">
        <v>27687.08</v>
      </c>
      <c r="AF200" s="343">
        <v>833.92</v>
      </c>
      <c r="AG200" s="343">
        <v>0</v>
      </c>
      <c r="AH200" s="343">
        <v>28521</v>
      </c>
      <c r="AI200" s="343">
        <v>1801.56</v>
      </c>
    </row>
    <row r="201" spans="1:35">
      <c r="A201" s="343">
        <v>20260716</v>
      </c>
      <c r="B201" s="343">
        <v>32405.7</v>
      </c>
      <c r="C201" s="343">
        <v>131</v>
      </c>
      <c r="D201" s="343">
        <v>306</v>
      </c>
      <c r="E201" s="384">
        <v>46219</v>
      </c>
      <c r="F201" s="343" t="s">
        <v>235</v>
      </c>
      <c r="G201" s="343" t="s">
        <v>162</v>
      </c>
      <c r="Y201" s="343" t="s">
        <v>146</v>
      </c>
      <c r="Z201" s="343" t="s">
        <v>148</v>
      </c>
      <c r="AA201" s="384">
        <v>46146</v>
      </c>
      <c r="AB201" s="384">
        <v>46152</v>
      </c>
      <c r="AC201" s="343" t="s">
        <v>285</v>
      </c>
      <c r="AD201" s="343">
        <v>8037</v>
      </c>
      <c r="AE201" s="343">
        <v>200158.69</v>
      </c>
      <c r="AF201" s="343">
        <v>5455.83</v>
      </c>
      <c r="AG201" s="343">
        <v>0</v>
      </c>
      <c r="AH201" s="343">
        <v>205614.52</v>
      </c>
      <c r="AI201" s="343">
        <v>13022.75</v>
      </c>
    </row>
    <row r="202" spans="1:35">
      <c r="A202" s="343">
        <v>20260717</v>
      </c>
      <c r="B202" s="343">
        <v>41180.550000000003</v>
      </c>
      <c r="C202" s="343">
        <v>161</v>
      </c>
      <c r="D202" s="343">
        <v>352</v>
      </c>
      <c r="E202" s="384">
        <v>46220</v>
      </c>
      <c r="F202" s="343" t="s">
        <v>236</v>
      </c>
      <c r="G202" s="343" t="s">
        <v>162</v>
      </c>
      <c r="Y202" s="343" t="s">
        <v>146</v>
      </c>
      <c r="Z202" s="343" t="s">
        <v>148</v>
      </c>
      <c r="AA202" s="384">
        <v>46146</v>
      </c>
      <c r="AB202" s="384">
        <v>46152</v>
      </c>
      <c r="AC202" s="343" t="s">
        <v>281</v>
      </c>
      <c r="AD202" s="343">
        <v>3079</v>
      </c>
      <c r="AE202" s="343">
        <v>61945.48</v>
      </c>
      <c r="AF202" s="343">
        <v>1164.51</v>
      </c>
      <c r="AG202" s="343">
        <v>0</v>
      </c>
      <c r="AH202" s="343">
        <v>63109.99</v>
      </c>
      <c r="AI202" s="343">
        <v>4032.88</v>
      </c>
    </row>
    <row r="203" spans="1:35">
      <c r="A203" s="343">
        <v>20260718</v>
      </c>
      <c r="B203" s="343">
        <v>43491.4</v>
      </c>
      <c r="C203" s="343">
        <v>200</v>
      </c>
      <c r="D203" s="343">
        <v>433</v>
      </c>
      <c r="E203" s="384">
        <v>46221</v>
      </c>
      <c r="F203" s="343" t="s">
        <v>244</v>
      </c>
      <c r="G203" s="343" t="s">
        <v>162</v>
      </c>
      <c r="Y203" s="343" t="s">
        <v>146</v>
      </c>
      <c r="Z203" s="343" t="s">
        <v>148</v>
      </c>
      <c r="AA203" s="384">
        <v>46146</v>
      </c>
      <c r="AB203" s="384">
        <v>46152</v>
      </c>
      <c r="AC203" s="343" t="s">
        <v>342</v>
      </c>
      <c r="AD203" s="343">
        <v>1250</v>
      </c>
      <c r="AE203" s="343">
        <v>9871.6299999999992</v>
      </c>
      <c r="AF203" s="343">
        <v>349.41</v>
      </c>
      <c r="AG203" s="343">
        <v>0</v>
      </c>
      <c r="AH203" s="343">
        <v>10221.040000000001</v>
      </c>
      <c r="AI203" s="343">
        <v>644.03</v>
      </c>
    </row>
    <row r="204" spans="1:35">
      <c r="A204" s="343">
        <v>20260719</v>
      </c>
      <c r="B204" s="343">
        <v>15370.3</v>
      </c>
      <c r="C204" s="343">
        <v>82</v>
      </c>
      <c r="D204" s="343">
        <v>173</v>
      </c>
      <c r="E204" s="384">
        <v>46222</v>
      </c>
      <c r="F204" s="343" t="s">
        <v>245</v>
      </c>
      <c r="G204" s="343" t="s">
        <v>162</v>
      </c>
      <c r="Y204" s="343" t="s">
        <v>146</v>
      </c>
      <c r="Z204" s="343" t="s">
        <v>148</v>
      </c>
      <c r="AA204" s="384">
        <v>46146</v>
      </c>
      <c r="AB204" s="384">
        <v>46152</v>
      </c>
      <c r="AC204" s="343" t="s">
        <v>277</v>
      </c>
      <c r="AD204" s="343">
        <v>949</v>
      </c>
      <c r="AE204" s="343">
        <v>31303.8</v>
      </c>
      <c r="AF204" s="343">
        <v>979.2</v>
      </c>
      <c r="AG204" s="343">
        <v>0</v>
      </c>
      <c r="AH204" s="343">
        <v>32283</v>
      </c>
      <c r="AI204" s="343">
        <v>2036.46</v>
      </c>
    </row>
    <row r="205" spans="1:35">
      <c r="A205" s="343">
        <v>20260720</v>
      </c>
      <c r="B205" s="343">
        <v>14182</v>
      </c>
      <c r="C205" s="343">
        <v>73</v>
      </c>
      <c r="D205" s="343">
        <v>155</v>
      </c>
      <c r="E205" s="384">
        <v>46223</v>
      </c>
      <c r="F205" s="343" t="s">
        <v>232</v>
      </c>
      <c r="G205" s="343" t="s">
        <v>163</v>
      </c>
      <c r="Y205" s="343" t="s">
        <v>146</v>
      </c>
      <c r="Z205" s="343" t="s">
        <v>149</v>
      </c>
      <c r="AA205" s="384">
        <v>46153</v>
      </c>
      <c r="AB205" s="384">
        <v>46159</v>
      </c>
      <c r="AC205" s="343" t="s">
        <v>279</v>
      </c>
      <c r="AD205" s="343">
        <v>252</v>
      </c>
      <c r="AE205" s="343">
        <v>2433</v>
      </c>
      <c r="AF205" s="343">
        <v>43.5</v>
      </c>
      <c r="AG205" s="343">
        <v>0</v>
      </c>
      <c r="AH205" s="343">
        <v>2476.5</v>
      </c>
      <c r="AI205" s="343">
        <v>158.75</v>
      </c>
    </row>
    <row r="206" spans="1:35">
      <c r="A206" s="343">
        <v>20260721</v>
      </c>
      <c r="B206" s="343">
        <v>19923.5</v>
      </c>
      <c r="C206" s="343">
        <v>81</v>
      </c>
      <c r="D206" s="343">
        <v>196</v>
      </c>
      <c r="E206" s="384">
        <v>46224</v>
      </c>
      <c r="F206" s="343" t="s">
        <v>233</v>
      </c>
      <c r="G206" s="343" t="s">
        <v>163</v>
      </c>
      <c r="Y206" s="343" t="s">
        <v>146</v>
      </c>
      <c r="Z206" s="343" t="s">
        <v>149</v>
      </c>
      <c r="AA206" s="384">
        <v>46153</v>
      </c>
      <c r="AB206" s="384">
        <v>46159</v>
      </c>
      <c r="AC206" s="343" t="s">
        <v>285</v>
      </c>
      <c r="AD206" s="343">
        <v>6502</v>
      </c>
      <c r="AE206" s="343">
        <v>166609.94</v>
      </c>
      <c r="AF206" s="343">
        <v>5129.63</v>
      </c>
      <c r="AG206" s="343">
        <v>0</v>
      </c>
      <c r="AH206" s="343">
        <v>171739.57</v>
      </c>
      <c r="AI206" s="343">
        <v>10836.67</v>
      </c>
    </row>
    <row r="207" spans="1:35">
      <c r="A207" s="343">
        <v>20260722</v>
      </c>
      <c r="B207" s="343">
        <v>23396</v>
      </c>
      <c r="C207" s="343">
        <v>108</v>
      </c>
      <c r="D207" s="343">
        <v>219</v>
      </c>
      <c r="E207" s="384">
        <v>46225</v>
      </c>
      <c r="F207" s="343" t="s">
        <v>234</v>
      </c>
      <c r="G207" s="343" t="s">
        <v>163</v>
      </c>
      <c r="Y207" s="343" t="s">
        <v>146</v>
      </c>
      <c r="Z207" s="343" t="s">
        <v>149</v>
      </c>
      <c r="AA207" s="384">
        <v>46153</v>
      </c>
      <c r="AB207" s="384">
        <v>46159</v>
      </c>
      <c r="AC207" s="343" t="s">
        <v>281</v>
      </c>
      <c r="AD207" s="343">
        <v>2508</v>
      </c>
      <c r="AE207" s="343">
        <v>48739.47</v>
      </c>
      <c r="AF207" s="343">
        <v>1449.03</v>
      </c>
      <c r="AG207" s="343">
        <v>0</v>
      </c>
      <c r="AH207" s="343">
        <v>50188.5</v>
      </c>
      <c r="AI207" s="343">
        <v>3172.52</v>
      </c>
    </row>
    <row r="208" spans="1:35">
      <c r="A208" s="343">
        <v>20260723</v>
      </c>
      <c r="B208" s="343">
        <v>27557.55</v>
      </c>
      <c r="C208" s="343">
        <v>145</v>
      </c>
      <c r="D208" s="343">
        <v>287</v>
      </c>
      <c r="E208" s="384">
        <v>46226</v>
      </c>
      <c r="F208" s="343" t="s">
        <v>235</v>
      </c>
      <c r="G208" s="343" t="s">
        <v>163</v>
      </c>
      <c r="Y208" s="343" t="s">
        <v>146</v>
      </c>
      <c r="Z208" s="343" t="s">
        <v>149</v>
      </c>
      <c r="AA208" s="384">
        <v>46153</v>
      </c>
      <c r="AB208" s="384">
        <v>46159</v>
      </c>
      <c r="AC208" s="343" t="s">
        <v>342</v>
      </c>
      <c r="AD208" s="343">
        <v>1117</v>
      </c>
      <c r="AE208" s="343">
        <v>9022.86</v>
      </c>
      <c r="AF208" s="343">
        <v>260.14</v>
      </c>
      <c r="AG208" s="343">
        <v>0</v>
      </c>
      <c r="AH208" s="343">
        <v>9283</v>
      </c>
      <c r="AI208" s="343">
        <v>588.01</v>
      </c>
    </row>
    <row r="209" spans="1:35">
      <c r="A209" s="343">
        <v>20260724</v>
      </c>
      <c r="B209" s="343">
        <v>32593.200000000001</v>
      </c>
      <c r="C209" s="343">
        <v>202</v>
      </c>
      <c r="D209" s="343">
        <v>350</v>
      </c>
      <c r="E209" s="384">
        <v>46227</v>
      </c>
      <c r="F209" s="343" t="s">
        <v>236</v>
      </c>
      <c r="G209" s="343" t="s">
        <v>163</v>
      </c>
      <c r="Y209" s="343" t="s">
        <v>146</v>
      </c>
      <c r="Z209" s="343" t="s">
        <v>149</v>
      </c>
      <c r="AA209" s="384">
        <v>46153</v>
      </c>
      <c r="AB209" s="384">
        <v>46159</v>
      </c>
      <c r="AC209" s="343" t="s">
        <v>277</v>
      </c>
      <c r="AD209" s="343">
        <v>933</v>
      </c>
      <c r="AE209" s="343">
        <v>25706.41</v>
      </c>
      <c r="AF209" s="343">
        <v>711.59</v>
      </c>
      <c r="AG209" s="343">
        <v>0</v>
      </c>
      <c r="AH209" s="343">
        <v>26418</v>
      </c>
      <c r="AI209" s="343">
        <v>1672.61</v>
      </c>
    </row>
    <row r="210" spans="1:35">
      <c r="A210" s="343">
        <v>20260725</v>
      </c>
      <c r="B210" s="343">
        <v>38987.08</v>
      </c>
      <c r="C210" s="343">
        <v>197</v>
      </c>
      <c r="D210" s="343">
        <v>399</v>
      </c>
      <c r="E210" s="384">
        <v>46228</v>
      </c>
      <c r="F210" s="343" t="s">
        <v>244</v>
      </c>
      <c r="G210" s="343" t="s">
        <v>163</v>
      </c>
      <c r="Y210" s="343" t="s">
        <v>146</v>
      </c>
      <c r="Z210" s="343" t="s">
        <v>150</v>
      </c>
      <c r="AA210" s="384">
        <v>46160</v>
      </c>
      <c r="AB210" s="384">
        <v>46166</v>
      </c>
      <c r="AC210" s="343" t="s">
        <v>285</v>
      </c>
      <c r="AD210" s="343">
        <v>6315</v>
      </c>
      <c r="AE210" s="343">
        <v>173885.06</v>
      </c>
      <c r="AF210" s="343">
        <v>4068.4</v>
      </c>
      <c r="AG210" s="343">
        <v>0</v>
      </c>
      <c r="AH210" s="343">
        <v>177953.46</v>
      </c>
      <c r="AI210" s="343">
        <v>11251.1</v>
      </c>
    </row>
    <row r="211" spans="1:35">
      <c r="A211" s="343">
        <v>20260726</v>
      </c>
      <c r="B211" s="343">
        <v>16471.5</v>
      </c>
      <c r="C211" s="343">
        <v>76</v>
      </c>
      <c r="D211" s="343">
        <v>164</v>
      </c>
      <c r="E211" s="384">
        <v>46229</v>
      </c>
      <c r="F211" s="343" t="s">
        <v>245</v>
      </c>
      <c r="G211" s="343" t="s">
        <v>163</v>
      </c>
      <c r="Y211" s="343" t="s">
        <v>146</v>
      </c>
      <c r="Z211" s="343" t="s">
        <v>150</v>
      </c>
      <c r="AA211" s="384">
        <v>46160</v>
      </c>
      <c r="AB211" s="384">
        <v>46166</v>
      </c>
      <c r="AC211" s="343" t="s">
        <v>281</v>
      </c>
      <c r="AD211" s="343">
        <v>2535</v>
      </c>
      <c r="AE211" s="343">
        <v>50336.34</v>
      </c>
      <c r="AF211" s="343">
        <v>576.66</v>
      </c>
      <c r="AG211" s="343">
        <v>0</v>
      </c>
      <c r="AH211" s="343">
        <v>50913</v>
      </c>
      <c r="AI211" s="343">
        <v>3274.35</v>
      </c>
    </row>
    <row r="212" spans="1:35">
      <c r="A212" s="343">
        <v>20260727</v>
      </c>
      <c r="B212" s="343">
        <v>17009</v>
      </c>
      <c r="C212" s="343">
        <v>76</v>
      </c>
      <c r="D212" s="343">
        <v>168</v>
      </c>
      <c r="E212" s="384">
        <v>46230</v>
      </c>
      <c r="F212" s="343" t="s">
        <v>232</v>
      </c>
      <c r="G212" s="343" t="s">
        <v>166</v>
      </c>
      <c r="Y212" s="343" t="s">
        <v>146</v>
      </c>
      <c r="Z212" s="343" t="s">
        <v>150</v>
      </c>
      <c r="AA212" s="384">
        <v>46160</v>
      </c>
      <c r="AB212" s="384">
        <v>46166</v>
      </c>
      <c r="AC212" s="343" t="s">
        <v>342</v>
      </c>
      <c r="AD212" s="343">
        <v>1159</v>
      </c>
      <c r="AE212" s="343">
        <v>9525.6</v>
      </c>
      <c r="AF212" s="343">
        <v>76.400000000000006</v>
      </c>
      <c r="AG212" s="343">
        <v>0</v>
      </c>
      <c r="AH212" s="343">
        <v>9602</v>
      </c>
      <c r="AI212" s="343">
        <v>620.83000000000004</v>
      </c>
    </row>
    <row r="213" spans="1:35">
      <c r="A213" s="343">
        <v>20260728</v>
      </c>
      <c r="B213" s="343">
        <v>17172.75</v>
      </c>
      <c r="C213" s="343">
        <v>71</v>
      </c>
      <c r="D213" s="343">
        <v>158</v>
      </c>
      <c r="E213" s="384">
        <v>46231</v>
      </c>
      <c r="F213" s="343" t="s">
        <v>233</v>
      </c>
      <c r="G213" s="343" t="s">
        <v>166</v>
      </c>
      <c r="Y213" s="343" t="s">
        <v>146</v>
      </c>
      <c r="Z213" s="343" t="s">
        <v>150</v>
      </c>
      <c r="AA213" s="384">
        <v>46160</v>
      </c>
      <c r="AB213" s="384">
        <v>46166</v>
      </c>
      <c r="AC213" s="343" t="s">
        <v>277</v>
      </c>
      <c r="AD213" s="343">
        <v>867</v>
      </c>
      <c r="AE213" s="343">
        <v>28892.17</v>
      </c>
      <c r="AF213" s="343">
        <v>649.84</v>
      </c>
      <c r="AG213" s="343">
        <v>0</v>
      </c>
      <c r="AH213" s="343">
        <v>29542.01</v>
      </c>
      <c r="AI213" s="343">
        <v>1812.41</v>
      </c>
    </row>
    <row r="214" spans="1:35">
      <c r="A214" s="343">
        <v>20260729</v>
      </c>
      <c r="B214" s="343">
        <v>18090.75</v>
      </c>
      <c r="C214" s="343">
        <v>85</v>
      </c>
      <c r="D214" s="343">
        <v>183</v>
      </c>
      <c r="E214" s="384">
        <v>46232</v>
      </c>
      <c r="F214" s="343" t="s">
        <v>234</v>
      </c>
      <c r="G214" s="343" t="s">
        <v>166</v>
      </c>
      <c r="Y214" s="343" t="s">
        <v>152</v>
      </c>
      <c r="Z214" s="343" t="s">
        <v>153</v>
      </c>
      <c r="AA214" s="384">
        <v>46167</v>
      </c>
      <c r="AB214" s="384">
        <v>46173</v>
      </c>
      <c r="AC214" s="343" t="s">
        <v>285</v>
      </c>
      <c r="AD214" s="343">
        <v>5251</v>
      </c>
      <c r="AE214" s="343">
        <v>129194.67</v>
      </c>
      <c r="AF214" s="343">
        <v>3002.33</v>
      </c>
      <c r="AG214" s="343">
        <v>0</v>
      </c>
      <c r="AH214" s="343">
        <v>132197</v>
      </c>
      <c r="AI214" s="343">
        <v>8406.02</v>
      </c>
    </row>
    <row r="215" spans="1:35">
      <c r="A215" s="343">
        <v>20260730</v>
      </c>
      <c r="B215" s="343">
        <v>24369.5</v>
      </c>
      <c r="C215" s="343">
        <v>127</v>
      </c>
      <c r="D215" s="343">
        <v>253</v>
      </c>
      <c r="E215" s="384">
        <v>46233</v>
      </c>
      <c r="F215" s="343" t="s">
        <v>235</v>
      </c>
      <c r="G215" s="343" t="s">
        <v>166</v>
      </c>
      <c r="Y215" s="343" t="s">
        <v>152</v>
      </c>
      <c r="Z215" s="343" t="s">
        <v>153</v>
      </c>
      <c r="AA215" s="384">
        <v>46167</v>
      </c>
      <c r="AB215" s="384">
        <v>46173</v>
      </c>
      <c r="AC215" s="343" t="s">
        <v>281</v>
      </c>
      <c r="AD215" s="343">
        <v>2096</v>
      </c>
      <c r="AE215" s="343">
        <v>41733.699999999997</v>
      </c>
      <c r="AF215" s="343">
        <v>586.29999999999995</v>
      </c>
      <c r="AG215" s="343">
        <v>0</v>
      </c>
      <c r="AH215" s="343">
        <v>42320</v>
      </c>
      <c r="AI215" s="343">
        <v>2717.07</v>
      </c>
    </row>
    <row r="216" spans="1:35">
      <c r="A216" s="343">
        <v>20260731</v>
      </c>
      <c r="B216" s="343">
        <v>38312.61</v>
      </c>
      <c r="C216" s="343">
        <v>190</v>
      </c>
      <c r="D216" s="343">
        <v>385</v>
      </c>
      <c r="E216" s="384">
        <v>46234</v>
      </c>
      <c r="F216" s="343" t="s">
        <v>236</v>
      </c>
      <c r="G216" s="343" t="s">
        <v>166</v>
      </c>
      <c r="Y216" s="343" t="s">
        <v>152</v>
      </c>
      <c r="Z216" s="343" t="s">
        <v>153</v>
      </c>
      <c r="AA216" s="384">
        <v>46167</v>
      </c>
      <c r="AB216" s="384">
        <v>46173</v>
      </c>
      <c r="AC216" s="343" t="s">
        <v>342</v>
      </c>
      <c r="AD216" s="343">
        <v>880</v>
      </c>
      <c r="AE216" s="343">
        <v>7031.18</v>
      </c>
      <c r="AF216" s="343">
        <v>53.82</v>
      </c>
      <c r="AG216" s="343">
        <v>0</v>
      </c>
      <c r="AH216" s="343">
        <v>7085</v>
      </c>
      <c r="AI216" s="343">
        <v>459.16</v>
      </c>
    </row>
    <row r="217" spans="1:35">
      <c r="A217" s="343">
        <v>20260801</v>
      </c>
      <c r="B217" s="343">
        <v>41845.5</v>
      </c>
      <c r="C217" s="343">
        <v>195</v>
      </c>
      <c r="D217" s="343">
        <v>432</v>
      </c>
      <c r="E217" s="384">
        <v>46235</v>
      </c>
      <c r="F217" s="343" t="s">
        <v>244</v>
      </c>
      <c r="G217" s="343" t="s">
        <v>166</v>
      </c>
      <c r="Y217" s="343" t="s">
        <v>152</v>
      </c>
      <c r="Z217" s="343" t="s">
        <v>153</v>
      </c>
      <c r="AA217" s="384">
        <v>46167</v>
      </c>
      <c r="AB217" s="384">
        <v>46173</v>
      </c>
      <c r="AC217" s="343" t="s">
        <v>277</v>
      </c>
      <c r="AD217" s="343">
        <v>679</v>
      </c>
      <c r="AE217" s="343">
        <v>22425</v>
      </c>
      <c r="AF217" s="343">
        <v>385</v>
      </c>
      <c r="AG217" s="343">
        <v>0</v>
      </c>
      <c r="AH217" s="343">
        <v>22810</v>
      </c>
      <c r="AI217" s="343">
        <v>1459.1</v>
      </c>
    </row>
    <row r="218" spans="1:35">
      <c r="A218" s="343">
        <v>20260802</v>
      </c>
      <c r="B218" s="343">
        <v>15648.6</v>
      </c>
      <c r="C218" s="343">
        <v>78</v>
      </c>
      <c r="D218" s="343">
        <v>173</v>
      </c>
      <c r="E218" s="384">
        <v>46236</v>
      </c>
      <c r="F218" s="343" t="s">
        <v>245</v>
      </c>
      <c r="G218" s="343" t="s">
        <v>166</v>
      </c>
      <c r="Y218" s="343" t="s">
        <v>152</v>
      </c>
      <c r="Z218" s="343" t="s">
        <v>154</v>
      </c>
      <c r="AA218" s="384">
        <v>46174</v>
      </c>
      <c r="AB218" s="384">
        <v>46180</v>
      </c>
      <c r="AC218" s="343" t="s">
        <v>279</v>
      </c>
      <c r="AD218" s="343">
        <v>99</v>
      </c>
      <c r="AE218" s="343">
        <v>932.5</v>
      </c>
      <c r="AF218" s="343">
        <v>19</v>
      </c>
      <c r="AG218" s="343">
        <v>0</v>
      </c>
      <c r="AH218" s="343">
        <v>951.5</v>
      </c>
      <c r="AI218" s="343">
        <v>60.85</v>
      </c>
    </row>
    <row r="219" spans="1:35">
      <c r="A219" s="343">
        <v>20260803</v>
      </c>
      <c r="B219" s="343">
        <v>16521</v>
      </c>
      <c r="C219" s="343">
        <v>71</v>
      </c>
      <c r="D219" s="343">
        <v>167</v>
      </c>
      <c r="E219" s="384">
        <v>46237</v>
      </c>
      <c r="F219" s="343" t="s">
        <v>232</v>
      </c>
      <c r="G219" s="343" t="s">
        <v>167</v>
      </c>
      <c r="Y219" s="343" t="s">
        <v>152</v>
      </c>
      <c r="Z219" s="343" t="s">
        <v>154</v>
      </c>
      <c r="AA219" s="384">
        <v>46174</v>
      </c>
      <c r="AB219" s="384">
        <v>46180</v>
      </c>
      <c r="AC219" s="343" t="s">
        <v>285</v>
      </c>
      <c r="AD219" s="343">
        <v>5025</v>
      </c>
      <c r="AE219" s="343">
        <v>131650.34</v>
      </c>
      <c r="AF219" s="343">
        <v>4384.1499999999996</v>
      </c>
      <c r="AG219" s="343">
        <v>0</v>
      </c>
      <c r="AH219" s="343">
        <v>136034.49</v>
      </c>
      <c r="AI219" s="343">
        <v>8564.9699999999993</v>
      </c>
    </row>
    <row r="220" spans="1:35">
      <c r="A220" s="343">
        <v>20260804</v>
      </c>
      <c r="B220" s="343">
        <v>16348.19</v>
      </c>
      <c r="C220" s="343">
        <v>80</v>
      </c>
      <c r="D220" s="343">
        <v>165</v>
      </c>
      <c r="E220" s="384">
        <v>46238</v>
      </c>
      <c r="F220" s="343" t="s">
        <v>233</v>
      </c>
      <c r="G220" s="343" t="s">
        <v>167</v>
      </c>
      <c r="Y220" s="343" t="s">
        <v>152</v>
      </c>
      <c r="Z220" s="343" t="s">
        <v>154</v>
      </c>
      <c r="AA220" s="384">
        <v>46174</v>
      </c>
      <c r="AB220" s="384">
        <v>46180</v>
      </c>
      <c r="AC220" s="343" t="s">
        <v>281</v>
      </c>
      <c r="AD220" s="343">
        <v>2427</v>
      </c>
      <c r="AE220" s="343">
        <v>44980.47</v>
      </c>
      <c r="AF220" s="343">
        <v>1443.6</v>
      </c>
      <c r="AG220" s="343">
        <v>0</v>
      </c>
      <c r="AH220" s="343">
        <v>46424.07</v>
      </c>
      <c r="AI220" s="343">
        <v>2928.79</v>
      </c>
    </row>
    <row r="221" spans="1:35">
      <c r="A221" s="343">
        <v>20260805</v>
      </c>
      <c r="B221" s="343">
        <v>29055.88</v>
      </c>
      <c r="C221" s="343">
        <v>108</v>
      </c>
      <c r="D221" s="343">
        <v>265</v>
      </c>
      <c r="E221" s="384">
        <v>46239</v>
      </c>
      <c r="F221" s="343" t="s">
        <v>234</v>
      </c>
      <c r="G221" s="343" t="s">
        <v>167</v>
      </c>
      <c r="Y221" s="343" t="s">
        <v>152</v>
      </c>
      <c r="Z221" s="343" t="s">
        <v>154</v>
      </c>
      <c r="AA221" s="384">
        <v>46174</v>
      </c>
      <c r="AB221" s="384">
        <v>46180</v>
      </c>
      <c r="AC221" s="343" t="s">
        <v>342</v>
      </c>
      <c r="AD221" s="343">
        <v>872</v>
      </c>
      <c r="AE221" s="343">
        <v>6931.61</v>
      </c>
      <c r="AF221" s="343">
        <v>236.39</v>
      </c>
      <c r="AG221" s="343">
        <v>0</v>
      </c>
      <c r="AH221" s="343">
        <v>7168</v>
      </c>
      <c r="AI221" s="343">
        <v>452.47</v>
      </c>
    </row>
    <row r="222" spans="1:35">
      <c r="A222" s="343">
        <v>20260806</v>
      </c>
      <c r="B222" s="343">
        <v>17250.75</v>
      </c>
      <c r="C222" s="343">
        <v>92</v>
      </c>
      <c r="D222" s="343">
        <v>210</v>
      </c>
      <c r="E222" s="384">
        <v>46240</v>
      </c>
      <c r="F222" s="343" t="s">
        <v>235</v>
      </c>
      <c r="G222" s="343" t="s">
        <v>167</v>
      </c>
      <c r="Y222" s="343" t="s">
        <v>152</v>
      </c>
      <c r="Z222" s="343" t="s">
        <v>154</v>
      </c>
      <c r="AA222" s="384">
        <v>46174</v>
      </c>
      <c r="AB222" s="384">
        <v>46180</v>
      </c>
      <c r="AC222" s="343" t="s">
        <v>277</v>
      </c>
      <c r="AD222" s="343">
        <v>828</v>
      </c>
      <c r="AE222" s="343">
        <v>19285.12</v>
      </c>
      <c r="AF222" s="343">
        <v>1431.91</v>
      </c>
      <c r="AG222" s="343">
        <v>0</v>
      </c>
      <c r="AH222" s="343">
        <v>20717.03</v>
      </c>
      <c r="AI222" s="343">
        <v>1255.01</v>
      </c>
    </row>
    <row r="223" spans="1:35">
      <c r="A223" s="343">
        <v>20260807</v>
      </c>
      <c r="B223" s="343">
        <v>32997.5</v>
      </c>
      <c r="C223" s="343">
        <v>188</v>
      </c>
      <c r="D223" s="343">
        <v>338</v>
      </c>
      <c r="E223" s="384">
        <v>46241</v>
      </c>
      <c r="F223" s="343" t="s">
        <v>236</v>
      </c>
      <c r="G223" s="343" t="s">
        <v>167</v>
      </c>
      <c r="Y223" s="343" t="s">
        <v>152</v>
      </c>
      <c r="Z223" s="343" t="s">
        <v>155</v>
      </c>
      <c r="AA223" s="384">
        <v>46181</v>
      </c>
      <c r="AB223" s="384">
        <v>46187</v>
      </c>
      <c r="AC223" s="343" t="s">
        <v>279</v>
      </c>
      <c r="AD223" s="343">
        <v>156</v>
      </c>
      <c r="AE223" s="343">
        <v>1579</v>
      </c>
      <c r="AF223" s="343">
        <v>24.5</v>
      </c>
      <c r="AG223" s="343">
        <v>0</v>
      </c>
      <c r="AH223" s="343">
        <v>1603.5</v>
      </c>
      <c r="AI223" s="343">
        <v>103.04</v>
      </c>
    </row>
    <row r="224" spans="1:35">
      <c r="A224" s="343">
        <v>20260808</v>
      </c>
      <c r="B224" s="343">
        <v>42694.54</v>
      </c>
      <c r="C224" s="343">
        <v>212</v>
      </c>
      <c r="D224" s="343">
        <v>450</v>
      </c>
      <c r="E224" s="384">
        <v>46242</v>
      </c>
      <c r="F224" s="343" t="s">
        <v>244</v>
      </c>
      <c r="G224" s="343" t="s">
        <v>167</v>
      </c>
      <c r="Y224" s="343" t="s">
        <v>152</v>
      </c>
      <c r="Z224" s="343" t="s">
        <v>155</v>
      </c>
      <c r="AA224" s="384">
        <v>46181</v>
      </c>
      <c r="AB224" s="384">
        <v>46187</v>
      </c>
      <c r="AC224" s="343" t="s">
        <v>285</v>
      </c>
      <c r="AD224" s="343">
        <v>4771</v>
      </c>
      <c r="AE224" s="343">
        <v>121995.47</v>
      </c>
      <c r="AF224" s="343">
        <v>3357.07</v>
      </c>
      <c r="AG224" s="343">
        <v>0</v>
      </c>
      <c r="AH224" s="343">
        <v>125352.54</v>
      </c>
      <c r="AI224" s="343">
        <v>7937.21</v>
      </c>
    </row>
    <row r="225" spans="1:35">
      <c r="A225" s="343">
        <v>20260809</v>
      </c>
      <c r="B225" s="343">
        <v>17234.5</v>
      </c>
      <c r="C225" s="343">
        <v>82</v>
      </c>
      <c r="D225" s="343">
        <v>188</v>
      </c>
      <c r="E225" s="384">
        <v>46243</v>
      </c>
      <c r="F225" s="343" t="s">
        <v>245</v>
      </c>
      <c r="G225" s="343" t="s">
        <v>167</v>
      </c>
      <c r="Y225" s="343" t="s">
        <v>152</v>
      </c>
      <c r="Z225" s="343" t="s">
        <v>155</v>
      </c>
      <c r="AA225" s="384">
        <v>46181</v>
      </c>
      <c r="AB225" s="384">
        <v>46187</v>
      </c>
      <c r="AC225" s="343" t="s">
        <v>281</v>
      </c>
      <c r="AD225" s="343">
        <v>2169</v>
      </c>
      <c r="AE225" s="343">
        <v>42674.67</v>
      </c>
      <c r="AF225" s="343">
        <v>1380.33</v>
      </c>
      <c r="AG225" s="343">
        <v>0</v>
      </c>
      <c r="AH225" s="343">
        <v>44055</v>
      </c>
      <c r="AI225" s="343">
        <v>2778.36</v>
      </c>
    </row>
    <row r="226" spans="1:35">
      <c r="A226" s="343">
        <v>20260810</v>
      </c>
      <c r="B226" s="343">
        <v>12521.5</v>
      </c>
      <c r="C226" s="343">
        <v>56</v>
      </c>
      <c r="D226" s="343">
        <v>115</v>
      </c>
      <c r="E226" s="384">
        <v>46244</v>
      </c>
      <c r="F226" s="343" t="s">
        <v>232</v>
      </c>
      <c r="G226" s="343" t="s">
        <v>168</v>
      </c>
      <c r="Y226" s="343" t="s">
        <v>152</v>
      </c>
      <c r="Z226" s="343" t="s">
        <v>155</v>
      </c>
      <c r="AA226" s="384">
        <v>46181</v>
      </c>
      <c r="AB226" s="384">
        <v>46187</v>
      </c>
      <c r="AC226" s="343" t="s">
        <v>342</v>
      </c>
      <c r="AD226" s="343">
        <v>852</v>
      </c>
      <c r="AE226" s="343">
        <v>6830.56</v>
      </c>
      <c r="AF226" s="343">
        <v>148.44</v>
      </c>
      <c r="AG226" s="343">
        <v>0</v>
      </c>
      <c r="AH226" s="343">
        <v>6979</v>
      </c>
      <c r="AI226" s="343">
        <v>445.83</v>
      </c>
    </row>
    <row r="227" spans="1:35">
      <c r="A227" s="343">
        <v>20260811</v>
      </c>
      <c r="B227" s="343">
        <v>17943</v>
      </c>
      <c r="C227" s="343">
        <v>80</v>
      </c>
      <c r="D227" s="343">
        <v>164</v>
      </c>
      <c r="E227" s="384">
        <v>46245</v>
      </c>
      <c r="F227" s="343" t="s">
        <v>233</v>
      </c>
      <c r="G227" s="343" t="s">
        <v>168</v>
      </c>
      <c r="Y227" s="343" t="s">
        <v>152</v>
      </c>
      <c r="Z227" s="343" t="s">
        <v>155</v>
      </c>
      <c r="AA227" s="384">
        <v>46181</v>
      </c>
      <c r="AB227" s="384">
        <v>46187</v>
      </c>
      <c r="AC227" s="343" t="s">
        <v>277</v>
      </c>
      <c r="AD227" s="343">
        <v>596</v>
      </c>
      <c r="AE227" s="343">
        <v>18101.79</v>
      </c>
      <c r="AF227" s="343">
        <v>722.21</v>
      </c>
      <c r="AG227" s="343">
        <v>0</v>
      </c>
      <c r="AH227" s="343">
        <v>18824</v>
      </c>
      <c r="AI227" s="343">
        <v>1177.74</v>
      </c>
    </row>
    <row r="228" spans="1:35">
      <c r="A228" s="343">
        <v>20260812</v>
      </c>
      <c r="B228" s="343">
        <v>18823.099999999999</v>
      </c>
      <c r="C228" s="343">
        <v>95</v>
      </c>
      <c r="D228" s="343">
        <v>177</v>
      </c>
      <c r="E228" s="384">
        <v>46246</v>
      </c>
      <c r="F228" s="343" t="s">
        <v>234</v>
      </c>
      <c r="G228" s="343" t="s">
        <v>168</v>
      </c>
      <c r="Y228" s="343" t="s">
        <v>152</v>
      </c>
      <c r="Z228" s="343" t="s">
        <v>156</v>
      </c>
      <c r="AA228" s="384">
        <v>46188</v>
      </c>
      <c r="AB228" s="384">
        <v>46194</v>
      </c>
      <c r="AC228" s="343" t="s">
        <v>279</v>
      </c>
      <c r="AD228" s="343">
        <v>150</v>
      </c>
      <c r="AE228" s="343">
        <v>1470.5</v>
      </c>
      <c r="AF228" s="343">
        <v>9.5</v>
      </c>
      <c r="AG228" s="343">
        <v>0</v>
      </c>
      <c r="AH228" s="343">
        <v>1480</v>
      </c>
      <c r="AI228" s="343">
        <v>95.98</v>
      </c>
    </row>
    <row r="229" spans="1:35">
      <c r="A229" s="343">
        <v>20260813</v>
      </c>
      <c r="B229" s="343">
        <v>26994.3</v>
      </c>
      <c r="C229" s="343">
        <v>127</v>
      </c>
      <c r="D229" s="343">
        <v>272</v>
      </c>
      <c r="E229" s="384">
        <v>46247</v>
      </c>
      <c r="F229" s="343" t="s">
        <v>235</v>
      </c>
      <c r="G229" s="343" t="s">
        <v>168</v>
      </c>
      <c r="Y229" s="343" t="s">
        <v>152</v>
      </c>
      <c r="Z229" s="343" t="s">
        <v>156</v>
      </c>
      <c r="AA229" s="384">
        <v>46188</v>
      </c>
      <c r="AB229" s="384">
        <v>46194</v>
      </c>
      <c r="AC229" s="343" t="s">
        <v>285</v>
      </c>
      <c r="AD229" s="343">
        <v>5028</v>
      </c>
      <c r="AE229" s="343">
        <v>131588.1</v>
      </c>
      <c r="AF229" s="343">
        <v>4533.8900000000003</v>
      </c>
      <c r="AG229" s="343">
        <v>0</v>
      </c>
      <c r="AH229" s="343">
        <v>136121.99</v>
      </c>
      <c r="AI229" s="343">
        <v>8561.01</v>
      </c>
    </row>
    <row r="230" spans="1:35">
      <c r="A230" s="343">
        <v>20260814</v>
      </c>
      <c r="B230" s="343">
        <v>37942.81</v>
      </c>
      <c r="C230" s="343">
        <v>193</v>
      </c>
      <c r="D230" s="343">
        <v>395</v>
      </c>
      <c r="E230" s="384">
        <v>46248</v>
      </c>
      <c r="F230" s="343" t="s">
        <v>236</v>
      </c>
      <c r="G230" s="343" t="s">
        <v>168</v>
      </c>
      <c r="Y230" s="343" t="s">
        <v>152</v>
      </c>
      <c r="Z230" s="343" t="s">
        <v>156</v>
      </c>
      <c r="AA230" s="384">
        <v>46188</v>
      </c>
      <c r="AB230" s="384">
        <v>46194</v>
      </c>
      <c r="AC230" s="343" t="s">
        <v>281</v>
      </c>
      <c r="AD230" s="343">
        <v>2408</v>
      </c>
      <c r="AE230" s="343">
        <v>46272.99</v>
      </c>
      <c r="AF230" s="343">
        <v>1201.01</v>
      </c>
      <c r="AG230" s="343">
        <v>0</v>
      </c>
      <c r="AH230" s="343">
        <v>47474</v>
      </c>
      <c r="AI230" s="343">
        <v>3012.51</v>
      </c>
    </row>
    <row r="231" spans="1:35">
      <c r="A231" s="343">
        <v>20260815</v>
      </c>
      <c r="B231" s="343">
        <v>46774.559999999998</v>
      </c>
      <c r="C231" s="343">
        <v>243</v>
      </c>
      <c r="D231" s="343">
        <v>501</v>
      </c>
      <c r="E231" s="384">
        <v>46249</v>
      </c>
      <c r="F231" s="343" t="s">
        <v>244</v>
      </c>
      <c r="G231" s="343" t="s">
        <v>168</v>
      </c>
      <c r="Y231" s="343" t="s">
        <v>152</v>
      </c>
      <c r="Z231" s="343" t="s">
        <v>156</v>
      </c>
      <c r="AA231" s="384">
        <v>46188</v>
      </c>
      <c r="AB231" s="384">
        <v>46194</v>
      </c>
      <c r="AC231" s="343" t="s">
        <v>342</v>
      </c>
      <c r="AD231" s="343">
        <v>997</v>
      </c>
      <c r="AE231" s="343">
        <v>7941.75</v>
      </c>
      <c r="AF231" s="343">
        <v>139.25</v>
      </c>
      <c r="AG231" s="343">
        <v>0</v>
      </c>
      <c r="AH231" s="343">
        <v>8081</v>
      </c>
      <c r="AI231" s="343">
        <v>518.51</v>
      </c>
    </row>
    <row r="232" spans="1:35">
      <c r="A232" s="343">
        <v>20260816</v>
      </c>
      <c r="C232" s="343">
        <v>124</v>
      </c>
      <c r="D232" s="343">
        <v>268</v>
      </c>
      <c r="E232" s="384">
        <v>46250</v>
      </c>
      <c r="F232" s="343" t="s">
        <v>245</v>
      </c>
      <c r="G232" s="343" t="s">
        <v>168</v>
      </c>
      <c r="Y232" s="343" t="s">
        <v>152</v>
      </c>
      <c r="Z232" s="343" t="s">
        <v>156</v>
      </c>
      <c r="AA232" s="384">
        <v>46188</v>
      </c>
      <c r="AB232" s="384">
        <v>46194</v>
      </c>
      <c r="AC232" s="343" t="s">
        <v>293</v>
      </c>
      <c r="AD232" s="343">
        <v>971</v>
      </c>
      <c r="AE232" s="343">
        <v>13640</v>
      </c>
      <c r="AF232" s="343">
        <v>317</v>
      </c>
      <c r="AG232" s="343">
        <v>0</v>
      </c>
      <c r="AH232" s="343">
        <v>13957</v>
      </c>
      <c r="AI232" s="343">
        <v>887.34</v>
      </c>
    </row>
    <row r="233" spans="1:35">
      <c r="A233" s="343">
        <v>20260817</v>
      </c>
      <c r="B233" s="343">
        <v>14971.5</v>
      </c>
      <c r="C233" s="343">
        <v>78</v>
      </c>
      <c r="D233" s="343">
        <v>165</v>
      </c>
      <c r="E233" s="384">
        <v>46251</v>
      </c>
      <c r="F233" s="343" t="s">
        <v>232</v>
      </c>
      <c r="G233" s="343" t="s">
        <v>101</v>
      </c>
      <c r="Y233" s="343" t="s">
        <v>152</v>
      </c>
      <c r="Z233" s="343" t="s">
        <v>156</v>
      </c>
      <c r="AA233" s="384">
        <v>46188</v>
      </c>
      <c r="AB233" s="384">
        <v>46194</v>
      </c>
      <c r="AC233" s="343" t="s">
        <v>277</v>
      </c>
      <c r="AD233" s="343">
        <v>726</v>
      </c>
      <c r="AE233" s="343">
        <v>23098.400000000001</v>
      </c>
      <c r="AF233" s="343">
        <v>852.6</v>
      </c>
      <c r="AG233" s="343">
        <v>0</v>
      </c>
      <c r="AH233" s="343">
        <v>23951</v>
      </c>
      <c r="AI233" s="343">
        <v>1502.32</v>
      </c>
    </row>
    <row r="234" spans="1:35">
      <c r="A234" s="343">
        <v>20260818</v>
      </c>
      <c r="B234" s="343">
        <v>23339.5</v>
      </c>
      <c r="C234" s="343">
        <v>93</v>
      </c>
      <c r="D234" s="343">
        <v>211</v>
      </c>
      <c r="E234" s="384">
        <v>46252</v>
      </c>
      <c r="F234" s="343" t="s">
        <v>233</v>
      </c>
      <c r="G234" s="343" t="s">
        <v>101</v>
      </c>
      <c r="Y234" s="343" t="s">
        <v>152</v>
      </c>
      <c r="Z234" s="343" t="s">
        <v>157</v>
      </c>
      <c r="AA234" s="384">
        <v>46195</v>
      </c>
      <c r="AB234" s="384">
        <v>46201</v>
      </c>
      <c r="AC234" s="343" t="s">
        <v>279</v>
      </c>
      <c r="AD234" s="343">
        <v>150</v>
      </c>
      <c r="AE234" s="343">
        <v>1514.5</v>
      </c>
      <c r="AF234" s="343">
        <v>15</v>
      </c>
      <c r="AG234" s="343">
        <v>0</v>
      </c>
      <c r="AH234" s="343">
        <v>1529.5</v>
      </c>
      <c r="AI234" s="343">
        <v>98.84</v>
      </c>
    </row>
    <row r="235" spans="1:35">
      <c r="A235" s="343">
        <v>20260819</v>
      </c>
      <c r="B235" s="343">
        <v>27429.5</v>
      </c>
      <c r="C235" s="343">
        <v>126</v>
      </c>
      <c r="D235" s="343">
        <v>279</v>
      </c>
      <c r="E235" s="384">
        <v>46253</v>
      </c>
      <c r="F235" s="343" t="s">
        <v>234</v>
      </c>
      <c r="G235" s="343" t="s">
        <v>101</v>
      </c>
      <c r="Y235" s="343" t="s">
        <v>152</v>
      </c>
      <c r="Z235" s="343" t="s">
        <v>157</v>
      </c>
      <c r="AA235" s="384">
        <v>46195</v>
      </c>
      <c r="AB235" s="384">
        <v>46201</v>
      </c>
      <c r="AC235" s="343" t="s">
        <v>285</v>
      </c>
      <c r="AD235" s="343">
        <v>5601</v>
      </c>
      <c r="AE235" s="343">
        <v>140782.06</v>
      </c>
      <c r="AF235" s="343">
        <v>4302.5</v>
      </c>
      <c r="AG235" s="343">
        <v>0</v>
      </c>
      <c r="AH235" s="343">
        <v>145084.56</v>
      </c>
      <c r="AI235" s="343">
        <v>9158.5</v>
      </c>
    </row>
    <row r="236" spans="1:35">
      <c r="A236" s="343">
        <v>20260820</v>
      </c>
      <c r="B236" s="343">
        <v>28735.5</v>
      </c>
      <c r="C236" s="343">
        <v>150</v>
      </c>
      <c r="D236" s="343">
        <v>291</v>
      </c>
      <c r="E236" s="384">
        <v>46254</v>
      </c>
      <c r="F236" s="343" t="s">
        <v>235</v>
      </c>
      <c r="G236" s="343" t="s">
        <v>101</v>
      </c>
      <c r="Y236" s="343" t="s">
        <v>152</v>
      </c>
      <c r="Z236" s="343" t="s">
        <v>157</v>
      </c>
      <c r="AA236" s="384">
        <v>46195</v>
      </c>
      <c r="AB236" s="384">
        <v>46201</v>
      </c>
      <c r="AC236" s="343" t="s">
        <v>281</v>
      </c>
      <c r="AD236" s="343">
        <v>2337</v>
      </c>
      <c r="AE236" s="343">
        <v>43991.94</v>
      </c>
      <c r="AF236" s="343">
        <v>1525.06</v>
      </c>
      <c r="AG236" s="343">
        <v>0</v>
      </c>
      <c r="AH236" s="343">
        <v>45517</v>
      </c>
      <c r="AI236" s="343">
        <v>2864.69</v>
      </c>
    </row>
    <row r="237" spans="1:35">
      <c r="A237" s="343">
        <v>20260821</v>
      </c>
      <c r="B237" s="343">
        <v>44008.480000000003</v>
      </c>
      <c r="C237" s="343">
        <v>208</v>
      </c>
      <c r="D237" s="343">
        <v>474</v>
      </c>
      <c r="E237" s="384">
        <v>46255</v>
      </c>
      <c r="F237" s="343" t="s">
        <v>236</v>
      </c>
      <c r="G237" s="343" t="s">
        <v>101</v>
      </c>
      <c r="Y237" s="343" t="s">
        <v>152</v>
      </c>
      <c r="Z237" s="343" t="s">
        <v>157</v>
      </c>
      <c r="AA237" s="384">
        <v>46195</v>
      </c>
      <c r="AB237" s="384">
        <v>46201</v>
      </c>
      <c r="AC237" s="343" t="s">
        <v>342</v>
      </c>
      <c r="AD237" s="343">
        <v>894</v>
      </c>
      <c r="AE237" s="343">
        <v>7256.61</v>
      </c>
      <c r="AF237" s="343">
        <v>79.39</v>
      </c>
      <c r="AG237" s="343">
        <v>0</v>
      </c>
      <c r="AH237" s="343">
        <v>7336</v>
      </c>
      <c r="AI237" s="343">
        <v>473.64</v>
      </c>
    </row>
    <row r="238" spans="1:35">
      <c r="A238" s="343">
        <v>20260822</v>
      </c>
      <c r="B238" s="343">
        <v>44577.75</v>
      </c>
      <c r="C238" s="343">
        <v>226</v>
      </c>
      <c r="D238" s="343">
        <v>489</v>
      </c>
      <c r="E238" s="384">
        <v>46256</v>
      </c>
      <c r="F238" s="343" t="s">
        <v>244</v>
      </c>
      <c r="G238" s="343" t="s">
        <v>101</v>
      </c>
      <c r="Y238" s="343" t="s">
        <v>152</v>
      </c>
      <c r="Z238" s="343" t="s">
        <v>157</v>
      </c>
      <c r="AA238" s="384">
        <v>46195</v>
      </c>
      <c r="AB238" s="384">
        <v>46201</v>
      </c>
      <c r="AC238" s="343" t="s">
        <v>277</v>
      </c>
      <c r="AD238" s="343">
        <v>819</v>
      </c>
      <c r="AE238" s="343">
        <v>26321.200000000001</v>
      </c>
      <c r="AF238" s="343">
        <v>882.8</v>
      </c>
      <c r="AG238" s="343">
        <v>0</v>
      </c>
      <c r="AH238" s="343">
        <v>27204</v>
      </c>
      <c r="AI238" s="343">
        <v>1712.02</v>
      </c>
    </row>
    <row r="239" spans="1:35">
      <c r="A239" s="343">
        <v>20260823</v>
      </c>
      <c r="B239" s="343">
        <v>24076.5</v>
      </c>
      <c r="C239" s="343">
        <v>114</v>
      </c>
      <c r="D239" s="343">
        <v>262</v>
      </c>
      <c r="E239" s="384">
        <v>46257</v>
      </c>
      <c r="F239" s="343" t="s">
        <v>245</v>
      </c>
      <c r="G239" s="343" t="s">
        <v>101</v>
      </c>
      <c r="Y239" s="343" t="s">
        <v>159</v>
      </c>
      <c r="Z239" s="343" t="s">
        <v>160</v>
      </c>
      <c r="AA239" s="384">
        <v>46202</v>
      </c>
      <c r="AB239" s="384">
        <v>46208</v>
      </c>
      <c r="AC239" s="343" t="s">
        <v>285</v>
      </c>
      <c r="AD239" s="343">
        <v>4154</v>
      </c>
      <c r="AE239" s="343">
        <v>106810.78</v>
      </c>
      <c r="AF239" s="343">
        <v>4727.76</v>
      </c>
      <c r="AG239" s="343">
        <v>0</v>
      </c>
      <c r="AH239" s="343">
        <v>111538.54</v>
      </c>
      <c r="AI239" s="343">
        <v>6949.05</v>
      </c>
    </row>
    <row r="240" spans="1:35">
      <c r="Y240" s="343" t="s">
        <v>159</v>
      </c>
      <c r="Z240" s="343" t="s">
        <v>160</v>
      </c>
      <c r="AA240" s="384">
        <v>46202</v>
      </c>
      <c r="AB240" s="384">
        <v>46208</v>
      </c>
      <c r="AC240" s="343" t="s">
        <v>281</v>
      </c>
      <c r="AD240" s="343">
        <v>1505</v>
      </c>
      <c r="AE240" s="343">
        <v>28556.63</v>
      </c>
      <c r="AF240" s="343">
        <v>722.37</v>
      </c>
      <c r="AG240" s="343">
        <v>0</v>
      </c>
      <c r="AH240" s="343">
        <v>29279</v>
      </c>
      <c r="AI240" s="343">
        <v>1859.48</v>
      </c>
    </row>
    <row r="241" spans="25:35">
      <c r="Y241" s="343" t="s">
        <v>159</v>
      </c>
      <c r="Z241" s="343" t="s">
        <v>160</v>
      </c>
      <c r="AA241" s="384">
        <v>46202</v>
      </c>
      <c r="AB241" s="384">
        <v>46208</v>
      </c>
      <c r="AC241" s="343" t="s">
        <v>342</v>
      </c>
      <c r="AD241" s="343">
        <v>737</v>
      </c>
      <c r="AE241" s="343">
        <v>6145.21</v>
      </c>
      <c r="AF241" s="343">
        <v>96.79</v>
      </c>
      <c r="AG241" s="343">
        <v>0</v>
      </c>
      <c r="AH241" s="343">
        <v>6242</v>
      </c>
      <c r="AI241" s="343">
        <v>400.71</v>
      </c>
    </row>
    <row r="242" spans="25:35">
      <c r="Y242" s="343" t="s">
        <v>159</v>
      </c>
      <c r="Z242" s="343" t="s">
        <v>160</v>
      </c>
      <c r="AA242" s="384">
        <v>46202</v>
      </c>
      <c r="AB242" s="384">
        <v>46208</v>
      </c>
      <c r="AC242" s="343" t="s">
        <v>277</v>
      </c>
      <c r="AD242" s="343">
        <v>577</v>
      </c>
      <c r="AE242" s="343">
        <v>18266.419999999998</v>
      </c>
      <c r="AF242" s="343">
        <v>995.58</v>
      </c>
      <c r="AG242" s="343">
        <v>0</v>
      </c>
      <c r="AH242" s="343">
        <v>19262</v>
      </c>
      <c r="AI242" s="343">
        <v>1188.29</v>
      </c>
    </row>
    <row r="243" spans="25:35">
      <c r="Y243" s="343" t="s">
        <v>159</v>
      </c>
      <c r="Z243" s="343" t="s">
        <v>161</v>
      </c>
      <c r="AA243" s="384">
        <v>46209</v>
      </c>
      <c r="AB243" s="384">
        <v>46215</v>
      </c>
      <c r="AC243" s="343" t="s">
        <v>279</v>
      </c>
      <c r="AD243" s="343">
        <v>167</v>
      </c>
      <c r="AE243" s="343">
        <v>1624</v>
      </c>
      <c r="AF243" s="343">
        <v>28.5</v>
      </c>
      <c r="AG243" s="343">
        <v>0</v>
      </c>
      <c r="AH243" s="343">
        <v>1652.5</v>
      </c>
      <c r="AI243" s="343">
        <v>105.93</v>
      </c>
    </row>
    <row r="244" spans="25:35">
      <c r="Y244" s="343" t="s">
        <v>159</v>
      </c>
      <c r="Z244" s="343" t="s">
        <v>161</v>
      </c>
      <c r="AA244" s="384">
        <v>46209</v>
      </c>
      <c r="AB244" s="384">
        <v>46215</v>
      </c>
      <c r="AC244" s="343" t="s">
        <v>285</v>
      </c>
      <c r="AD244" s="343">
        <v>4957</v>
      </c>
      <c r="AE244" s="343">
        <v>125127.32</v>
      </c>
      <c r="AF244" s="343">
        <v>4483.1400000000003</v>
      </c>
      <c r="AG244" s="343">
        <v>0</v>
      </c>
      <c r="AH244" s="343">
        <v>129610.46</v>
      </c>
      <c r="AI244" s="343">
        <v>8141.34</v>
      </c>
    </row>
    <row r="245" spans="25:35">
      <c r="Y245" s="343" t="s">
        <v>159</v>
      </c>
      <c r="Z245" s="343" t="s">
        <v>161</v>
      </c>
      <c r="AA245" s="384">
        <v>46209</v>
      </c>
      <c r="AB245" s="384">
        <v>46215</v>
      </c>
      <c r="AC245" s="343" t="s">
        <v>281</v>
      </c>
      <c r="AD245" s="343">
        <v>2296</v>
      </c>
      <c r="AE245" s="343">
        <v>45142.44</v>
      </c>
      <c r="AF245" s="343">
        <v>432.06</v>
      </c>
      <c r="AG245" s="343">
        <v>0</v>
      </c>
      <c r="AH245" s="343">
        <v>45574.5</v>
      </c>
      <c r="AI245" s="343">
        <v>2939.16</v>
      </c>
    </row>
    <row r="246" spans="25:35">
      <c r="Y246" s="343" t="s">
        <v>159</v>
      </c>
      <c r="Z246" s="343" t="s">
        <v>161</v>
      </c>
      <c r="AA246" s="384">
        <v>46209</v>
      </c>
      <c r="AB246" s="384">
        <v>46215</v>
      </c>
      <c r="AC246" s="343" t="s">
        <v>342</v>
      </c>
      <c r="AD246" s="343">
        <v>926</v>
      </c>
      <c r="AE246" s="343">
        <v>7496.61</v>
      </c>
      <c r="AF246" s="343">
        <v>158.4</v>
      </c>
      <c r="AG246" s="343">
        <v>0</v>
      </c>
      <c r="AH246" s="343">
        <v>7655.01</v>
      </c>
      <c r="AI246" s="343">
        <v>489.43</v>
      </c>
    </row>
    <row r="247" spans="25:35">
      <c r="Y247" s="343" t="s">
        <v>159</v>
      </c>
      <c r="Z247" s="343" t="s">
        <v>161</v>
      </c>
      <c r="AA247" s="384">
        <v>46209</v>
      </c>
      <c r="AB247" s="384">
        <v>46215</v>
      </c>
      <c r="AC247" s="343" t="s">
        <v>339</v>
      </c>
      <c r="AD247" s="343">
        <v>1</v>
      </c>
      <c r="AE247" s="343">
        <v>38</v>
      </c>
      <c r="AF247" s="343">
        <v>4</v>
      </c>
      <c r="AG247" s="343">
        <v>0</v>
      </c>
      <c r="AH247" s="343">
        <v>42</v>
      </c>
      <c r="AI247" s="343">
        <v>2.4700000000000002</v>
      </c>
    </row>
    <row r="248" spans="25:35">
      <c r="Y248" s="343" t="s">
        <v>159</v>
      </c>
      <c r="Z248" s="343" t="s">
        <v>161</v>
      </c>
      <c r="AA248" s="384">
        <v>46209</v>
      </c>
      <c r="AB248" s="384">
        <v>46215</v>
      </c>
      <c r="AC248" s="343" t="s">
        <v>277</v>
      </c>
      <c r="AD248" s="343">
        <v>644</v>
      </c>
      <c r="AE248" s="343">
        <v>27871.8</v>
      </c>
      <c r="AF248" s="343">
        <v>637.20000000000005</v>
      </c>
      <c r="AG248" s="343">
        <v>0</v>
      </c>
      <c r="AH248" s="343">
        <v>28509</v>
      </c>
      <c r="AI248" s="343">
        <v>1812.6</v>
      </c>
    </row>
    <row r="249" spans="25:35">
      <c r="Y249" s="343" t="s">
        <v>159</v>
      </c>
      <c r="Z249" s="343" t="s">
        <v>162</v>
      </c>
      <c r="AA249" s="384">
        <v>46216</v>
      </c>
      <c r="AB249" s="384">
        <v>46222</v>
      </c>
      <c r="AC249" s="343" t="s">
        <v>279</v>
      </c>
      <c r="AD249" s="343">
        <v>157</v>
      </c>
      <c r="AE249" s="343">
        <v>1529.6</v>
      </c>
      <c r="AF249" s="343">
        <v>11.4</v>
      </c>
      <c r="AG249" s="343">
        <v>0</v>
      </c>
      <c r="AH249" s="343">
        <v>1541</v>
      </c>
      <c r="AI249" s="343">
        <v>99.8</v>
      </c>
    </row>
    <row r="250" spans="25:35">
      <c r="Y250" s="343" t="s">
        <v>159</v>
      </c>
      <c r="Z250" s="343" t="s">
        <v>162</v>
      </c>
      <c r="AA250" s="384">
        <v>46216</v>
      </c>
      <c r="AB250" s="384">
        <v>46222</v>
      </c>
      <c r="AC250" s="343" t="s">
        <v>285</v>
      </c>
      <c r="AD250" s="343">
        <v>5404</v>
      </c>
      <c r="AE250" s="343">
        <v>141492.10999999999</v>
      </c>
      <c r="AF250" s="343">
        <v>5143.8900000000003</v>
      </c>
      <c r="AG250" s="343">
        <v>0</v>
      </c>
      <c r="AH250" s="343">
        <v>146636</v>
      </c>
      <c r="AI250" s="343">
        <v>9205.3799999999992</v>
      </c>
    </row>
    <row r="251" spans="25:35">
      <c r="Y251" s="343" t="s">
        <v>159</v>
      </c>
      <c r="Z251" s="343" t="s">
        <v>162</v>
      </c>
      <c r="AA251" s="384">
        <v>46216</v>
      </c>
      <c r="AB251" s="384">
        <v>46222</v>
      </c>
      <c r="AC251" s="343" t="s">
        <v>281</v>
      </c>
      <c r="AD251" s="343">
        <v>2732</v>
      </c>
      <c r="AE251" s="343">
        <v>52069.74</v>
      </c>
      <c r="AF251" s="343">
        <v>1207.73</v>
      </c>
      <c r="AG251" s="343">
        <v>0</v>
      </c>
      <c r="AH251" s="343">
        <v>53277.47</v>
      </c>
      <c r="AI251" s="343">
        <v>3390.05</v>
      </c>
    </row>
    <row r="252" spans="25:35">
      <c r="Y252" s="343" t="s">
        <v>159</v>
      </c>
      <c r="Z252" s="343" t="s">
        <v>162</v>
      </c>
      <c r="AA252" s="384">
        <v>46216</v>
      </c>
      <c r="AB252" s="384">
        <v>46222</v>
      </c>
      <c r="AC252" s="343" t="s">
        <v>342</v>
      </c>
      <c r="AD252" s="343">
        <v>905</v>
      </c>
      <c r="AE252" s="343">
        <v>7198.44</v>
      </c>
      <c r="AF252" s="343">
        <v>148.56</v>
      </c>
      <c r="AG252" s="343">
        <v>0</v>
      </c>
      <c r="AH252" s="343">
        <v>7347</v>
      </c>
      <c r="AI252" s="343">
        <v>469.9</v>
      </c>
    </row>
    <row r="253" spans="25:35">
      <c r="Y253" s="343" t="s">
        <v>159</v>
      </c>
      <c r="Z253" s="343" t="s">
        <v>162</v>
      </c>
      <c r="AA253" s="384">
        <v>46216</v>
      </c>
      <c r="AB253" s="384">
        <v>46222</v>
      </c>
      <c r="AC253" s="343" t="s">
        <v>277</v>
      </c>
      <c r="AD253" s="343">
        <v>803</v>
      </c>
      <c r="AE253" s="343">
        <v>29515.99</v>
      </c>
      <c r="AF253" s="343">
        <v>914.02</v>
      </c>
      <c r="AG253" s="343">
        <v>0</v>
      </c>
      <c r="AH253" s="343">
        <v>30430.01</v>
      </c>
      <c r="AI253" s="343">
        <v>1919.81</v>
      </c>
    </row>
    <row r="254" spans="25:35">
      <c r="Y254" s="343" t="s">
        <v>159</v>
      </c>
      <c r="Z254" s="343" t="s">
        <v>163</v>
      </c>
      <c r="AA254" s="384">
        <v>46223</v>
      </c>
      <c r="AB254" s="384">
        <v>46229</v>
      </c>
      <c r="AC254" s="343" t="s">
        <v>279</v>
      </c>
      <c r="AD254" s="343">
        <v>138</v>
      </c>
      <c r="AE254" s="343">
        <v>1362.5</v>
      </c>
      <c r="AF254" s="343">
        <v>58.5</v>
      </c>
      <c r="AG254" s="343">
        <v>0</v>
      </c>
      <c r="AH254" s="343">
        <v>1421</v>
      </c>
      <c r="AI254" s="343">
        <v>88.91</v>
      </c>
    </row>
    <row r="255" spans="25:35">
      <c r="Y255" s="343" t="s">
        <v>159</v>
      </c>
      <c r="Z255" s="343" t="s">
        <v>163</v>
      </c>
      <c r="AA255" s="384">
        <v>46223</v>
      </c>
      <c r="AB255" s="384">
        <v>46229</v>
      </c>
      <c r="AC255" s="343" t="s">
        <v>285</v>
      </c>
      <c r="AD255" s="343">
        <v>5701</v>
      </c>
      <c r="AE255" s="343">
        <v>140751.10999999999</v>
      </c>
      <c r="AF255" s="343">
        <v>4382.87</v>
      </c>
      <c r="AG255" s="343">
        <v>0</v>
      </c>
      <c r="AH255" s="343">
        <v>145133.98000000001</v>
      </c>
      <c r="AI255" s="343">
        <v>9157.39</v>
      </c>
    </row>
    <row r="256" spans="25:35">
      <c r="Y256" s="343" t="s">
        <v>159</v>
      </c>
      <c r="Z256" s="343" t="s">
        <v>163</v>
      </c>
      <c r="AA256" s="384">
        <v>46223</v>
      </c>
      <c r="AB256" s="384">
        <v>46229</v>
      </c>
      <c r="AC256" s="343" t="s">
        <v>281</v>
      </c>
      <c r="AD256" s="343">
        <v>2329</v>
      </c>
      <c r="AE256" s="343">
        <v>45669.35</v>
      </c>
      <c r="AF256" s="343">
        <v>1953.65</v>
      </c>
      <c r="AG256" s="343">
        <v>0</v>
      </c>
      <c r="AH256" s="343">
        <v>47623</v>
      </c>
      <c r="AI256" s="343">
        <v>2973.93</v>
      </c>
    </row>
    <row r="257" spans="25:35">
      <c r="Y257" s="343" t="s">
        <v>159</v>
      </c>
      <c r="Z257" s="343" t="s">
        <v>163</v>
      </c>
      <c r="AA257" s="384">
        <v>46223</v>
      </c>
      <c r="AB257" s="384">
        <v>46229</v>
      </c>
      <c r="AC257" s="343" t="s">
        <v>342</v>
      </c>
      <c r="AD257" s="343">
        <v>980</v>
      </c>
      <c r="AE257" s="343">
        <v>7859.8</v>
      </c>
      <c r="AF257" s="343">
        <v>172.2</v>
      </c>
      <c r="AG257" s="343">
        <v>0</v>
      </c>
      <c r="AH257" s="343">
        <v>8032</v>
      </c>
      <c r="AI257" s="343">
        <v>512.77</v>
      </c>
    </row>
    <row r="258" spans="25:35">
      <c r="Y258" s="343" t="s">
        <v>159</v>
      </c>
      <c r="Z258" s="343" t="s">
        <v>163</v>
      </c>
      <c r="AA258" s="384">
        <v>46223</v>
      </c>
      <c r="AB258" s="384">
        <v>46229</v>
      </c>
      <c r="AC258" s="343" t="s">
        <v>293</v>
      </c>
      <c r="AD258" s="343">
        <v>5</v>
      </c>
      <c r="AE258" s="343">
        <v>111.6</v>
      </c>
      <c r="AF258" s="343">
        <v>5.4</v>
      </c>
      <c r="AG258" s="343">
        <v>0</v>
      </c>
      <c r="AH258" s="343">
        <v>117</v>
      </c>
      <c r="AI258" s="343">
        <v>7.27</v>
      </c>
    </row>
    <row r="259" spans="25:35">
      <c r="Y259" s="343" t="s">
        <v>159</v>
      </c>
      <c r="Z259" s="343" t="s">
        <v>163</v>
      </c>
      <c r="AA259" s="384">
        <v>46223</v>
      </c>
      <c r="AB259" s="384">
        <v>46229</v>
      </c>
      <c r="AC259" s="343" t="s">
        <v>277</v>
      </c>
      <c r="AD259" s="343">
        <v>815</v>
      </c>
      <c r="AE259" s="343">
        <v>26336.77</v>
      </c>
      <c r="AF259" s="343">
        <v>1128.23</v>
      </c>
      <c r="AG259" s="343">
        <v>0</v>
      </c>
      <c r="AH259" s="343">
        <v>27465</v>
      </c>
      <c r="AI259" s="343">
        <v>1713.03</v>
      </c>
    </row>
    <row r="260" spans="25:35">
      <c r="Y260" s="343" t="s">
        <v>165</v>
      </c>
      <c r="Z260" s="343" t="s">
        <v>166</v>
      </c>
      <c r="AA260" s="384">
        <v>46230</v>
      </c>
      <c r="AB260" s="384">
        <v>46236</v>
      </c>
      <c r="AC260" s="343" t="s">
        <v>285</v>
      </c>
      <c r="AD260" s="343">
        <v>6006</v>
      </c>
      <c r="AE260" s="343">
        <v>147755.89000000001</v>
      </c>
      <c r="AF260" s="343">
        <v>4466.63</v>
      </c>
      <c r="AG260" s="343">
        <v>0</v>
      </c>
      <c r="AH260" s="343">
        <v>152222.51999999999</v>
      </c>
      <c r="AI260" s="343">
        <v>9528.58</v>
      </c>
    </row>
    <row r="261" spans="25:35">
      <c r="Y261" s="343" t="s">
        <v>165</v>
      </c>
      <c r="Z261" s="343" t="s">
        <v>166</v>
      </c>
      <c r="AA261" s="384">
        <v>46230</v>
      </c>
      <c r="AB261" s="384">
        <v>46236</v>
      </c>
      <c r="AC261" s="343" t="s">
        <v>281</v>
      </c>
      <c r="AD261" s="343">
        <v>2608</v>
      </c>
      <c r="AE261" s="343">
        <v>52083.21</v>
      </c>
      <c r="AF261" s="343">
        <v>1285.29</v>
      </c>
      <c r="AG261" s="343">
        <v>0</v>
      </c>
      <c r="AH261" s="343">
        <v>53368.5</v>
      </c>
      <c r="AI261" s="343">
        <v>3322.7</v>
      </c>
    </row>
    <row r="262" spans="25:35">
      <c r="Y262" s="343" t="s">
        <v>165</v>
      </c>
      <c r="Z262" s="343" t="s">
        <v>166</v>
      </c>
      <c r="AA262" s="384">
        <v>46230</v>
      </c>
      <c r="AB262" s="384">
        <v>46236</v>
      </c>
      <c r="AC262" s="343" t="s">
        <v>342</v>
      </c>
      <c r="AD262" s="343">
        <v>973</v>
      </c>
      <c r="AE262" s="343">
        <v>7590.02</v>
      </c>
      <c r="AF262" s="343">
        <v>122.98</v>
      </c>
      <c r="AG262" s="343">
        <v>0</v>
      </c>
      <c r="AH262" s="343">
        <v>7713</v>
      </c>
      <c r="AI262" s="343">
        <v>491.85</v>
      </c>
    </row>
    <row r="263" spans="25:35">
      <c r="Y263" s="343" t="s">
        <v>165</v>
      </c>
      <c r="Z263" s="343" t="s">
        <v>166</v>
      </c>
      <c r="AA263" s="384">
        <v>46230</v>
      </c>
      <c r="AB263" s="384">
        <v>46236</v>
      </c>
      <c r="AC263" s="343" t="s">
        <v>293</v>
      </c>
      <c r="AD263" s="343">
        <v>3</v>
      </c>
      <c r="AE263" s="343">
        <v>19</v>
      </c>
      <c r="AF263" s="343">
        <v>33</v>
      </c>
      <c r="AG263" s="343">
        <v>0</v>
      </c>
      <c r="AH263" s="343">
        <v>52</v>
      </c>
      <c r="AI263" s="343">
        <v>1.24</v>
      </c>
    </row>
    <row r="264" spans="25:35">
      <c r="Y264" s="343" t="s">
        <v>165</v>
      </c>
      <c r="Z264" s="343" t="s">
        <v>166</v>
      </c>
      <c r="AA264" s="384">
        <v>46230</v>
      </c>
      <c r="AB264" s="384">
        <v>46236</v>
      </c>
      <c r="AC264" s="343" t="s">
        <v>277</v>
      </c>
      <c r="AD264" s="343">
        <v>760</v>
      </c>
      <c r="AE264" s="343">
        <v>19289.5</v>
      </c>
      <c r="AF264" s="343">
        <v>629.5</v>
      </c>
      <c r="AG264" s="343">
        <v>0</v>
      </c>
      <c r="AH264" s="343">
        <v>19919</v>
      </c>
      <c r="AI264" s="343">
        <v>1251.8499999999999</v>
      </c>
    </row>
    <row r="265" spans="25:35">
      <c r="Y265" s="343" t="s">
        <v>165</v>
      </c>
      <c r="Z265" s="343" t="s">
        <v>167</v>
      </c>
      <c r="AA265" s="384">
        <v>46237</v>
      </c>
      <c r="AB265" s="384">
        <v>46243</v>
      </c>
      <c r="AC265" s="343" t="s">
        <v>279</v>
      </c>
      <c r="AD265" s="343">
        <v>161</v>
      </c>
      <c r="AE265" s="343">
        <v>1575</v>
      </c>
      <c r="AF265" s="343">
        <v>9.5</v>
      </c>
      <c r="AG265" s="343">
        <v>0</v>
      </c>
      <c r="AH265" s="343">
        <v>1584.5</v>
      </c>
      <c r="AI265" s="343">
        <v>91.64</v>
      </c>
    </row>
    <row r="266" spans="25:35">
      <c r="Y266" s="343" t="s">
        <v>165</v>
      </c>
      <c r="Z266" s="343" t="s">
        <v>167</v>
      </c>
      <c r="AA266" s="384">
        <v>46237</v>
      </c>
      <c r="AB266" s="384">
        <v>46243</v>
      </c>
      <c r="AC266" s="343" t="s">
        <v>285</v>
      </c>
      <c r="AD266" s="343">
        <v>5623</v>
      </c>
      <c r="AE266" s="343">
        <v>144924.19</v>
      </c>
      <c r="AF266" s="343">
        <v>3958.23</v>
      </c>
      <c r="AG266" s="343">
        <v>0</v>
      </c>
      <c r="AH266" s="343">
        <v>148882.42000000001</v>
      </c>
      <c r="AI266" s="343">
        <v>9296.15</v>
      </c>
    </row>
    <row r="267" spans="25:35">
      <c r="Y267" s="343" t="s">
        <v>165</v>
      </c>
      <c r="Z267" s="343" t="s">
        <v>167</v>
      </c>
      <c r="AA267" s="384">
        <v>46237</v>
      </c>
      <c r="AB267" s="384">
        <v>46243</v>
      </c>
      <c r="AC267" s="343" t="s">
        <v>281</v>
      </c>
      <c r="AD267" s="343">
        <v>2346</v>
      </c>
      <c r="AE267" s="343">
        <v>44351.49</v>
      </c>
      <c r="AF267" s="343">
        <v>660.01</v>
      </c>
      <c r="AG267" s="343">
        <v>0</v>
      </c>
      <c r="AH267" s="343">
        <v>45011.5</v>
      </c>
      <c r="AI267" s="343">
        <v>2878.84</v>
      </c>
    </row>
    <row r="268" spans="25:35">
      <c r="Y268" s="343" t="s">
        <v>165</v>
      </c>
      <c r="Z268" s="343" t="s">
        <v>167</v>
      </c>
      <c r="AA268" s="384">
        <v>46237</v>
      </c>
      <c r="AB268" s="384">
        <v>46243</v>
      </c>
      <c r="AC268" s="343" t="s">
        <v>342</v>
      </c>
      <c r="AD268" s="343">
        <v>1023</v>
      </c>
      <c r="AE268" s="343">
        <v>8237.8700000000008</v>
      </c>
      <c r="AF268" s="343">
        <v>144.13</v>
      </c>
      <c r="AG268" s="343">
        <v>0</v>
      </c>
      <c r="AH268" s="343">
        <v>8382</v>
      </c>
      <c r="AI268" s="343">
        <v>534.22</v>
      </c>
    </row>
    <row r="269" spans="25:35">
      <c r="Y269" s="343" t="s">
        <v>165</v>
      </c>
      <c r="Z269" s="343" t="s">
        <v>167</v>
      </c>
      <c r="AA269" s="384">
        <v>46237</v>
      </c>
      <c r="AB269" s="384">
        <v>46243</v>
      </c>
      <c r="AC269" s="343" t="s">
        <v>277</v>
      </c>
      <c r="AD269" s="343">
        <v>802</v>
      </c>
      <c r="AE269" s="343">
        <v>20041.37</v>
      </c>
      <c r="AF269" s="343">
        <v>1404.63</v>
      </c>
      <c r="AG269" s="343">
        <v>0</v>
      </c>
      <c r="AH269" s="343">
        <v>21446</v>
      </c>
      <c r="AI269" s="343">
        <v>1301.3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5E9D-5B82-4451-B0D6-42B8DC17445E}">
  <dimension ref="A1:AA287"/>
  <sheetViews>
    <sheetView topLeftCell="A110" workbookViewId="0">
      <selection activeCell="S118" sqref="S118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9.140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8.28515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7.7109375" style="343" bestFit="1" customWidth="1"/>
    <col min="18" max="18" width="8.140625" style="343" bestFit="1" customWidth="1"/>
    <col min="19" max="19" width="9.85546875" style="343" bestFit="1" customWidth="1"/>
    <col min="20" max="20" width="9.140625" style="343" bestFit="1" customWidth="1"/>
    <col min="21" max="21" width="19.7109375" style="343" bestFit="1" customWidth="1"/>
    <col min="22" max="22" width="7.140625" style="343" bestFit="1" customWidth="1"/>
    <col min="23" max="23" width="9.140625" style="343" bestFit="1" customWidth="1"/>
    <col min="24" max="24" width="14.5703125" style="343" bestFit="1" customWidth="1"/>
    <col min="25" max="25" width="13.42578125" style="343" bestFit="1" customWidth="1"/>
    <col min="26" max="26" width="10.28515625" style="343" bestFit="1" customWidth="1"/>
    <col min="27" max="27" width="10.85546875" style="343" bestFit="1" customWidth="1"/>
    <col min="28" max="16384" width="9.140625" style="343"/>
  </cols>
  <sheetData>
    <row r="1" spans="1:27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102</v>
      </c>
      <c r="R1" s="343" t="s">
        <v>100</v>
      </c>
      <c r="S1" s="343" t="s">
        <v>112</v>
      </c>
      <c r="T1" s="343" t="s">
        <v>113</v>
      </c>
      <c r="U1" s="343" t="s">
        <v>266</v>
      </c>
      <c r="V1" s="343" t="s">
        <v>267</v>
      </c>
      <c r="W1" s="343" t="s">
        <v>116</v>
      </c>
      <c r="X1" s="343" t="s">
        <v>268</v>
      </c>
      <c r="Y1" s="343" t="s">
        <v>269</v>
      </c>
      <c r="Z1" s="343" t="s">
        <v>270</v>
      </c>
      <c r="AA1" s="343" t="s">
        <v>271</v>
      </c>
    </row>
    <row r="2" spans="1:27">
      <c r="A2" s="343">
        <v>20251229</v>
      </c>
      <c r="B2" s="343">
        <v>45270.15</v>
      </c>
      <c r="C2" s="343">
        <v>144</v>
      </c>
      <c r="D2" s="343">
        <v>396</v>
      </c>
      <c r="E2" s="384">
        <v>46020</v>
      </c>
      <c r="F2" s="343" t="s">
        <v>232</v>
      </c>
      <c r="G2" s="343" t="s">
        <v>122</v>
      </c>
      <c r="I2" s="343">
        <v>20260103</v>
      </c>
      <c r="J2" s="343">
        <v>64980.75</v>
      </c>
      <c r="K2" s="343">
        <v>175</v>
      </c>
      <c r="L2" s="343">
        <v>471</v>
      </c>
      <c r="M2" s="384">
        <v>46025</v>
      </c>
      <c r="N2" s="343" t="s">
        <v>244</v>
      </c>
      <c r="O2" s="343" t="s">
        <v>122</v>
      </c>
      <c r="Q2" s="343" t="s">
        <v>338</v>
      </c>
      <c r="R2" s="343" t="s">
        <v>122</v>
      </c>
      <c r="S2" s="384">
        <v>46020</v>
      </c>
      <c r="T2" s="384">
        <v>46026</v>
      </c>
    </row>
    <row r="3" spans="1:27">
      <c r="A3" s="343">
        <v>20251230</v>
      </c>
      <c r="B3" s="343">
        <v>297610.87</v>
      </c>
      <c r="C3" s="343">
        <v>748</v>
      </c>
      <c r="D3" s="343">
        <v>1718</v>
      </c>
      <c r="E3" s="384">
        <v>46021</v>
      </c>
      <c r="F3" s="343" t="s">
        <v>233</v>
      </c>
      <c r="G3" s="343" t="s">
        <v>122</v>
      </c>
      <c r="I3" s="343">
        <v>20260104</v>
      </c>
      <c r="J3" s="343">
        <v>83517.75</v>
      </c>
      <c r="K3" s="343">
        <v>164</v>
      </c>
      <c r="L3" s="343">
        <v>494</v>
      </c>
      <c r="M3" s="384">
        <v>46026</v>
      </c>
      <c r="N3" s="343" t="s">
        <v>245</v>
      </c>
      <c r="O3" s="343" t="s">
        <v>122</v>
      </c>
      <c r="Q3" s="343" t="s">
        <v>338</v>
      </c>
      <c r="R3" s="343" t="s">
        <v>122</v>
      </c>
      <c r="S3" s="384">
        <v>46020</v>
      </c>
      <c r="T3" s="384">
        <v>46026</v>
      </c>
    </row>
    <row r="4" spans="1:27">
      <c r="A4" s="343">
        <v>20251231</v>
      </c>
      <c r="B4" s="343">
        <v>603767.78</v>
      </c>
      <c r="C4" s="343">
        <v>626</v>
      </c>
      <c r="D4" s="343">
        <v>1404</v>
      </c>
      <c r="E4" s="384">
        <v>46022</v>
      </c>
      <c r="F4" s="343" t="s">
        <v>234</v>
      </c>
      <c r="G4" s="343" t="s">
        <v>122</v>
      </c>
      <c r="I4" s="343">
        <v>20260110</v>
      </c>
      <c r="J4" s="343">
        <v>66652.800000000003</v>
      </c>
      <c r="K4" s="343">
        <v>97</v>
      </c>
      <c r="L4" s="343">
        <v>288</v>
      </c>
      <c r="M4" s="384">
        <v>46032</v>
      </c>
      <c r="N4" s="343" t="s">
        <v>244</v>
      </c>
      <c r="O4" s="343" t="s">
        <v>123</v>
      </c>
      <c r="Q4" s="343" t="s">
        <v>338</v>
      </c>
      <c r="R4" s="343" t="s">
        <v>122</v>
      </c>
      <c r="S4" s="384">
        <v>46020</v>
      </c>
      <c r="T4" s="384">
        <v>46026</v>
      </c>
    </row>
    <row r="5" spans="1:27">
      <c r="A5" s="343">
        <v>20260101</v>
      </c>
      <c r="B5" s="343">
        <v>76072.55</v>
      </c>
      <c r="C5" s="343">
        <v>207</v>
      </c>
      <c r="D5" s="343">
        <v>621</v>
      </c>
      <c r="E5" s="384">
        <v>46023</v>
      </c>
      <c r="F5" s="343" t="s">
        <v>235</v>
      </c>
      <c r="G5" s="343" t="s">
        <v>122</v>
      </c>
      <c r="I5" s="343">
        <v>20260111</v>
      </c>
      <c r="J5" s="343">
        <v>91092.06</v>
      </c>
      <c r="K5" s="343">
        <v>187</v>
      </c>
      <c r="L5" s="343">
        <v>473</v>
      </c>
      <c r="M5" s="384">
        <v>46033</v>
      </c>
      <c r="N5" s="343" t="s">
        <v>245</v>
      </c>
      <c r="O5" s="343" t="s">
        <v>123</v>
      </c>
      <c r="Q5" s="343" t="s">
        <v>338</v>
      </c>
      <c r="R5" s="343" t="s">
        <v>122</v>
      </c>
      <c r="S5" s="384">
        <v>46020</v>
      </c>
      <c r="T5" s="384">
        <v>46026</v>
      </c>
    </row>
    <row r="6" spans="1:27">
      <c r="A6" s="343">
        <v>20260102</v>
      </c>
      <c r="B6" s="343">
        <v>95326.5</v>
      </c>
      <c r="C6" s="343">
        <v>337</v>
      </c>
      <c r="D6" s="343">
        <v>883</v>
      </c>
      <c r="E6" s="384">
        <v>46024</v>
      </c>
      <c r="F6" s="343" t="s">
        <v>236</v>
      </c>
      <c r="G6" s="343" t="s">
        <v>122</v>
      </c>
      <c r="I6" s="343">
        <v>20260117</v>
      </c>
      <c r="J6" s="343">
        <v>54506.5</v>
      </c>
      <c r="K6" s="343">
        <v>123</v>
      </c>
      <c r="L6" s="343">
        <v>375</v>
      </c>
      <c r="M6" s="384">
        <v>46039</v>
      </c>
      <c r="N6" s="343" t="s">
        <v>244</v>
      </c>
      <c r="O6" s="343" t="s">
        <v>124</v>
      </c>
      <c r="Q6" s="343" t="s">
        <v>338</v>
      </c>
      <c r="R6" s="343" t="s">
        <v>122</v>
      </c>
      <c r="S6" s="384">
        <v>46020</v>
      </c>
      <c r="T6" s="384">
        <v>46026</v>
      </c>
    </row>
    <row r="7" spans="1:27">
      <c r="A7" s="343">
        <v>20260103</v>
      </c>
      <c r="B7" s="343">
        <v>252468</v>
      </c>
      <c r="C7" s="343">
        <v>713</v>
      </c>
      <c r="D7" s="343">
        <v>2788</v>
      </c>
      <c r="E7" s="384">
        <v>46025</v>
      </c>
      <c r="F7" s="343" t="s">
        <v>244</v>
      </c>
      <c r="G7" s="343" t="s">
        <v>122</v>
      </c>
      <c r="I7" s="343">
        <v>20260118</v>
      </c>
      <c r="J7" s="343">
        <v>138320.85</v>
      </c>
      <c r="K7" s="343">
        <v>224</v>
      </c>
      <c r="L7" s="343">
        <v>662</v>
      </c>
      <c r="M7" s="384">
        <v>46040</v>
      </c>
      <c r="N7" s="343" t="s">
        <v>245</v>
      </c>
      <c r="O7" s="343" t="s">
        <v>124</v>
      </c>
      <c r="Q7" s="343" t="s">
        <v>338</v>
      </c>
      <c r="R7" s="343" t="s">
        <v>122</v>
      </c>
      <c r="S7" s="384">
        <v>46020</v>
      </c>
      <c r="T7" s="384">
        <v>46026</v>
      </c>
    </row>
    <row r="8" spans="1:27">
      <c r="A8" s="343">
        <v>20260104</v>
      </c>
      <c r="B8" s="343">
        <v>121541</v>
      </c>
      <c r="C8" s="343">
        <v>485</v>
      </c>
      <c r="D8" s="343">
        <v>918</v>
      </c>
      <c r="E8" s="384">
        <v>46026</v>
      </c>
      <c r="F8" s="343" t="s">
        <v>245</v>
      </c>
      <c r="G8" s="343" t="s">
        <v>122</v>
      </c>
      <c r="I8" s="343">
        <v>20260124</v>
      </c>
      <c r="J8" s="343">
        <v>43777.65</v>
      </c>
      <c r="K8" s="343">
        <v>111</v>
      </c>
      <c r="L8" s="343">
        <v>342</v>
      </c>
      <c r="M8" s="384">
        <v>46046</v>
      </c>
      <c r="N8" s="343" t="s">
        <v>244</v>
      </c>
      <c r="O8" s="343" t="s">
        <v>125</v>
      </c>
      <c r="Q8" s="343" t="s">
        <v>338</v>
      </c>
      <c r="R8" s="343" t="s">
        <v>122</v>
      </c>
      <c r="S8" s="384">
        <v>46020</v>
      </c>
      <c r="T8" s="384">
        <v>46026</v>
      </c>
    </row>
    <row r="9" spans="1:27">
      <c r="A9" s="343">
        <v>20260106</v>
      </c>
      <c r="B9" s="343">
        <v>27748.5</v>
      </c>
      <c r="C9" s="343">
        <v>118</v>
      </c>
      <c r="D9" s="343">
        <v>232</v>
      </c>
      <c r="E9" s="384">
        <v>46028</v>
      </c>
      <c r="F9" s="343" t="s">
        <v>233</v>
      </c>
      <c r="G9" s="343" t="s">
        <v>123</v>
      </c>
      <c r="I9" s="343">
        <v>20260125</v>
      </c>
      <c r="J9" s="343">
        <v>98270.75</v>
      </c>
      <c r="K9" s="343">
        <v>204</v>
      </c>
      <c r="L9" s="343">
        <v>513</v>
      </c>
      <c r="M9" s="384">
        <v>46047</v>
      </c>
      <c r="N9" s="343" t="s">
        <v>245</v>
      </c>
      <c r="O9" s="343" t="s">
        <v>125</v>
      </c>
      <c r="Q9" s="343" t="s">
        <v>338</v>
      </c>
      <c r="R9" s="343" t="s">
        <v>122</v>
      </c>
      <c r="S9" s="384">
        <v>46020</v>
      </c>
      <c r="T9" s="384">
        <v>46026</v>
      </c>
    </row>
    <row r="10" spans="1:27">
      <c r="A10" s="343">
        <v>20260107</v>
      </c>
      <c r="B10" s="343">
        <v>53731.6</v>
      </c>
      <c r="C10" s="343">
        <v>102</v>
      </c>
      <c r="D10" s="343">
        <v>362</v>
      </c>
      <c r="E10" s="384">
        <v>46029</v>
      </c>
      <c r="F10" s="343" t="s">
        <v>234</v>
      </c>
      <c r="G10" s="343" t="s">
        <v>123</v>
      </c>
      <c r="I10" s="343">
        <v>20260131</v>
      </c>
      <c r="J10" s="343">
        <v>53343.55</v>
      </c>
      <c r="K10" s="343">
        <v>119</v>
      </c>
      <c r="L10" s="343">
        <v>345</v>
      </c>
      <c r="M10" s="384">
        <v>46053</v>
      </c>
      <c r="N10" s="343" t="s">
        <v>244</v>
      </c>
      <c r="O10" s="343" t="s">
        <v>128</v>
      </c>
      <c r="Q10" s="343" t="s">
        <v>338</v>
      </c>
      <c r="R10" s="343" t="s">
        <v>123</v>
      </c>
      <c r="S10" s="384">
        <v>46027</v>
      </c>
      <c r="T10" s="384">
        <v>46033</v>
      </c>
    </row>
    <row r="11" spans="1:27">
      <c r="A11" s="343">
        <v>20260108</v>
      </c>
      <c r="B11" s="343">
        <v>23788</v>
      </c>
      <c r="C11" s="343">
        <v>119</v>
      </c>
      <c r="D11" s="343">
        <v>239</v>
      </c>
      <c r="E11" s="384">
        <v>46030</v>
      </c>
      <c r="F11" s="343" t="s">
        <v>235</v>
      </c>
      <c r="G11" s="343" t="s">
        <v>123</v>
      </c>
      <c r="I11" s="343">
        <v>20260201</v>
      </c>
      <c r="J11" s="343">
        <v>57000</v>
      </c>
      <c r="K11" s="343">
        <v>175</v>
      </c>
      <c r="L11" s="343">
        <v>452</v>
      </c>
      <c r="M11" s="384">
        <v>46054</v>
      </c>
      <c r="N11" s="343" t="s">
        <v>245</v>
      </c>
      <c r="O11" s="343" t="s">
        <v>128</v>
      </c>
      <c r="Q11" s="343" t="s">
        <v>338</v>
      </c>
      <c r="R11" s="343" t="s">
        <v>123</v>
      </c>
      <c r="S11" s="384">
        <v>46027</v>
      </c>
      <c r="T11" s="384">
        <v>46033</v>
      </c>
    </row>
    <row r="12" spans="1:27">
      <c r="A12" s="343">
        <v>20260109</v>
      </c>
      <c r="B12" s="343">
        <v>86731.3</v>
      </c>
      <c r="C12" s="343">
        <v>255</v>
      </c>
      <c r="D12" s="343">
        <v>663</v>
      </c>
      <c r="E12" s="384">
        <v>46031</v>
      </c>
      <c r="F12" s="343" t="s">
        <v>236</v>
      </c>
      <c r="G12" s="343" t="s">
        <v>123</v>
      </c>
      <c r="I12" s="343">
        <v>20260207</v>
      </c>
      <c r="J12" s="343">
        <v>52814.25</v>
      </c>
      <c r="K12" s="343">
        <v>124</v>
      </c>
      <c r="L12" s="343">
        <v>369</v>
      </c>
      <c r="M12" s="384">
        <v>46060</v>
      </c>
      <c r="N12" s="343" t="s">
        <v>244</v>
      </c>
      <c r="O12" s="343" t="s">
        <v>129</v>
      </c>
      <c r="Q12" s="343" t="s">
        <v>338</v>
      </c>
      <c r="R12" s="343" t="s">
        <v>123</v>
      </c>
      <c r="S12" s="384">
        <v>46027</v>
      </c>
      <c r="T12" s="384">
        <v>46033</v>
      </c>
    </row>
    <row r="13" spans="1:27">
      <c r="A13" s="343">
        <v>20260110</v>
      </c>
      <c r="B13" s="343">
        <v>197559.25</v>
      </c>
      <c r="C13" s="343">
        <v>572</v>
      </c>
      <c r="D13" s="343">
        <v>1314</v>
      </c>
      <c r="E13" s="384">
        <v>46032</v>
      </c>
      <c r="F13" s="343" t="s">
        <v>244</v>
      </c>
      <c r="G13" s="343" t="s">
        <v>123</v>
      </c>
      <c r="I13" s="343">
        <v>20260208</v>
      </c>
      <c r="J13" s="343">
        <v>73415.59</v>
      </c>
      <c r="K13" s="343">
        <v>175</v>
      </c>
      <c r="L13" s="343">
        <v>464</v>
      </c>
      <c r="M13" s="384">
        <v>46061</v>
      </c>
      <c r="N13" s="343" t="s">
        <v>245</v>
      </c>
      <c r="O13" s="343" t="s">
        <v>129</v>
      </c>
      <c r="Q13" s="343" t="s">
        <v>338</v>
      </c>
      <c r="R13" s="343" t="s">
        <v>123</v>
      </c>
      <c r="S13" s="384">
        <v>46027</v>
      </c>
      <c r="T13" s="384">
        <v>46033</v>
      </c>
    </row>
    <row r="14" spans="1:27">
      <c r="A14" s="343">
        <v>20260111</v>
      </c>
      <c r="B14" s="343">
        <v>132004.29999999999</v>
      </c>
      <c r="C14" s="343">
        <v>436</v>
      </c>
      <c r="D14" s="343">
        <v>816</v>
      </c>
      <c r="E14" s="384">
        <v>46033</v>
      </c>
      <c r="F14" s="343" t="s">
        <v>245</v>
      </c>
      <c r="G14" s="343" t="s">
        <v>123</v>
      </c>
      <c r="I14" s="343">
        <v>20260214</v>
      </c>
      <c r="J14" s="343">
        <v>64953.3</v>
      </c>
      <c r="K14" s="343">
        <v>206</v>
      </c>
      <c r="L14" s="343">
        <v>514</v>
      </c>
      <c r="M14" s="384">
        <v>46067</v>
      </c>
      <c r="N14" s="343" t="s">
        <v>244</v>
      </c>
      <c r="O14" s="343" t="s">
        <v>130</v>
      </c>
      <c r="Q14" s="343" t="s">
        <v>338</v>
      </c>
      <c r="R14" s="343" t="s">
        <v>123</v>
      </c>
      <c r="S14" s="384">
        <v>46027</v>
      </c>
      <c r="T14" s="384">
        <v>46033</v>
      </c>
    </row>
    <row r="15" spans="1:27">
      <c r="A15" s="343">
        <v>20260112</v>
      </c>
      <c r="C15" s="343">
        <v>8</v>
      </c>
      <c r="D15" s="343">
        <v>8</v>
      </c>
      <c r="E15" s="384">
        <v>46034</v>
      </c>
      <c r="F15" s="343" t="s">
        <v>232</v>
      </c>
      <c r="G15" s="343" t="s">
        <v>124</v>
      </c>
      <c r="I15" s="343">
        <v>20260215</v>
      </c>
      <c r="J15" s="343">
        <v>123156.75</v>
      </c>
      <c r="K15" s="343">
        <v>273</v>
      </c>
      <c r="L15" s="343">
        <v>727</v>
      </c>
      <c r="M15" s="384">
        <v>46068</v>
      </c>
      <c r="N15" s="343" t="s">
        <v>245</v>
      </c>
      <c r="O15" s="343" t="s">
        <v>130</v>
      </c>
      <c r="Q15" s="343" t="s">
        <v>338</v>
      </c>
      <c r="R15" s="343" t="s">
        <v>123</v>
      </c>
      <c r="S15" s="384">
        <v>46027</v>
      </c>
      <c r="T15" s="384">
        <v>46033</v>
      </c>
    </row>
    <row r="16" spans="1:27">
      <c r="A16" s="343">
        <v>20260113</v>
      </c>
      <c r="B16" s="343">
        <v>29658.53</v>
      </c>
      <c r="C16" s="343">
        <v>93</v>
      </c>
      <c r="D16" s="343">
        <v>237</v>
      </c>
      <c r="E16" s="384">
        <v>46035</v>
      </c>
      <c r="F16" s="343" t="s">
        <v>233</v>
      </c>
      <c r="G16" s="343" t="s">
        <v>124</v>
      </c>
      <c r="I16" s="343">
        <v>20260221</v>
      </c>
      <c r="J16" s="343">
        <v>53347.1</v>
      </c>
      <c r="K16" s="343">
        <v>116</v>
      </c>
      <c r="L16" s="343">
        <v>360</v>
      </c>
      <c r="M16" s="384">
        <v>46074</v>
      </c>
      <c r="N16" s="343" t="s">
        <v>244</v>
      </c>
      <c r="O16" s="343" t="s">
        <v>131</v>
      </c>
      <c r="Q16" s="343" t="s">
        <v>338</v>
      </c>
      <c r="R16" s="343" t="s">
        <v>123</v>
      </c>
      <c r="S16" s="384">
        <v>46027</v>
      </c>
      <c r="T16" s="384">
        <v>46033</v>
      </c>
    </row>
    <row r="17" spans="1:20">
      <c r="A17" s="343">
        <v>20260114</v>
      </c>
      <c r="B17" s="343">
        <v>27949.37</v>
      </c>
      <c r="C17" s="343">
        <v>84</v>
      </c>
      <c r="D17" s="343">
        <v>255</v>
      </c>
      <c r="E17" s="384">
        <v>46036</v>
      </c>
      <c r="F17" s="343" t="s">
        <v>234</v>
      </c>
      <c r="G17" s="343" t="s">
        <v>124</v>
      </c>
      <c r="I17" s="343">
        <v>20260222</v>
      </c>
      <c r="J17" s="343">
        <v>131263.15</v>
      </c>
      <c r="K17" s="343">
        <v>226</v>
      </c>
      <c r="L17" s="343">
        <v>591</v>
      </c>
      <c r="M17" s="384">
        <v>46075</v>
      </c>
      <c r="N17" s="343" t="s">
        <v>245</v>
      </c>
      <c r="O17" s="343" t="s">
        <v>131</v>
      </c>
      <c r="Q17" s="343" t="s">
        <v>338</v>
      </c>
      <c r="R17" s="343" t="s">
        <v>124</v>
      </c>
      <c r="S17" s="384">
        <v>46034</v>
      </c>
      <c r="T17" s="384">
        <v>46040</v>
      </c>
    </row>
    <row r="18" spans="1:20">
      <c r="A18" s="343">
        <v>20260115</v>
      </c>
      <c r="B18" s="343">
        <v>48581.15</v>
      </c>
      <c r="C18" s="343">
        <v>152</v>
      </c>
      <c r="D18" s="343">
        <v>445</v>
      </c>
      <c r="E18" s="384">
        <v>46037</v>
      </c>
      <c r="F18" s="343" t="s">
        <v>235</v>
      </c>
      <c r="G18" s="343" t="s">
        <v>124</v>
      </c>
      <c r="I18" s="343">
        <v>20260228</v>
      </c>
      <c r="J18" s="343">
        <v>40059.550000000003</v>
      </c>
      <c r="K18" s="343">
        <v>152</v>
      </c>
      <c r="L18" s="343">
        <v>421</v>
      </c>
      <c r="M18" s="384">
        <v>46081</v>
      </c>
      <c r="N18" s="343" t="s">
        <v>244</v>
      </c>
      <c r="O18" s="343" t="s">
        <v>134</v>
      </c>
      <c r="Q18" s="343" t="s">
        <v>338</v>
      </c>
      <c r="R18" s="343" t="s">
        <v>124</v>
      </c>
      <c r="S18" s="384">
        <v>46034</v>
      </c>
      <c r="T18" s="384">
        <v>46040</v>
      </c>
    </row>
    <row r="19" spans="1:20">
      <c r="A19" s="343">
        <v>20260116</v>
      </c>
      <c r="B19" s="343">
        <v>101485.41</v>
      </c>
      <c r="C19" s="343">
        <v>357</v>
      </c>
      <c r="D19" s="343">
        <v>852</v>
      </c>
      <c r="E19" s="384">
        <v>46038</v>
      </c>
      <c r="F19" s="343" t="s">
        <v>236</v>
      </c>
      <c r="G19" s="343" t="s">
        <v>124</v>
      </c>
      <c r="I19" s="343">
        <v>20260301</v>
      </c>
      <c r="J19" s="343">
        <v>141563.20000000001</v>
      </c>
      <c r="K19" s="343">
        <v>222</v>
      </c>
      <c r="L19" s="343">
        <v>687</v>
      </c>
      <c r="M19" s="384">
        <v>46082</v>
      </c>
      <c r="N19" s="343" t="s">
        <v>245</v>
      </c>
      <c r="O19" s="343" t="s">
        <v>134</v>
      </c>
      <c r="Q19" s="343" t="s">
        <v>338</v>
      </c>
      <c r="R19" s="343" t="s">
        <v>124</v>
      </c>
      <c r="S19" s="384">
        <v>46034</v>
      </c>
      <c r="T19" s="384">
        <v>46040</v>
      </c>
    </row>
    <row r="20" spans="1:20">
      <c r="A20" s="343">
        <v>20260117</v>
      </c>
      <c r="B20" s="343">
        <v>176302.87</v>
      </c>
      <c r="C20" s="343">
        <v>563</v>
      </c>
      <c r="D20" s="343">
        <v>1397</v>
      </c>
      <c r="E20" s="384">
        <v>46039</v>
      </c>
      <c r="F20" s="343" t="s">
        <v>244</v>
      </c>
      <c r="G20" s="343" t="s">
        <v>124</v>
      </c>
      <c r="I20" s="343">
        <v>20260303</v>
      </c>
      <c r="J20" s="343">
        <v>38346.300000000003</v>
      </c>
      <c r="K20" s="343">
        <v>4</v>
      </c>
      <c r="L20" s="343">
        <v>285</v>
      </c>
      <c r="M20" s="384">
        <v>46084</v>
      </c>
      <c r="N20" s="343" t="s">
        <v>233</v>
      </c>
      <c r="O20" s="343" t="s">
        <v>135</v>
      </c>
      <c r="Q20" s="343" t="s">
        <v>338</v>
      </c>
      <c r="R20" s="343" t="s">
        <v>124</v>
      </c>
      <c r="S20" s="384">
        <v>46034</v>
      </c>
      <c r="T20" s="384">
        <v>46040</v>
      </c>
    </row>
    <row r="21" spans="1:20">
      <c r="A21" s="343">
        <v>20260118</v>
      </c>
      <c r="B21" s="343">
        <v>174110.22</v>
      </c>
      <c r="C21" s="343">
        <v>592</v>
      </c>
      <c r="D21" s="343">
        <v>1535</v>
      </c>
      <c r="E21" s="384">
        <v>46040</v>
      </c>
      <c r="F21" s="343" t="s">
        <v>245</v>
      </c>
      <c r="G21" s="343" t="s">
        <v>124</v>
      </c>
      <c r="I21" s="343">
        <v>20260305</v>
      </c>
      <c r="K21" s="343">
        <v>3</v>
      </c>
      <c r="L21" s="343">
        <v>3</v>
      </c>
      <c r="M21" s="384">
        <v>46086</v>
      </c>
      <c r="N21" s="343" t="s">
        <v>235</v>
      </c>
      <c r="O21" s="343" t="s">
        <v>135</v>
      </c>
      <c r="Q21" s="343" t="s">
        <v>338</v>
      </c>
      <c r="R21" s="343" t="s">
        <v>124</v>
      </c>
      <c r="S21" s="384">
        <v>46034</v>
      </c>
      <c r="T21" s="384">
        <v>46040</v>
      </c>
    </row>
    <row r="22" spans="1:20">
      <c r="A22" s="343">
        <v>20260120</v>
      </c>
      <c r="B22" s="343">
        <v>17819.98</v>
      </c>
      <c r="C22" s="343">
        <v>87</v>
      </c>
      <c r="D22" s="343">
        <v>180</v>
      </c>
      <c r="E22" s="384">
        <v>46042</v>
      </c>
      <c r="F22" s="343" t="s">
        <v>233</v>
      </c>
      <c r="G22" s="343" t="s">
        <v>125</v>
      </c>
      <c r="I22" s="343">
        <v>20260307</v>
      </c>
      <c r="K22" s="343">
        <v>1</v>
      </c>
      <c r="L22" s="343">
        <v>1</v>
      </c>
      <c r="M22" s="384">
        <v>46088</v>
      </c>
      <c r="N22" s="343" t="s">
        <v>244</v>
      </c>
      <c r="O22" s="343" t="s">
        <v>135</v>
      </c>
      <c r="Q22" s="343" t="s">
        <v>338</v>
      </c>
      <c r="R22" s="343" t="s">
        <v>124</v>
      </c>
      <c r="S22" s="384">
        <v>46034</v>
      </c>
      <c r="T22" s="384">
        <v>46040</v>
      </c>
    </row>
    <row r="23" spans="1:20">
      <c r="A23" s="343">
        <v>20260121</v>
      </c>
      <c r="B23" s="343">
        <v>54182.63</v>
      </c>
      <c r="C23" s="343">
        <v>73</v>
      </c>
      <c r="D23" s="343">
        <v>250</v>
      </c>
      <c r="E23" s="384">
        <v>46043</v>
      </c>
      <c r="F23" s="343" t="s">
        <v>234</v>
      </c>
      <c r="G23" s="343" t="s">
        <v>125</v>
      </c>
      <c r="I23" s="343">
        <v>20260308</v>
      </c>
      <c r="J23" s="343">
        <v>65716.3</v>
      </c>
      <c r="K23" s="343">
        <v>203</v>
      </c>
      <c r="L23" s="343">
        <v>506</v>
      </c>
      <c r="M23" s="384">
        <v>46089</v>
      </c>
      <c r="N23" s="343" t="s">
        <v>245</v>
      </c>
      <c r="O23" s="343" t="s">
        <v>135</v>
      </c>
      <c r="Q23" s="343" t="s">
        <v>338</v>
      </c>
      <c r="R23" s="343" t="s">
        <v>124</v>
      </c>
      <c r="S23" s="384">
        <v>46034</v>
      </c>
      <c r="T23" s="384">
        <v>46040</v>
      </c>
    </row>
    <row r="24" spans="1:20">
      <c r="A24" s="343">
        <v>20260122</v>
      </c>
      <c r="B24" s="343">
        <v>78012.850000000006</v>
      </c>
      <c r="C24" s="343">
        <v>132</v>
      </c>
      <c r="D24" s="343">
        <v>382</v>
      </c>
      <c r="E24" s="384">
        <v>46044</v>
      </c>
      <c r="F24" s="343" t="s">
        <v>235</v>
      </c>
      <c r="G24" s="343" t="s">
        <v>125</v>
      </c>
      <c r="I24" s="343">
        <v>20260310</v>
      </c>
      <c r="J24" s="343">
        <v>376225.3</v>
      </c>
      <c r="K24" s="343">
        <v>1</v>
      </c>
      <c r="L24" s="343">
        <v>0</v>
      </c>
      <c r="M24" s="384">
        <v>46091</v>
      </c>
      <c r="N24" s="343" t="s">
        <v>233</v>
      </c>
      <c r="O24" s="343" t="s">
        <v>136</v>
      </c>
      <c r="Q24" s="343" t="s">
        <v>338</v>
      </c>
      <c r="R24" s="343" t="s">
        <v>124</v>
      </c>
      <c r="S24" s="384">
        <v>46034</v>
      </c>
      <c r="T24" s="384">
        <v>46040</v>
      </c>
    </row>
    <row r="25" spans="1:20">
      <c r="A25" s="343">
        <v>20260123</v>
      </c>
      <c r="B25" s="343">
        <v>118517.42</v>
      </c>
      <c r="C25" s="343">
        <v>350</v>
      </c>
      <c r="D25" s="343">
        <v>915</v>
      </c>
      <c r="E25" s="384">
        <v>46045</v>
      </c>
      <c r="F25" s="343" t="s">
        <v>236</v>
      </c>
      <c r="G25" s="343" t="s">
        <v>125</v>
      </c>
      <c r="I25" s="343">
        <v>20260314</v>
      </c>
      <c r="J25" s="343">
        <v>67860.289999999994</v>
      </c>
      <c r="K25" s="343">
        <v>123</v>
      </c>
      <c r="L25" s="343">
        <v>344</v>
      </c>
      <c r="M25" s="384">
        <v>46095</v>
      </c>
      <c r="N25" s="343" t="s">
        <v>244</v>
      </c>
      <c r="O25" s="343" t="s">
        <v>136</v>
      </c>
      <c r="Q25" s="343" t="s">
        <v>338</v>
      </c>
      <c r="R25" s="343" t="s">
        <v>125</v>
      </c>
      <c r="S25" s="384">
        <v>46041</v>
      </c>
      <c r="T25" s="384">
        <v>46047</v>
      </c>
    </row>
    <row r="26" spans="1:20">
      <c r="A26" s="343">
        <v>20260124</v>
      </c>
      <c r="B26" s="343">
        <v>158806.22</v>
      </c>
      <c r="C26" s="343">
        <v>578</v>
      </c>
      <c r="D26" s="343">
        <v>1315</v>
      </c>
      <c r="E26" s="384">
        <v>46046</v>
      </c>
      <c r="F26" s="343" t="s">
        <v>244</v>
      </c>
      <c r="G26" s="343" t="s">
        <v>125</v>
      </c>
      <c r="I26" s="343">
        <v>20260315</v>
      </c>
      <c r="J26" s="343">
        <v>74396.5</v>
      </c>
      <c r="K26" s="343">
        <v>194</v>
      </c>
      <c r="L26" s="343">
        <v>522</v>
      </c>
      <c r="M26" s="384">
        <v>46096</v>
      </c>
      <c r="N26" s="343" t="s">
        <v>245</v>
      </c>
      <c r="O26" s="343" t="s">
        <v>136</v>
      </c>
      <c r="Q26" s="343" t="s">
        <v>338</v>
      </c>
      <c r="R26" s="343" t="s">
        <v>125</v>
      </c>
      <c r="S26" s="384">
        <v>46041</v>
      </c>
      <c r="T26" s="384">
        <v>46047</v>
      </c>
    </row>
    <row r="27" spans="1:20">
      <c r="A27" s="343">
        <v>20260125</v>
      </c>
      <c r="B27" s="343">
        <v>158479.89000000001</v>
      </c>
      <c r="C27" s="343">
        <v>578</v>
      </c>
      <c r="D27" s="343">
        <v>1259</v>
      </c>
      <c r="E27" s="384">
        <v>46047</v>
      </c>
      <c r="F27" s="343" t="s">
        <v>245</v>
      </c>
      <c r="G27" s="343" t="s">
        <v>125</v>
      </c>
      <c r="I27" s="343">
        <v>20260318</v>
      </c>
      <c r="J27" s="343">
        <v>168.43</v>
      </c>
      <c r="K27" s="343">
        <v>1</v>
      </c>
      <c r="L27" s="343">
        <v>1</v>
      </c>
      <c r="M27" s="384">
        <v>46099</v>
      </c>
      <c r="N27" s="343" t="s">
        <v>234</v>
      </c>
      <c r="O27" s="343" t="s">
        <v>137</v>
      </c>
      <c r="Q27" s="343" t="s">
        <v>338</v>
      </c>
      <c r="R27" s="343" t="s">
        <v>125</v>
      </c>
      <c r="S27" s="384">
        <v>46041</v>
      </c>
      <c r="T27" s="384">
        <v>46047</v>
      </c>
    </row>
    <row r="28" spans="1:20">
      <c r="A28" s="343">
        <v>20260126</v>
      </c>
      <c r="B28" s="343">
        <v>45100</v>
      </c>
      <c r="C28" s="343">
        <v>6</v>
      </c>
      <c r="D28" s="343">
        <v>131</v>
      </c>
      <c r="E28" s="384">
        <v>46048</v>
      </c>
      <c r="F28" s="343" t="s">
        <v>232</v>
      </c>
      <c r="G28" s="343" t="s">
        <v>128</v>
      </c>
      <c r="I28" s="343">
        <v>20260319</v>
      </c>
      <c r="K28" s="343">
        <v>3</v>
      </c>
      <c r="L28" s="343">
        <v>3</v>
      </c>
      <c r="M28" s="384">
        <v>46100</v>
      </c>
      <c r="N28" s="343" t="s">
        <v>235</v>
      </c>
      <c r="O28" s="343" t="s">
        <v>137</v>
      </c>
      <c r="Q28" s="343" t="s">
        <v>338</v>
      </c>
      <c r="R28" s="343" t="s">
        <v>125</v>
      </c>
      <c r="S28" s="384">
        <v>46041</v>
      </c>
      <c r="T28" s="384">
        <v>46047</v>
      </c>
    </row>
    <row r="29" spans="1:20">
      <c r="A29" s="343">
        <v>20260127</v>
      </c>
      <c r="B29" s="343">
        <v>70826.62</v>
      </c>
      <c r="C29" s="343">
        <v>101</v>
      </c>
      <c r="D29" s="343">
        <v>521</v>
      </c>
      <c r="E29" s="384">
        <v>46049</v>
      </c>
      <c r="F29" s="343" t="s">
        <v>233</v>
      </c>
      <c r="G29" s="343" t="s">
        <v>128</v>
      </c>
      <c r="I29" s="343">
        <v>20260320</v>
      </c>
      <c r="K29" s="343">
        <v>2</v>
      </c>
      <c r="L29" s="343">
        <v>1</v>
      </c>
      <c r="M29" s="384">
        <v>46101</v>
      </c>
      <c r="N29" s="343" t="s">
        <v>236</v>
      </c>
      <c r="O29" s="343" t="s">
        <v>137</v>
      </c>
      <c r="Q29" s="343" t="s">
        <v>338</v>
      </c>
      <c r="R29" s="343" t="s">
        <v>125</v>
      </c>
      <c r="S29" s="384">
        <v>46041</v>
      </c>
      <c r="T29" s="384">
        <v>46047</v>
      </c>
    </row>
    <row r="30" spans="1:20">
      <c r="A30" s="343">
        <v>20260128</v>
      </c>
      <c r="B30" s="343">
        <v>65110.37</v>
      </c>
      <c r="C30" s="343">
        <v>130</v>
      </c>
      <c r="D30" s="343">
        <v>351</v>
      </c>
      <c r="E30" s="384">
        <v>46050</v>
      </c>
      <c r="F30" s="343" t="s">
        <v>234</v>
      </c>
      <c r="G30" s="343" t="s">
        <v>128</v>
      </c>
      <c r="I30" s="343">
        <v>20260321</v>
      </c>
      <c r="J30" s="343">
        <v>111063.85</v>
      </c>
      <c r="K30" s="343">
        <v>182</v>
      </c>
      <c r="L30" s="343">
        <v>522</v>
      </c>
      <c r="M30" s="384">
        <v>46102</v>
      </c>
      <c r="N30" s="343" t="s">
        <v>244</v>
      </c>
      <c r="O30" s="343" t="s">
        <v>137</v>
      </c>
      <c r="Q30" s="343" t="s">
        <v>338</v>
      </c>
      <c r="R30" s="343" t="s">
        <v>125</v>
      </c>
      <c r="S30" s="384">
        <v>46041</v>
      </c>
      <c r="T30" s="384">
        <v>46047</v>
      </c>
    </row>
    <row r="31" spans="1:20">
      <c r="A31" s="343">
        <v>20260129</v>
      </c>
      <c r="B31" s="343">
        <v>67482.559999999998</v>
      </c>
      <c r="C31" s="343">
        <v>136</v>
      </c>
      <c r="D31" s="343">
        <v>552</v>
      </c>
      <c r="E31" s="384">
        <v>46051</v>
      </c>
      <c r="F31" s="343" t="s">
        <v>235</v>
      </c>
      <c r="G31" s="343" t="s">
        <v>128</v>
      </c>
      <c r="I31" s="343">
        <v>20260322</v>
      </c>
      <c r="J31" s="343">
        <v>125203</v>
      </c>
      <c r="K31" s="343">
        <v>221</v>
      </c>
      <c r="L31" s="343">
        <v>661</v>
      </c>
      <c r="M31" s="384">
        <v>46103</v>
      </c>
      <c r="N31" s="343" t="s">
        <v>245</v>
      </c>
      <c r="O31" s="343" t="s">
        <v>137</v>
      </c>
      <c r="Q31" s="343" t="s">
        <v>338</v>
      </c>
      <c r="R31" s="343" t="s">
        <v>125</v>
      </c>
      <c r="S31" s="384">
        <v>46041</v>
      </c>
      <c r="T31" s="384">
        <v>46047</v>
      </c>
    </row>
    <row r="32" spans="1:20">
      <c r="A32" s="343">
        <v>20260130</v>
      </c>
      <c r="B32" s="343">
        <v>100105.81</v>
      </c>
      <c r="C32" s="343">
        <v>287</v>
      </c>
      <c r="D32" s="343">
        <v>812</v>
      </c>
      <c r="E32" s="384">
        <v>46052</v>
      </c>
      <c r="F32" s="343" t="s">
        <v>236</v>
      </c>
      <c r="G32" s="343" t="s">
        <v>128</v>
      </c>
      <c r="I32" s="343">
        <v>20260325</v>
      </c>
      <c r="K32" s="343">
        <v>1</v>
      </c>
      <c r="L32" s="343">
        <v>1</v>
      </c>
      <c r="M32" s="384">
        <v>46106</v>
      </c>
      <c r="N32" s="343" t="s">
        <v>234</v>
      </c>
      <c r="O32" s="343" t="s">
        <v>138</v>
      </c>
      <c r="Q32" s="343" t="s">
        <v>338</v>
      </c>
      <c r="R32" s="343" t="s">
        <v>128</v>
      </c>
      <c r="S32" s="384">
        <v>46048</v>
      </c>
      <c r="T32" s="384">
        <v>46054</v>
      </c>
    </row>
    <row r="33" spans="1:20">
      <c r="A33" s="343">
        <v>20260131</v>
      </c>
      <c r="B33" s="343">
        <v>133782</v>
      </c>
      <c r="C33" s="343">
        <v>499</v>
      </c>
      <c r="D33" s="343">
        <v>1203</v>
      </c>
      <c r="E33" s="384">
        <v>46053</v>
      </c>
      <c r="F33" s="343" t="s">
        <v>244</v>
      </c>
      <c r="G33" s="343" t="s">
        <v>128</v>
      </c>
      <c r="I33" s="343">
        <v>20260326</v>
      </c>
      <c r="K33" s="343">
        <v>4</v>
      </c>
      <c r="L33" s="343">
        <v>4</v>
      </c>
      <c r="M33" s="384">
        <v>46107</v>
      </c>
      <c r="N33" s="343" t="s">
        <v>235</v>
      </c>
      <c r="O33" s="343" t="s">
        <v>138</v>
      </c>
      <c r="Q33" s="343" t="s">
        <v>338</v>
      </c>
      <c r="R33" s="343" t="s">
        <v>128</v>
      </c>
      <c r="S33" s="384">
        <v>46048</v>
      </c>
      <c r="T33" s="384">
        <v>46054</v>
      </c>
    </row>
    <row r="34" spans="1:20">
      <c r="A34" s="343">
        <v>20260201</v>
      </c>
      <c r="B34" s="343">
        <v>107961.45</v>
      </c>
      <c r="C34" s="343">
        <v>316</v>
      </c>
      <c r="D34" s="343">
        <v>679</v>
      </c>
      <c r="E34" s="384">
        <v>46054</v>
      </c>
      <c r="F34" s="343" t="s">
        <v>245</v>
      </c>
      <c r="G34" s="343" t="s">
        <v>128</v>
      </c>
      <c r="I34" s="343">
        <v>20260328</v>
      </c>
      <c r="J34" s="343">
        <v>142974.25</v>
      </c>
      <c r="K34" s="343">
        <v>201</v>
      </c>
      <c r="L34" s="343">
        <v>575</v>
      </c>
      <c r="M34" s="384">
        <v>46109</v>
      </c>
      <c r="N34" s="343" t="s">
        <v>244</v>
      </c>
      <c r="O34" s="343" t="s">
        <v>138</v>
      </c>
      <c r="Q34" s="343" t="s">
        <v>338</v>
      </c>
      <c r="R34" s="343" t="s">
        <v>128</v>
      </c>
      <c r="S34" s="384">
        <v>46048</v>
      </c>
      <c r="T34" s="384">
        <v>46054</v>
      </c>
    </row>
    <row r="35" spans="1:20">
      <c r="A35" s="343">
        <v>20260202</v>
      </c>
      <c r="C35" s="343">
        <v>10</v>
      </c>
      <c r="D35" s="343">
        <v>10</v>
      </c>
      <c r="E35" s="384">
        <v>46055</v>
      </c>
      <c r="F35" s="343" t="s">
        <v>232</v>
      </c>
      <c r="G35" s="343" t="s">
        <v>129</v>
      </c>
      <c r="I35" s="343">
        <v>20260329</v>
      </c>
      <c r="J35" s="343">
        <v>125979.55</v>
      </c>
      <c r="K35" s="343">
        <v>278</v>
      </c>
      <c r="L35" s="343">
        <v>729</v>
      </c>
      <c r="M35" s="384">
        <v>46110</v>
      </c>
      <c r="N35" s="343" t="s">
        <v>245</v>
      </c>
      <c r="O35" s="343" t="s">
        <v>138</v>
      </c>
      <c r="Q35" s="343" t="s">
        <v>338</v>
      </c>
      <c r="R35" s="343" t="s">
        <v>128</v>
      </c>
      <c r="S35" s="384">
        <v>46048</v>
      </c>
      <c r="T35" s="384">
        <v>46054</v>
      </c>
    </row>
    <row r="36" spans="1:20">
      <c r="A36" s="343">
        <v>20260203</v>
      </c>
      <c r="B36" s="343">
        <v>56701.95</v>
      </c>
      <c r="C36" s="343">
        <v>97</v>
      </c>
      <c r="D36" s="343">
        <v>499</v>
      </c>
      <c r="E36" s="384">
        <v>46056</v>
      </c>
      <c r="F36" s="343" t="s">
        <v>233</v>
      </c>
      <c r="G36" s="343" t="s">
        <v>129</v>
      </c>
      <c r="I36" s="343">
        <v>20260330</v>
      </c>
      <c r="K36" s="343">
        <v>1</v>
      </c>
      <c r="L36" s="343">
        <v>1</v>
      </c>
      <c r="M36" s="384">
        <v>46111</v>
      </c>
      <c r="N36" s="343" t="s">
        <v>232</v>
      </c>
      <c r="O36" s="343" t="s">
        <v>141</v>
      </c>
      <c r="Q36" s="343" t="s">
        <v>338</v>
      </c>
      <c r="R36" s="343" t="s">
        <v>128</v>
      </c>
      <c r="S36" s="384">
        <v>46048</v>
      </c>
      <c r="T36" s="384">
        <v>46054</v>
      </c>
    </row>
    <row r="37" spans="1:20">
      <c r="A37" s="343">
        <v>20260204</v>
      </c>
      <c r="B37" s="343">
        <v>49028.97</v>
      </c>
      <c r="C37" s="343">
        <v>147</v>
      </c>
      <c r="D37" s="343">
        <v>419</v>
      </c>
      <c r="E37" s="384">
        <v>46057</v>
      </c>
      <c r="F37" s="343" t="s">
        <v>234</v>
      </c>
      <c r="G37" s="343" t="s">
        <v>129</v>
      </c>
      <c r="I37" s="343">
        <v>20260331</v>
      </c>
      <c r="K37" s="343">
        <v>8</v>
      </c>
      <c r="L37" s="343">
        <v>8</v>
      </c>
      <c r="M37" s="384">
        <v>46112</v>
      </c>
      <c r="N37" s="343" t="s">
        <v>233</v>
      </c>
      <c r="O37" s="343" t="s">
        <v>141</v>
      </c>
      <c r="Q37" s="343" t="s">
        <v>338</v>
      </c>
      <c r="R37" s="343" t="s">
        <v>128</v>
      </c>
      <c r="S37" s="384">
        <v>46048</v>
      </c>
      <c r="T37" s="384">
        <v>46054</v>
      </c>
    </row>
    <row r="38" spans="1:20">
      <c r="A38" s="343">
        <v>20260205</v>
      </c>
      <c r="B38" s="343">
        <v>37419.14</v>
      </c>
      <c r="C38" s="343">
        <v>107</v>
      </c>
      <c r="D38" s="343">
        <v>278</v>
      </c>
      <c r="E38" s="384">
        <v>46058</v>
      </c>
      <c r="F38" s="343" t="s">
        <v>235</v>
      </c>
      <c r="G38" s="343" t="s">
        <v>129</v>
      </c>
      <c r="I38" s="343">
        <v>20260402</v>
      </c>
      <c r="K38" s="343">
        <v>6</v>
      </c>
      <c r="L38" s="343">
        <v>5</v>
      </c>
      <c r="M38" s="384">
        <v>46114</v>
      </c>
      <c r="N38" s="343" t="s">
        <v>235</v>
      </c>
      <c r="O38" s="343" t="s">
        <v>141</v>
      </c>
      <c r="Q38" s="343" t="s">
        <v>338</v>
      </c>
      <c r="R38" s="343" t="s">
        <v>128</v>
      </c>
      <c r="S38" s="384">
        <v>46048</v>
      </c>
      <c r="T38" s="384">
        <v>46054</v>
      </c>
    </row>
    <row r="39" spans="1:20">
      <c r="A39" s="343">
        <v>20260206</v>
      </c>
      <c r="B39" s="343">
        <v>89572</v>
      </c>
      <c r="C39" s="343">
        <v>449</v>
      </c>
      <c r="D39" s="343">
        <v>943</v>
      </c>
      <c r="E39" s="384">
        <v>46059</v>
      </c>
      <c r="F39" s="343" t="s">
        <v>236</v>
      </c>
      <c r="G39" s="343" t="s">
        <v>129</v>
      </c>
      <c r="I39" s="343">
        <v>20260404</v>
      </c>
      <c r="J39" s="343">
        <v>33418</v>
      </c>
      <c r="K39" s="343">
        <v>109</v>
      </c>
      <c r="L39" s="343">
        <v>291</v>
      </c>
      <c r="M39" s="384">
        <v>46116</v>
      </c>
      <c r="N39" s="343" t="s">
        <v>244</v>
      </c>
      <c r="O39" s="343" t="s">
        <v>141</v>
      </c>
      <c r="Q39" s="343" t="s">
        <v>338</v>
      </c>
      <c r="R39" s="343" t="s">
        <v>128</v>
      </c>
      <c r="S39" s="384">
        <v>46048</v>
      </c>
      <c r="T39" s="384">
        <v>46054</v>
      </c>
    </row>
    <row r="40" spans="1:20">
      <c r="A40" s="343">
        <v>20260207</v>
      </c>
      <c r="B40" s="343">
        <v>161129.66</v>
      </c>
      <c r="C40" s="343">
        <v>535</v>
      </c>
      <c r="D40" s="343">
        <v>1328</v>
      </c>
      <c r="E40" s="384">
        <v>46060</v>
      </c>
      <c r="F40" s="343" t="s">
        <v>244</v>
      </c>
      <c r="G40" s="343" t="s">
        <v>129</v>
      </c>
      <c r="I40" s="343">
        <v>20260405</v>
      </c>
      <c r="J40" s="343">
        <v>131081.29999999999</v>
      </c>
      <c r="K40" s="343">
        <v>325</v>
      </c>
      <c r="L40" s="343">
        <v>861</v>
      </c>
      <c r="M40" s="384">
        <v>46117</v>
      </c>
      <c r="N40" s="343" t="s">
        <v>245</v>
      </c>
      <c r="O40" s="343" t="s">
        <v>141</v>
      </c>
      <c r="Q40" s="343" t="s">
        <v>338</v>
      </c>
      <c r="R40" s="343" t="s">
        <v>129</v>
      </c>
      <c r="S40" s="384">
        <v>46055</v>
      </c>
      <c r="T40" s="384">
        <v>46061</v>
      </c>
    </row>
    <row r="41" spans="1:20">
      <c r="A41" s="343">
        <v>20260208</v>
      </c>
      <c r="B41" s="343">
        <v>91009.600000000006</v>
      </c>
      <c r="C41" s="343">
        <v>317</v>
      </c>
      <c r="D41" s="343">
        <v>619</v>
      </c>
      <c r="E41" s="384">
        <v>46061</v>
      </c>
      <c r="F41" s="343" t="s">
        <v>245</v>
      </c>
      <c r="G41" s="343" t="s">
        <v>129</v>
      </c>
      <c r="I41" s="343">
        <v>20260406</v>
      </c>
      <c r="K41" s="343">
        <v>5</v>
      </c>
      <c r="L41" s="343">
        <v>5</v>
      </c>
      <c r="M41" s="384">
        <v>46118</v>
      </c>
      <c r="N41" s="343" t="s">
        <v>232</v>
      </c>
      <c r="O41" s="343" t="s">
        <v>142</v>
      </c>
      <c r="Q41" s="343" t="s">
        <v>338</v>
      </c>
      <c r="R41" s="343" t="s">
        <v>129</v>
      </c>
      <c r="S41" s="384">
        <v>46055</v>
      </c>
      <c r="T41" s="384">
        <v>46061</v>
      </c>
    </row>
    <row r="42" spans="1:20">
      <c r="A42" s="343">
        <v>20260209</v>
      </c>
      <c r="C42" s="343">
        <v>2</v>
      </c>
      <c r="D42" s="343">
        <v>2</v>
      </c>
      <c r="E42" s="384">
        <v>46062</v>
      </c>
      <c r="F42" s="343" t="s">
        <v>232</v>
      </c>
      <c r="G42" s="343" t="s">
        <v>130</v>
      </c>
      <c r="I42" s="343">
        <v>20260409</v>
      </c>
      <c r="K42" s="343">
        <v>5</v>
      </c>
      <c r="L42" s="343">
        <v>5</v>
      </c>
      <c r="M42" s="384">
        <v>46121</v>
      </c>
      <c r="N42" s="343" t="s">
        <v>235</v>
      </c>
      <c r="O42" s="343" t="s">
        <v>142</v>
      </c>
      <c r="Q42" s="343" t="s">
        <v>338</v>
      </c>
      <c r="R42" s="343" t="s">
        <v>129</v>
      </c>
      <c r="S42" s="384">
        <v>46055</v>
      </c>
      <c r="T42" s="384">
        <v>46061</v>
      </c>
    </row>
    <row r="43" spans="1:20">
      <c r="A43" s="343">
        <v>20260210</v>
      </c>
      <c r="B43" s="343">
        <v>42726.95</v>
      </c>
      <c r="C43" s="343">
        <v>85</v>
      </c>
      <c r="D43" s="343">
        <v>272</v>
      </c>
      <c r="E43" s="384">
        <v>46063</v>
      </c>
      <c r="F43" s="343" t="s">
        <v>233</v>
      </c>
      <c r="G43" s="343" t="s">
        <v>130</v>
      </c>
      <c r="I43" s="343">
        <v>20260411</v>
      </c>
      <c r="J43" s="343">
        <v>57676.61</v>
      </c>
      <c r="K43" s="343">
        <v>144</v>
      </c>
      <c r="L43" s="343">
        <v>424</v>
      </c>
      <c r="M43" s="384">
        <v>46123</v>
      </c>
      <c r="N43" s="343" t="s">
        <v>244</v>
      </c>
      <c r="O43" s="343" t="s">
        <v>142</v>
      </c>
      <c r="Q43" s="343" t="s">
        <v>338</v>
      </c>
      <c r="R43" s="343" t="s">
        <v>129</v>
      </c>
      <c r="S43" s="384">
        <v>46055</v>
      </c>
      <c r="T43" s="384">
        <v>46061</v>
      </c>
    </row>
    <row r="44" spans="1:20">
      <c r="A44" s="343">
        <v>20260211</v>
      </c>
      <c r="B44" s="343">
        <v>57135.65</v>
      </c>
      <c r="C44" s="343">
        <v>90</v>
      </c>
      <c r="D44" s="343">
        <v>379</v>
      </c>
      <c r="E44" s="384">
        <v>46064</v>
      </c>
      <c r="F44" s="343" t="s">
        <v>234</v>
      </c>
      <c r="G44" s="343" t="s">
        <v>130</v>
      </c>
      <c r="I44" s="343">
        <v>20260412</v>
      </c>
      <c r="J44" s="343">
        <v>115136.45</v>
      </c>
      <c r="K44" s="343">
        <v>231</v>
      </c>
      <c r="L44" s="343">
        <v>647</v>
      </c>
      <c r="M44" s="384">
        <v>46124</v>
      </c>
      <c r="N44" s="343" t="s">
        <v>245</v>
      </c>
      <c r="O44" s="343" t="s">
        <v>142</v>
      </c>
      <c r="Q44" s="343" t="s">
        <v>338</v>
      </c>
      <c r="R44" s="343" t="s">
        <v>129</v>
      </c>
      <c r="S44" s="384">
        <v>46055</v>
      </c>
      <c r="T44" s="384">
        <v>46061</v>
      </c>
    </row>
    <row r="45" spans="1:20">
      <c r="A45" s="343">
        <v>20260212</v>
      </c>
      <c r="B45" s="343">
        <v>45251.75</v>
      </c>
      <c r="C45" s="343">
        <v>155</v>
      </c>
      <c r="D45" s="343">
        <v>365</v>
      </c>
      <c r="E45" s="384">
        <v>46065</v>
      </c>
      <c r="F45" s="343" t="s">
        <v>235</v>
      </c>
      <c r="G45" s="343" t="s">
        <v>130</v>
      </c>
      <c r="I45" s="343">
        <v>20260415</v>
      </c>
      <c r="K45" s="343">
        <v>1</v>
      </c>
      <c r="L45" s="343">
        <v>0</v>
      </c>
      <c r="M45" s="384">
        <v>46127</v>
      </c>
      <c r="N45" s="343" t="s">
        <v>234</v>
      </c>
      <c r="O45" s="343" t="s">
        <v>143</v>
      </c>
      <c r="Q45" s="343" t="s">
        <v>338</v>
      </c>
      <c r="R45" s="343" t="s">
        <v>129</v>
      </c>
      <c r="S45" s="384">
        <v>46055</v>
      </c>
      <c r="T45" s="384">
        <v>46061</v>
      </c>
    </row>
    <row r="46" spans="1:20">
      <c r="A46" s="343">
        <v>20260213</v>
      </c>
      <c r="B46" s="343">
        <v>112522.87</v>
      </c>
      <c r="C46" s="343">
        <v>435</v>
      </c>
      <c r="D46" s="343">
        <v>1024</v>
      </c>
      <c r="E46" s="384">
        <v>46066</v>
      </c>
      <c r="F46" s="343" t="s">
        <v>236</v>
      </c>
      <c r="G46" s="343" t="s">
        <v>130</v>
      </c>
      <c r="I46" s="343">
        <v>20260416</v>
      </c>
      <c r="K46" s="343">
        <v>6</v>
      </c>
      <c r="L46" s="343">
        <v>6</v>
      </c>
      <c r="M46" s="384">
        <v>46128</v>
      </c>
      <c r="N46" s="343" t="s">
        <v>235</v>
      </c>
      <c r="O46" s="343" t="s">
        <v>143</v>
      </c>
      <c r="Q46" s="343" t="s">
        <v>338</v>
      </c>
      <c r="R46" s="343" t="s">
        <v>129</v>
      </c>
      <c r="S46" s="384">
        <v>46055</v>
      </c>
      <c r="T46" s="384">
        <v>46061</v>
      </c>
    </row>
    <row r="47" spans="1:20">
      <c r="A47" s="343">
        <v>20260214</v>
      </c>
      <c r="B47" s="343">
        <v>161512.92000000001</v>
      </c>
      <c r="C47" s="343">
        <v>553</v>
      </c>
      <c r="D47" s="343">
        <v>1228</v>
      </c>
      <c r="E47" s="384">
        <v>46067</v>
      </c>
      <c r="F47" s="343" t="s">
        <v>244</v>
      </c>
      <c r="G47" s="343" t="s">
        <v>130</v>
      </c>
      <c r="I47" s="343">
        <v>20260418</v>
      </c>
      <c r="J47" s="343">
        <v>46737.05</v>
      </c>
      <c r="K47" s="343">
        <v>116</v>
      </c>
      <c r="L47" s="343">
        <v>358</v>
      </c>
      <c r="M47" s="384">
        <v>46130</v>
      </c>
      <c r="N47" s="343" t="s">
        <v>244</v>
      </c>
      <c r="O47" s="343" t="s">
        <v>143</v>
      </c>
      <c r="Q47" s="343" t="s">
        <v>338</v>
      </c>
      <c r="R47" s="343" t="s">
        <v>129</v>
      </c>
      <c r="S47" s="384">
        <v>46055</v>
      </c>
      <c r="T47" s="384">
        <v>46061</v>
      </c>
    </row>
    <row r="48" spans="1:20">
      <c r="A48" s="343">
        <v>20260215</v>
      </c>
      <c r="B48" s="343">
        <v>191479.49</v>
      </c>
      <c r="C48" s="343">
        <v>638</v>
      </c>
      <c r="D48" s="343">
        <v>1246</v>
      </c>
      <c r="E48" s="384">
        <v>46068</v>
      </c>
      <c r="F48" s="343" t="s">
        <v>245</v>
      </c>
      <c r="G48" s="343" t="s">
        <v>130</v>
      </c>
      <c r="I48" s="343">
        <v>20260419</v>
      </c>
      <c r="J48" s="343">
        <v>118354</v>
      </c>
      <c r="K48" s="343">
        <v>250</v>
      </c>
      <c r="L48" s="343">
        <v>692</v>
      </c>
      <c r="M48" s="384">
        <v>46131</v>
      </c>
      <c r="N48" s="343" t="s">
        <v>245</v>
      </c>
      <c r="O48" s="343" t="s">
        <v>143</v>
      </c>
      <c r="Q48" s="343" t="s">
        <v>338</v>
      </c>
      <c r="R48" s="343" t="s">
        <v>129</v>
      </c>
      <c r="S48" s="384">
        <v>46055</v>
      </c>
      <c r="T48" s="384">
        <v>46061</v>
      </c>
    </row>
    <row r="49" spans="1:20">
      <c r="A49" s="343">
        <v>20260217</v>
      </c>
      <c r="B49" s="343">
        <v>39647.47</v>
      </c>
      <c r="C49" s="343">
        <v>122</v>
      </c>
      <c r="D49" s="343">
        <v>376</v>
      </c>
      <c r="E49" s="384">
        <v>46070</v>
      </c>
      <c r="F49" s="343" t="s">
        <v>233</v>
      </c>
      <c r="G49" s="343" t="s">
        <v>131</v>
      </c>
      <c r="I49" s="343">
        <v>20260421</v>
      </c>
      <c r="J49" s="343">
        <v>-3100.09</v>
      </c>
      <c r="M49" s="384">
        <v>46133</v>
      </c>
      <c r="N49" s="343" t="s">
        <v>233</v>
      </c>
      <c r="O49" s="343" t="s">
        <v>144</v>
      </c>
      <c r="Q49" s="343" t="s">
        <v>338</v>
      </c>
      <c r="R49" s="343" t="s">
        <v>130</v>
      </c>
      <c r="S49" s="384">
        <v>46062</v>
      </c>
      <c r="T49" s="384">
        <v>46068</v>
      </c>
    </row>
    <row r="50" spans="1:20">
      <c r="A50" s="343">
        <v>20260218</v>
      </c>
      <c r="B50" s="343">
        <v>32004.400000000001</v>
      </c>
      <c r="C50" s="343">
        <v>88</v>
      </c>
      <c r="D50" s="343">
        <v>231</v>
      </c>
      <c r="E50" s="384">
        <v>46071</v>
      </c>
      <c r="F50" s="343" t="s">
        <v>234</v>
      </c>
      <c r="G50" s="343" t="s">
        <v>131</v>
      </c>
      <c r="I50" s="343">
        <v>20260423</v>
      </c>
      <c r="K50" s="343">
        <v>3</v>
      </c>
      <c r="L50" s="343">
        <v>2</v>
      </c>
      <c r="M50" s="384">
        <v>46135</v>
      </c>
      <c r="N50" s="343" t="s">
        <v>235</v>
      </c>
      <c r="O50" s="343" t="s">
        <v>144</v>
      </c>
      <c r="Q50" s="343" t="s">
        <v>338</v>
      </c>
      <c r="R50" s="343" t="s">
        <v>130</v>
      </c>
      <c r="S50" s="384">
        <v>46062</v>
      </c>
      <c r="T50" s="384">
        <v>46068</v>
      </c>
    </row>
    <row r="51" spans="1:20">
      <c r="A51" s="343">
        <v>20260219</v>
      </c>
      <c r="B51" s="343">
        <v>46464.75</v>
      </c>
      <c r="C51" s="343">
        <v>204</v>
      </c>
      <c r="D51" s="343">
        <v>441</v>
      </c>
      <c r="E51" s="384">
        <v>46072</v>
      </c>
      <c r="F51" s="343" t="s">
        <v>235</v>
      </c>
      <c r="G51" s="343" t="s">
        <v>131</v>
      </c>
      <c r="I51" s="343">
        <v>20260424</v>
      </c>
      <c r="J51" s="343">
        <v>16275</v>
      </c>
      <c r="K51" s="343">
        <v>7</v>
      </c>
      <c r="L51" s="343">
        <v>102</v>
      </c>
      <c r="M51" s="384">
        <v>46136</v>
      </c>
      <c r="N51" s="343" t="s">
        <v>236</v>
      </c>
      <c r="O51" s="343" t="s">
        <v>144</v>
      </c>
      <c r="Q51" s="343" t="s">
        <v>338</v>
      </c>
      <c r="R51" s="343" t="s">
        <v>130</v>
      </c>
      <c r="S51" s="384">
        <v>46062</v>
      </c>
      <c r="T51" s="384">
        <v>46068</v>
      </c>
    </row>
    <row r="52" spans="1:20">
      <c r="A52" s="343">
        <v>20260220</v>
      </c>
      <c r="B52" s="343">
        <v>112440.31</v>
      </c>
      <c r="C52" s="343">
        <v>391</v>
      </c>
      <c r="D52" s="343">
        <v>936</v>
      </c>
      <c r="E52" s="384">
        <v>46073</v>
      </c>
      <c r="F52" s="343" t="s">
        <v>236</v>
      </c>
      <c r="G52" s="343" t="s">
        <v>131</v>
      </c>
      <c r="I52" s="343">
        <v>20260425</v>
      </c>
      <c r="J52" s="343">
        <v>59544.32</v>
      </c>
      <c r="K52" s="343">
        <v>135</v>
      </c>
      <c r="L52" s="343">
        <v>451</v>
      </c>
      <c r="M52" s="384">
        <v>46137</v>
      </c>
      <c r="N52" s="343" t="s">
        <v>244</v>
      </c>
      <c r="O52" s="343" t="s">
        <v>144</v>
      </c>
      <c r="Q52" s="343" t="s">
        <v>338</v>
      </c>
      <c r="R52" s="343" t="s">
        <v>130</v>
      </c>
      <c r="S52" s="384">
        <v>46062</v>
      </c>
      <c r="T52" s="384">
        <v>46068</v>
      </c>
    </row>
    <row r="53" spans="1:20">
      <c r="A53" s="343">
        <v>20260221</v>
      </c>
      <c r="B53" s="343">
        <v>181470.63</v>
      </c>
      <c r="C53" s="343">
        <v>531</v>
      </c>
      <c r="D53" s="343">
        <v>1244</v>
      </c>
      <c r="E53" s="384">
        <v>46074</v>
      </c>
      <c r="F53" s="343" t="s">
        <v>244</v>
      </c>
      <c r="G53" s="343" t="s">
        <v>131</v>
      </c>
      <c r="I53" s="343">
        <v>20260426</v>
      </c>
      <c r="J53" s="343">
        <v>113677.45</v>
      </c>
      <c r="K53" s="343">
        <v>254</v>
      </c>
      <c r="L53" s="343">
        <v>606</v>
      </c>
      <c r="M53" s="384">
        <v>46138</v>
      </c>
      <c r="N53" s="343" t="s">
        <v>245</v>
      </c>
      <c r="O53" s="343" t="s">
        <v>144</v>
      </c>
      <c r="Q53" s="343" t="s">
        <v>338</v>
      </c>
      <c r="R53" s="343" t="s">
        <v>130</v>
      </c>
      <c r="S53" s="384">
        <v>46062</v>
      </c>
      <c r="T53" s="384">
        <v>46068</v>
      </c>
    </row>
    <row r="54" spans="1:20">
      <c r="A54" s="343">
        <v>20260222</v>
      </c>
      <c r="B54" s="343">
        <v>188369.2</v>
      </c>
      <c r="C54" s="343">
        <v>674</v>
      </c>
      <c r="D54" s="343">
        <v>1161</v>
      </c>
      <c r="E54" s="384">
        <v>46075</v>
      </c>
      <c r="F54" s="343" t="s">
        <v>245</v>
      </c>
      <c r="G54" s="343" t="s">
        <v>131</v>
      </c>
      <c r="I54" s="343">
        <v>20260428</v>
      </c>
      <c r="K54" s="343">
        <v>5</v>
      </c>
      <c r="L54" s="343">
        <v>4</v>
      </c>
      <c r="M54" s="384">
        <v>46140</v>
      </c>
      <c r="N54" s="343" t="s">
        <v>233</v>
      </c>
      <c r="O54" s="343" t="s">
        <v>147</v>
      </c>
      <c r="Q54" s="343" t="s">
        <v>338</v>
      </c>
      <c r="R54" s="343" t="s">
        <v>130</v>
      </c>
      <c r="S54" s="384">
        <v>46062</v>
      </c>
      <c r="T54" s="384">
        <v>46068</v>
      </c>
    </row>
    <row r="55" spans="1:20">
      <c r="A55" s="343">
        <v>20260223</v>
      </c>
      <c r="B55" s="343">
        <v>-25.03</v>
      </c>
      <c r="C55" s="343">
        <v>6</v>
      </c>
      <c r="D55" s="343">
        <v>6</v>
      </c>
      <c r="E55" s="384">
        <v>46076</v>
      </c>
      <c r="F55" s="343" t="s">
        <v>232</v>
      </c>
      <c r="G55" s="343" t="s">
        <v>134</v>
      </c>
      <c r="I55" s="343">
        <v>20260501</v>
      </c>
      <c r="J55" s="343">
        <v>9296</v>
      </c>
      <c r="K55" s="343">
        <v>31</v>
      </c>
      <c r="L55" s="343">
        <v>84</v>
      </c>
      <c r="M55" s="384">
        <v>46143</v>
      </c>
      <c r="N55" s="343" t="s">
        <v>236</v>
      </c>
      <c r="O55" s="343" t="s">
        <v>147</v>
      </c>
      <c r="Q55" s="343" t="s">
        <v>338</v>
      </c>
      <c r="R55" s="343" t="s">
        <v>130</v>
      </c>
      <c r="S55" s="384">
        <v>46062</v>
      </c>
      <c r="T55" s="384">
        <v>46068</v>
      </c>
    </row>
    <row r="56" spans="1:20">
      <c r="A56" s="343">
        <v>20260224</v>
      </c>
      <c r="B56" s="343">
        <v>34712.800000000003</v>
      </c>
      <c r="C56" s="343">
        <v>90</v>
      </c>
      <c r="D56" s="343">
        <v>400</v>
      </c>
      <c r="E56" s="384">
        <v>46077</v>
      </c>
      <c r="F56" s="343" t="s">
        <v>233</v>
      </c>
      <c r="G56" s="343" t="s">
        <v>134</v>
      </c>
      <c r="I56" s="343">
        <v>20260502</v>
      </c>
      <c r="J56" s="343">
        <v>125880</v>
      </c>
      <c r="K56" s="343">
        <v>144</v>
      </c>
      <c r="L56" s="343">
        <v>428</v>
      </c>
      <c r="M56" s="384">
        <v>46144</v>
      </c>
      <c r="N56" s="343" t="s">
        <v>244</v>
      </c>
      <c r="O56" s="343" t="s">
        <v>147</v>
      </c>
      <c r="Q56" s="343" t="s">
        <v>338</v>
      </c>
      <c r="R56" s="343" t="s">
        <v>130</v>
      </c>
      <c r="S56" s="384">
        <v>46062</v>
      </c>
      <c r="T56" s="384">
        <v>46068</v>
      </c>
    </row>
    <row r="57" spans="1:20">
      <c r="A57" s="343">
        <v>20260225</v>
      </c>
      <c r="B57" s="343">
        <v>61605</v>
      </c>
      <c r="C57" s="343">
        <v>106</v>
      </c>
      <c r="D57" s="343">
        <v>380</v>
      </c>
      <c r="E57" s="384">
        <v>46078</v>
      </c>
      <c r="F57" s="343" t="s">
        <v>234</v>
      </c>
      <c r="G57" s="343" t="s">
        <v>134</v>
      </c>
      <c r="I57" s="343">
        <v>20260503</v>
      </c>
      <c r="J57" s="343">
        <v>103443</v>
      </c>
      <c r="K57" s="343">
        <v>243</v>
      </c>
      <c r="L57" s="343">
        <v>580</v>
      </c>
      <c r="M57" s="384">
        <v>46145</v>
      </c>
      <c r="N57" s="343" t="s">
        <v>245</v>
      </c>
      <c r="O57" s="343" t="s">
        <v>147</v>
      </c>
      <c r="Q57" s="343" t="s">
        <v>338</v>
      </c>
      <c r="R57" s="343" t="s">
        <v>131</v>
      </c>
      <c r="S57" s="384">
        <v>46069</v>
      </c>
      <c r="T57" s="384">
        <v>46075</v>
      </c>
    </row>
    <row r="58" spans="1:20">
      <c r="A58" s="343">
        <v>20260226</v>
      </c>
      <c r="B58" s="343">
        <v>70837.02</v>
      </c>
      <c r="C58" s="343">
        <v>226</v>
      </c>
      <c r="D58" s="343">
        <v>847</v>
      </c>
      <c r="E58" s="384">
        <v>46079</v>
      </c>
      <c r="F58" s="343" t="s">
        <v>235</v>
      </c>
      <c r="G58" s="343" t="s">
        <v>134</v>
      </c>
      <c r="I58" s="343">
        <v>20260504</v>
      </c>
      <c r="K58" s="343">
        <v>1</v>
      </c>
      <c r="L58" s="343">
        <v>1</v>
      </c>
      <c r="M58" s="384">
        <v>46146</v>
      </c>
      <c r="N58" s="343" t="s">
        <v>232</v>
      </c>
      <c r="O58" s="343" t="s">
        <v>148</v>
      </c>
      <c r="Q58" s="343" t="s">
        <v>338</v>
      </c>
      <c r="R58" s="343" t="s">
        <v>131</v>
      </c>
      <c r="S58" s="384">
        <v>46069</v>
      </c>
      <c r="T58" s="384">
        <v>46075</v>
      </c>
    </row>
    <row r="59" spans="1:20">
      <c r="A59" s="343">
        <v>20260227</v>
      </c>
      <c r="B59" s="343">
        <v>113898.11</v>
      </c>
      <c r="C59" s="343">
        <v>361</v>
      </c>
      <c r="D59" s="343">
        <v>901</v>
      </c>
      <c r="E59" s="384">
        <v>46080</v>
      </c>
      <c r="F59" s="343" t="s">
        <v>236</v>
      </c>
      <c r="G59" s="343" t="s">
        <v>134</v>
      </c>
      <c r="I59" s="343">
        <v>20260505</v>
      </c>
      <c r="K59" s="343">
        <v>9</v>
      </c>
      <c r="L59" s="343">
        <v>9</v>
      </c>
      <c r="M59" s="384">
        <v>46147</v>
      </c>
      <c r="N59" s="343" t="s">
        <v>233</v>
      </c>
      <c r="O59" s="343" t="s">
        <v>148</v>
      </c>
      <c r="Q59" s="343" t="s">
        <v>338</v>
      </c>
      <c r="R59" s="343" t="s">
        <v>131</v>
      </c>
      <c r="S59" s="384">
        <v>46069</v>
      </c>
      <c r="T59" s="384">
        <v>46075</v>
      </c>
    </row>
    <row r="60" spans="1:20">
      <c r="A60" s="343">
        <v>20260228</v>
      </c>
      <c r="B60" s="343">
        <v>247731.91</v>
      </c>
      <c r="C60" s="343">
        <v>602</v>
      </c>
      <c r="D60" s="343">
        <v>1333</v>
      </c>
      <c r="E60" s="384">
        <v>46081</v>
      </c>
      <c r="F60" s="343" t="s">
        <v>244</v>
      </c>
      <c r="G60" s="343" t="s">
        <v>134</v>
      </c>
      <c r="I60" s="343">
        <v>20260508</v>
      </c>
      <c r="K60" s="343">
        <v>1</v>
      </c>
      <c r="L60" s="343">
        <v>1</v>
      </c>
      <c r="M60" s="384">
        <v>46150</v>
      </c>
      <c r="N60" s="343" t="s">
        <v>236</v>
      </c>
      <c r="O60" s="343" t="s">
        <v>148</v>
      </c>
      <c r="Q60" s="343" t="s">
        <v>338</v>
      </c>
      <c r="R60" s="343" t="s">
        <v>131</v>
      </c>
      <c r="S60" s="384">
        <v>46069</v>
      </c>
      <c r="T60" s="384">
        <v>46075</v>
      </c>
    </row>
    <row r="61" spans="1:20">
      <c r="A61" s="343">
        <v>20260301</v>
      </c>
      <c r="B61" s="343">
        <v>159472.20000000001</v>
      </c>
      <c r="C61" s="343">
        <v>589</v>
      </c>
      <c r="D61" s="343">
        <v>994</v>
      </c>
      <c r="E61" s="384">
        <v>46082</v>
      </c>
      <c r="F61" s="343" t="s">
        <v>245</v>
      </c>
      <c r="G61" s="343" t="s">
        <v>134</v>
      </c>
      <c r="I61" s="343">
        <v>20260509</v>
      </c>
      <c r="J61" s="343">
        <v>45679</v>
      </c>
      <c r="K61" s="343">
        <v>125</v>
      </c>
      <c r="L61" s="343">
        <v>370</v>
      </c>
      <c r="M61" s="384">
        <v>46151</v>
      </c>
      <c r="N61" s="343" t="s">
        <v>244</v>
      </c>
      <c r="O61" s="343" t="s">
        <v>148</v>
      </c>
      <c r="Q61" s="343" t="s">
        <v>338</v>
      </c>
      <c r="R61" s="343" t="s">
        <v>131</v>
      </c>
      <c r="S61" s="384">
        <v>46069</v>
      </c>
      <c r="T61" s="384">
        <v>46075</v>
      </c>
    </row>
    <row r="62" spans="1:20">
      <c r="A62" s="343">
        <v>20260302</v>
      </c>
      <c r="C62" s="343">
        <v>7</v>
      </c>
      <c r="D62" s="343">
        <v>7</v>
      </c>
      <c r="E62" s="384">
        <v>46083</v>
      </c>
      <c r="F62" s="343" t="s">
        <v>232</v>
      </c>
      <c r="G62" s="343" t="s">
        <v>135</v>
      </c>
      <c r="I62" s="343">
        <v>20260510</v>
      </c>
      <c r="J62" s="343">
        <v>83003.25</v>
      </c>
      <c r="K62" s="343">
        <v>304</v>
      </c>
      <c r="L62" s="343">
        <v>793</v>
      </c>
      <c r="M62" s="384">
        <v>46152</v>
      </c>
      <c r="N62" s="343" t="s">
        <v>245</v>
      </c>
      <c r="O62" s="343" t="s">
        <v>148</v>
      </c>
      <c r="Q62" s="343" t="s">
        <v>338</v>
      </c>
      <c r="R62" s="343" t="s">
        <v>131</v>
      </c>
      <c r="S62" s="384">
        <v>46069</v>
      </c>
      <c r="T62" s="384">
        <v>46075</v>
      </c>
    </row>
    <row r="63" spans="1:20">
      <c r="A63" s="343">
        <v>20260303</v>
      </c>
      <c r="B63" s="343">
        <v>49110.9</v>
      </c>
      <c r="C63" s="343">
        <v>90</v>
      </c>
      <c r="D63" s="343">
        <v>656</v>
      </c>
      <c r="E63" s="384">
        <v>46084</v>
      </c>
      <c r="F63" s="343" t="s">
        <v>233</v>
      </c>
      <c r="G63" s="343" t="s">
        <v>135</v>
      </c>
      <c r="I63" s="343">
        <v>20260511</v>
      </c>
      <c r="K63" s="343">
        <v>3</v>
      </c>
      <c r="L63" s="343">
        <v>3</v>
      </c>
      <c r="M63" s="384">
        <v>46153</v>
      </c>
      <c r="N63" s="343" t="s">
        <v>232</v>
      </c>
      <c r="O63" s="343" t="s">
        <v>149</v>
      </c>
      <c r="Q63" s="343" t="s">
        <v>338</v>
      </c>
      <c r="R63" s="343" t="s">
        <v>131</v>
      </c>
      <c r="S63" s="384">
        <v>46069</v>
      </c>
      <c r="T63" s="384">
        <v>46075</v>
      </c>
    </row>
    <row r="64" spans="1:20">
      <c r="A64" s="343">
        <v>20260304</v>
      </c>
      <c r="B64" s="343">
        <v>91426.3</v>
      </c>
      <c r="C64" s="343">
        <v>101</v>
      </c>
      <c r="D64" s="343">
        <v>505</v>
      </c>
      <c r="E64" s="384">
        <v>46085</v>
      </c>
      <c r="F64" s="343" t="s">
        <v>234</v>
      </c>
      <c r="G64" s="343" t="s">
        <v>135</v>
      </c>
      <c r="I64" s="343">
        <v>20260516</v>
      </c>
      <c r="J64" s="343">
        <v>34057.75</v>
      </c>
      <c r="K64" s="343">
        <v>92</v>
      </c>
      <c r="L64" s="343">
        <v>249</v>
      </c>
      <c r="M64" s="384">
        <v>46158</v>
      </c>
      <c r="N64" s="343" t="s">
        <v>244</v>
      </c>
      <c r="O64" s="343" t="s">
        <v>149</v>
      </c>
      <c r="Q64" s="343" t="s">
        <v>338</v>
      </c>
      <c r="R64" s="343" t="s">
        <v>131</v>
      </c>
      <c r="S64" s="384">
        <v>46069</v>
      </c>
      <c r="T64" s="384">
        <v>46075</v>
      </c>
    </row>
    <row r="65" spans="1:20">
      <c r="A65" s="343">
        <v>20260305</v>
      </c>
      <c r="B65" s="343">
        <v>92927.01</v>
      </c>
      <c r="C65" s="343">
        <v>360</v>
      </c>
      <c r="D65" s="343">
        <v>817</v>
      </c>
      <c r="E65" s="384">
        <v>46086</v>
      </c>
      <c r="F65" s="343" t="s">
        <v>235</v>
      </c>
      <c r="G65" s="343" t="s">
        <v>135</v>
      </c>
      <c r="I65" s="343">
        <v>20260517</v>
      </c>
      <c r="J65" s="343">
        <v>93430.75</v>
      </c>
      <c r="K65" s="343">
        <v>215</v>
      </c>
      <c r="L65" s="343">
        <v>555</v>
      </c>
      <c r="M65" s="384">
        <v>46159</v>
      </c>
      <c r="N65" s="343" t="s">
        <v>245</v>
      </c>
      <c r="O65" s="343" t="s">
        <v>149</v>
      </c>
      <c r="Q65" s="343" t="s">
        <v>338</v>
      </c>
      <c r="R65" s="343" t="s">
        <v>131</v>
      </c>
      <c r="S65" s="384">
        <v>46069</v>
      </c>
      <c r="T65" s="384">
        <v>46075</v>
      </c>
    </row>
    <row r="66" spans="1:20">
      <c r="A66" s="343">
        <v>20260306</v>
      </c>
      <c r="B66" s="343">
        <v>110354.5</v>
      </c>
      <c r="C66" s="343">
        <v>509</v>
      </c>
      <c r="D66" s="343">
        <v>1360</v>
      </c>
      <c r="E66" s="384">
        <v>46087</v>
      </c>
      <c r="F66" s="343" t="s">
        <v>236</v>
      </c>
      <c r="G66" s="343" t="s">
        <v>135</v>
      </c>
      <c r="I66" s="343">
        <v>20260521</v>
      </c>
      <c r="K66" s="343">
        <v>1</v>
      </c>
      <c r="L66" s="343">
        <v>1</v>
      </c>
      <c r="M66" s="384">
        <v>46163</v>
      </c>
      <c r="N66" s="343" t="s">
        <v>235</v>
      </c>
      <c r="O66" s="343" t="s">
        <v>150</v>
      </c>
      <c r="Q66" s="343" t="s">
        <v>338</v>
      </c>
      <c r="R66" s="343" t="s">
        <v>131</v>
      </c>
      <c r="S66" s="384">
        <v>46069</v>
      </c>
      <c r="T66" s="384">
        <v>46075</v>
      </c>
    </row>
    <row r="67" spans="1:20">
      <c r="A67" s="343">
        <v>20260308</v>
      </c>
      <c r="B67" s="343">
        <v>205719.54</v>
      </c>
      <c r="C67" s="343">
        <v>571</v>
      </c>
      <c r="D67" s="343">
        <v>1054</v>
      </c>
      <c r="E67" s="384">
        <v>46089</v>
      </c>
      <c r="F67" s="343" t="s">
        <v>245</v>
      </c>
      <c r="G67" s="343" t="s">
        <v>135</v>
      </c>
      <c r="I67" s="343">
        <v>20260523</v>
      </c>
      <c r="J67" s="343">
        <v>80892.5</v>
      </c>
      <c r="K67" s="343">
        <v>124</v>
      </c>
      <c r="L67" s="343">
        <v>405</v>
      </c>
      <c r="M67" s="384">
        <v>46165</v>
      </c>
      <c r="N67" s="343" t="s">
        <v>244</v>
      </c>
      <c r="O67" s="343" t="s">
        <v>150</v>
      </c>
      <c r="Q67" s="343" t="s">
        <v>338</v>
      </c>
      <c r="R67" s="343" t="s">
        <v>134</v>
      </c>
      <c r="S67" s="384">
        <v>46076</v>
      </c>
      <c r="T67" s="384">
        <v>46082</v>
      </c>
    </row>
    <row r="68" spans="1:20">
      <c r="A68" s="343">
        <v>20260310</v>
      </c>
      <c r="B68" s="343">
        <v>52961.1</v>
      </c>
      <c r="C68" s="343">
        <v>140</v>
      </c>
      <c r="D68" s="343">
        <v>359</v>
      </c>
      <c r="E68" s="384">
        <v>46091</v>
      </c>
      <c r="F68" s="343" t="s">
        <v>233</v>
      </c>
      <c r="G68" s="343" t="s">
        <v>136</v>
      </c>
      <c r="I68" s="343">
        <v>20260524</v>
      </c>
      <c r="J68" s="343">
        <v>107541</v>
      </c>
      <c r="K68" s="343">
        <v>256</v>
      </c>
      <c r="L68" s="343">
        <v>621</v>
      </c>
      <c r="M68" s="384">
        <v>46166</v>
      </c>
      <c r="N68" s="343" t="s">
        <v>245</v>
      </c>
      <c r="O68" s="343" t="s">
        <v>150</v>
      </c>
      <c r="Q68" s="343" t="s">
        <v>338</v>
      </c>
      <c r="R68" s="343" t="s">
        <v>134</v>
      </c>
      <c r="S68" s="384">
        <v>46076</v>
      </c>
      <c r="T68" s="384">
        <v>46082</v>
      </c>
    </row>
    <row r="69" spans="1:20">
      <c r="A69" s="343">
        <v>20260311</v>
      </c>
      <c r="B69" s="343">
        <v>67097.38</v>
      </c>
      <c r="C69" s="343">
        <v>122</v>
      </c>
      <c r="D69" s="343">
        <v>362</v>
      </c>
      <c r="E69" s="384">
        <v>46092</v>
      </c>
      <c r="F69" s="343" t="s">
        <v>234</v>
      </c>
      <c r="G69" s="343" t="s">
        <v>136</v>
      </c>
      <c r="I69" s="343">
        <v>20260525</v>
      </c>
      <c r="J69" s="343">
        <v>15830</v>
      </c>
      <c r="K69" s="343">
        <v>77</v>
      </c>
      <c r="L69" s="343">
        <v>184</v>
      </c>
      <c r="M69" s="384">
        <v>46167</v>
      </c>
      <c r="N69" s="343" t="s">
        <v>232</v>
      </c>
      <c r="O69" s="343" t="s">
        <v>153</v>
      </c>
      <c r="Q69" s="343" t="s">
        <v>338</v>
      </c>
      <c r="R69" s="343" t="s">
        <v>134</v>
      </c>
      <c r="S69" s="384">
        <v>46076</v>
      </c>
      <c r="T69" s="384">
        <v>46082</v>
      </c>
    </row>
    <row r="70" spans="1:20">
      <c r="A70" s="343">
        <v>20260312</v>
      </c>
      <c r="B70" s="343">
        <v>59449.94</v>
      </c>
      <c r="C70" s="343">
        <v>214</v>
      </c>
      <c r="D70" s="343">
        <v>496</v>
      </c>
      <c r="E70" s="384">
        <v>46093</v>
      </c>
      <c r="F70" s="343" t="s">
        <v>235</v>
      </c>
      <c r="G70" s="343" t="s">
        <v>136</v>
      </c>
      <c r="I70" s="343">
        <v>20260526</v>
      </c>
      <c r="J70" s="343">
        <v>-6902.91</v>
      </c>
      <c r="M70" s="384">
        <v>46168</v>
      </c>
      <c r="N70" s="343" t="s">
        <v>233</v>
      </c>
      <c r="O70" s="343" t="s">
        <v>153</v>
      </c>
      <c r="Q70" s="343" t="s">
        <v>338</v>
      </c>
      <c r="R70" s="343" t="s">
        <v>134</v>
      </c>
      <c r="S70" s="384">
        <v>46076</v>
      </c>
      <c r="T70" s="384">
        <v>46082</v>
      </c>
    </row>
    <row r="71" spans="1:20">
      <c r="A71" s="343">
        <v>20260313</v>
      </c>
      <c r="B71" s="343">
        <v>107797.8</v>
      </c>
      <c r="C71" s="343">
        <v>475</v>
      </c>
      <c r="D71" s="343">
        <v>992</v>
      </c>
      <c r="E71" s="384">
        <v>46094</v>
      </c>
      <c r="F71" s="343" t="s">
        <v>236</v>
      </c>
      <c r="G71" s="343" t="s">
        <v>136</v>
      </c>
      <c r="I71" s="343">
        <v>20260527</v>
      </c>
      <c r="K71" s="343">
        <v>1</v>
      </c>
      <c r="L71" s="343">
        <v>0</v>
      </c>
      <c r="M71" s="384">
        <v>46169</v>
      </c>
      <c r="N71" s="343" t="s">
        <v>234</v>
      </c>
      <c r="O71" s="343" t="s">
        <v>153</v>
      </c>
      <c r="Q71" s="343" t="s">
        <v>338</v>
      </c>
      <c r="R71" s="343" t="s">
        <v>134</v>
      </c>
      <c r="S71" s="384">
        <v>46076</v>
      </c>
      <c r="T71" s="384">
        <v>46082</v>
      </c>
    </row>
    <row r="72" spans="1:20">
      <c r="A72" s="343">
        <v>20260314</v>
      </c>
      <c r="B72" s="343">
        <v>169558.15</v>
      </c>
      <c r="C72" s="343">
        <v>666</v>
      </c>
      <c r="D72" s="343">
        <v>1305</v>
      </c>
      <c r="E72" s="384">
        <v>46095</v>
      </c>
      <c r="F72" s="343" t="s">
        <v>244</v>
      </c>
      <c r="G72" s="343" t="s">
        <v>136</v>
      </c>
      <c r="I72" s="343">
        <v>20260528</v>
      </c>
      <c r="K72" s="343">
        <v>8</v>
      </c>
      <c r="L72" s="343">
        <v>8</v>
      </c>
      <c r="M72" s="384">
        <v>46170</v>
      </c>
      <c r="N72" s="343" t="s">
        <v>235</v>
      </c>
      <c r="O72" s="343" t="s">
        <v>153</v>
      </c>
      <c r="Q72" s="343" t="s">
        <v>338</v>
      </c>
      <c r="R72" s="343" t="s">
        <v>134</v>
      </c>
      <c r="S72" s="384">
        <v>46076</v>
      </c>
      <c r="T72" s="384">
        <v>46082</v>
      </c>
    </row>
    <row r="73" spans="1:20">
      <c r="A73" s="343">
        <v>20260315</v>
      </c>
      <c r="B73" s="343">
        <v>130966.42</v>
      </c>
      <c r="C73" s="343">
        <v>511</v>
      </c>
      <c r="D73" s="343">
        <v>860</v>
      </c>
      <c r="E73" s="384">
        <v>46096</v>
      </c>
      <c r="F73" s="343" t="s">
        <v>245</v>
      </c>
      <c r="G73" s="343" t="s">
        <v>136</v>
      </c>
      <c r="I73" s="343">
        <v>20260530</v>
      </c>
      <c r="J73" s="343">
        <v>53125.32</v>
      </c>
      <c r="K73" s="343">
        <v>79</v>
      </c>
      <c r="L73" s="343">
        <v>272</v>
      </c>
      <c r="M73" s="384">
        <v>46172</v>
      </c>
      <c r="N73" s="343" t="s">
        <v>244</v>
      </c>
      <c r="O73" s="343" t="s">
        <v>153</v>
      </c>
      <c r="Q73" s="343" t="s">
        <v>338</v>
      </c>
      <c r="R73" s="343" t="s">
        <v>134</v>
      </c>
      <c r="S73" s="384">
        <v>46076</v>
      </c>
      <c r="T73" s="384">
        <v>46082</v>
      </c>
    </row>
    <row r="74" spans="1:20">
      <c r="A74" s="343">
        <v>20260316</v>
      </c>
      <c r="B74" s="343">
        <v>-209.95</v>
      </c>
      <c r="C74" s="343">
        <v>19</v>
      </c>
      <c r="D74" s="343">
        <v>19</v>
      </c>
      <c r="E74" s="384">
        <v>46097</v>
      </c>
      <c r="F74" s="343" t="s">
        <v>232</v>
      </c>
      <c r="G74" s="343" t="s">
        <v>137</v>
      </c>
      <c r="I74" s="343">
        <v>20260531</v>
      </c>
      <c r="J74" s="343">
        <v>84710.36</v>
      </c>
      <c r="K74" s="343">
        <v>241</v>
      </c>
      <c r="L74" s="343">
        <v>619</v>
      </c>
      <c r="M74" s="384">
        <v>46173</v>
      </c>
      <c r="N74" s="343" t="s">
        <v>245</v>
      </c>
      <c r="O74" s="343" t="s">
        <v>153</v>
      </c>
      <c r="Q74" s="343" t="s">
        <v>338</v>
      </c>
      <c r="R74" s="343" t="s">
        <v>134</v>
      </c>
      <c r="S74" s="384">
        <v>46076</v>
      </c>
      <c r="T74" s="384">
        <v>46082</v>
      </c>
    </row>
    <row r="75" spans="1:20">
      <c r="A75" s="343">
        <v>20260317</v>
      </c>
      <c r="B75" s="343">
        <v>40480.21</v>
      </c>
      <c r="C75" s="343">
        <v>139</v>
      </c>
      <c r="D75" s="343">
        <v>406</v>
      </c>
      <c r="E75" s="384">
        <v>46098</v>
      </c>
      <c r="F75" s="343" t="s">
        <v>233</v>
      </c>
      <c r="G75" s="343" t="s">
        <v>137</v>
      </c>
      <c r="I75" s="343">
        <v>20260605</v>
      </c>
      <c r="K75" s="343">
        <v>33</v>
      </c>
      <c r="L75" s="343">
        <v>33</v>
      </c>
      <c r="M75" s="384">
        <v>46178</v>
      </c>
      <c r="N75" s="343" t="s">
        <v>236</v>
      </c>
      <c r="O75" s="343" t="s">
        <v>154</v>
      </c>
      <c r="Q75" s="343" t="s">
        <v>338</v>
      </c>
      <c r="R75" s="343" t="s">
        <v>134</v>
      </c>
      <c r="S75" s="384">
        <v>46076</v>
      </c>
      <c r="T75" s="384">
        <v>46082</v>
      </c>
    </row>
    <row r="76" spans="1:20">
      <c r="A76" s="343">
        <v>20260318</v>
      </c>
      <c r="B76" s="343">
        <v>45349.2</v>
      </c>
      <c r="C76" s="343">
        <v>113</v>
      </c>
      <c r="D76" s="343">
        <v>316</v>
      </c>
      <c r="E76" s="384">
        <v>46099</v>
      </c>
      <c r="F76" s="343" t="s">
        <v>234</v>
      </c>
      <c r="G76" s="343" t="s">
        <v>137</v>
      </c>
      <c r="I76" s="343">
        <v>20260606</v>
      </c>
      <c r="J76" s="343">
        <v>46551.25</v>
      </c>
      <c r="K76" s="343">
        <v>77</v>
      </c>
      <c r="L76" s="343">
        <v>270</v>
      </c>
      <c r="M76" s="384">
        <v>46179</v>
      </c>
      <c r="N76" s="343" t="s">
        <v>244</v>
      </c>
      <c r="O76" s="343" t="s">
        <v>154</v>
      </c>
      <c r="Q76" s="343" t="s">
        <v>338</v>
      </c>
      <c r="R76" s="343" t="s">
        <v>135</v>
      </c>
      <c r="S76" s="384">
        <v>46083</v>
      </c>
      <c r="T76" s="384">
        <v>46089</v>
      </c>
    </row>
    <row r="77" spans="1:20">
      <c r="A77" s="343">
        <v>20260319</v>
      </c>
      <c r="B77" s="343">
        <v>54393.95</v>
      </c>
      <c r="C77" s="343">
        <v>189</v>
      </c>
      <c r="D77" s="343">
        <v>471</v>
      </c>
      <c r="E77" s="384">
        <v>46100</v>
      </c>
      <c r="F77" s="343" t="s">
        <v>235</v>
      </c>
      <c r="G77" s="343" t="s">
        <v>137</v>
      </c>
      <c r="I77" s="343">
        <v>20260607</v>
      </c>
      <c r="J77" s="343">
        <v>75616.25</v>
      </c>
      <c r="K77" s="343">
        <v>207</v>
      </c>
      <c r="L77" s="343">
        <v>507</v>
      </c>
      <c r="M77" s="384">
        <v>46180</v>
      </c>
      <c r="N77" s="343" t="s">
        <v>245</v>
      </c>
      <c r="O77" s="343" t="s">
        <v>154</v>
      </c>
      <c r="Q77" s="343" t="s">
        <v>338</v>
      </c>
      <c r="R77" s="343" t="s">
        <v>135</v>
      </c>
      <c r="S77" s="384">
        <v>46083</v>
      </c>
      <c r="T77" s="384">
        <v>46089</v>
      </c>
    </row>
    <row r="78" spans="1:20">
      <c r="A78" s="343">
        <v>20260320</v>
      </c>
      <c r="B78" s="343">
        <v>111632.35</v>
      </c>
      <c r="C78" s="343">
        <v>389</v>
      </c>
      <c r="D78" s="343">
        <v>969</v>
      </c>
      <c r="E78" s="384">
        <v>46101</v>
      </c>
      <c r="F78" s="343" t="s">
        <v>236</v>
      </c>
      <c r="G78" s="343" t="s">
        <v>137</v>
      </c>
      <c r="I78" s="343">
        <v>20260609</v>
      </c>
      <c r="K78" s="343">
        <v>8</v>
      </c>
      <c r="L78" s="343">
        <v>8</v>
      </c>
      <c r="M78" s="384">
        <v>46182</v>
      </c>
      <c r="N78" s="343" t="s">
        <v>233</v>
      </c>
      <c r="O78" s="343" t="s">
        <v>155</v>
      </c>
      <c r="Q78" s="343" t="s">
        <v>338</v>
      </c>
      <c r="R78" s="343" t="s">
        <v>135</v>
      </c>
      <c r="S78" s="384">
        <v>46083</v>
      </c>
      <c r="T78" s="384">
        <v>46089</v>
      </c>
    </row>
    <row r="79" spans="1:20">
      <c r="A79" s="343">
        <v>20260321</v>
      </c>
      <c r="B79" s="343">
        <v>160351.06</v>
      </c>
      <c r="C79" s="343">
        <v>568</v>
      </c>
      <c r="D79" s="343">
        <v>1200</v>
      </c>
      <c r="E79" s="384">
        <v>46102</v>
      </c>
      <c r="F79" s="343" t="s">
        <v>244</v>
      </c>
      <c r="G79" s="343" t="s">
        <v>137</v>
      </c>
      <c r="I79" s="343">
        <v>20260610</v>
      </c>
      <c r="K79" s="343">
        <v>2</v>
      </c>
      <c r="L79" s="343">
        <v>0</v>
      </c>
      <c r="M79" s="384">
        <v>46183</v>
      </c>
      <c r="N79" s="343" t="s">
        <v>234</v>
      </c>
      <c r="O79" s="343" t="s">
        <v>155</v>
      </c>
      <c r="Q79" s="343" t="s">
        <v>338</v>
      </c>
      <c r="R79" s="343" t="s">
        <v>135</v>
      </c>
      <c r="S79" s="384">
        <v>46083</v>
      </c>
      <c r="T79" s="384">
        <v>46089</v>
      </c>
    </row>
    <row r="80" spans="1:20">
      <c r="A80" s="343">
        <v>20260322</v>
      </c>
      <c r="B80" s="343">
        <v>176530.35</v>
      </c>
      <c r="C80" s="343">
        <v>554</v>
      </c>
      <c r="D80" s="343">
        <v>1062</v>
      </c>
      <c r="E80" s="384">
        <v>46103</v>
      </c>
      <c r="F80" s="343" t="s">
        <v>245</v>
      </c>
      <c r="G80" s="343" t="s">
        <v>137</v>
      </c>
      <c r="I80" s="343">
        <v>20260611</v>
      </c>
      <c r="K80" s="343">
        <v>1</v>
      </c>
      <c r="L80" s="343">
        <v>1</v>
      </c>
      <c r="M80" s="384">
        <v>46184</v>
      </c>
      <c r="N80" s="343" t="s">
        <v>235</v>
      </c>
      <c r="O80" s="343" t="s">
        <v>155</v>
      </c>
      <c r="Q80" s="343" t="s">
        <v>338</v>
      </c>
      <c r="R80" s="343" t="s">
        <v>135</v>
      </c>
      <c r="S80" s="384">
        <v>46083</v>
      </c>
      <c r="T80" s="384">
        <v>46089</v>
      </c>
    </row>
    <row r="81" spans="1:20">
      <c r="A81" s="343">
        <v>20260323</v>
      </c>
      <c r="C81" s="343">
        <v>19</v>
      </c>
      <c r="D81" s="343">
        <v>19</v>
      </c>
      <c r="E81" s="384">
        <v>46104</v>
      </c>
      <c r="F81" s="343" t="s">
        <v>232</v>
      </c>
      <c r="G81" s="343" t="s">
        <v>138</v>
      </c>
      <c r="I81" s="343">
        <v>20260612</v>
      </c>
      <c r="K81" s="343">
        <v>2</v>
      </c>
      <c r="L81" s="343">
        <v>2</v>
      </c>
      <c r="M81" s="384">
        <v>46185</v>
      </c>
      <c r="N81" s="343" t="s">
        <v>236</v>
      </c>
      <c r="O81" s="343" t="s">
        <v>155</v>
      </c>
      <c r="Q81" s="343" t="s">
        <v>338</v>
      </c>
      <c r="R81" s="343" t="s">
        <v>135</v>
      </c>
      <c r="S81" s="384">
        <v>46083</v>
      </c>
      <c r="T81" s="384">
        <v>46089</v>
      </c>
    </row>
    <row r="82" spans="1:20">
      <c r="A82" s="343">
        <v>20260324</v>
      </c>
      <c r="B82" s="343">
        <v>36677</v>
      </c>
      <c r="C82" s="343">
        <v>112</v>
      </c>
      <c r="D82" s="343">
        <v>306</v>
      </c>
      <c r="E82" s="384">
        <v>46105</v>
      </c>
      <c r="F82" s="343" t="s">
        <v>233</v>
      </c>
      <c r="G82" s="343" t="s">
        <v>138</v>
      </c>
      <c r="I82" s="343">
        <v>20260613</v>
      </c>
      <c r="J82" s="343">
        <v>39497.300000000003</v>
      </c>
      <c r="K82" s="343">
        <v>84</v>
      </c>
      <c r="L82" s="343">
        <v>231</v>
      </c>
      <c r="M82" s="384">
        <v>46186</v>
      </c>
      <c r="N82" s="343" t="s">
        <v>244</v>
      </c>
      <c r="O82" s="343" t="s">
        <v>155</v>
      </c>
      <c r="Q82" s="343" t="s">
        <v>338</v>
      </c>
      <c r="R82" s="343" t="s">
        <v>135</v>
      </c>
      <c r="S82" s="384">
        <v>46083</v>
      </c>
      <c r="T82" s="384">
        <v>46089</v>
      </c>
    </row>
    <row r="83" spans="1:20">
      <c r="A83" s="343">
        <v>20260325</v>
      </c>
      <c r="B83" s="343">
        <v>60336.85</v>
      </c>
      <c r="C83" s="343">
        <v>176</v>
      </c>
      <c r="D83" s="343">
        <v>454</v>
      </c>
      <c r="E83" s="384">
        <v>46106</v>
      </c>
      <c r="F83" s="343" t="s">
        <v>234</v>
      </c>
      <c r="G83" s="343" t="s">
        <v>138</v>
      </c>
      <c r="I83" s="343">
        <v>20260614</v>
      </c>
      <c r="J83" s="343">
        <v>121077.85</v>
      </c>
      <c r="K83" s="343">
        <v>208</v>
      </c>
      <c r="L83" s="343">
        <v>625</v>
      </c>
      <c r="M83" s="384">
        <v>46187</v>
      </c>
      <c r="N83" s="343" t="s">
        <v>245</v>
      </c>
      <c r="O83" s="343" t="s">
        <v>155</v>
      </c>
      <c r="Q83" s="343" t="s">
        <v>338</v>
      </c>
      <c r="R83" s="343" t="s">
        <v>135</v>
      </c>
      <c r="S83" s="384">
        <v>46083</v>
      </c>
      <c r="T83" s="384">
        <v>46089</v>
      </c>
    </row>
    <row r="84" spans="1:20">
      <c r="A84" s="343">
        <v>20260326</v>
      </c>
      <c r="B84" s="343">
        <v>113889.94</v>
      </c>
      <c r="C84" s="343">
        <v>424</v>
      </c>
      <c r="D84" s="343">
        <v>996</v>
      </c>
      <c r="E84" s="384">
        <v>46107</v>
      </c>
      <c r="F84" s="343" t="s">
        <v>235</v>
      </c>
      <c r="G84" s="343" t="s">
        <v>138</v>
      </c>
      <c r="I84" s="343">
        <v>20260618</v>
      </c>
      <c r="K84" s="343">
        <v>2</v>
      </c>
      <c r="L84" s="343">
        <v>2</v>
      </c>
      <c r="M84" s="384">
        <v>46191</v>
      </c>
      <c r="N84" s="343" t="s">
        <v>235</v>
      </c>
      <c r="O84" s="343" t="s">
        <v>156</v>
      </c>
      <c r="Q84" s="343" t="s">
        <v>338</v>
      </c>
      <c r="R84" s="343" t="s">
        <v>135</v>
      </c>
      <c r="S84" s="384">
        <v>46083</v>
      </c>
      <c r="T84" s="384">
        <v>46089</v>
      </c>
    </row>
    <row r="85" spans="1:20">
      <c r="A85" s="343">
        <v>20260327</v>
      </c>
      <c r="B85" s="343">
        <v>131602.9</v>
      </c>
      <c r="C85" s="343">
        <v>487</v>
      </c>
      <c r="D85" s="343">
        <v>1108</v>
      </c>
      <c r="E85" s="384">
        <v>46108</v>
      </c>
      <c r="F85" s="343" t="s">
        <v>236</v>
      </c>
      <c r="G85" s="343" t="s">
        <v>138</v>
      </c>
      <c r="I85" s="343">
        <v>20260619</v>
      </c>
      <c r="K85" s="343">
        <v>1</v>
      </c>
      <c r="L85" s="343">
        <v>0</v>
      </c>
      <c r="M85" s="384">
        <v>46192</v>
      </c>
      <c r="N85" s="343" t="s">
        <v>236</v>
      </c>
      <c r="O85" s="343" t="s">
        <v>156</v>
      </c>
      <c r="Q85" s="343" t="s">
        <v>338</v>
      </c>
      <c r="R85" s="343" t="s">
        <v>136</v>
      </c>
      <c r="S85" s="384">
        <v>46090</v>
      </c>
      <c r="T85" s="384">
        <v>46096</v>
      </c>
    </row>
    <row r="86" spans="1:20">
      <c r="A86" s="343">
        <v>20260328</v>
      </c>
      <c r="B86" s="343">
        <v>309774.07</v>
      </c>
      <c r="C86" s="343">
        <v>659</v>
      </c>
      <c r="D86" s="343">
        <v>1388</v>
      </c>
      <c r="E86" s="384">
        <v>46109</v>
      </c>
      <c r="F86" s="343" t="s">
        <v>244</v>
      </c>
      <c r="G86" s="343" t="s">
        <v>138</v>
      </c>
      <c r="I86" s="343">
        <v>20260620</v>
      </c>
      <c r="J86" s="343">
        <v>52629.9</v>
      </c>
      <c r="K86" s="343">
        <v>119</v>
      </c>
      <c r="L86" s="343">
        <v>333</v>
      </c>
      <c r="M86" s="384">
        <v>46193</v>
      </c>
      <c r="N86" s="343" t="s">
        <v>244</v>
      </c>
      <c r="O86" s="343" t="s">
        <v>156</v>
      </c>
      <c r="Q86" s="343" t="s">
        <v>338</v>
      </c>
      <c r="R86" s="343" t="s">
        <v>136</v>
      </c>
      <c r="S86" s="384">
        <v>46090</v>
      </c>
      <c r="T86" s="384">
        <v>46096</v>
      </c>
    </row>
    <row r="87" spans="1:20">
      <c r="A87" s="343">
        <v>20260329</v>
      </c>
      <c r="B87" s="343">
        <v>183388.65</v>
      </c>
      <c r="C87" s="343">
        <v>664</v>
      </c>
      <c r="D87" s="343">
        <v>1496</v>
      </c>
      <c r="E87" s="384">
        <v>46110</v>
      </c>
      <c r="F87" s="343" t="s">
        <v>245</v>
      </c>
      <c r="G87" s="343" t="s">
        <v>138</v>
      </c>
      <c r="I87" s="343">
        <v>20260621</v>
      </c>
      <c r="J87" s="343">
        <v>105373.25</v>
      </c>
      <c r="K87" s="343">
        <v>235</v>
      </c>
      <c r="L87" s="343">
        <v>683</v>
      </c>
      <c r="M87" s="384">
        <v>46194</v>
      </c>
      <c r="N87" s="343" t="s">
        <v>245</v>
      </c>
      <c r="O87" s="343" t="s">
        <v>156</v>
      </c>
      <c r="Q87" s="343" t="s">
        <v>338</v>
      </c>
      <c r="R87" s="343" t="s">
        <v>136</v>
      </c>
      <c r="S87" s="384">
        <v>46090</v>
      </c>
      <c r="T87" s="384">
        <v>46096</v>
      </c>
    </row>
    <row r="88" spans="1:20">
      <c r="A88" s="343">
        <v>20260330</v>
      </c>
      <c r="C88" s="343">
        <v>8</v>
      </c>
      <c r="D88" s="343">
        <v>8</v>
      </c>
      <c r="E88" s="384">
        <v>46111</v>
      </c>
      <c r="F88" s="343" t="s">
        <v>232</v>
      </c>
      <c r="G88" s="343" t="s">
        <v>141</v>
      </c>
      <c r="I88" s="343">
        <v>20260622</v>
      </c>
      <c r="J88" s="343">
        <v>500</v>
      </c>
      <c r="K88" s="343">
        <v>2</v>
      </c>
      <c r="L88" s="343">
        <v>2</v>
      </c>
      <c r="M88" s="384">
        <v>46195</v>
      </c>
      <c r="N88" s="343" t="s">
        <v>232</v>
      </c>
      <c r="O88" s="343" t="s">
        <v>157</v>
      </c>
      <c r="Q88" s="343" t="s">
        <v>338</v>
      </c>
      <c r="R88" s="343" t="s">
        <v>136</v>
      </c>
      <c r="S88" s="384">
        <v>46090</v>
      </c>
      <c r="T88" s="384">
        <v>46096</v>
      </c>
    </row>
    <row r="89" spans="1:20">
      <c r="A89" s="343">
        <v>20260331</v>
      </c>
      <c r="B89" s="343">
        <v>38803.300000000003</v>
      </c>
      <c r="C89" s="343">
        <v>134</v>
      </c>
      <c r="D89" s="343">
        <v>339</v>
      </c>
      <c r="E89" s="384">
        <v>46112</v>
      </c>
      <c r="F89" s="343" t="s">
        <v>233</v>
      </c>
      <c r="G89" s="343" t="s">
        <v>141</v>
      </c>
      <c r="I89" s="343">
        <v>20260623</v>
      </c>
      <c r="K89" s="343">
        <v>1</v>
      </c>
      <c r="L89" s="343">
        <v>1</v>
      </c>
      <c r="M89" s="384">
        <v>46196</v>
      </c>
      <c r="N89" s="343" t="s">
        <v>233</v>
      </c>
      <c r="O89" s="343" t="s">
        <v>157</v>
      </c>
      <c r="Q89" s="343" t="s">
        <v>338</v>
      </c>
      <c r="R89" s="343" t="s">
        <v>136</v>
      </c>
      <c r="S89" s="384">
        <v>46090</v>
      </c>
      <c r="T89" s="384">
        <v>46096</v>
      </c>
    </row>
    <row r="90" spans="1:20">
      <c r="A90" s="343">
        <v>20260401</v>
      </c>
      <c r="B90" s="343">
        <v>25683</v>
      </c>
      <c r="C90" s="343">
        <v>98</v>
      </c>
      <c r="D90" s="343">
        <v>229</v>
      </c>
      <c r="E90" s="384">
        <v>46113</v>
      </c>
      <c r="F90" s="343" t="s">
        <v>234</v>
      </c>
      <c r="G90" s="343" t="s">
        <v>141</v>
      </c>
      <c r="I90" s="343">
        <v>20260624</v>
      </c>
      <c r="K90" s="343">
        <v>4</v>
      </c>
      <c r="L90" s="343">
        <v>2</v>
      </c>
      <c r="M90" s="384">
        <v>46197</v>
      </c>
      <c r="N90" s="343" t="s">
        <v>234</v>
      </c>
      <c r="O90" s="343" t="s">
        <v>157</v>
      </c>
      <c r="Q90" s="343" t="s">
        <v>338</v>
      </c>
      <c r="R90" s="343" t="s">
        <v>136</v>
      </c>
      <c r="S90" s="384">
        <v>46090</v>
      </c>
      <c r="T90" s="384">
        <v>46096</v>
      </c>
    </row>
    <row r="91" spans="1:20">
      <c r="A91" s="343">
        <v>20260402</v>
      </c>
      <c r="B91" s="343">
        <v>67363.429999999993</v>
      </c>
      <c r="C91" s="343">
        <v>234</v>
      </c>
      <c r="D91" s="343">
        <v>596</v>
      </c>
      <c r="E91" s="384">
        <v>46114</v>
      </c>
      <c r="F91" s="343" t="s">
        <v>235</v>
      </c>
      <c r="G91" s="343" t="s">
        <v>141</v>
      </c>
      <c r="I91" s="343">
        <v>20260626</v>
      </c>
      <c r="J91" s="343">
        <v>103134.58</v>
      </c>
      <c r="K91" s="343">
        <v>5</v>
      </c>
      <c r="L91" s="343">
        <v>5</v>
      </c>
      <c r="M91" s="384">
        <v>46199</v>
      </c>
      <c r="N91" s="343" t="s">
        <v>236</v>
      </c>
      <c r="O91" s="343" t="s">
        <v>157</v>
      </c>
      <c r="Q91" s="343" t="s">
        <v>338</v>
      </c>
      <c r="R91" s="343" t="s">
        <v>136</v>
      </c>
      <c r="S91" s="384">
        <v>46090</v>
      </c>
      <c r="T91" s="384">
        <v>46096</v>
      </c>
    </row>
    <row r="92" spans="1:20">
      <c r="A92" s="343">
        <v>20260403</v>
      </c>
      <c r="B92" s="343">
        <v>111034.5</v>
      </c>
      <c r="C92" s="343">
        <v>399</v>
      </c>
      <c r="D92" s="343">
        <v>987</v>
      </c>
      <c r="E92" s="384">
        <v>46115</v>
      </c>
      <c r="F92" s="343" t="s">
        <v>236</v>
      </c>
      <c r="G92" s="343" t="s">
        <v>141</v>
      </c>
      <c r="I92" s="343">
        <v>20260627</v>
      </c>
      <c r="J92" s="343">
        <v>61685.55</v>
      </c>
      <c r="K92" s="343">
        <v>152</v>
      </c>
      <c r="L92" s="343">
        <v>518</v>
      </c>
      <c r="M92" s="384">
        <v>46200</v>
      </c>
      <c r="N92" s="343" t="s">
        <v>244</v>
      </c>
      <c r="O92" s="343" t="s">
        <v>157</v>
      </c>
      <c r="Q92" s="343" t="s">
        <v>338</v>
      </c>
      <c r="R92" s="343" t="s">
        <v>137</v>
      </c>
      <c r="S92" s="384">
        <v>46097</v>
      </c>
      <c r="T92" s="384">
        <v>46103</v>
      </c>
    </row>
    <row r="93" spans="1:20">
      <c r="A93" s="343">
        <v>20260404</v>
      </c>
      <c r="B93" s="343">
        <v>176401.15</v>
      </c>
      <c r="C93" s="343">
        <v>603</v>
      </c>
      <c r="D93" s="343">
        <v>1363</v>
      </c>
      <c r="E93" s="384">
        <v>46116</v>
      </c>
      <c r="F93" s="343" t="s">
        <v>244</v>
      </c>
      <c r="G93" s="343" t="s">
        <v>141</v>
      </c>
      <c r="I93" s="343">
        <v>20260628</v>
      </c>
      <c r="J93" s="343">
        <v>117465.45</v>
      </c>
      <c r="K93" s="343">
        <v>211</v>
      </c>
      <c r="L93" s="343">
        <v>587</v>
      </c>
      <c r="M93" s="384">
        <v>46201</v>
      </c>
      <c r="N93" s="343" t="s">
        <v>245</v>
      </c>
      <c r="O93" s="343" t="s">
        <v>157</v>
      </c>
      <c r="Q93" s="343" t="s">
        <v>338</v>
      </c>
      <c r="R93" s="343" t="s">
        <v>137</v>
      </c>
      <c r="S93" s="384">
        <v>46097</v>
      </c>
      <c r="T93" s="384">
        <v>46103</v>
      </c>
    </row>
    <row r="94" spans="1:20">
      <c r="A94" s="343">
        <v>20260405</v>
      </c>
      <c r="B94" s="343">
        <v>192158.25</v>
      </c>
      <c r="C94" s="343">
        <v>551</v>
      </c>
      <c r="D94" s="343">
        <v>1080</v>
      </c>
      <c r="E94" s="384">
        <v>46117</v>
      </c>
      <c r="F94" s="343" t="s">
        <v>245</v>
      </c>
      <c r="G94" s="343" t="s">
        <v>141</v>
      </c>
      <c r="I94" s="343">
        <v>20260704</v>
      </c>
      <c r="J94" s="343">
        <v>38190.25</v>
      </c>
      <c r="K94" s="343">
        <v>99</v>
      </c>
      <c r="L94" s="343">
        <v>273</v>
      </c>
      <c r="M94" s="384">
        <v>46207</v>
      </c>
      <c r="N94" s="343" t="s">
        <v>244</v>
      </c>
      <c r="O94" s="343" t="s">
        <v>160</v>
      </c>
      <c r="Q94" s="343" t="s">
        <v>338</v>
      </c>
      <c r="R94" s="343" t="s">
        <v>137</v>
      </c>
      <c r="S94" s="384">
        <v>46097</v>
      </c>
      <c r="T94" s="384">
        <v>46103</v>
      </c>
    </row>
    <row r="95" spans="1:20">
      <c r="A95" s="343">
        <v>20260406</v>
      </c>
      <c r="C95" s="343">
        <v>1</v>
      </c>
      <c r="D95" s="343">
        <v>0</v>
      </c>
      <c r="E95" s="384">
        <v>46118</v>
      </c>
      <c r="F95" s="343" t="s">
        <v>232</v>
      </c>
      <c r="G95" s="343" t="s">
        <v>142</v>
      </c>
      <c r="I95" s="343">
        <v>20260705</v>
      </c>
      <c r="J95" s="343">
        <v>54935.86</v>
      </c>
      <c r="K95" s="343">
        <v>145</v>
      </c>
      <c r="L95" s="343">
        <v>376</v>
      </c>
      <c r="M95" s="384">
        <v>46208</v>
      </c>
      <c r="N95" s="343" t="s">
        <v>245</v>
      </c>
      <c r="O95" s="343" t="s">
        <v>160</v>
      </c>
      <c r="Q95" s="343" t="s">
        <v>338</v>
      </c>
      <c r="R95" s="343" t="s">
        <v>137</v>
      </c>
      <c r="S95" s="384">
        <v>46097</v>
      </c>
      <c r="T95" s="384">
        <v>46103</v>
      </c>
    </row>
    <row r="96" spans="1:20">
      <c r="A96" s="343">
        <v>20260407</v>
      </c>
      <c r="B96" s="343">
        <v>27844.5</v>
      </c>
      <c r="C96" s="343">
        <v>83</v>
      </c>
      <c r="D96" s="343">
        <v>236</v>
      </c>
      <c r="E96" s="384">
        <v>46119</v>
      </c>
      <c r="F96" s="343" t="s">
        <v>233</v>
      </c>
      <c r="G96" s="343" t="s">
        <v>142</v>
      </c>
      <c r="I96" s="343">
        <v>20260709</v>
      </c>
      <c r="K96" s="343">
        <v>1</v>
      </c>
      <c r="L96" s="343">
        <v>1</v>
      </c>
      <c r="M96" s="384">
        <v>46212</v>
      </c>
      <c r="N96" s="343" t="s">
        <v>235</v>
      </c>
      <c r="O96" s="343" t="s">
        <v>161</v>
      </c>
      <c r="Q96" s="343" t="s">
        <v>338</v>
      </c>
      <c r="R96" s="343" t="s">
        <v>137</v>
      </c>
      <c r="S96" s="384">
        <v>46097</v>
      </c>
      <c r="T96" s="384">
        <v>46103</v>
      </c>
    </row>
    <row r="97" spans="1:20">
      <c r="A97" s="343">
        <v>20260408</v>
      </c>
      <c r="B97" s="343">
        <v>27703.3</v>
      </c>
      <c r="C97" s="343">
        <v>85</v>
      </c>
      <c r="D97" s="343">
        <v>228</v>
      </c>
      <c r="E97" s="384">
        <v>46120</v>
      </c>
      <c r="F97" s="343" t="s">
        <v>234</v>
      </c>
      <c r="G97" s="343" t="s">
        <v>142</v>
      </c>
      <c r="I97" s="343">
        <v>20260710</v>
      </c>
      <c r="K97" s="343">
        <v>34</v>
      </c>
      <c r="L97" s="343">
        <v>33</v>
      </c>
      <c r="M97" s="384">
        <v>46213</v>
      </c>
      <c r="N97" s="343" t="s">
        <v>236</v>
      </c>
      <c r="O97" s="343" t="s">
        <v>161</v>
      </c>
      <c r="Q97" s="343" t="s">
        <v>338</v>
      </c>
      <c r="R97" s="343" t="s">
        <v>137</v>
      </c>
      <c r="S97" s="384">
        <v>46097</v>
      </c>
      <c r="T97" s="384">
        <v>46103</v>
      </c>
    </row>
    <row r="98" spans="1:20">
      <c r="A98" s="343">
        <v>20260409</v>
      </c>
      <c r="B98" s="343">
        <v>124551.7</v>
      </c>
      <c r="C98" s="343">
        <v>247</v>
      </c>
      <c r="D98" s="343">
        <v>603</v>
      </c>
      <c r="E98" s="384">
        <v>46121</v>
      </c>
      <c r="F98" s="343" t="s">
        <v>235</v>
      </c>
      <c r="G98" s="343" t="s">
        <v>142</v>
      </c>
      <c r="I98" s="343">
        <v>20260711</v>
      </c>
      <c r="J98" s="343">
        <v>37639</v>
      </c>
      <c r="K98" s="343">
        <v>87</v>
      </c>
      <c r="L98" s="343">
        <v>280</v>
      </c>
      <c r="M98" s="384">
        <v>46214</v>
      </c>
      <c r="N98" s="343" t="s">
        <v>244</v>
      </c>
      <c r="O98" s="343" t="s">
        <v>161</v>
      </c>
      <c r="Q98" s="343" t="s">
        <v>338</v>
      </c>
      <c r="R98" s="343" t="s">
        <v>137</v>
      </c>
      <c r="S98" s="384">
        <v>46097</v>
      </c>
      <c r="T98" s="384">
        <v>46103</v>
      </c>
    </row>
    <row r="99" spans="1:20">
      <c r="A99" s="343">
        <v>20260410</v>
      </c>
      <c r="B99" s="343">
        <v>117400.2</v>
      </c>
      <c r="C99" s="343">
        <v>394</v>
      </c>
      <c r="D99" s="343">
        <v>963</v>
      </c>
      <c r="E99" s="384">
        <v>46122</v>
      </c>
      <c r="F99" s="343" t="s">
        <v>236</v>
      </c>
      <c r="G99" s="343" t="s">
        <v>142</v>
      </c>
      <c r="I99" s="343">
        <v>20260712</v>
      </c>
      <c r="J99" s="343">
        <v>137145.70000000001</v>
      </c>
      <c r="K99" s="343">
        <v>200</v>
      </c>
      <c r="L99" s="343">
        <v>585</v>
      </c>
      <c r="M99" s="384">
        <v>46215</v>
      </c>
      <c r="N99" s="343" t="s">
        <v>245</v>
      </c>
      <c r="O99" s="343" t="s">
        <v>161</v>
      </c>
      <c r="Q99" s="343" t="s">
        <v>338</v>
      </c>
      <c r="R99" s="343" t="s">
        <v>137</v>
      </c>
      <c r="S99" s="384">
        <v>46097</v>
      </c>
      <c r="T99" s="384">
        <v>46103</v>
      </c>
    </row>
    <row r="100" spans="1:20">
      <c r="A100" s="343">
        <v>20260411</v>
      </c>
      <c r="B100" s="343">
        <v>190090.3</v>
      </c>
      <c r="C100" s="343">
        <v>602</v>
      </c>
      <c r="D100" s="343">
        <v>1324</v>
      </c>
      <c r="E100" s="384">
        <v>46123</v>
      </c>
      <c r="F100" s="343" t="s">
        <v>244</v>
      </c>
      <c r="G100" s="343" t="s">
        <v>142</v>
      </c>
      <c r="I100" s="343">
        <v>20260714</v>
      </c>
      <c r="K100" s="343">
        <v>3</v>
      </c>
      <c r="L100" s="343">
        <v>3</v>
      </c>
      <c r="M100" s="384">
        <v>46217</v>
      </c>
      <c r="N100" s="343" t="s">
        <v>233</v>
      </c>
      <c r="O100" s="343" t="s">
        <v>162</v>
      </c>
      <c r="Q100" s="343" t="s">
        <v>338</v>
      </c>
      <c r="R100" s="343" t="s">
        <v>138</v>
      </c>
      <c r="S100" s="384">
        <v>46104</v>
      </c>
      <c r="T100" s="384">
        <v>46110</v>
      </c>
    </row>
    <row r="101" spans="1:20">
      <c r="A101" s="343">
        <v>20260412</v>
      </c>
      <c r="B101" s="343">
        <v>148848</v>
      </c>
      <c r="C101" s="343">
        <v>487</v>
      </c>
      <c r="D101" s="343">
        <v>1672</v>
      </c>
      <c r="E101" s="384">
        <v>46124</v>
      </c>
      <c r="F101" s="343" t="s">
        <v>245</v>
      </c>
      <c r="G101" s="343" t="s">
        <v>142</v>
      </c>
      <c r="I101" s="343">
        <v>20260718</v>
      </c>
      <c r="J101" s="343">
        <v>20617</v>
      </c>
      <c r="K101" s="343">
        <v>81</v>
      </c>
      <c r="L101" s="343">
        <v>244</v>
      </c>
      <c r="M101" s="384">
        <v>46221</v>
      </c>
      <c r="N101" s="343" t="s">
        <v>244</v>
      </c>
      <c r="O101" s="343" t="s">
        <v>162</v>
      </c>
      <c r="Q101" s="343" t="s">
        <v>338</v>
      </c>
      <c r="R101" s="343" t="s">
        <v>138</v>
      </c>
      <c r="S101" s="384">
        <v>46104</v>
      </c>
      <c r="T101" s="384">
        <v>46110</v>
      </c>
    </row>
    <row r="102" spans="1:20">
      <c r="A102" s="343">
        <v>20260413</v>
      </c>
      <c r="C102" s="343">
        <v>1</v>
      </c>
      <c r="D102" s="343">
        <v>1</v>
      </c>
      <c r="E102" s="384">
        <v>46125</v>
      </c>
      <c r="F102" s="343" t="s">
        <v>232</v>
      </c>
      <c r="G102" s="343" t="s">
        <v>143</v>
      </c>
      <c r="I102" s="343">
        <v>20260719</v>
      </c>
      <c r="J102" s="343">
        <v>128505.34</v>
      </c>
      <c r="K102" s="343">
        <v>154</v>
      </c>
      <c r="L102" s="343">
        <v>440</v>
      </c>
      <c r="M102" s="384">
        <v>46222</v>
      </c>
      <c r="N102" s="343" t="s">
        <v>245</v>
      </c>
      <c r="O102" s="343" t="s">
        <v>162</v>
      </c>
      <c r="Q102" s="343" t="s">
        <v>338</v>
      </c>
      <c r="R102" s="343" t="s">
        <v>138</v>
      </c>
      <c r="S102" s="384">
        <v>46104</v>
      </c>
      <c r="T102" s="384">
        <v>46110</v>
      </c>
    </row>
    <row r="103" spans="1:20">
      <c r="A103" s="343">
        <v>20260414</v>
      </c>
      <c r="B103" s="343">
        <v>38686.519999999997</v>
      </c>
      <c r="C103" s="343">
        <v>97</v>
      </c>
      <c r="D103" s="343">
        <v>283</v>
      </c>
      <c r="E103" s="384">
        <v>46126</v>
      </c>
      <c r="F103" s="343" t="s">
        <v>233</v>
      </c>
      <c r="G103" s="343" t="s">
        <v>143</v>
      </c>
      <c r="I103" s="343">
        <v>20260720</v>
      </c>
      <c r="J103" s="343">
        <v>-64.8</v>
      </c>
      <c r="K103" s="343">
        <v>1</v>
      </c>
      <c r="L103" s="343">
        <v>1</v>
      </c>
      <c r="M103" s="384">
        <v>46223</v>
      </c>
      <c r="N103" s="343" t="s">
        <v>232</v>
      </c>
      <c r="O103" s="343" t="s">
        <v>163</v>
      </c>
      <c r="Q103" s="343" t="s">
        <v>338</v>
      </c>
      <c r="R103" s="343" t="s">
        <v>138</v>
      </c>
      <c r="S103" s="384">
        <v>46104</v>
      </c>
      <c r="T103" s="384">
        <v>46110</v>
      </c>
    </row>
    <row r="104" spans="1:20">
      <c r="A104" s="343">
        <v>20260415</v>
      </c>
      <c r="B104" s="343">
        <v>31013.01</v>
      </c>
      <c r="C104" s="343">
        <v>87</v>
      </c>
      <c r="D104" s="343">
        <v>196</v>
      </c>
      <c r="E104" s="384">
        <v>46127</v>
      </c>
      <c r="F104" s="343" t="s">
        <v>234</v>
      </c>
      <c r="G104" s="343" t="s">
        <v>143</v>
      </c>
      <c r="I104" s="343">
        <v>20260724</v>
      </c>
      <c r="K104" s="343">
        <v>5</v>
      </c>
      <c r="L104" s="343">
        <v>5</v>
      </c>
      <c r="M104" s="384">
        <v>46227</v>
      </c>
      <c r="N104" s="343" t="s">
        <v>236</v>
      </c>
      <c r="O104" s="343" t="s">
        <v>163</v>
      </c>
      <c r="Q104" s="343" t="s">
        <v>338</v>
      </c>
      <c r="R104" s="343" t="s">
        <v>138</v>
      </c>
      <c r="S104" s="384">
        <v>46104</v>
      </c>
      <c r="T104" s="384">
        <v>46110</v>
      </c>
    </row>
    <row r="105" spans="1:20">
      <c r="A105" s="343">
        <v>20260416</v>
      </c>
      <c r="B105" s="343">
        <v>74426.649999999994</v>
      </c>
      <c r="C105" s="343">
        <v>292</v>
      </c>
      <c r="D105" s="343">
        <v>727</v>
      </c>
      <c r="E105" s="384">
        <v>46128</v>
      </c>
      <c r="F105" s="343" t="s">
        <v>235</v>
      </c>
      <c r="G105" s="343" t="s">
        <v>143</v>
      </c>
      <c r="I105" s="343">
        <v>20260725</v>
      </c>
      <c r="J105" s="343">
        <v>40101.730000000003</v>
      </c>
      <c r="K105" s="343">
        <v>97</v>
      </c>
      <c r="L105" s="343">
        <v>270</v>
      </c>
      <c r="M105" s="384">
        <v>46228</v>
      </c>
      <c r="N105" s="343" t="s">
        <v>244</v>
      </c>
      <c r="O105" s="343" t="s">
        <v>163</v>
      </c>
      <c r="Q105" s="343" t="s">
        <v>338</v>
      </c>
      <c r="R105" s="343" t="s">
        <v>138</v>
      </c>
      <c r="S105" s="384">
        <v>46104</v>
      </c>
      <c r="T105" s="384">
        <v>46110</v>
      </c>
    </row>
    <row r="106" spans="1:20">
      <c r="A106" s="343">
        <v>20260417</v>
      </c>
      <c r="B106" s="343">
        <v>121186.56</v>
      </c>
      <c r="C106" s="343">
        <v>416</v>
      </c>
      <c r="D106" s="343">
        <v>907</v>
      </c>
      <c r="E106" s="384">
        <v>46129</v>
      </c>
      <c r="F106" s="343" t="s">
        <v>236</v>
      </c>
      <c r="G106" s="343" t="s">
        <v>143</v>
      </c>
      <c r="I106" s="343">
        <v>20260726</v>
      </c>
      <c r="J106" s="343">
        <v>56744</v>
      </c>
      <c r="K106" s="343">
        <v>150</v>
      </c>
      <c r="L106" s="343">
        <v>368</v>
      </c>
      <c r="M106" s="384">
        <v>46229</v>
      </c>
      <c r="N106" s="343" t="s">
        <v>245</v>
      </c>
      <c r="O106" s="343" t="s">
        <v>163</v>
      </c>
      <c r="Q106" s="343" t="s">
        <v>338</v>
      </c>
      <c r="R106" s="343" t="s">
        <v>138</v>
      </c>
      <c r="S106" s="384">
        <v>46104</v>
      </c>
      <c r="T106" s="384">
        <v>46110</v>
      </c>
    </row>
    <row r="107" spans="1:20">
      <c r="A107" s="343">
        <v>20260418</v>
      </c>
      <c r="B107" s="343">
        <v>165211.25</v>
      </c>
      <c r="C107" s="343">
        <v>521</v>
      </c>
      <c r="D107" s="343">
        <v>1234</v>
      </c>
      <c r="E107" s="384">
        <v>46130</v>
      </c>
      <c r="F107" s="343" t="s">
        <v>244</v>
      </c>
      <c r="G107" s="343" t="s">
        <v>143</v>
      </c>
      <c r="I107" s="343">
        <v>20260731</v>
      </c>
      <c r="K107" s="343">
        <v>6</v>
      </c>
      <c r="L107" s="343">
        <v>5</v>
      </c>
      <c r="M107" s="384">
        <v>46234</v>
      </c>
      <c r="N107" s="343" t="s">
        <v>236</v>
      </c>
      <c r="O107" s="343" t="s">
        <v>166</v>
      </c>
      <c r="Q107" s="343" t="s">
        <v>338</v>
      </c>
      <c r="R107" s="343" t="s">
        <v>138</v>
      </c>
      <c r="S107" s="384">
        <v>46104</v>
      </c>
      <c r="T107" s="384">
        <v>46110</v>
      </c>
    </row>
    <row r="108" spans="1:20">
      <c r="A108" s="343">
        <v>20260419</v>
      </c>
      <c r="B108" s="343">
        <v>137573.99</v>
      </c>
      <c r="C108" s="343">
        <v>519</v>
      </c>
      <c r="D108" s="343">
        <v>892</v>
      </c>
      <c r="E108" s="384">
        <v>46131</v>
      </c>
      <c r="F108" s="343" t="s">
        <v>245</v>
      </c>
      <c r="G108" s="343" t="s">
        <v>143</v>
      </c>
      <c r="I108" s="343">
        <v>20260801</v>
      </c>
      <c r="J108" s="343">
        <v>23003</v>
      </c>
      <c r="K108" s="343">
        <v>78</v>
      </c>
      <c r="L108" s="343">
        <v>206</v>
      </c>
      <c r="M108" s="384">
        <v>46235</v>
      </c>
      <c r="N108" s="343" t="s">
        <v>244</v>
      </c>
      <c r="O108" s="343" t="s">
        <v>166</v>
      </c>
      <c r="Q108" s="343" t="s">
        <v>338</v>
      </c>
      <c r="R108" s="343" t="s">
        <v>141</v>
      </c>
      <c r="S108" s="384">
        <v>46111</v>
      </c>
      <c r="T108" s="384">
        <v>46117</v>
      </c>
    </row>
    <row r="109" spans="1:20">
      <c r="A109" s="343">
        <v>20260420</v>
      </c>
      <c r="C109" s="343">
        <v>5</v>
      </c>
      <c r="D109" s="343">
        <v>5</v>
      </c>
      <c r="E109" s="384">
        <v>46132</v>
      </c>
      <c r="F109" s="343" t="s">
        <v>232</v>
      </c>
      <c r="G109" s="343" t="s">
        <v>144</v>
      </c>
      <c r="I109" s="343">
        <v>20260802</v>
      </c>
      <c r="J109" s="343">
        <v>65133.75</v>
      </c>
      <c r="K109" s="343">
        <v>163</v>
      </c>
      <c r="L109" s="343">
        <v>431</v>
      </c>
      <c r="M109" s="384">
        <v>46236</v>
      </c>
      <c r="N109" s="343" t="s">
        <v>245</v>
      </c>
      <c r="O109" s="343" t="s">
        <v>166</v>
      </c>
      <c r="Q109" s="343" t="s">
        <v>338</v>
      </c>
      <c r="R109" s="343" t="s">
        <v>141</v>
      </c>
      <c r="S109" s="384">
        <v>46111</v>
      </c>
      <c r="T109" s="384">
        <v>46117</v>
      </c>
    </row>
    <row r="110" spans="1:20">
      <c r="A110" s="343">
        <v>20260421</v>
      </c>
      <c r="B110" s="343">
        <v>22406</v>
      </c>
      <c r="C110" s="343">
        <v>88</v>
      </c>
      <c r="D110" s="343">
        <v>187</v>
      </c>
      <c r="E110" s="384">
        <v>46133</v>
      </c>
      <c r="F110" s="343" t="s">
        <v>233</v>
      </c>
      <c r="G110" s="343" t="s">
        <v>144</v>
      </c>
      <c r="I110" s="343">
        <v>20260805</v>
      </c>
      <c r="K110" s="343">
        <v>16</v>
      </c>
      <c r="L110" s="343">
        <v>15</v>
      </c>
      <c r="M110" s="384">
        <v>46239</v>
      </c>
      <c r="N110" s="343" t="s">
        <v>234</v>
      </c>
      <c r="O110" s="343" t="s">
        <v>167</v>
      </c>
      <c r="Q110" s="343" t="s">
        <v>338</v>
      </c>
      <c r="R110" s="343" t="s">
        <v>141</v>
      </c>
      <c r="S110" s="384">
        <v>46111</v>
      </c>
      <c r="T110" s="384">
        <v>46117</v>
      </c>
    </row>
    <row r="111" spans="1:20">
      <c r="A111" s="343">
        <v>20260422</v>
      </c>
      <c r="B111" s="343">
        <v>29013.360000000001</v>
      </c>
      <c r="C111" s="343">
        <v>93</v>
      </c>
      <c r="D111" s="343">
        <v>224</v>
      </c>
      <c r="E111" s="384">
        <v>46134</v>
      </c>
      <c r="F111" s="343" t="s">
        <v>234</v>
      </c>
      <c r="G111" s="343" t="s">
        <v>144</v>
      </c>
      <c r="I111" s="343">
        <v>20260807</v>
      </c>
      <c r="K111" s="343">
        <v>2</v>
      </c>
      <c r="L111" s="343">
        <v>2</v>
      </c>
      <c r="M111" s="384">
        <v>46241</v>
      </c>
      <c r="N111" s="343" t="s">
        <v>236</v>
      </c>
      <c r="O111" s="343" t="s">
        <v>167</v>
      </c>
      <c r="Q111" s="343" t="s">
        <v>338</v>
      </c>
      <c r="R111" s="343" t="s">
        <v>141</v>
      </c>
      <c r="S111" s="384">
        <v>46111</v>
      </c>
      <c r="T111" s="384">
        <v>46117</v>
      </c>
    </row>
    <row r="112" spans="1:20">
      <c r="A112" s="343">
        <v>20260423</v>
      </c>
      <c r="B112" s="343">
        <v>46027.6</v>
      </c>
      <c r="C112" s="343">
        <v>180</v>
      </c>
      <c r="D112" s="343">
        <v>401</v>
      </c>
      <c r="E112" s="384">
        <v>46135</v>
      </c>
      <c r="F112" s="343" t="s">
        <v>235</v>
      </c>
      <c r="G112" s="343" t="s">
        <v>144</v>
      </c>
      <c r="I112" s="343">
        <v>20260808</v>
      </c>
      <c r="J112" s="343">
        <v>47346.45</v>
      </c>
      <c r="K112" s="343">
        <v>74</v>
      </c>
      <c r="L112" s="343">
        <v>206</v>
      </c>
      <c r="M112" s="384">
        <v>46242</v>
      </c>
      <c r="N112" s="343" t="s">
        <v>244</v>
      </c>
      <c r="O112" s="343" t="s">
        <v>167</v>
      </c>
      <c r="Q112" s="343" t="s">
        <v>338</v>
      </c>
      <c r="R112" s="343" t="s">
        <v>141</v>
      </c>
      <c r="S112" s="384">
        <v>46111</v>
      </c>
      <c r="T112" s="384">
        <v>46117</v>
      </c>
    </row>
    <row r="113" spans="1:20">
      <c r="A113" s="343">
        <v>20260424</v>
      </c>
      <c r="B113" s="343">
        <v>128106</v>
      </c>
      <c r="C113" s="343">
        <v>382</v>
      </c>
      <c r="D113" s="343">
        <v>1020</v>
      </c>
      <c r="E113" s="384">
        <v>46136</v>
      </c>
      <c r="F113" s="343" t="s">
        <v>236</v>
      </c>
      <c r="G113" s="343" t="s">
        <v>144</v>
      </c>
      <c r="I113" s="343">
        <v>20260809</v>
      </c>
      <c r="J113" s="343">
        <v>53469</v>
      </c>
      <c r="K113" s="343">
        <v>147</v>
      </c>
      <c r="L113" s="343">
        <v>410</v>
      </c>
      <c r="M113" s="384">
        <v>46243</v>
      </c>
      <c r="N113" s="343" t="s">
        <v>245</v>
      </c>
      <c r="O113" s="343" t="s">
        <v>167</v>
      </c>
      <c r="Q113" s="343" t="s">
        <v>338</v>
      </c>
      <c r="R113" s="343" t="s">
        <v>141</v>
      </c>
      <c r="S113" s="384">
        <v>46111</v>
      </c>
      <c r="T113" s="384">
        <v>46117</v>
      </c>
    </row>
    <row r="114" spans="1:20">
      <c r="A114" s="343">
        <v>20260425</v>
      </c>
      <c r="B114" s="343">
        <v>244333.4</v>
      </c>
      <c r="C114" s="343">
        <v>535</v>
      </c>
      <c r="D114" s="343">
        <v>1192</v>
      </c>
      <c r="E114" s="384">
        <v>46137</v>
      </c>
      <c r="F114" s="343" t="s">
        <v>244</v>
      </c>
      <c r="G114" s="343" t="s">
        <v>144</v>
      </c>
      <c r="I114" s="343">
        <v>20260810</v>
      </c>
      <c r="J114" s="343">
        <v>0</v>
      </c>
      <c r="K114" s="343">
        <v>6</v>
      </c>
      <c r="L114" s="343">
        <v>6</v>
      </c>
      <c r="M114" s="384">
        <v>46244</v>
      </c>
      <c r="N114" s="343" t="s">
        <v>232</v>
      </c>
      <c r="O114" s="343" t="s">
        <v>168</v>
      </c>
      <c r="Q114" s="343" t="s">
        <v>338</v>
      </c>
      <c r="R114" s="343" t="s">
        <v>141</v>
      </c>
      <c r="S114" s="384">
        <v>46111</v>
      </c>
      <c r="T114" s="384">
        <v>46117</v>
      </c>
    </row>
    <row r="115" spans="1:20">
      <c r="A115" s="343">
        <v>20260426</v>
      </c>
      <c r="B115" s="343">
        <v>154790.34</v>
      </c>
      <c r="C115" s="343">
        <v>541</v>
      </c>
      <c r="D115" s="343">
        <v>913</v>
      </c>
      <c r="E115" s="384">
        <v>46138</v>
      </c>
      <c r="F115" s="343" t="s">
        <v>245</v>
      </c>
      <c r="G115" s="343" t="s">
        <v>144</v>
      </c>
      <c r="I115" s="343">
        <v>20260812</v>
      </c>
      <c r="J115" s="343">
        <v>0</v>
      </c>
      <c r="K115" s="343">
        <v>1</v>
      </c>
      <c r="L115" s="343">
        <v>0</v>
      </c>
      <c r="M115" s="384">
        <v>46246</v>
      </c>
      <c r="N115" s="343" t="s">
        <v>234</v>
      </c>
      <c r="O115" s="343" t="s">
        <v>168</v>
      </c>
      <c r="Q115" s="343" t="s">
        <v>338</v>
      </c>
      <c r="R115" s="343" t="s">
        <v>142</v>
      </c>
      <c r="S115" s="384">
        <v>46118</v>
      </c>
      <c r="T115" s="384">
        <v>46124</v>
      </c>
    </row>
    <row r="116" spans="1:20">
      <c r="A116" s="343">
        <v>20260428</v>
      </c>
      <c r="B116" s="343">
        <v>43142.65</v>
      </c>
      <c r="C116" s="343">
        <v>142</v>
      </c>
      <c r="D116" s="343">
        <v>357</v>
      </c>
      <c r="E116" s="384">
        <v>46140</v>
      </c>
      <c r="F116" s="343" t="s">
        <v>233</v>
      </c>
      <c r="G116" s="343" t="s">
        <v>147</v>
      </c>
      <c r="I116" s="343">
        <v>20260813</v>
      </c>
      <c r="J116" s="343">
        <v>1291.96</v>
      </c>
      <c r="K116" s="343">
        <v>1</v>
      </c>
      <c r="L116" s="343">
        <v>0</v>
      </c>
      <c r="M116" s="384">
        <v>46247</v>
      </c>
      <c r="N116" s="343" t="s">
        <v>235</v>
      </c>
      <c r="O116" s="343" t="s">
        <v>168</v>
      </c>
      <c r="Q116" s="343" t="s">
        <v>338</v>
      </c>
      <c r="R116" s="343" t="s">
        <v>142</v>
      </c>
      <c r="S116" s="384">
        <v>46118</v>
      </c>
      <c r="T116" s="384">
        <v>46124</v>
      </c>
    </row>
    <row r="117" spans="1:20">
      <c r="A117" s="343">
        <v>20260429</v>
      </c>
      <c r="B117" s="343">
        <v>60213.05</v>
      </c>
      <c r="C117" s="343">
        <v>153</v>
      </c>
      <c r="D117" s="343">
        <v>365</v>
      </c>
      <c r="E117" s="384">
        <v>46141</v>
      </c>
      <c r="F117" s="343" t="s">
        <v>234</v>
      </c>
      <c r="G117" s="343" t="s">
        <v>147</v>
      </c>
      <c r="I117" s="343">
        <v>20260814</v>
      </c>
      <c r="J117" s="343">
        <v>0</v>
      </c>
      <c r="K117" s="343">
        <v>10</v>
      </c>
      <c r="L117" s="343">
        <v>9</v>
      </c>
      <c r="M117" s="384">
        <v>46248</v>
      </c>
      <c r="N117" s="343" t="s">
        <v>236</v>
      </c>
      <c r="O117" s="343" t="s">
        <v>168</v>
      </c>
      <c r="Q117" s="343" t="s">
        <v>338</v>
      </c>
      <c r="R117" s="343" t="s">
        <v>142</v>
      </c>
      <c r="S117" s="384">
        <v>46118</v>
      </c>
      <c r="T117" s="384">
        <v>46124</v>
      </c>
    </row>
    <row r="118" spans="1:20">
      <c r="A118" s="343">
        <v>20260430</v>
      </c>
      <c r="B118" s="343">
        <v>126221.25</v>
      </c>
      <c r="C118" s="343">
        <v>355</v>
      </c>
      <c r="D118" s="343">
        <v>854</v>
      </c>
      <c r="E118" s="384">
        <v>46142</v>
      </c>
      <c r="F118" s="343" t="s">
        <v>235</v>
      </c>
      <c r="G118" s="343" t="s">
        <v>147</v>
      </c>
      <c r="I118" s="343">
        <v>20260815</v>
      </c>
      <c r="J118" s="343">
        <v>16336</v>
      </c>
      <c r="K118" s="343">
        <v>64</v>
      </c>
      <c r="L118" s="343">
        <v>158</v>
      </c>
      <c r="M118" s="384">
        <v>46249</v>
      </c>
      <c r="N118" s="343" t="s">
        <v>244</v>
      </c>
      <c r="O118" s="343" t="s">
        <v>168</v>
      </c>
      <c r="Q118" s="343" t="s">
        <v>338</v>
      </c>
      <c r="R118" s="343" t="s">
        <v>142</v>
      </c>
      <c r="S118" s="384">
        <v>46118</v>
      </c>
      <c r="T118" s="384">
        <v>46124</v>
      </c>
    </row>
    <row r="119" spans="1:20">
      <c r="A119" s="343">
        <v>20260501</v>
      </c>
      <c r="B119" s="343">
        <v>679167.89</v>
      </c>
      <c r="C119" s="343">
        <v>1005</v>
      </c>
      <c r="D119" s="343">
        <v>1884</v>
      </c>
      <c r="E119" s="384">
        <v>46143</v>
      </c>
      <c r="F119" s="343" t="s">
        <v>236</v>
      </c>
      <c r="G119" s="343" t="s">
        <v>147</v>
      </c>
      <c r="I119" s="343">
        <v>20260816</v>
      </c>
      <c r="J119" s="343">
        <v>40796.9</v>
      </c>
      <c r="K119" s="343">
        <v>157</v>
      </c>
      <c r="L119" s="343">
        <v>386</v>
      </c>
      <c r="M119" s="384">
        <v>46250</v>
      </c>
      <c r="N119" s="343" t="s">
        <v>245</v>
      </c>
      <c r="O119" s="343" t="s">
        <v>168</v>
      </c>
      <c r="Q119" s="343" t="s">
        <v>338</v>
      </c>
      <c r="R119" s="343" t="s">
        <v>142</v>
      </c>
      <c r="S119" s="384">
        <v>46118</v>
      </c>
      <c r="T119" s="384">
        <v>46124</v>
      </c>
    </row>
    <row r="120" spans="1:20">
      <c r="A120" s="343">
        <v>20260502</v>
      </c>
      <c r="B120" s="343">
        <v>349614.25</v>
      </c>
      <c r="C120" s="343">
        <v>715</v>
      </c>
      <c r="D120" s="343">
        <v>1997</v>
      </c>
      <c r="E120" s="384">
        <v>46144</v>
      </c>
      <c r="F120" s="343" t="s">
        <v>244</v>
      </c>
      <c r="G120" s="343" t="s">
        <v>147</v>
      </c>
      <c r="I120" s="343">
        <v>20260817</v>
      </c>
      <c r="J120" s="343">
        <v>0</v>
      </c>
      <c r="K120" s="343">
        <v>3</v>
      </c>
      <c r="L120" s="343">
        <v>3</v>
      </c>
      <c r="M120" s="384">
        <v>46251</v>
      </c>
      <c r="N120" s="343" t="s">
        <v>232</v>
      </c>
      <c r="O120" s="343" t="s">
        <v>101</v>
      </c>
      <c r="Q120" s="343" t="s">
        <v>338</v>
      </c>
      <c r="R120" s="343" t="s">
        <v>142</v>
      </c>
      <c r="S120" s="384">
        <v>46118</v>
      </c>
      <c r="T120" s="384">
        <v>46124</v>
      </c>
    </row>
    <row r="121" spans="1:20">
      <c r="A121" s="343">
        <v>20260503</v>
      </c>
      <c r="B121" s="343">
        <v>359632.28</v>
      </c>
      <c r="C121" s="343">
        <v>805</v>
      </c>
      <c r="D121" s="343">
        <v>1370</v>
      </c>
      <c r="E121" s="384">
        <v>46145</v>
      </c>
      <c r="F121" s="343" t="s">
        <v>245</v>
      </c>
      <c r="G121" s="343" t="s">
        <v>147</v>
      </c>
      <c r="I121" s="343">
        <v>20260821</v>
      </c>
      <c r="J121" s="343">
        <v>0</v>
      </c>
      <c r="K121" s="343">
        <v>1</v>
      </c>
      <c r="L121" s="343">
        <v>1</v>
      </c>
      <c r="M121" s="384">
        <v>46255</v>
      </c>
      <c r="N121" s="343" t="s">
        <v>236</v>
      </c>
      <c r="O121" s="343" t="s">
        <v>101</v>
      </c>
      <c r="Q121" s="343" t="s">
        <v>338</v>
      </c>
      <c r="R121" s="343" t="s">
        <v>142</v>
      </c>
      <c r="S121" s="384">
        <v>46118</v>
      </c>
      <c r="T121" s="384">
        <v>46124</v>
      </c>
    </row>
    <row r="122" spans="1:20">
      <c r="A122" s="343">
        <v>20260505</v>
      </c>
      <c r="B122" s="343">
        <v>45949.95</v>
      </c>
      <c r="C122" s="343">
        <v>116</v>
      </c>
      <c r="D122" s="343">
        <v>332</v>
      </c>
      <c r="E122" s="384">
        <v>46147</v>
      </c>
      <c r="F122" s="343" t="s">
        <v>233</v>
      </c>
      <c r="G122" s="343" t="s">
        <v>148</v>
      </c>
      <c r="I122" s="343">
        <v>20260822</v>
      </c>
      <c r="J122" s="343">
        <v>34350.300000000003</v>
      </c>
      <c r="K122" s="343">
        <v>79</v>
      </c>
      <c r="L122" s="343">
        <v>226</v>
      </c>
      <c r="M122" s="384">
        <v>46256</v>
      </c>
      <c r="N122" s="343" t="s">
        <v>244</v>
      </c>
      <c r="O122" s="343" t="s">
        <v>101</v>
      </c>
      <c r="Q122" s="343" t="s">
        <v>338</v>
      </c>
      <c r="R122" s="343" t="s">
        <v>142</v>
      </c>
      <c r="S122" s="384">
        <v>46118</v>
      </c>
      <c r="T122" s="384">
        <v>46124</v>
      </c>
    </row>
    <row r="123" spans="1:20">
      <c r="A123" s="343">
        <v>20260506</v>
      </c>
      <c r="B123" s="343">
        <v>35470</v>
      </c>
      <c r="C123" s="343">
        <v>140</v>
      </c>
      <c r="D123" s="343">
        <v>296</v>
      </c>
      <c r="E123" s="384">
        <v>46148</v>
      </c>
      <c r="F123" s="343" t="s">
        <v>234</v>
      </c>
      <c r="G123" s="343" t="s">
        <v>148</v>
      </c>
      <c r="I123" s="343">
        <v>20260823</v>
      </c>
      <c r="J123" s="343">
        <v>29205</v>
      </c>
      <c r="K123" s="343">
        <v>124</v>
      </c>
      <c r="L123" s="343">
        <v>356</v>
      </c>
      <c r="M123" s="384">
        <v>46257</v>
      </c>
      <c r="N123" s="343" t="s">
        <v>245</v>
      </c>
      <c r="O123" s="343" t="s">
        <v>101</v>
      </c>
      <c r="Q123" s="343" t="s">
        <v>338</v>
      </c>
      <c r="R123" s="343" t="s">
        <v>142</v>
      </c>
      <c r="S123" s="384">
        <v>46118</v>
      </c>
      <c r="T123" s="384">
        <v>46124</v>
      </c>
    </row>
    <row r="124" spans="1:20">
      <c r="A124" s="343">
        <v>20260507</v>
      </c>
      <c r="B124" s="343">
        <v>74180</v>
      </c>
      <c r="C124" s="343">
        <v>192</v>
      </c>
      <c r="D124" s="343">
        <v>684</v>
      </c>
      <c r="E124" s="384">
        <v>46149</v>
      </c>
      <c r="F124" s="343" t="s">
        <v>235</v>
      </c>
      <c r="G124" s="343" t="s">
        <v>148</v>
      </c>
      <c r="Q124" s="343" t="s">
        <v>338</v>
      </c>
      <c r="R124" s="343" t="s">
        <v>143</v>
      </c>
      <c r="S124" s="384">
        <v>46125</v>
      </c>
      <c r="T124" s="384">
        <v>46131</v>
      </c>
    </row>
    <row r="125" spans="1:20">
      <c r="A125" s="343">
        <v>20260508</v>
      </c>
      <c r="B125" s="343">
        <v>101276.55</v>
      </c>
      <c r="C125" s="343">
        <v>331</v>
      </c>
      <c r="D125" s="343">
        <v>867</v>
      </c>
      <c r="E125" s="384">
        <v>46150</v>
      </c>
      <c r="F125" s="343" t="s">
        <v>236</v>
      </c>
      <c r="G125" s="343" t="s">
        <v>148</v>
      </c>
      <c r="Q125" s="343" t="s">
        <v>338</v>
      </c>
      <c r="R125" s="343" t="s">
        <v>143</v>
      </c>
      <c r="S125" s="384">
        <v>46125</v>
      </c>
      <c r="T125" s="384">
        <v>46131</v>
      </c>
    </row>
    <row r="126" spans="1:20">
      <c r="A126" s="343">
        <v>20260509</v>
      </c>
      <c r="B126" s="343">
        <v>129816.24</v>
      </c>
      <c r="C126" s="343">
        <v>454</v>
      </c>
      <c r="D126" s="343">
        <v>1049</v>
      </c>
      <c r="E126" s="384">
        <v>46151</v>
      </c>
      <c r="F126" s="343" t="s">
        <v>244</v>
      </c>
      <c r="G126" s="343" t="s">
        <v>148</v>
      </c>
      <c r="Q126" s="343" t="s">
        <v>338</v>
      </c>
      <c r="R126" s="343" t="s">
        <v>143</v>
      </c>
      <c r="S126" s="384">
        <v>46125</v>
      </c>
      <c r="T126" s="384">
        <v>46131</v>
      </c>
    </row>
    <row r="127" spans="1:20">
      <c r="A127" s="343">
        <v>20260510</v>
      </c>
      <c r="B127" s="343">
        <v>110849.4</v>
      </c>
      <c r="C127" s="343">
        <v>495</v>
      </c>
      <c r="D127" s="343">
        <v>916</v>
      </c>
      <c r="E127" s="384">
        <v>46152</v>
      </c>
      <c r="F127" s="343" t="s">
        <v>245</v>
      </c>
      <c r="G127" s="343" t="s">
        <v>148</v>
      </c>
      <c r="Q127" s="343" t="s">
        <v>338</v>
      </c>
      <c r="R127" s="343" t="s">
        <v>143</v>
      </c>
      <c r="S127" s="384">
        <v>46125</v>
      </c>
      <c r="T127" s="384">
        <v>46131</v>
      </c>
    </row>
    <row r="128" spans="1:20">
      <c r="A128" s="343">
        <v>20260511</v>
      </c>
      <c r="C128" s="343">
        <v>6</v>
      </c>
      <c r="D128" s="343">
        <v>6</v>
      </c>
      <c r="E128" s="384">
        <v>46153</v>
      </c>
      <c r="F128" s="343" t="s">
        <v>232</v>
      </c>
      <c r="G128" s="343" t="s">
        <v>149</v>
      </c>
      <c r="Q128" s="343" t="s">
        <v>338</v>
      </c>
      <c r="R128" s="343" t="s">
        <v>143</v>
      </c>
      <c r="S128" s="384">
        <v>46125</v>
      </c>
      <c r="T128" s="384">
        <v>46131</v>
      </c>
    </row>
    <row r="129" spans="1:20">
      <c r="A129" s="343">
        <v>20260512</v>
      </c>
      <c r="B129" s="343">
        <v>25035</v>
      </c>
      <c r="C129" s="343">
        <v>72</v>
      </c>
      <c r="D129" s="343">
        <v>189</v>
      </c>
      <c r="E129" s="384">
        <v>46154</v>
      </c>
      <c r="F129" s="343" t="s">
        <v>233</v>
      </c>
      <c r="G129" s="343" t="s">
        <v>149</v>
      </c>
      <c r="Q129" s="343" t="s">
        <v>338</v>
      </c>
      <c r="R129" s="343" t="s">
        <v>143</v>
      </c>
      <c r="S129" s="384">
        <v>46125</v>
      </c>
      <c r="T129" s="384">
        <v>46131</v>
      </c>
    </row>
    <row r="130" spans="1:20">
      <c r="A130" s="343">
        <v>20260513</v>
      </c>
      <c r="B130" s="343">
        <v>96296.63</v>
      </c>
      <c r="C130" s="343">
        <v>110</v>
      </c>
      <c r="D130" s="343">
        <v>389</v>
      </c>
      <c r="E130" s="384">
        <v>46155</v>
      </c>
      <c r="F130" s="343" t="s">
        <v>234</v>
      </c>
      <c r="G130" s="343" t="s">
        <v>149</v>
      </c>
      <c r="Q130" s="343" t="s">
        <v>338</v>
      </c>
      <c r="R130" s="343" t="s">
        <v>143</v>
      </c>
      <c r="S130" s="384">
        <v>46125</v>
      </c>
      <c r="T130" s="384">
        <v>46131</v>
      </c>
    </row>
    <row r="131" spans="1:20">
      <c r="A131" s="343">
        <v>20260514</v>
      </c>
      <c r="B131" s="343">
        <v>62080.75</v>
      </c>
      <c r="C131" s="343">
        <v>245</v>
      </c>
      <c r="D131" s="343">
        <v>1347</v>
      </c>
      <c r="E131" s="384">
        <v>46156</v>
      </c>
      <c r="F131" s="343" t="s">
        <v>235</v>
      </c>
      <c r="G131" s="343" t="s">
        <v>149</v>
      </c>
      <c r="Q131" s="343" t="s">
        <v>338</v>
      </c>
      <c r="R131" s="343" t="s">
        <v>143</v>
      </c>
      <c r="S131" s="384">
        <v>46125</v>
      </c>
      <c r="T131" s="384">
        <v>46131</v>
      </c>
    </row>
    <row r="132" spans="1:20">
      <c r="A132" s="343">
        <v>20260515</v>
      </c>
      <c r="B132" s="343">
        <v>89332.800000000003</v>
      </c>
      <c r="C132" s="343">
        <v>297</v>
      </c>
      <c r="D132" s="343">
        <v>751</v>
      </c>
      <c r="E132" s="384">
        <v>46157</v>
      </c>
      <c r="F132" s="343" t="s">
        <v>236</v>
      </c>
      <c r="G132" s="343" t="s">
        <v>149</v>
      </c>
      <c r="Q132" s="343" t="s">
        <v>338</v>
      </c>
      <c r="R132" s="343" t="s">
        <v>144</v>
      </c>
      <c r="S132" s="384">
        <v>46132</v>
      </c>
      <c r="T132" s="384">
        <v>46138</v>
      </c>
    </row>
    <row r="133" spans="1:20">
      <c r="A133" s="343">
        <v>20260516</v>
      </c>
      <c r="B133" s="343">
        <v>145865.74</v>
      </c>
      <c r="C133" s="343">
        <v>454</v>
      </c>
      <c r="D133" s="343">
        <v>1104</v>
      </c>
      <c r="E133" s="384">
        <v>46158</v>
      </c>
      <c r="F133" s="343" t="s">
        <v>244</v>
      </c>
      <c r="G133" s="343" t="s">
        <v>149</v>
      </c>
      <c r="Q133" s="343" t="s">
        <v>338</v>
      </c>
      <c r="R133" s="343" t="s">
        <v>144</v>
      </c>
      <c r="S133" s="384">
        <v>46132</v>
      </c>
      <c r="T133" s="384">
        <v>46138</v>
      </c>
    </row>
    <row r="134" spans="1:20">
      <c r="A134" s="343">
        <v>20260517</v>
      </c>
      <c r="B134" s="343">
        <v>188061.03</v>
      </c>
      <c r="C134" s="343">
        <v>568</v>
      </c>
      <c r="D134" s="343">
        <v>1002</v>
      </c>
      <c r="E134" s="384">
        <v>46159</v>
      </c>
      <c r="F134" s="343" t="s">
        <v>245</v>
      </c>
      <c r="G134" s="343" t="s">
        <v>149</v>
      </c>
      <c r="Q134" s="343" t="s">
        <v>338</v>
      </c>
      <c r="R134" s="343" t="s">
        <v>144</v>
      </c>
      <c r="S134" s="384">
        <v>46132</v>
      </c>
      <c r="T134" s="384">
        <v>46138</v>
      </c>
    </row>
    <row r="135" spans="1:20">
      <c r="A135" s="343">
        <v>20260518</v>
      </c>
      <c r="C135" s="343">
        <v>6</v>
      </c>
      <c r="D135" s="343">
        <v>6</v>
      </c>
      <c r="E135" s="384">
        <v>46160</v>
      </c>
      <c r="F135" s="343" t="s">
        <v>232</v>
      </c>
      <c r="G135" s="343" t="s">
        <v>150</v>
      </c>
      <c r="Q135" s="343" t="s">
        <v>338</v>
      </c>
      <c r="R135" s="343" t="s">
        <v>144</v>
      </c>
      <c r="S135" s="384">
        <v>46132</v>
      </c>
      <c r="T135" s="384">
        <v>46138</v>
      </c>
    </row>
    <row r="136" spans="1:20">
      <c r="A136" s="343">
        <v>20260519</v>
      </c>
      <c r="B136" s="343">
        <v>29297.4</v>
      </c>
      <c r="C136" s="343">
        <v>82</v>
      </c>
      <c r="D136" s="343">
        <v>214</v>
      </c>
      <c r="E136" s="384">
        <v>46161</v>
      </c>
      <c r="F136" s="343" t="s">
        <v>233</v>
      </c>
      <c r="G136" s="343" t="s">
        <v>150</v>
      </c>
      <c r="Q136" s="343" t="s">
        <v>338</v>
      </c>
      <c r="R136" s="343" t="s">
        <v>144</v>
      </c>
      <c r="S136" s="384">
        <v>46132</v>
      </c>
      <c r="T136" s="384">
        <v>46138</v>
      </c>
    </row>
    <row r="137" spans="1:20">
      <c r="A137" s="343">
        <v>20260520</v>
      </c>
      <c r="B137" s="343">
        <v>26184.959999999999</v>
      </c>
      <c r="C137" s="343">
        <v>82</v>
      </c>
      <c r="D137" s="343">
        <v>189</v>
      </c>
      <c r="E137" s="384">
        <v>46162</v>
      </c>
      <c r="F137" s="343" t="s">
        <v>234</v>
      </c>
      <c r="G137" s="343" t="s">
        <v>150</v>
      </c>
      <c r="Q137" s="343" t="s">
        <v>338</v>
      </c>
      <c r="R137" s="343" t="s">
        <v>144</v>
      </c>
      <c r="S137" s="384">
        <v>46132</v>
      </c>
      <c r="T137" s="384">
        <v>46138</v>
      </c>
    </row>
    <row r="138" spans="1:20">
      <c r="A138" s="343">
        <v>20260521</v>
      </c>
      <c r="B138" s="343">
        <v>40294.75</v>
      </c>
      <c r="C138" s="343">
        <v>146</v>
      </c>
      <c r="D138" s="343">
        <v>330</v>
      </c>
      <c r="E138" s="384">
        <v>46163</v>
      </c>
      <c r="F138" s="343" t="s">
        <v>235</v>
      </c>
      <c r="G138" s="343" t="s">
        <v>150</v>
      </c>
      <c r="Q138" s="343" t="s">
        <v>338</v>
      </c>
      <c r="R138" s="343" t="s">
        <v>144</v>
      </c>
      <c r="S138" s="384">
        <v>46132</v>
      </c>
      <c r="T138" s="384">
        <v>46138</v>
      </c>
    </row>
    <row r="139" spans="1:20">
      <c r="A139" s="343">
        <v>20260522</v>
      </c>
      <c r="B139" s="343">
        <v>109634.9</v>
      </c>
      <c r="C139" s="343">
        <v>365</v>
      </c>
      <c r="D139" s="343">
        <v>908</v>
      </c>
      <c r="E139" s="384">
        <v>46164</v>
      </c>
      <c r="F139" s="343" t="s">
        <v>236</v>
      </c>
      <c r="G139" s="343" t="s">
        <v>150</v>
      </c>
      <c r="Q139" s="343" t="s">
        <v>338</v>
      </c>
      <c r="R139" s="343" t="s">
        <v>147</v>
      </c>
      <c r="S139" s="384">
        <v>46139</v>
      </c>
      <c r="T139" s="384">
        <v>46145</v>
      </c>
    </row>
    <row r="140" spans="1:20">
      <c r="A140" s="343">
        <v>20260523</v>
      </c>
      <c r="B140" s="343">
        <v>158934.42000000001</v>
      </c>
      <c r="C140" s="343">
        <v>658</v>
      </c>
      <c r="D140" s="343">
        <v>1327</v>
      </c>
      <c r="E140" s="384">
        <v>46165</v>
      </c>
      <c r="F140" s="343" t="s">
        <v>244</v>
      </c>
      <c r="G140" s="343" t="s">
        <v>150</v>
      </c>
      <c r="Q140" s="343" t="s">
        <v>338</v>
      </c>
      <c r="R140" s="343" t="s">
        <v>147</v>
      </c>
      <c r="S140" s="384">
        <v>46139</v>
      </c>
      <c r="T140" s="384">
        <v>46145</v>
      </c>
    </row>
    <row r="141" spans="1:20">
      <c r="A141" s="343">
        <v>20260524</v>
      </c>
      <c r="B141" s="343">
        <v>203064.74</v>
      </c>
      <c r="C141" s="343">
        <v>693</v>
      </c>
      <c r="D141" s="343">
        <v>1181</v>
      </c>
      <c r="E141" s="384">
        <v>46166</v>
      </c>
      <c r="F141" s="343" t="s">
        <v>245</v>
      </c>
      <c r="G141" s="343" t="s">
        <v>150</v>
      </c>
      <c r="Q141" s="343" t="s">
        <v>338</v>
      </c>
      <c r="R141" s="343" t="s">
        <v>147</v>
      </c>
      <c r="S141" s="384">
        <v>46139</v>
      </c>
      <c r="T141" s="384">
        <v>46145</v>
      </c>
    </row>
    <row r="142" spans="1:20">
      <c r="A142" s="343">
        <v>20260525</v>
      </c>
      <c r="B142" s="343">
        <v>81097</v>
      </c>
      <c r="C142" s="343">
        <v>394</v>
      </c>
      <c r="D142" s="343">
        <v>1172</v>
      </c>
      <c r="E142" s="384">
        <v>46167</v>
      </c>
      <c r="F142" s="343" t="s">
        <v>232</v>
      </c>
      <c r="G142" s="343" t="s">
        <v>153</v>
      </c>
      <c r="Q142" s="343" t="s">
        <v>338</v>
      </c>
      <c r="R142" s="343" t="s">
        <v>147</v>
      </c>
      <c r="S142" s="384">
        <v>46139</v>
      </c>
      <c r="T142" s="384">
        <v>46145</v>
      </c>
    </row>
    <row r="143" spans="1:20">
      <c r="A143" s="343">
        <v>20260526</v>
      </c>
      <c r="B143" s="343">
        <v>22944.25</v>
      </c>
      <c r="C143" s="343">
        <v>102</v>
      </c>
      <c r="D143" s="343">
        <v>228</v>
      </c>
      <c r="E143" s="384">
        <v>46168</v>
      </c>
      <c r="F143" s="343" t="s">
        <v>233</v>
      </c>
      <c r="G143" s="343" t="s">
        <v>153</v>
      </c>
      <c r="Q143" s="343" t="s">
        <v>338</v>
      </c>
      <c r="R143" s="343" t="s">
        <v>147</v>
      </c>
      <c r="S143" s="384">
        <v>46139</v>
      </c>
      <c r="T143" s="384">
        <v>46145</v>
      </c>
    </row>
    <row r="144" spans="1:20">
      <c r="A144" s="343">
        <v>20260527</v>
      </c>
      <c r="B144" s="343">
        <v>44302.35</v>
      </c>
      <c r="C144" s="343">
        <v>110</v>
      </c>
      <c r="D144" s="343">
        <v>286</v>
      </c>
      <c r="E144" s="384">
        <v>46169</v>
      </c>
      <c r="F144" s="343" t="s">
        <v>234</v>
      </c>
      <c r="G144" s="343" t="s">
        <v>153</v>
      </c>
      <c r="Q144" s="343" t="s">
        <v>338</v>
      </c>
      <c r="R144" s="343" t="s">
        <v>147</v>
      </c>
      <c r="S144" s="384">
        <v>46139</v>
      </c>
      <c r="T144" s="384">
        <v>46145</v>
      </c>
    </row>
    <row r="145" spans="1:27">
      <c r="A145" s="343">
        <v>20260528</v>
      </c>
      <c r="B145" s="343">
        <v>50546.07</v>
      </c>
      <c r="C145" s="343">
        <v>159</v>
      </c>
      <c r="D145" s="343">
        <v>371</v>
      </c>
      <c r="E145" s="384">
        <v>46170</v>
      </c>
      <c r="F145" s="343" t="s">
        <v>235</v>
      </c>
      <c r="G145" s="343" t="s">
        <v>153</v>
      </c>
      <c r="Q145" s="343" t="s">
        <v>338</v>
      </c>
      <c r="R145" s="343" t="s">
        <v>147</v>
      </c>
      <c r="S145" s="384">
        <v>46139</v>
      </c>
      <c r="T145" s="384">
        <v>46145</v>
      </c>
    </row>
    <row r="146" spans="1:27">
      <c r="A146" s="343">
        <v>20260529</v>
      </c>
      <c r="B146" s="343">
        <v>139241</v>
      </c>
      <c r="C146" s="343">
        <v>321</v>
      </c>
      <c r="D146" s="343">
        <v>883</v>
      </c>
      <c r="E146" s="384">
        <v>46171</v>
      </c>
      <c r="F146" s="343" t="s">
        <v>236</v>
      </c>
      <c r="G146" s="343" t="s">
        <v>153</v>
      </c>
      <c r="Q146" s="343" t="s">
        <v>338</v>
      </c>
      <c r="R146" s="343" t="s">
        <v>147</v>
      </c>
      <c r="S146" s="384">
        <v>46139</v>
      </c>
      <c r="T146" s="384">
        <v>46145</v>
      </c>
    </row>
    <row r="147" spans="1:27">
      <c r="A147" s="343">
        <v>20260530</v>
      </c>
      <c r="B147" s="343">
        <v>172765.3</v>
      </c>
      <c r="C147" s="343">
        <v>486</v>
      </c>
      <c r="D147" s="343">
        <v>1075</v>
      </c>
      <c r="E147" s="384">
        <v>46172</v>
      </c>
      <c r="F147" s="343" t="s">
        <v>244</v>
      </c>
      <c r="G147" s="343" t="s">
        <v>153</v>
      </c>
      <c r="Q147" s="343" t="s">
        <v>338</v>
      </c>
      <c r="R147" s="343" t="s">
        <v>147</v>
      </c>
      <c r="S147" s="384">
        <v>46139</v>
      </c>
      <c r="T147" s="384">
        <v>46145</v>
      </c>
    </row>
    <row r="148" spans="1:27">
      <c r="A148" s="343">
        <v>20260531</v>
      </c>
      <c r="B148" s="343">
        <v>127492.5</v>
      </c>
      <c r="C148" s="343">
        <v>469</v>
      </c>
      <c r="D148" s="343">
        <v>1233</v>
      </c>
      <c r="E148" s="384">
        <v>46173</v>
      </c>
      <c r="F148" s="343" t="s">
        <v>245</v>
      </c>
      <c r="G148" s="343" t="s">
        <v>153</v>
      </c>
      <c r="Q148" s="343" t="s">
        <v>338</v>
      </c>
      <c r="R148" s="343" t="s">
        <v>148</v>
      </c>
      <c r="S148" s="384">
        <v>46146</v>
      </c>
      <c r="T148" s="384">
        <v>46152</v>
      </c>
    </row>
    <row r="149" spans="1:27">
      <c r="A149" s="343">
        <v>20260602</v>
      </c>
      <c r="B149" s="343">
        <v>27051.35</v>
      </c>
      <c r="C149" s="343">
        <v>95</v>
      </c>
      <c r="D149" s="343">
        <v>242</v>
      </c>
      <c r="E149" s="384">
        <v>46175</v>
      </c>
      <c r="F149" s="343" t="s">
        <v>233</v>
      </c>
      <c r="G149" s="343" t="s">
        <v>154</v>
      </c>
      <c r="Q149" s="343" t="s">
        <v>338</v>
      </c>
      <c r="R149" s="343" t="s">
        <v>148</v>
      </c>
      <c r="S149" s="384">
        <v>46146</v>
      </c>
      <c r="T149" s="384">
        <v>46152</v>
      </c>
    </row>
    <row r="150" spans="1:27">
      <c r="A150" s="343">
        <v>20260603</v>
      </c>
      <c r="B150" s="343">
        <v>39934.550000000003</v>
      </c>
      <c r="C150" s="343">
        <v>72</v>
      </c>
      <c r="D150" s="343">
        <v>277</v>
      </c>
      <c r="E150" s="384">
        <v>46176</v>
      </c>
      <c r="F150" s="343" t="s">
        <v>234</v>
      </c>
      <c r="G150" s="343" t="s">
        <v>154</v>
      </c>
      <c r="Q150" s="343" t="s">
        <v>338</v>
      </c>
      <c r="R150" s="343" t="s">
        <v>148</v>
      </c>
      <c r="S150" s="384">
        <v>46146</v>
      </c>
      <c r="T150" s="384">
        <v>46152</v>
      </c>
    </row>
    <row r="151" spans="1:27">
      <c r="A151" s="343">
        <v>20260604</v>
      </c>
      <c r="B151" s="343">
        <v>51954.01</v>
      </c>
      <c r="C151" s="343">
        <v>198</v>
      </c>
      <c r="D151" s="343">
        <v>439</v>
      </c>
      <c r="E151" s="384">
        <v>46177</v>
      </c>
      <c r="F151" s="343" t="s">
        <v>235</v>
      </c>
      <c r="G151" s="343" t="s">
        <v>154</v>
      </c>
      <c r="Q151" s="343" t="s">
        <v>338</v>
      </c>
      <c r="R151" s="343" t="s">
        <v>148</v>
      </c>
      <c r="S151" s="384">
        <v>46146</v>
      </c>
      <c r="T151" s="384">
        <v>46152</v>
      </c>
    </row>
    <row r="152" spans="1:27">
      <c r="A152" s="343">
        <v>20260605</v>
      </c>
      <c r="B152" s="343">
        <v>91477.61</v>
      </c>
      <c r="C152" s="343">
        <v>303</v>
      </c>
      <c r="D152" s="343">
        <v>811</v>
      </c>
      <c r="E152" s="384">
        <v>46178</v>
      </c>
      <c r="F152" s="343" t="s">
        <v>236</v>
      </c>
      <c r="G152" s="343" t="s">
        <v>154</v>
      </c>
      <c r="Q152" s="343" t="s">
        <v>338</v>
      </c>
      <c r="R152" s="343" t="s">
        <v>148</v>
      </c>
      <c r="S152" s="384">
        <v>46146</v>
      </c>
      <c r="T152" s="384">
        <v>46152</v>
      </c>
    </row>
    <row r="153" spans="1:27">
      <c r="A153" s="343">
        <v>20260606</v>
      </c>
      <c r="B153" s="343">
        <v>115650.35</v>
      </c>
      <c r="C153" s="343">
        <v>457</v>
      </c>
      <c r="D153" s="343">
        <v>1029</v>
      </c>
      <c r="E153" s="384">
        <v>46179</v>
      </c>
      <c r="F153" s="343" t="s">
        <v>244</v>
      </c>
      <c r="G153" s="343" t="s">
        <v>154</v>
      </c>
      <c r="Q153" s="343" t="s">
        <v>338</v>
      </c>
      <c r="R153" s="343" t="s">
        <v>148</v>
      </c>
      <c r="S153" s="384">
        <v>46146</v>
      </c>
      <c r="T153" s="384">
        <v>46152</v>
      </c>
    </row>
    <row r="154" spans="1:27">
      <c r="A154" s="343">
        <v>20260607</v>
      </c>
      <c r="B154" s="343">
        <v>134162.85</v>
      </c>
      <c r="C154" s="343">
        <v>444</v>
      </c>
      <c r="D154" s="343">
        <v>757</v>
      </c>
      <c r="E154" s="384">
        <v>46180</v>
      </c>
      <c r="F154" s="343" t="s">
        <v>245</v>
      </c>
      <c r="G154" s="343" t="s">
        <v>154</v>
      </c>
      <c r="Q154" s="343" t="s">
        <v>338</v>
      </c>
      <c r="R154" s="343" t="s">
        <v>148</v>
      </c>
      <c r="S154" s="384">
        <v>46146</v>
      </c>
      <c r="T154" s="384">
        <v>46152</v>
      </c>
    </row>
    <row r="155" spans="1:27">
      <c r="A155" s="343">
        <v>20260608</v>
      </c>
      <c r="C155" s="343">
        <v>4</v>
      </c>
      <c r="D155" s="343">
        <v>4</v>
      </c>
      <c r="E155" s="384">
        <v>46181</v>
      </c>
      <c r="F155" s="343" t="s">
        <v>232</v>
      </c>
      <c r="G155" s="343" t="s">
        <v>155</v>
      </c>
      <c r="Q155" s="343" t="s">
        <v>338</v>
      </c>
      <c r="R155" s="343" t="s">
        <v>148</v>
      </c>
      <c r="S155" s="384">
        <v>46146</v>
      </c>
      <c r="T155" s="384">
        <v>46152</v>
      </c>
    </row>
    <row r="156" spans="1:27">
      <c r="A156" s="343">
        <v>20260609</v>
      </c>
      <c r="B156" s="343">
        <v>30501.55</v>
      </c>
      <c r="C156" s="343">
        <v>76</v>
      </c>
      <c r="D156" s="343">
        <v>190</v>
      </c>
      <c r="E156" s="384">
        <v>46182</v>
      </c>
      <c r="F156" s="343" t="s">
        <v>233</v>
      </c>
      <c r="G156" s="343" t="s">
        <v>155</v>
      </c>
      <c r="Q156" s="343" t="s">
        <v>338</v>
      </c>
      <c r="R156" s="343" t="s">
        <v>148</v>
      </c>
      <c r="S156" s="384">
        <v>46146</v>
      </c>
      <c r="T156" s="384">
        <v>46152</v>
      </c>
    </row>
    <row r="157" spans="1:27">
      <c r="A157" s="343">
        <v>20260610</v>
      </c>
      <c r="B157" s="343">
        <v>16418</v>
      </c>
      <c r="C157" s="343">
        <v>65</v>
      </c>
      <c r="D157" s="343">
        <v>139</v>
      </c>
      <c r="E157" s="384">
        <v>46183</v>
      </c>
      <c r="F157" s="343" t="s">
        <v>234</v>
      </c>
      <c r="G157" s="343" t="s">
        <v>155</v>
      </c>
      <c r="Q157" s="343" t="s">
        <v>338</v>
      </c>
      <c r="R157" s="343" t="s">
        <v>149</v>
      </c>
      <c r="S157" s="384">
        <v>46153</v>
      </c>
      <c r="T157" s="384">
        <v>46159</v>
      </c>
      <c r="U157" s="343" t="s">
        <v>285</v>
      </c>
      <c r="V157" s="343">
        <v>9997</v>
      </c>
      <c r="W157" s="343">
        <v>299352.43</v>
      </c>
      <c r="X157" s="343">
        <v>14287.57</v>
      </c>
      <c r="Y157" s="343">
        <v>0</v>
      </c>
      <c r="Z157" s="343">
        <v>313640</v>
      </c>
      <c r="AA157" s="343">
        <v>23948.2</v>
      </c>
    </row>
    <row r="158" spans="1:27">
      <c r="A158" s="343">
        <v>20260611</v>
      </c>
      <c r="B158" s="343">
        <v>45093.5</v>
      </c>
      <c r="C158" s="343">
        <v>143</v>
      </c>
      <c r="D158" s="343">
        <v>500</v>
      </c>
      <c r="E158" s="384">
        <v>46184</v>
      </c>
      <c r="F158" s="343" t="s">
        <v>235</v>
      </c>
      <c r="G158" s="343" t="s">
        <v>155</v>
      </c>
      <c r="Q158" s="343" t="s">
        <v>338</v>
      </c>
      <c r="R158" s="343" t="s">
        <v>149</v>
      </c>
      <c r="S158" s="384">
        <v>46153</v>
      </c>
      <c r="T158" s="384">
        <v>46159</v>
      </c>
      <c r="U158" s="343" t="s">
        <v>342</v>
      </c>
      <c r="V158" s="343">
        <v>3510</v>
      </c>
      <c r="W158" s="343">
        <v>28141.32</v>
      </c>
      <c r="X158" s="343">
        <v>1291.68</v>
      </c>
      <c r="Y158" s="343">
        <v>0</v>
      </c>
      <c r="Z158" s="343">
        <v>29433</v>
      </c>
      <c r="AA158" s="343">
        <v>2251.3000000000002</v>
      </c>
    </row>
    <row r="159" spans="1:27">
      <c r="A159" s="343">
        <v>20260612</v>
      </c>
      <c r="B159" s="343">
        <v>70070.509999999995</v>
      </c>
      <c r="C159" s="343">
        <v>233</v>
      </c>
      <c r="D159" s="343">
        <v>616</v>
      </c>
      <c r="E159" s="384">
        <v>46185</v>
      </c>
      <c r="F159" s="343" t="s">
        <v>236</v>
      </c>
      <c r="G159" s="343" t="s">
        <v>155</v>
      </c>
      <c r="Q159" s="343" t="s">
        <v>338</v>
      </c>
      <c r="R159" s="343" t="s">
        <v>149</v>
      </c>
      <c r="S159" s="384">
        <v>46153</v>
      </c>
      <c r="T159" s="384">
        <v>46159</v>
      </c>
      <c r="U159" s="343" t="s">
        <v>281</v>
      </c>
      <c r="V159" s="343">
        <v>6034</v>
      </c>
      <c r="W159" s="343">
        <v>247764.08</v>
      </c>
      <c r="X159" s="343">
        <v>13750</v>
      </c>
      <c r="Y159" s="343">
        <v>0</v>
      </c>
      <c r="Z159" s="343">
        <v>261514.08</v>
      </c>
      <c r="AA159" s="343">
        <v>19821.13</v>
      </c>
    </row>
    <row r="160" spans="1:27">
      <c r="A160" s="343">
        <v>20260613</v>
      </c>
      <c r="B160" s="343">
        <v>96771</v>
      </c>
      <c r="C160" s="343">
        <v>340</v>
      </c>
      <c r="D160" s="343">
        <v>744</v>
      </c>
      <c r="E160" s="384">
        <v>46186</v>
      </c>
      <c r="F160" s="343" t="s">
        <v>244</v>
      </c>
      <c r="G160" s="343" t="s">
        <v>155</v>
      </c>
      <c r="Q160" s="343" t="s">
        <v>338</v>
      </c>
      <c r="R160" s="343" t="s">
        <v>149</v>
      </c>
      <c r="S160" s="384">
        <v>46153</v>
      </c>
      <c r="T160" s="384">
        <v>46159</v>
      </c>
      <c r="U160" s="343" t="s">
        <v>279</v>
      </c>
      <c r="V160" s="343">
        <v>451</v>
      </c>
      <c r="W160" s="343">
        <v>5300</v>
      </c>
      <c r="X160" s="343">
        <v>63</v>
      </c>
      <c r="Y160" s="343">
        <v>0</v>
      </c>
      <c r="Z160" s="343">
        <v>5363</v>
      </c>
      <c r="AA160" s="343">
        <v>424</v>
      </c>
    </row>
    <row r="161" spans="1:27">
      <c r="A161" s="343">
        <v>20260614</v>
      </c>
      <c r="B161" s="343">
        <v>145979.35</v>
      </c>
      <c r="C161" s="343">
        <v>576</v>
      </c>
      <c r="D161" s="343">
        <v>901</v>
      </c>
      <c r="E161" s="384">
        <v>46187</v>
      </c>
      <c r="F161" s="343" t="s">
        <v>245</v>
      </c>
      <c r="G161" s="343" t="s">
        <v>155</v>
      </c>
      <c r="Q161" s="343" t="s">
        <v>338</v>
      </c>
      <c r="R161" s="343" t="s">
        <v>149</v>
      </c>
      <c r="S161" s="384">
        <v>46153</v>
      </c>
      <c r="T161" s="384">
        <v>46159</v>
      </c>
      <c r="U161" s="343" t="s">
        <v>277</v>
      </c>
      <c r="V161" s="343">
        <v>201</v>
      </c>
      <c r="W161" s="343">
        <v>114470</v>
      </c>
      <c r="X161" s="343">
        <v>175</v>
      </c>
      <c r="Y161" s="343">
        <v>0</v>
      </c>
      <c r="Z161" s="343">
        <v>114645</v>
      </c>
      <c r="AA161" s="343">
        <v>9157.6</v>
      </c>
    </row>
    <row r="162" spans="1:27">
      <c r="A162" s="343">
        <v>20260615</v>
      </c>
      <c r="C162" s="343">
        <v>7</v>
      </c>
      <c r="D162" s="343">
        <v>7</v>
      </c>
      <c r="E162" s="384">
        <v>46188</v>
      </c>
      <c r="F162" s="343" t="s">
        <v>232</v>
      </c>
      <c r="G162" s="343" t="s">
        <v>156</v>
      </c>
      <c r="Q162" s="343" t="s">
        <v>338</v>
      </c>
      <c r="R162" s="343" t="s">
        <v>149</v>
      </c>
      <c r="S162" s="384">
        <v>46153</v>
      </c>
      <c r="T162" s="384">
        <v>46159</v>
      </c>
      <c r="U162" s="343" t="s">
        <v>343</v>
      </c>
      <c r="V162" s="343">
        <v>7</v>
      </c>
      <c r="W162" s="343">
        <v>9946.69</v>
      </c>
      <c r="X162" s="343">
        <v>0</v>
      </c>
      <c r="Y162" s="343">
        <v>0</v>
      </c>
      <c r="Z162" s="343">
        <v>9946.69</v>
      </c>
      <c r="AA162" s="343">
        <v>795.74</v>
      </c>
    </row>
    <row r="163" spans="1:27">
      <c r="A163" s="343">
        <v>20260616</v>
      </c>
      <c r="B163" s="343">
        <v>81757.039999999994</v>
      </c>
      <c r="C163" s="343">
        <v>93</v>
      </c>
      <c r="D163" s="343">
        <v>376</v>
      </c>
      <c r="E163" s="384">
        <v>46189</v>
      </c>
      <c r="F163" s="343" t="s">
        <v>233</v>
      </c>
      <c r="G163" s="343" t="s">
        <v>156</v>
      </c>
      <c r="Q163" s="343" t="s">
        <v>338</v>
      </c>
      <c r="R163" s="343" t="s">
        <v>149</v>
      </c>
      <c r="S163" s="384">
        <v>46153</v>
      </c>
      <c r="T163" s="384">
        <v>46159</v>
      </c>
      <c r="U163" s="343" t="s">
        <v>344</v>
      </c>
      <c r="V163" s="343">
        <v>311.137</v>
      </c>
      <c r="W163" s="343">
        <v>1555.68</v>
      </c>
      <c r="X163" s="343">
        <v>0</v>
      </c>
      <c r="Y163" s="343">
        <v>0</v>
      </c>
      <c r="Z163" s="343">
        <v>1555.68</v>
      </c>
      <c r="AA163" s="343">
        <v>108.9</v>
      </c>
    </row>
    <row r="164" spans="1:27">
      <c r="A164" s="343">
        <v>20260617</v>
      </c>
      <c r="B164" s="343">
        <v>17739.009999999998</v>
      </c>
      <c r="C164" s="343">
        <v>152</v>
      </c>
      <c r="D164" s="343">
        <v>338</v>
      </c>
      <c r="E164" s="384">
        <v>46190</v>
      </c>
      <c r="F164" s="343" t="s">
        <v>234</v>
      </c>
      <c r="G164" s="343" t="s">
        <v>156</v>
      </c>
      <c r="Q164" s="343" t="s">
        <v>338</v>
      </c>
      <c r="R164" s="343" t="s">
        <v>149</v>
      </c>
      <c r="S164" s="384">
        <v>46153</v>
      </c>
      <c r="T164" s="384">
        <v>46159</v>
      </c>
      <c r="U164" s="343" t="s">
        <v>106</v>
      </c>
      <c r="V164" s="343">
        <v>13</v>
      </c>
      <c r="W164" s="343">
        <v>4868.25</v>
      </c>
      <c r="X164" s="343">
        <v>0</v>
      </c>
      <c r="Y164" s="343">
        <v>0</v>
      </c>
      <c r="Z164" s="343">
        <v>4868.25</v>
      </c>
      <c r="AA164" s="343">
        <v>0</v>
      </c>
    </row>
    <row r="165" spans="1:27">
      <c r="A165" s="343">
        <v>20260618</v>
      </c>
      <c r="B165" s="343">
        <v>41407.360000000001</v>
      </c>
      <c r="C165" s="343">
        <v>183</v>
      </c>
      <c r="D165" s="343">
        <v>341</v>
      </c>
      <c r="E165" s="384">
        <v>46191</v>
      </c>
      <c r="F165" s="343" t="s">
        <v>235</v>
      </c>
      <c r="G165" s="343" t="s">
        <v>156</v>
      </c>
      <c r="Q165" s="343" t="s">
        <v>338</v>
      </c>
      <c r="R165" s="343" t="s">
        <v>149</v>
      </c>
      <c r="S165" s="384">
        <v>46153</v>
      </c>
      <c r="T165" s="384">
        <v>46159</v>
      </c>
      <c r="U165" s="343" t="s">
        <v>345</v>
      </c>
      <c r="V165" s="343">
        <v>1073</v>
      </c>
      <c r="W165" s="343">
        <v>22762</v>
      </c>
      <c r="X165" s="343">
        <v>398</v>
      </c>
      <c r="Y165" s="343">
        <v>0</v>
      </c>
      <c r="Z165" s="343">
        <v>23160</v>
      </c>
      <c r="AA165" s="343">
        <v>1820.96</v>
      </c>
    </row>
    <row r="166" spans="1:27">
      <c r="A166" s="343">
        <v>20260619</v>
      </c>
      <c r="B166" s="343">
        <v>71173.429999999993</v>
      </c>
      <c r="C166" s="343">
        <v>244</v>
      </c>
      <c r="D166" s="343">
        <v>579</v>
      </c>
      <c r="E166" s="384">
        <v>46192</v>
      </c>
      <c r="F166" s="343" t="s">
        <v>236</v>
      </c>
      <c r="G166" s="343" t="s">
        <v>156</v>
      </c>
      <c r="Q166" s="343" t="s">
        <v>338</v>
      </c>
      <c r="R166" s="343" t="s">
        <v>150</v>
      </c>
      <c r="S166" s="384">
        <v>46160</v>
      </c>
      <c r="T166" s="384">
        <v>46166</v>
      </c>
      <c r="U166" s="343" t="s">
        <v>285</v>
      </c>
      <c r="V166" s="343">
        <v>9919</v>
      </c>
      <c r="W166" s="343">
        <v>291680.59999999998</v>
      </c>
      <c r="X166" s="343">
        <v>15251.4</v>
      </c>
      <c r="Y166" s="343">
        <v>0</v>
      </c>
      <c r="Z166" s="343">
        <v>306932</v>
      </c>
      <c r="AA166" s="343">
        <v>23334.48</v>
      </c>
    </row>
    <row r="167" spans="1:27">
      <c r="A167" s="343">
        <v>20260620</v>
      </c>
      <c r="B167" s="343">
        <v>157521.32</v>
      </c>
      <c r="C167" s="343">
        <v>545</v>
      </c>
      <c r="D167" s="343">
        <v>1080</v>
      </c>
      <c r="E167" s="384">
        <v>46193</v>
      </c>
      <c r="F167" s="343" t="s">
        <v>244</v>
      </c>
      <c r="G167" s="343" t="s">
        <v>156</v>
      </c>
      <c r="Q167" s="343" t="s">
        <v>338</v>
      </c>
      <c r="R167" s="343" t="s">
        <v>150</v>
      </c>
      <c r="S167" s="384">
        <v>46160</v>
      </c>
      <c r="T167" s="384">
        <v>46166</v>
      </c>
      <c r="U167" s="343" t="s">
        <v>342</v>
      </c>
      <c r="V167" s="343">
        <v>3903</v>
      </c>
      <c r="W167" s="343">
        <v>31125.599999999999</v>
      </c>
      <c r="X167" s="343">
        <v>1190.4000000000001</v>
      </c>
      <c r="Y167" s="343">
        <v>0</v>
      </c>
      <c r="Z167" s="343">
        <v>32316</v>
      </c>
      <c r="AA167" s="343">
        <v>2490.1</v>
      </c>
    </row>
    <row r="168" spans="1:27">
      <c r="A168" s="343">
        <v>20260621</v>
      </c>
      <c r="B168" s="343">
        <v>130734.75</v>
      </c>
      <c r="C168" s="343">
        <v>413</v>
      </c>
      <c r="D168" s="343">
        <v>781</v>
      </c>
      <c r="E168" s="384">
        <v>46194</v>
      </c>
      <c r="F168" s="343" t="s">
        <v>245</v>
      </c>
      <c r="G168" s="343" t="s">
        <v>156</v>
      </c>
      <c r="Q168" s="343" t="s">
        <v>338</v>
      </c>
      <c r="R168" s="343" t="s">
        <v>150</v>
      </c>
      <c r="S168" s="384">
        <v>46160</v>
      </c>
      <c r="T168" s="384">
        <v>46166</v>
      </c>
      <c r="U168" s="343" t="s">
        <v>281</v>
      </c>
      <c r="V168" s="343">
        <v>6371</v>
      </c>
      <c r="W168" s="343">
        <v>320995.3</v>
      </c>
      <c r="X168" s="343">
        <v>12552.7</v>
      </c>
      <c r="Y168" s="343">
        <v>0</v>
      </c>
      <c r="Z168" s="343">
        <v>333548</v>
      </c>
      <c r="AA168" s="343">
        <v>25679.72</v>
      </c>
    </row>
    <row r="169" spans="1:27">
      <c r="A169" s="343">
        <v>20260622</v>
      </c>
      <c r="C169" s="343">
        <v>1</v>
      </c>
      <c r="D169" s="343">
        <v>1</v>
      </c>
      <c r="E169" s="384">
        <v>46195</v>
      </c>
      <c r="F169" s="343" t="s">
        <v>232</v>
      </c>
      <c r="G169" s="343" t="s">
        <v>157</v>
      </c>
      <c r="Q169" s="343" t="s">
        <v>338</v>
      </c>
      <c r="R169" s="343" t="s">
        <v>150</v>
      </c>
      <c r="S169" s="384">
        <v>46160</v>
      </c>
      <c r="T169" s="384">
        <v>46166</v>
      </c>
      <c r="U169" s="343" t="s">
        <v>279</v>
      </c>
      <c r="V169" s="343">
        <v>309</v>
      </c>
      <c r="W169" s="343">
        <v>3576</v>
      </c>
      <c r="X169" s="343">
        <v>132</v>
      </c>
      <c r="Y169" s="343">
        <v>0</v>
      </c>
      <c r="Z169" s="343">
        <v>3708</v>
      </c>
      <c r="AA169" s="343">
        <v>286.08</v>
      </c>
    </row>
    <row r="170" spans="1:27">
      <c r="A170" s="343">
        <v>20260623</v>
      </c>
      <c r="B170" s="343">
        <v>44524.55</v>
      </c>
      <c r="C170" s="343">
        <v>119</v>
      </c>
      <c r="D170" s="343">
        <v>291</v>
      </c>
      <c r="E170" s="384">
        <v>46196</v>
      </c>
      <c r="F170" s="343" t="s">
        <v>233</v>
      </c>
      <c r="G170" s="343" t="s">
        <v>157</v>
      </c>
      <c r="Q170" s="343" t="s">
        <v>338</v>
      </c>
      <c r="R170" s="343" t="s">
        <v>150</v>
      </c>
      <c r="S170" s="384">
        <v>46160</v>
      </c>
      <c r="T170" s="384">
        <v>46166</v>
      </c>
      <c r="U170" s="343" t="s">
        <v>277</v>
      </c>
      <c r="V170" s="343">
        <v>226</v>
      </c>
      <c r="W170" s="343">
        <v>81755</v>
      </c>
      <c r="X170" s="343">
        <v>0</v>
      </c>
      <c r="Y170" s="343">
        <v>0</v>
      </c>
      <c r="Z170" s="343">
        <v>81755</v>
      </c>
      <c r="AA170" s="343">
        <v>6540.4</v>
      </c>
    </row>
    <row r="171" spans="1:27">
      <c r="A171" s="343">
        <v>20260624</v>
      </c>
      <c r="B171" s="343">
        <v>17898</v>
      </c>
      <c r="C171" s="343">
        <v>66</v>
      </c>
      <c r="D171" s="343">
        <v>145</v>
      </c>
      <c r="E171" s="384">
        <v>46197</v>
      </c>
      <c r="F171" s="343" t="s">
        <v>234</v>
      </c>
      <c r="G171" s="343" t="s">
        <v>157</v>
      </c>
      <c r="Q171" s="343" t="s">
        <v>338</v>
      </c>
      <c r="R171" s="343" t="s">
        <v>150</v>
      </c>
      <c r="S171" s="384">
        <v>46160</v>
      </c>
      <c r="T171" s="384">
        <v>46166</v>
      </c>
      <c r="U171" s="343" t="s">
        <v>343</v>
      </c>
      <c r="V171" s="343">
        <v>11</v>
      </c>
      <c r="W171" s="343">
        <v>3557</v>
      </c>
      <c r="X171" s="343">
        <v>0</v>
      </c>
      <c r="Y171" s="343">
        <v>0</v>
      </c>
      <c r="Z171" s="343">
        <v>3557</v>
      </c>
      <c r="AA171" s="343">
        <v>284.56</v>
      </c>
    </row>
    <row r="172" spans="1:27">
      <c r="A172" s="343">
        <v>20260625</v>
      </c>
      <c r="B172" s="343">
        <v>75008.25</v>
      </c>
      <c r="C172" s="343">
        <v>202</v>
      </c>
      <c r="D172" s="343">
        <v>555</v>
      </c>
      <c r="E172" s="384">
        <v>46198</v>
      </c>
      <c r="F172" s="343" t="s">
        <v>235</v>
      </c>
      <c r="G172" s="343" t="s">
        <v>157</v>
      </c>
      <c r="Q172" s="343" t="s">
        <v>338</v>
      </c>
      <c r="R172" s="343" t="s">
        <v>150</v>
      </c>
      <c r="S172" s="384">
        <v>46160</v>
      </c>
      <c r="T172" s="384">
        <v>46166</v>
      </c>
      <c r="U172" s="343" t="s">
        <v>344</v>
      </c>
      <c r="V172" s="343">
        <v>643.38599999999997</v>
      </c>
      <c r="W172" s="343">
        <v>3216.92</v>
      </c>
      <c r="X172" s="343">
        <v>0</v>
      </c>
      <c r="Y172" s="343">
        <v>0</v>
      </c>
      <c r="Z172" s="343">
        <v>3216.92</v>
      </c>
      <c r="AA172" s="343">
        <v>225.18</v>
      </c>
    </row>
    <row r="173" spans="1:27">
      <c r="A173" s="343">
        <v>20260626</v>
      </c>
      <c r="B173" s="343">
        <v>128256.64</v>
      </c>
      <c r="C173" s="343">
        <v>327</v>
      </c>
      <c r="D173" s="343">
        <v>836</v>
      </c>
      <c r="E173" s="384">
        <v>46199</v>
      </c>
      <c r="F173" s="343" t="s">
        <v>236</v>
      </c>
      <c r="G173" s="343" t="s">
        <v>157</v>
      </c>
      <c r="Q173" s="343" t="s">
        <v>338</v>
      </c>
      <c r="R173" s="343" t="s">
        <v>150</v>
      </c>
      <c r="S173" s="384">
        <v>46160</v>
      </c>
      <c r="T173" s="384">
        <v>46166</v>
      </c>
      <c r="U173" s="343" t="s">
        <v>106</v>
      </c>
      <c r="V173" s="343">
        <v>7</v>
      </c>
      <c r="W173" s="343">
        <v>1061.25</v>
      </c>
      <c r="X173" s="343">
        <v>0</v>
      </c>
      <c r="Y173" s="343">
        <v>0</v>
      </c>
      <c r="Z173" s="343">
        <v>1061.25</v>
      </c>
      <c r="AA173" s="343">
        <v>0</v>
      </c>
    </row>
    <row r="174" spans="1:27">
      <c r="A174" s="343">
        <v>20260627</v>
      </c>
      <c r="B174" s="343">
        <v>97906.99</v>
      </c>
      <c r="C174" s="343">
        <v>375</v>
      </c>
      <c r="D174" s="343">
        <v>769</v>
      </c>
      <c r="E174" s="384">
        <v>46200</v>
      </c>
      <c r="F174" s="343" t="s">
        <v>244</v>
      </c>
      <c r="G174" s="343" t="s">
        <v>157</v>
      </c>
      <c r="Q174" s="343" t="s">
        <v>338</v>
      </c>
      <c r="R174" s="343" t="s">
        <v>150</v>
      </c>
      <c r="S174" s="384">
        <v>46160</v>
      </c>
      <c r="T174" s="384">
        <v>46166</v>
      </c>
      <c r="U174" s="343" t="s">
        <v>345</v>
      </c>
      <c r="V174" s="343">
        <v>963</v>
      </c>
      <c r="W174" s="343">
        <v>18877</v>
      </c>
      <c r="X174" s="343">
        <v>699</v>
      </c>
      <c r="Y174" s="343">
        <v>0</v>
      </c>
      <c r="Z174" s="343">
        <v>19576</v>
      </c>
      <c r="AA174" s="343">
        <v>1510.16</v>
      </c>
    </row>
    <row r="175" spans="1:27">
      <c r="A175" s="343">
        <v>20260628</v>
      </c>
      <c r="B175" s="343">
        <v>183432</v>
      </c>
      <c r="C175" s="343">
        <v>514</v>
      </c>
      <c r="D175" s="343">
        <v>883</v>
      </c>
      <c r="E175" s="384">
        <v>46201</v>
      </c>
      <c r="F175" s="343" t="s">
        <v>245</v>
      </c>
      <c r="G175" s="343" t="s">
        <v>157</v>
      </c>
      <c r="Q175" s="343" t="s">
        <v>338</v>
      </c>
      <c r="R175" s="343" t="s">
        <v>153</v>
      </c>
      <c r="S175" s="384">
        <v>46167</v>
      </c>
      <c r="T175" s="384">
        <v>46173</v>
      </c>
      <c r="U175" s="343" t="s">
        <v>285</v>
      </c>
      <c r="V175" s="343">
        <v>10633</v>
      </c>
      <c r="W175" s="343">
        <v>295199.63</v>
      </c>
      <c r="X175" s="343">
        <v>16780.37</v>
      </c>
      <c r="Y175" s="343">
        <v>0</v>
      </c>
      <c r="Z175" s="343">
        <v>311980</v>
      </c>
      <c r="AA175" s="343">
        <v>23616.09</v>
      </c>
    </row>
    <row r="176" spans="1:27">
      <c r="A176" s="343">
        <v>20260629</v>
      </c>
      <c r="B176" s="343">
        <v>4962.24</v>
      </c>
      <c r="C176" s="343">
        <v>3</v>
      </c>
      <c r="D176" s="343">
        <v>2</v>
      </c>
      <c r="E176" s="384">
        <v>46202</v>
      </c>
      <c r="F176" s="343" t="s">
        <v>232</v>
      </c>
      <c r="G176" s="343" t="s">
        <v>160</v>
      </c>
      <c r="Q176" s="343" t="s">
        <v>338</v>
      </c>
      <c r="R176" s="343" t="s">
        <v>153</v>
      </c>
      <c r="S176" s="384">
        <v>46167</v>
      </c>
      <c r="T176" s="384">
        <v>46173</v>
      </c>
      <c r="U176" s="343" t="s">
        <v>342</v>
      </c>
      <c r="V176" s="343">
        <v>4096</v>
      </c>
      <c r="W176" s="343">
        <v>33609.32</v>
      </c>
      <c r="X176" s="343">
        <v>1544.68</v>
      </c>
      <c r="Y176" s="343">
        <v>0</v>
      </c>
      <c r="Z176" s="343">
        <v>35154</v>
      </c>
      <c r="AA176" s="343">
        <v>2688.82</v>
      </c>
    </row>
    <row r="177" spans="1:27">
      <c r="A177" s="343">
        <v>20260630</v>
      </c>
      <c r="B177" s="343">
        <v>39518.550000000003</v>
      </c>
      <c r="C177" s="343">
        <v>96</v>
      </c>
      <c r="D177" s="343">
        <v>249</v>
      </c>
      <c r="E177" s="384">
        <v>46203</v>
      </c>
      <c r="F177" s="343" t="s">
        <v>233</v>
      </c>
      <c r="G177" s="343" t="s">
        <v>160</v>
      </c>
      <c r="Q177" s="343" t="s">
        <v>338</v>
      </c>
      <c r="R177" s="343" t="s">
        <v>153</v>
      </c>
      <c r="S177" s="384">
        <v>46167</v>
      </c>
      <c r="T177" s="384">
        <v>46173</v>
      </c>
      <c r="U177" s="343" t="s">
        <v>281</v>
      </c>
      <c r="V177" s="343">
        <v>7803</v>
      </c>
      <c r="W177" s="343">
        <v>354593.01</v>
      </c>
      <c r="X177" s="343">
        <v>9619</v>
      </c>
      <c r="Y177" s="343">
        <v>0</v>
      </c>
      <c r="Z177" s="343">
        <v>364212.01</v>
      </c>
      <c r="AA177" s="343">
        <v>28367.439999999999</v>
      </c>
    </row>
    <row r="178" spans="1:27">
      <c r="A178" s="343">
        <v>20260701</v>
      </c>
      <c r="B178" s="343">
        <v>29822.73</v>
      </c>
      <c r="C178" s="343">
        <v>190</v>
      </c>
      <c r="D178" s="343">
        <v>247</v>
      </c>
      <c r="E178" s="384">
        <v>46204</v>
      </c>
      <c r="F178" s="343" t="s">
        <v>234</v>
      </c>
      <c r="G178" s="343" t="s">
        <v>160</v>
      </c>
      <c r="Q178" s="343" t="s">
        <v>338</v>
      </c>
      <c r="R178" s="343" t="s">
        <v>153</v>
      </c>
      <c r="S178" s="384">
        <v>46167</v>
      </c>
      <c r="T178" s="384">
        <v>46173</v>
      </c>
      <c r="U178" s="343" t="s">
        <v>279</v>
      </c>
      <c r="V178" s="343">
        <v>356</v>
      </c>
      <c r="W178" s="343">
        <v>3636</v>
      </c>
      <c r="X178" s="343">
        <v>192</v>
      </c>
      <c r="Y178" s="343">
        <v>0</v>
      </c>
      <c r="Z178" s="343">
        <v>3828</v>
      </c>
      <c r="AA178" s="343">
        <v>290.88</v>
      </c>
    </row>
    <row r="179" spans="1:27">
      <c r="A179" s="343">
        <v>20260702</v>
      </c>
      <c r="B179" s="343">
        <v>53649.1</v>
      </c>
      <c r="C179" s="343">
        <v>219</v>
      </c>
      <c r="D179" s="343">
        <v>444</v>
      </c>
      <c r="E179" s="384">
        <v>46205</v>
      </c>
      <c r="F179" s="343" t="s">
        <v>235</v>
      </c>
      <c r="G179" s="343" t="s">
        <v>160</v>
      </c>
      <c r="Q179" s="343" t="s">
        <v>338</v>
      </c>
      <c r="R179" s="343" t="s">
        <v>153</v>
      </c>
      <c r="S179" s="384">
        <v>46167</v>
      </c>
      <c r="T179" s="384">
        <v>46173</v>
      </c>
      <c r="U179" s="343" t="s">
        <v>277</v>
      </c>
      <c r="V179" s="343">
        <v>212</v>
      </c>
      <c r="W179" s="343">
        <v>67100</v>
      </c>
      <c r="X179" s="343">
        <v>0</v>
      </c>
      <c r="Y179" s="343">
        <v>0</v>
      </c>
      <c r="Z179" s="343">
        <v>67100</v>
      </c>
      <c r="AA179" s="343">
        <v>5368.04</v>
      </c>
    </row>
    <row r="180" spans="1:27">
      <c r="A180" s="343">
        <v>20260703</v>
      </c>
      <c r="B180" s="343">
        <v>78711.899999999994</v>
      </c>
      <c r="C180" s="343">
        <v>227</v>
      </c>
      <c r="D180" s="343">
        <v>592</v>
      </c>
      <c r="E180" s="384">
        <v>46206</v>
      </c>
      <c r="F180" s="343" t="s">
        <v>236</v>
      </c>
      <c r="G180" s="343" t="s">
        <v>160</v>
      </c>
      <c r="Q180" s="343" t="s">
        <v>338</v>
      </c>
      <c r="R180" s="343" t="s">
        <v>153</v>
      </c>
      <c r="S180" s="384">
        <v>46167</v>
      </c>
      <c r="T180" s="384">
        <v>46173</v>
      </c>
      <c r="U180" s="343" t="s">
        <v>343</v>
      </c>
      <c r="V180" s="343">
        <v>9</v>
      </c>
      <c r="W180" s="343">
        <v>8094.35</v>
      </c>
      <c r="X180" s="343">
        <v>750</v>
      </c>
      <c r="Y180" s="343">
        <v>0</v>
      </c>
      <c r="Z180" s="343">
        <v>8844.35</v>
      </c>
      <c r="AA180" s="343">
        <v>647.54</v>
      </c>
    </row>
    <row r="181" spans="1:27">
      <c r="A181" s="343">
        <v>20260704</v>
      </c>
      <c r="B181" s="343">
        <v>158149.93</v>
      </c>
      <c r="C181" s="343">
        <v>435</v>
      </c>
      <c r="D181" s="343">
        <v>920</v>
      </c>
      <c r="E181" s="384">
        <v>46207</v>
      </c>
      <c r="F181" s="343" t="s">
        <v>244</v>
      </c>
      <c r="G181" s="343" t="s">
        <v>160</v>
      </c>
      <c r="Q181" s="343" t="s">
        <v>338</v>
      </c>
      <c r="R181" s="343" t="s">
        <v>153</v>
      </c>
      <c r="S181" s="384">
        <v>46167</v>
      </c>
      <c r="T181" s="384">
        <v>46173</v>
      </c>
      <c r="U181" s="343" t="s">
        <v>335</v>
      </c>
      <c r="V181" s="343">
        <v>0</v>
      </c>
      <c r="W181" s="343">
        <v>-6902.91</v>
      </c>
      <c r="X181" s="343">
        <v>0</v>
      </c>
      <c r="Y181" s="343">
        <v>6902.91</v>
      </c>
      <c r="Z181" s="343">
        <v>0</v>
      </c>
      <c r="AA181" s="343">
        <v>0</v>
      </c>
    </row>
    <row r="182" spans="1:27">
      <c r="A182" s="343">
        <v>20260705</v>
      </c>
      <c r="B182" s="343">
        <v>100084.25</v>
      </c>
      <c r="C182" s="343">
        <v>264</v>
      </c>
      <c r="D182" s="343">
        <v>466</v>
      </c>
      <c r="E182" s="384">
        <v>46208</v>
      </c>
      <c r="F182" s="343" t="s">
        <v>245</v>
      </c>
      <c r="G182" s="343" t="s">
        <v>160</v>
      </c>
      <c r="Q182" s="343" t="s">
        <v>338</v>
      </c>
      <c r="R182" s="343" t="s">
        <v>153</v>
      </c>
      <c r="S182" s="384">
        <v>46167</v>
      </c>
      <c r="T182" s="384">
        <v>46173</v>
      </c>
      <c r="U182" s="343" t="s">
        <v>344</v>
      </c>
      <c r="V182" s="343">
        <v>580.37300000000005</v>
      </c>
      <c r="W182" s="343">
        <v>4026.87</v>
      </c>
      <c r="X182" s="343">
        <v>0</v>
      </c>
      <c r="Y182" s="343">
        <v>0</v>
      </c>
      <c r="Z182" s="343">
        <v>4026.87</v>
      </c>
      <c r="AA182" s="343">
        <v>281.88</v>
      </c>
    </row>
    <row r="183" spans="1:27">
      <c r="A183" s="343">
        <v>20260706</v>
      </c>
      <c r="C183" s="343">
        <v>56</v>
      </c>
      <c r="D183" s="343">
        <v>56</v>
      </c>
      <c r="E183" s="384">
        <v>46209</v>
      </c>
      <c r="F183" s="343" t="s">
        <v>232</v>
      </c>
      <c r="G183" s="343" t="s">
        <v>161</v>
      </c>
      <c r="Q183" s="343" t="s">
        <v>338</v>
      </c>
      <c r="R183" s="343" t="s">
        <v>153</v>
      </c>
      <c r="S183" s="384">
        <v>46167</v>
      </c>
      <c r="T183" s="384">
        <v>46173</v>
      </c>
      <c r="U183" s="343" t="s">
        <v>106</v>
      </c>
      <c r="V183" s="343">
        <v>15</v>
      </c>
      <c r="W183" s="343">
        <v>5104.97</v>
      </c>
      <c r="X183" s="343">
        <v>0</v>
      </c>
      <c r="Y183" s="343">
        <v>0</v>
      </c>
      <c r="Z183" s="343">
        <v>5104.97</v>
      </c>
      <c r="AA183" s="343">
        <v>0</v>
      </c>
    </row>
    <row r="184" spans="1:27">
      <c r="A184" s="343">
        <v>20260707</v>
      </c>
      <c r="B184" s="343">
        <v>24603.95</v>
      </c>
      <c r="C184" s="343">
        <v>73</v>
      </c>
      <c r="D184" s="343">
        <v>184</v>
      </c>
      <c r="E184" s="384">
        <v>46210</v>
      </c>
      <c r="F184" s="343" t="s">
        <v>233</v>
      </c>
      <c r="G184" s="343" t="s">
        <v>161</v>
      </c>
      <c r="Q184" s="343" t="s">
        <v>338</v>
      </c>
      <c r="R184" s="343" t="s">
        <v>153</v>
      </c>
      <c r="S184" s="384">
        <v>46167</v>
      </c>
      <c r="T184" s="384">
        <v>46173</v>
      </c>
      <c r="U184" s="343" t="s">
        <v>345</v>
      </c>
      <c r="V184" s="343">
        <v>1008</v>
      </c>
      <c r="W184" s="343">
        <v>20690</v>
      </c>
      <c r="X184" s="343">
        <v>528</v>
      </c>
      <c r="Y184" s="343">
        <v>0</v>
      </c>
      <c r="Z184" s="343">
        <v>21218</v>
      </c>
      <c r="AA184" s="343">
        <v>1655.2</v>
      </c>
    </row>
    <row r="185" spans="1:27">
      <c r="A185" s="343">
        <v>20260708</v>
      </c>
      <c r="B185" s="343">
        <v>22440</v>
      </c>
      <c r="C185" s="343">
        <v>75</v>
      </c>
      <c r="D185" s="343">
        <v>190</v>
      </c>
      <c r="E185" s="384">
        <v>46211</v>
      </c>
      <c r="F185" s="343" t="s">
        <v>234</v>
      </c>
      <c r="G185" s="343" t="s">
        <v>161</v>
      </c>
      <c r="Q185" s="343" t="s">
        <v>338</v>
      </c>
      <c r="R185" s="343" t="s">
        <v>154</v>
      </c>
      <c r="S185" s="384">
        <v>46174</v>
      </c>
      <c r="T185" s="384">
        <v>46180</v>
      </c>
      <c r="U185" s="343" t="s">
        <v>285</v>
      </c>
      <c r="V185" s="343">
        <v>9097</v>
      </c>
      <c r="W185" s="343">
        <v>250215.72</v>
      </c>
      <c r="X185" s="343">
        <v>14714.27</v>
      </c>
      <c r="Y185" s="343">
        <v>0</v>
      </c>
      <c r="Z185" s="343">
        <v>264929.99</v>
      </c>
      <c r="AA185" s="343">
        <v>20017.27</v>
      </c>
    </row>
    <row r="186" spans="1:27">
      <c r="A186" s="343">
        <v>20260709</v>
      </c>
      <c r="B186" s="343">
        <v>43391.22</v>
      </c>
      <c r="C186" s="343">
        <v>162</v>
      </c>
      <c r="D186" s="343">
        <v>321</v>
      </c>
      <c r="E186" s="384">
        <v>46212</v>
      </c>
      <c r="F186" s="343" t="s">
        <v>235</v>
      </c>
      <c r="G186" s="343" t="s">
        <v>161</v>
      </c>
      <c r="Q186" s="343" t="s">
        <v>338</v>
      </c>
      <c r="R186" s="343" t="s">
        <v>154</v>
      </c>
      <c r="S186" s="384">
        <v>46174</v>
      </c>
      <c r="T186" s="384">
        <v>46180</v>
      </c>
      <c r="U186" s="343" t="s">
        <v>342</v>
      </c>
      <c r="V186" s="343">
        <v>3555</v>
      </c>
      <c r="W186" s="343">
        <v>28948.67</v>
      </c>
      <c r="X186" s="343">
        <v>1463.32</v>
      </c>
      <c r="Y186" s="343">
        <v>0</v>
      </c>
      <c r="Z186" s="343">
        <v>30411.99</v>
      </c>
      <c r="AA186" s="343">
        <v>2315.84</v>
      </c>
    </row>
    <row r="187" spans="1:27">
      <c r="A187" s="343">
        <v>20260710</v>
      </c>
      <c r="B187" s="343">
        <v>122793.9</v>
      </c>
      <c r="C187" s="343">
        <v>422</v>
      </c>
      <c r="D187" s="343">
        <v>917</v>
      </c>
      <c r="E187" s="384">
        <v>46213</v>
      </c>
      <c r="F187" s="343" t="s">
        <v>236</v>
      </c>
      <c r="G187" s="343" t="s">
        <v>161</v>
      </c>
      <c r="Q187" s="343" t="s">
        <v>338</v>
      </c>
      <c r="R187" s="343" t="s">
        <v>154</v>
      </c>
      <c r="S187" s="384">
        <v>46174</v>
      </c>
      <c r="T187" s="384">
        <v>46180</v>
      </c>
      <c r="U187" s="343" t="s">
        <v>281</v>
      </c>
      <c r="V187" s="343">
        <v>5220</v>
      </c>
      <c r="W187" s="343">
        <v>217695.95</v>
      </c>
      <c r="X187" s="343">
        <v>9413.06</v>
      </c>
      <c r="Y187" s="343">
        <v>0</v>
      </c>
      <c r="Z187" s="343">
        <v>227109.01</v>
      </c>
      <c r="AA187" s="343">
        <v>17415.66</v>
      </c>
    </row>
    <row r="188" spans="1:27">
      <c r="A188" s="343">
        <v>20260711</v>
      </c>
      <c r="B188" s="343">
        <v>119474.11</v>
      </c>
      <c r="C188" s="343">
        <v>270</v>
      </c>
      <c r="D188" s="343">
        <v>791</v>
      </c>
      <c r="E188" s="384">
        <v>46214</v>
      </c>
      <c r="F188" s="343" t="s">
        <v>244</v>
      </c>
      <c r="G188" s="343" t="s">
        <v>161</v>
      </c>
      <c r="Q188" s="343" t="s">
        <v>338</v>
      </c>
      <c r="R188" s="343" t="s">
        <v>154</v>
      </c>
      <c r="S188" s="384">
        <v>46174</v>
      </c>
      <c r="T188" s="384">
        <v>46180</v>
      </c>
      <c r="U188" s="343" t="s">
        <v>279</v>
      </c>
      <c r="V188" s="343">
        <v>171</v>
      </c>
      <c r="W188" s="343">
        <v>1968</v>
      </c>
      <c r="X188" s="343">
        <v>89</v>
      </c>
      <c r="Y188" s="343">
        <v>0</v>
      </c>
      <c r="Z188" s="343">
        <v>2057</v>
      </c>
      <c r="AA188" s="343">
        <v>157.44</v>
      </c>
    </row>
    <row r="189" spans="1:27">
      <c r="A189" s="343">
        <v>20260712</v>
      </c>
      <c r="B189" s="343">
        <v>224636.01</v>
      </c>
      <c r="C189" s="343">
        <v>553</v>
      </c>
      <c r="D189" s="343">
        <v>870</v>
      </c>
      <c r="E189" s="384">
        <v>46215</v>
      </c>
      <c r="F189" s="343" t="s">
        <v>245</v>
      </c>
      <c r="G189" s="343" t="s">
        <v>161</v>
      </c>
      <c r="Q189" s="343" t="s">
        <v>338</v>
      </c>
      <c r="R189" s="343" t="s">
        <v>154</v>
      </c>
      <c r="S189" s="384">
        <v>46174</v>
      </c>
      <c r="T189" s="384">
        <v>46180</v>
      </c>
      <c r="U189" s="343" t="s">
        <v>277</v>
      </c>
      <c r="V189" s="343">
        <v>208</v>
      </c>
      <c r="W189" s="343">
        <v>60215</v>
      </c>
      <c r="X189" s="343">
        <v>115</v>
      </c>
      <c r="Y189" s="343">
        <v>0</v>
      </c>
      <c r="Z189" s="343">
        <v>60330</v>
      </c>
      <c r="AA189" s="343">
        <v>4817.2</v>
      </c>
    </row>
    <row r="190" spans="1:27">
      <c r="A190" s="343">
        <v>20260714</v>
      </c>
      <c r="B190" s="343">
        <v>27566</v>
      </c>
      <c r="C190" s="343">
        <v>80</v>
      </c>
      <c r="D190" s="343">
        <v>207</v>
      </c>
      <c r="E190" s="384">
        <v>46217</v>
      </c>
      <c r="F190" s="343" t="s">
        <v>233</v>
      </c>
      <c r="G190" s="343" t="s">
        <v>162</v>
      </c>
      <c r="Q190" s="343" t="s">
        <v>338</v>
      </c>
      <c r="R190" s="343" t="s">
        <v>154</v>
      </c>
      <c r="S190" s="384">
        <v>46174</v>
      </c>
      <c r="T190" s="384">
        <v>46180</v>
      </c>
      <c r="U190" s="343" t="s">
        <v>343</v>
      </c>
      <c r="V190" s="343">
        <v>23</v>
      </c>
      <c r="W190" s="343">
        <v>4746</v>
      </c>
      <c r="X190" s="343">
        <v>0</v>
      </c>
      <c r="Y190" s="343">
        <v>0</v>
      </c>
      <c r="Z190" s="343">
        <v>4746</v>
      </c>
      <c r="AA190" s="343">
        <v>379.68</v>
      </c>
    </row>
    <row r="191" spans="1:27">
      <c r="A191" s="343">
        <v>20260715</v>
      </c>
      <c r="B191" s="343">
        <v>39436.449999999997</v>
      </c>
      <c r="C191" s="343">
        <v>94</v>
      </c>
      <c r="D191" s="343">
        <v>237</v>
      </c>
      <c r="E191" s="384">
        <v>46218</v>
      </c>
      <c r="F191" s="343" t="s">
        <v>234</v>
      </c>
      <c r="G191" s="343" t="s">
        <v>162</v>
      </c>
      <c r="Q191" s="343" t="s">
        <v>338</v>
      </c>
      <c r="R191" s="343" t="s">
        <v>154</v>
      </c>
      <c r="S191" s="384">
        <v>46174</v>
      </c>
      <c r="T191" s="384">
        <v>46180</v>
      </c>
      <c r="U191" s="343" t="s">
        <v>344</v>
      </c>
      <c r="V191" s="343">
        <v>195</v>
      </c>
      <c r="W191" s="343">
        <v>975</v>
      </c>
      <c r="X191" s="343">
        <v>0</v>
      </c>
      <c r="Y191" s="343">
        <v>0</v>
      </c>
      <c r="Z191" s="343">
        <v>975</v>
      </c>
      <c r="AA191" s="343">
        <v>68.25</v>
      </c>
    </row>
    <row r="192" spans="1:27">
      <c r="A192" s="343">
        <v>20260716</v>
      </c>
      <c r="B192" s="343">
        <v>40084.9</v>
      </c>
      <c r="C192" s="343">
        <v>138</v>
      </c>
      <c r="D192" s="343">
        <v>320</v>
      </c>
      <c r="E192" s="384">
        <v>46219</v>
      </c>
      <c r="F192" s="343" t="s">
        <v>235</v>
      </c>
      <c r="G192" s="343" t="s">
        <v>162</v>
      </c>
      <c r="Q192" s="343" t="s">
        <v>338</v>
      </c>
      <c r="R192" s="343" t="s">
        <v>154</v>
      </c>
      <c r="S192" s="384">
        <v>46174</v>
      </c>
      <c r="T192" s="384">
        <v>46180</v>
      </c>
      <c r="U192" s="343" t="s">
        <v>106</v>
      </c>
      <c r="V192" s="343">
        <v>17</v>
      </c>
      <c r="W192" s="343">
        <v>2818.85</v>
      </c>
      <c r="X192" s="343">
        <v>0</v>
      </c>
      <c r="Y192" s="343">
        <v>0</v>
      </c>
      <c r="Z192" s="343">
        <v>2818.85</v>
      </c>
      <c r="AA192" s="343">
        <v>0</v>
      </c>
    </row>
    <row r="193" spans="1:27">
      <c r="A193" s="343">
        <v>20260717</v>
      </c>
      <c r="B193" s="343">
        <v>92507.1</v>
      </c>
      <c r="C193" s="343">
        <v>299</v>
      </c>
      <c r="D193" s="343">
        <v>753</v>
      </c>
      <c r="E193" s="384">
        <v>46220</v>
      </c>
      <c r="F193" s="343" t="s">
        <v>236</v>
      </c>
      <c r="G193" s="343" t="s">
        <v>162</v>
      </c>
      <c r="Q193" s="343" t="s">
        <v>338</v>
      </c>
      <c r="R193" s="343" t="s">
        <v>154</v>
      </c>
      <c r="S193" s="384">
        <v>46174</v>
      </c>
      <c r="T193" s="384">
        <v>46180</v>
      </c>
      <c r="U193" s="343" t="s">
        <v>345</v>
      </c>
      <c r="V193" s="343">
        <v>924</v>
      </c>
      <c r="W193" s="343">
        <v>14815.03</v>
      </c>
      <c r="X193" s="343">
        <v>314</v>
      </c>
      <c r="Y193" s="343">
        <v>0</v>
      </c>
      <c r="Z193" s="343">
        <v>15129.03</v>
      </c>
      <c r="AA193" s="343">
        <v>1185.26</v>
      </c>
    </row>
    <row r="194" spans="1:27">
      <c r="A194" s="343">
        <v>20260718</v>
      </c>
      <c r="B194" s="343">
        <v>107405.3</v>
      </c>
      <c r="C194" s="343">
        <v>402</v>
      </c>
      <c r="D194" s="343">
        <v>878</v>
      </c>
      <c r="E194" s="384">
        <v>46221</v>
      </c>
      <c r="F194" s="343" t="s">
        <v>244</v>
      </c>
      <c r="G194" s="343" t="s">
        <v>162</v>
      </c>
      <c r="Q194" s="343" t="s">
        <v>338</v>
      </c>
      <c r="R194" s="343" t="s">
        <v>155</v>
      </c>
      <c r="S194" s="384">
        <v>46181</v>
      </c>
      <c r="T194" s="384">
        <v>46187</v>
      </c>
      <c r="U194" s="343" t="s">
        <v>285</v>
      </c>
      <c r="V194" s="343">
        <v>8726</v>
      </c>
      <c r="W194" s="343">
        <v>210929.6</v>
      </c>
      <c r="X194" s="343">
        <v>13517.41</v>
      </c>
      <c r="Y194" s="343">
        <v>0</v>
      </c>
      <c r="Z194" s="343">
        <v>224447.01</v>
      </c>
      <c r="AA194" s="343">
        <v>16865.650000000001</v>
      </c>
    </row>
    <row r="195" spans="1:27">
      <c r="A195" s="343">
        <v>20260719</v>
      </c>
      <c r="B195" s="343">
        <v>72724.02</v>
      </c>
      <c r="C195" s="343">
        <v>332</v>
      </c>
      <c r="D195" s="343">
        <v>538</v>
      </c>
      <c r="E195" s="384">
        <v>46222</v>
      </c>
      <c r="F195" s="343" t="s">
        <v>245</v>
      </c>
      <c r="G195" s="343" t="s">
        <v>162</v>
      </c>
      <c r="Q195" s="343" t="s">
        <v>338</v>
      </c>
      <c r="R195" s="343" t="s">
        <v>155</v>
      </c>
      <c r="S195" s="384">
        <v>46181</v>
      </c>
      <c r="T195" s="384">
        <v>46187</v>
      </c>
      <c r="U195" s="343" t="s">
        <v>342</v>
      </c>
      <c r="V195" s="343">
        <v>3245</v>
      </c>
      <c r="W195" s="343">
        <v>27340.49</v>
      </c>
      <c r="X195" s="343">
        <v>1165.51</v>
      </c>
      <c r="Y195" s="343">
        <v>0</v>
      </c>
      <c r="Z195" s="343">
        <v>28506</v>
      </c>
      <c r="AA195" s="343">
        <v>2185.66</v>
      </c>
    </row>
    <row r="196" spans="1:27">
      <c r="A196" s="343">
        <v>20260721</v>
      </c>
      <c r="B196" s="343">
        <v>29054.959999999999</v>
      </c>
      <c r="C196" s="343">
        <v>92</v>
      </c>
      <c r="D196" s="343">
        <v>231</v>
      </c>
      <c r="E196" s="384">
        <v>46224</v>
      </c>
      <c r="F196" s="343" t="s">
        <v>233</v>
      </c>
      <c r="G196" s="343" t="s">
        <v>163</v>
      </c>
      <c r="Q196" s="343" t="s">
        <v>338</v>
      </c>
      <c r="R196" s="343" t="s">
        <v>155</v>
      </c>
      <c r="S196" s="384">
        <v>46181</v>
      </c>
      <c r="T196" s="384">
        <v>46187</v>
      </c>
      <c r="U196" s="343" t="s">
        <v>281</v>
      </c>
      <c r="V196" s="343">
        <v>4588</v>
      </c>
      <c r="W196" s="343">
        <v>241796.73</v>
      </c>
      <c r="X196" s="343">
        <v>7224.27</v>
      </c>
      <c r="Y196" s="343">
        <v>0</v>
      </c>
      <c r="Z196" s="343">
        <v>249021</v>
      </c>
      <c r="AA196" s="343">
        <v>19343.73</v>
      </c>
    </row>
    <row r="197" spans="1:27">
      <c r="A197" s="343">
        <v>20260722</v>
      </c>
      <c r="B197" s="343">
        <v>22675.65</v>
      </c>
      <c r="C197" s="343">
        <v>71</v>
      </c>
      <c r="D197" s="343">
        <v>758</v>
      </c>
      <c r="E197" s="384">
        <v>46225</v>
      </c>
      <c r="F197" s="343" t="s">
        <v>234</v>
      </c>
      <c r="G197" s="343" t="s">
        <v>163</v>
      </c>
      <c r="Q197" s="343" t="s">
        <v>338</v>
      </c>
      <c r="R197" s="343" t="s">
        <v>155</v>
      </c>
      <c r="S197" s="384">
        <v>46181</v>
      </c>
      <c r="T197" s="384">
        <v>46187</v>
      </c>
      <c r="U197" s="343" t="s">
        <v>279</v>
      </c>
      <c r="V197" s="343">
        <v>210</v>
      </c>
      <c r="W197" s="343">
        <v>2444.56</v>
      </c>
      <c r="X197" s="343">
        <v>75.44</v>
      </c>
      <c r="Y197" s="343">
        <v>0</v>
      </c>
      <c r="Z197" s="343">
        <v>2520</v>
      </c>
      <c r="AA197" s="343">
        <v>194.59</v>
      </c>
    </row>
    <row r="198" spans="1:27">
      <c r="A198" s="343">
        <v>20260723</v>
      </c>
      <c r="B198" s="343">
        <v>33931.49</v>
      </c>
      <c r="C198" s="343">
        <v>115</v>
      </c>
      <c r="D198" s="343">
        <v>300</v>
      </c>
      <c r="E198" s="384">
        <v>46226</v>
      </c>
      <c r="F198" s="343" t="s">
        <v>235</v>
      </c>
      <c r="G198" s="343" t="s">
        <v>163</v>
      </c>
      <c r="Q198" s="343" t="s">
        <v>338</v>
      </c>
      <c r="R198" s="343" t="s">
        <v>155</v>
      </c>
      <c r="S198" s="384">
        <v>46181</v>
      </c>
      <c r="T198" s="384">
        <v>46187</v>
      </c>
      <c r="U198" s="343" t="s">
        <v>277</v>
      </c>
      <c r="V198" s="343">
        <v>161</v>
      </c>
      <c r="W198" s="343">
        <v>63098.98</v>
      </c>
      <c r="X198" s="343">
        <v>166.02</v>
      </c>
      <c r="Y198" s="343">
        <v>0</v>
      </c>
      <c r="Z198" s="343">
        <v>63265</v>
      </c>
      <c r="AA198" s="343">
        <v>5047.91</v>
      </c>
    </row>
    <row r="199" spans="1:27">
      <c r="A199" s="343">
        <v>20260724</v>
      </c>
      <c r="B199" s="343">
        <v>90100.09</v>
      </c>
      <c r="C199" s="343">
        <v>293</v>
      </c>
      <c r="D199" s="343">
        <v>680</v>
      </c>
      <c r="E199" s="384">
        <v>46227</v>
      </c>
      <c r="F199" s="343" t="s">
        <v>236</v>
      </c>
      <c r="G199" s="343" t="s">
        <v>163</v>
      </c>
      <c r="Q199" s="343" t="s">
        <v>338</v>
      </c>
      <c r="R199" s="343" t="s">
        <v>155</v>
      </c>
      <c r="S199" s="384">
        <v>46181</v>
      </c>
      <c r="T199" s="384">
        <v>46187</v>
      </c>
      <c r="U199" s="343" t="s">
        <v>343</v>
      </c>
      <c r="V199" s="343">
        <v>4</v>
      </c>
      <c r="W199" s="343">
        <v>3220</v>
      </c>
      <c r="X199" s="343">
        <v>0</v>
      </c>
      <c r="Y199" s="343">
        <v>0</v>
      </c>
      <c r="Z199" s="343">
        <v>3220</v>
      </c>
      <c r="AA199" s="343">
        <v>257.60000000000002</v>
      </c>
    </row>
    <row r="200" spans="1:27">
      <c r="A200" s="343">
        <v>20260725</v>
      </c>
      <c r="B200" s="343">
        <v>109879.09</v>
      </c>
      <c r="C200" s="343">
        <v>460</v>
      </c>
      <c r="D200" s="343">
        <v>942</v>
      </c>
      <c r="E200" s="384">
        <v>46228</v>
      </c>
      <c r="F200" s="343" t="s">
        <v>244</v>
      </c>
      <c r="G200" s="343" t="s">
        <v>163</v>
      </c>
      <c r="Q200" s="343" t="s">
        <v>338</v>
      </c>
      <c r="R200" s="343" t="s">
        <v>155</v>
      </c>
      <c r="S200" s="384">
        <v>46181</v>
      </c>
      <c r="T200" s="384">
        <v>46187</v>
      </c>
      <c r="U200" s="343" t="s">
        <v>344</v>
      </c>
      <c r="V200" s="343">
        <v>264.86</v>
      </c>
      <c r="W200" s="343">
        <v>2717.2</v>
      </c>
      <c r="X200" s="343">
        <v>0</v>
      </c>
      <c r="Y200" s="343">
        <v>0</v>
      </c>
      <c r="Z200" s="343">
        <v>2717.2</v>
      </c>
      <c r="AA200" s="343">
        <v>190.2</v>
      </c>
    </row>
    <row r="201" spans="1:27">
      <c r="A201" s="343">
        <v>20260726</v>
      </c>
      <c r="B201" s="343">
        <v>104123.05</v>
      </c>
      <c r="C201" s="343">
        <v>374</v>
      </c>
      <c r="D201" s="343">
        <v>627</v>
      </c>
      <c r="E201" s="384">
        <v>46229</v>
      </c>
      <c r="F201" s="343" t="s">
        <v>245</v>
      </c>
      <c r="G201" s="343" t="s">
        <v>163</v>
      </c>
      <c r="Q201" s="343" t="s">
        <v>338</v>
      </c>
      <c r="R201" s="343" t="s">
        <v>155</v>
      </c>
      <c r="S201" s="384">
        <v>46181</v>
      </c>
      <c r="T201" s="384">
        <v>46187</v>
      </c>
      <c r="U201" s="343" t="s">
        <v>293</v>
      </c>
      <c r="V201" s="343">
        <v>3</v>
      </c>
      <c r="W201" s="343">
        <v>20</v>
      </c>
      <c r="X201" s="343">
        <v>10</v>
      </c>
      <c r="Y201" s="343">
        <v>0</v>
      </c>
      <c r="Z201" s="343">
        <v>30</v>
      </c>
      <c r="AA201" s="343">
        <v>1.6</v>
      </c>
    </row>
    <row r="202" spans="1:27">
      <c r="A202" s="343">
        <v>20260728</v>
      </c>
      <c r="B202" s="343">
        <v>22759.25</v>
      </c>
      <c r="C202" s="343">
        <v>70</v>
      </c>
      <c r="D202" s="343">
        <v>181</v>
      </c>
      <c r="E202" s="384">
        <v>46231</v>
      </c>
      <c r="F202" s="343" t="s">
        <v>233</v>
      </c>
      <c r="G202" s="343" t="s">
        <v>166</v>
      </c>
      <c r="Q202" s="343" t="s">
        <v>338</v>
      </c>
      <c r="R202" s="343" t="s">
        <v>155</v>
      </c>
      <c r="S202" s="384">
        <v>46181</v>
      </c>
      <c r="T202" s="384">
        <v>46187</v>
      </c>
      <c r="U202" s="343" t="s">
        <v>106</v>
      </c>
      <c r="V202" s="343">
        <v>10</v>
      </c>
      <c r="W202" s="343">
        <v>1751.3</v>
      </c>
      <c r="X202" s="343">
        <v>0</v>
      </c>
      <c r="Y202" s="343">
        <v>0</v>
      </c>
      <c r="Z202" s="343">
        <v>1751.3</v>
      </c>
      <c r="AA202" s="343">
        <v>0</v>
      </c>
    </row>
    <row r="203" spans="1:27">
      <c r="A203" s="343">
        <v>20260729</v>
      </c>
      <c r="B203" s="343">
        <v>28100.5</v>
      </c>
      <c r="C203" s="343">
        <v>96</v>
      </c>
      <c r="D203" s="343">
        <v>197</v>
      </c>
      <c r="E203" s="384">
        <v>46232</v>
      </c>
      <c r="F203" s="343" t="s">
        <v>234</v>
      </c>
      <c r="G203" s="343" t="s">
        <v>166</v>
      </c>
      <c r="Q203" s="343" t="s">
        <v>338</v>
      </c>
      <c r="R203" s="343" t="s">
        <v>155</v>
      </c>
      <c r="S203" s="384">
        <v>46181</v>
      </c>
      <c r="T203" s="384">
        <v>46187</v>
      </c>
      <c r="U203" s="343" t="s">
        <v>345</v>
      </c>
      <c r="V203" s="343">
        <v>631</v>
      </c>
      <c r="W203" s="343">
        <v>12090.2</v>
      </c>
      <c r="X203" s="343">
        <v>445.8</v>
      </c>
      <c r="Y203" s="343">
        <v>0</v>
      </c>
      <c r="Z203" s="343">
        <v>12536</v>
      </c>
      <c r="AA203" s="343">
        <v>963.15</v>
      </c>
    </row>
    <row r="204" spans="1:27">
      <c r="A204" s="343">
        <v>20260730</v>
      </c>
      <c r="B204" s="343">
        <v>31357.35</v>
      </c>
      <c r="C204" s="343">
        <v>126</v>
      </c>
      <c r="D204" s="343">
        <v>280</v>
      </c>
      <c r="E204" s="384">
        <v>46233</v>
      </c>
      <c r="F204" s="343" t="s">
        <v>235</v>
      </c>
      <c r="G204" s="343" t="s">
        <v>166</v>
      </c>
      <c r="Q204" s="343" t="s">
        <v>338</v>
      </c>
      <c r="R204" s="343" t="s">
        <v>156</v>
      </c>
      <c r="S204" s="384">
        <v>46188</v>
      </c>
      <c r="T204" s="384">
        <v>46194</v>
      </c>
      <c r="U204" s="343" t="s">
        <v>285</v>
      </c>
      <c r="V204" s="343">
        <v>9587</v>
      </c>
      <c r="W204" s="343">
        <v>255565.01</v>
      </c>
      <c r="X204" s="343">
        <v>14666</v>
      </c>
      <c r="Y204" s="343">
        <v>0</v>
      </c>
      <c r="Z204" s="343">
        <v>270231.01</v>
      </c>
      <c r="AA204" s="343">
        <v>20409.27</v>
      </c>
    </row>
    <row r="205" spans="1:27">
      <c r="A205" s="343">
        <v>20260731</v>
      </c>
      <c r="B205" s="343">
        <v>54095.23</v>
      </c>
      <c r="C205" s="343">
        <v>186</v>
      </c>
      <c r="D205" s="343">
        <v>430</v>
      </c>
      <c r="E205" s="384">
        <v>46234</v>
      </c>
      <c r="F205" s="343" t="s">
        <v>236</v>
      </c>
      <c r="G205" s="343" t="s">
        <v>166</v>
      </c>
      <c r="Q205" s="343" t="s">
        <v>338</v>
      </c>
      <c r="R205" s="343" t="s">
        <v>156</v>
      </c>
      <c r="S205" s="384">
        <v>46188</v>
      </c>
      <c r="T205" s="384">
        <v>46194</v>
      </c>
      <c r="U205" s="343" t="s">
        <v>342</v>
      </c>
      <c r="V205" s="343">
        <v>3801</v>
      </c>
      <c r="W205" s="343">
        <v>31205.5</v>
      </c>
      <c r="X205" s="343">
        <v>1424.5</v>
      </c>
      <c r="Y205" s="343">
        <v>0</v>
      </c>
      <c r="Z205" s="343">
        <v>32630</v>
      </c>
      <c r="AA205" s="343">
        <v>2491.17</v>
      </c>
    </row>
    <row r="206" spans="1:27">
      <c r="A206" s="343">
        <v>20260801</v>
      </c>
      <c r="B206" s="343">
        <v>108189.02</v>
      </c>
      <c r="C206" s="343">
        <v>344</v>
      </c>
      <c r="D206" s="343">
        <v>851</v>
      </c>
      <c r="E206" s="384">
        <v>46235</v>
      </c>
      <c r="F206" s="343" t="s">
        <v>244</v>
      </c>
      <c r="G206" s="343" t="s">
        <v>166</v>
      </c>
      <c r="Q206" s="343" t="s">
        <v>338</v>
      </c>
      <c r="R206" s="343" t="s">
        <v>156</v>
      </c>
      <c r="S206" s="384">
        <v>46188</v>
      </c>
      <c r="T206" s="384">
        <v>46194</v>
      </c>
      <c r="U206" s="343" t="s">
        <v>281</v>
      </c>
      <c r="V206" s="343">
        <v>4808</v>
      </c>
      <c r="W206" s="343">
        <v>236325.5</v>
      </c>
      <c r="X206" s="343">
        <v>8989.5</v>
      </c>
      <c r="Y206" s="343">
        <v>0</v>
      </c>
      <c r="Z206" s="343">
        <v>245315</v>
      </c>
      <c r="AA206" s="343">
        <v>18893.330000000002</v>
      </c>
    </row>
    <row r="207" spans="1:27">
      <c r="A207" s="343">
        <v>20260802</v>
      </c>
      <c r="B207" s="343">
        <v>123686.5</v>
      </c>
      <c r="C207" s="343">
        <v>379</v>
      </c>
      <c r="D207" s="343">
        <v>697</v>
      </c>
      <c r="E207" s="384">
        <v>46236</v>
      </c>
      <c r="F207" s="343" t="s">
        <v>245</v>
      </c>
      <c r="G207" s="343" t="s">
        <v>166</v>
      </c>
      <c r="Q207" s="343" t="s">
        <v>338</v>
      </c>
      <c r="R207" s="343" t="s">
        <v>156</v>
      </c>
      <c r="S207" s="384">
        <v>46188</v>
      </c>
      <c r="T207" s="384">
        <v>46194</v>
      </c>
      <c r="U207" s="343" t="s">
        <v>279</v>
      </c>
      <c r="V207" s="343">
        <v>328</v>
      </c>
      <c r="W207" s="343">
        <v>3778</v>
      </c>
      <c r="X207" s="343">
        <v>168</v>
      </c>
      <c r="Y207" s="343">
        <v>0</v>
      </c>
      <c r="Z207" s="343">
        <v>3946</v>
      </c>
      <c r="AA207" s="343">
        <v>302.24</v>
      </c>
    </row>
    <row r="208" spans="1:27">
      <c r="A208" s="343">
        <v>20260804</v>
      </c>
      <c r="B208" s="343">
        <v>41736.550000000003</v>
      </c>
      <c r="C208" s="343">
        <v>84</v>
      </c>
      <c r="D208" s="343">
        <v>262</v>
      </c>
      <c r="E208" s="384">
        <v>46238</v>
      </c>
      <c r="F208" s="343" t="s">
        <v>233</v>
      </c>
      <c r="G208" s="343" t="s">
        <v>167</v>
      </c>
      <c r="Q208" s="343" t="s">
        <v>338</v>
      </c>
      <c r="R208" s="343" t="s">
        <v>156</v>
      </c>
      <c r="S208" s="384">
        <v>46188</v>
      </c>
      <c r="T208" s="384">
        <v>46194</v>
      </c>
      <c r="U208" s="343" t="s">
        <v>277</v>
      </c>
      <c r="V208" s="343">
        <v>304</v>
      </c>
      <c r="W208" s="343">
        <v>100015</v>
      </c>
      <c r="X208" s="343">
        <v>0</v>
      </c>
      <c r="Y208" s="343">
        <v>0</v>
      </c>
      <c r="Z208" s="343">
        <v>100015</v>
      </c>
      <c r="AA208" s="343">
        <v>8001.2</v>
      </c>
    </row>
    <row r="209" spans="1:27">
      <c r="A209" s="343">
        <v>20260805</v>
      </c>
      <c r="B209" s="343">
        <v>21314.95</v>
      </c>
      <c r="C209" s="343">
        <v>92</v>
      </c>
      <c r="D209" s="343">
        <v>197</v>
      </c>
      <c r="E209" s="384">
        <v>46239</v>
      </c>
      <c r="F209" s="343" t="s">
        <v>234</v>
      </c>
      <c r="G209" s="343" t="s">
        <v>167</v>
      </c>
      <c r="Q209" s="343" t="s">
        <v>338</v>
      </c>
      <c r="R209" s="343" t="s">
        <v>156</v>
      </c>
      <c r="S209" s="384">
        <v>46188</v>
      </c>
      <c r="T209" s="384">
        <v>46194</v>
      </c>
      <c r="U209" s="343" t="s">
        <v>343</v>
      </c>
      <c r="V209" s="343">
        <v>5</v>
      </c>
      <c r="W209" s="343">
        <v>9126.0400000000009</v>
      </c>
      <c r="X209" s="343">
        <v>0</v>
      </c>
      <c r="Y209" s="343">
        <v>0</v>
      </c>
      <c r="Z209" s="343">
        <v>9126.0400000000009</v>
      </c>
      <c r="AA209" s="343">
        <v>730.08</v>
      </c>
    </row>
    <row r="210" spans="1:27">
      <c r="A210" s="343">
        <v>20260806</v>
      </c>
      <c r="B210" s="343">
        <v>35214</v>
      </c>
      <c r="C210" s="343">
        <v>125</v>
      </c>
      <c r="D210" s="343">
        <v>294</v>
      </c>
      <c r="E210" s="384">
        <v>46240</v>
      </c>
      <c r="F210" s="343" t="s">
        <v>235</v>
      </c>
      <c r="G210" s="343" t="s">
        <v>167</v>
      </c>
      <c r="Q210" s="343" t="s">
        <v>338</v>
      </c>
      <c r="R210" s="343" t="s">
        <v>156</v>
      </c>
      <c r="S210" s="384">
        <v>46188</v>
      </c>
      <c r="T210" s="384">
        <v>46194</v>
      </c>
      <c r="U210" s="343" t="s">
        <v>344</v>
      </c>
      <c r="V210" s="343">
        <v>362.822</v>
      </c>
      <c r="W210" s="343">
        <v>1814.11</v>
      </c>
      <c r="X210" s="343">
        <v>0</v>
      </c>
      <c r="Y210" s="343">
        <v>0</v>
      </c>
      <c r="Z210" s="343">
        <v>1814.11</v>
      </c>
      <c r="AA210" s="343">
        <v>126.99</v>
      </c>
    </row>
    <row r="211" spans="1:27">
      <c r="A211" s="343">
        <v>20260807</v>
      </c>
      <c r="B211" s="343">
        <v>65474.49</v>
      </c>
      <c r="C211" s="343">
        <v>251</v>
      </c>
      <c r="D211" s="343">
        <v>538</v>
      </c>
      <c r="E211" s="384">
        <v>46241</v>
      </c>
      <c r="F211" s="343" t="s">
        <v>236</v>
      </c>
      <c r="G211" s="343" t="s">
        <v>167</v>
      </c>
      <c r="Q211" s="343" t="s">
        <v>338</v>
      </c>
      <c r="R211" s="343" t="s">
        <v>156</v>
      </c>
      <c r="S211" s="384">
        <v>46188</v>
      </c>
      <c r="T211" s="384">
        <v>46194</v>
      </c>
      <c r="U211" s="343" t="s">
        <v>293</v>
      </c>
      <c r="V211" s="343">
        <v>1</v>
      </c>
      <c r="W211" s="343">
        <v>10</v>
      </c>
      <c r="X211" s="343">
        <v>0</v>
      </c>
      <c r="Y211" s="343">
        <v>0</v>
      </c>
      <c r="Z211" s="343">
        <v>10</v>
      </c>
      <c r="AA211" s="343">
        <v>0.8</v>
      </c>
    </row>
    <row r="212" spans="1:27">
      <c r="A212" s="343">
        <v>20260808</v>
      </c>
      <c r="B212" s="343">
        <v>92588.160000000003</v>
      </c>
      <c r="C212" s="343">
        <v>527</v>
      </c>
      <c r="D212" s="343">
        <v>886</v>
      </c>
      <c r="E212" s="384">
        <v>46242</v>
      </c>
      <c r="F212" s="343" t="s">
        <v>244</v>
      </c>
      <c r="G212" s="343" t="s">
        <v>167</v>
      </c>
      <c r="Q212" s="343" t="s">
        <v>338</v>
      </c>
      <c r="R212" s="343" t="s">
        <v>156</v>
      </c>
      <c r="S212" s="384">
        <v>46188</v>
      </c>
      <c r="T212" s="384">
        <v>46194</v>
      </c>
      <c r="U212" s="343" t="s">
        <v>106</v>
      </c>
      <c r="V212" s="343">
        <v>8</v>
      </c>
      <c r="W212" s="343">
        <v>4253.8999999999996</v>
      </c>
      <c r="X212" s="343">
        <v>0</v>
      </c>
      <c r="Y212" s="343">
        <v>0</v>
      </c>
      <c r="Z212" s="343">
        <v>4253.8999999999996</v>
      </c>
      <c r="AA212" s="343">
        <v>0</v>
      </c>
    </row>
    <row r="213" spans="1:27">
      <c r="A213" s="343">
        <v>20260809</v>
      </c>
      <c r="B213" s="343">
        <v>83886.34</v>
      </c>
      <c r="C213" s="343">
        <v>387</v>
      </c>
      <c r="D213" s="343">
        <v>660</v>
      </c>
      <c r="E213" s="384">
        <v>46243</v>
      </c>
      <c r="F213" s="343" t="s">
        <v>245</v>
      </c>
      <c r="G213" s="343" t="s">
        <v>167</v>
      </c>
      <c r="Q213" s="343" t="s">
        <v>338</v>
      </c>
      <c r="R213" s="343" t="s">
        <v>156</v>
      </c>
      <c r="S213" s="384">
        <v>46188</v>
      </c>
      <c r="T213" s="384">
        <v>46194</v>
      </c>
      <c r="U213" s="343" t="s">
        <v>345</v>
      </c>
      <c r="V213" s="343">
        <v>1076</v>
      </c>
      <c r="W213" s="343">
        <v>16243</v>
      </c>
      <c r="X213" s="343">
        <v>397</v>
      </c>
      <c r="Y213" s="343">
        <v>0</v>
      </c>
      <c r="Z213" s="343">
        <v>16640</v>
      </c>
      <c r="AA213" s="343">
        <v>1299.44</v>
      </c>
    </row>
    <row r="214" spans="1:27">
      <c r="A214" s="343">
        <v>20260810</v>
      </c>
      <c r="B214" s="343">
        <v>0</v>
      </c>
      <c r="C214" s="343">
        <v>0</v>
      </c>
      <c r="D214" s="343">
        <v>0</v>
      </c>
      <c r="E214" s="384">
        <v>46244</v>
      </c>
      <c r="F214" s="343" t="s">
        <v>232</v>
      </c>
      <c r="G214" s="343" t="s">
        <v>168</v>
      </c>
      <c r="Q214" s="343" t="s">
        <v>338</v>
      </c>
      <c r="R214" s="343" t="s">
        <v>157</v>
      </c>
      <c r="S214" s="384">
        <v>46195</v>
      </c>
      <c r="T214" s="384">
        <v>46201</v>
      </c>
      <c r="U214" s="343" t="s">
        <v>285</v>
      </c>
      <c r="V214" s="343">
        <v>10284</v>
      </c>
      <c r="W214" s="343">
        <v>281722.5</v>
      </c>
      <c r="X214" s="343">
        <v>12144.5</v>
      </c>
      <c r="Y214" s="343">
        <v>0</v>
      </c>
      <c r="Z214" s="343">
        <v>293867</v>
      </c>
      <c r="AA214" s="343">
        <v>22537.81</v>
      </c>
    </row>
    <row r="215" spans="1:27">
      <c r="A215" s="343">
        <v>20260811</v>
      </c>
      <c r="B215" s="343">
        <v>21595</v>
      </c>
      <c r="C215" s="343">
        <v>73</v>
      </c>
      <c r="D215" s="343">
        <v>181</v>
      </c>
      <c r="E215" s="384">
        <v>46245</v>
      </c>
      <c r="F215" s="343" t="s">
        <v>233</v>
      </c>
      <c r="G215" s="343" t="s">
        <v>168</v>
      </c>
      <c r="Q215" s="343" t="s">
        <v>338</v>
      </c>
      <c r="R215" s="343" t="s">
        <v>157</v>
      </c>
      <c r="S215" s="384">
        <v>46195</v>
      </c>
      <c r="T215" s="384">
        <v>46201</v>
      </c>
      <c r="U215" s="343" t="s">
        <v>342</v>
      </c>
      <c r="V215" s="343">
        <v>3923</v>
      </c>
      <c r="W215" s="343">
        <v>32460.99</v>
      </c>
      <c r="X215" s="343">
        <v>1152</v>
      </c>
      <c r="Y215" s="343">
        <v>0</v>
      </c>
      <c r="Z215" s="343">
        <v>33612.99</v>
      </c>
      <c r="AA215" s="343">
        <v>2596.86</v>
      </c>
    </row>
    <row r="216" spans="1:27">
      <c r="A216" s="343">
        <v>20260812</v>
      </c>
      <c r="B216" s="343">
        <v>22877</v>
      </c>
      <c r="C216" s="343">
        <v>88</v>
      </c>
      <c r="D216" s="343">
        <v>183</v>
      </c>
      <c r="E216" s="384">
        <v>46246</v>
      </c>
      <c r="F216" s="343" t="s">
        <v>234</v>
      </c>
      <c r="G216" s="343" t="s">
        <v>168</v>
      </c>
      <c r="Q216" s="343" t="s">
        <v>338</v>
      </c>
      <c r="R216" s="343" t="s">
        <v>157</v>
      </c>
      <c r="S216" s="384">
        <v>46195</v>
      </c>
      <c r="T216" s="384">
        <v>46201</v>
      </c>
      <c r="U216" s="343" t="s">
        <v>281</v>
      </c>
      <c r="V216" s="343">
        <v>5397</v>
      </c>
      <c r="W216" s="343">
        <v>269478</v>
      </c>
      <c r="X216" s="343">
        <v>7373</v>
      </c>
      <c r="Y216" s="343">
        <v>0</v>
      </c>
      <c r="Z216" s="343">
        <v>276851</v>
      </c>
      <c r="AA216" s="343">
        <v>21558.240000000002</v>
      </c>
    </row>
    <row r="217" spans="1:27">
      <c r="A217" s="343">
        <v>20260813</v>
      </c>
      <c r="B217" s="343">
        <v>30210</v>
      </c>
      <c r="C217" s="343">
        <v>111</v>
      </c>
      <c r="D217" s="343">
        <v>263</v>
      </c>
      <c r="E217" s="384">
        <v>46247</v>
      </c>
      <c r="F217" s="343" t="s">
        <v>235</v>
      </c>
      <c r="G217" s="343" t="s">
        <v>168</v>
      </c>
      <c r="Q217" s="343" t="s">
        <v>338</v>
      </c>
      <c r="R217" s="343" t="s">
        <v>157</v>
      </c>
      <c r="S217" s="384">
        <v>46195</v>
      </c>
      <c r="T217" s="384">
        <v>46201</v>
      </c>
      <c r="U217" s="343" t="s">
        <v>279</v>
      </c>
      <c r="V217" s="343">
        <v>370</v>
      </c>
      <c r="W217" s="343">
        <v>4321</v>
      </c>
      <c r="X217" s="343">
        <v>132</v>
      </c>
      <c r="Y217" s="343">
        <v>0</v>
      </c>
      <c r="Z217" s="343">
        <v>4453</v>
      </c>
      <c r="AA217" s="343">
        <v>345.68</v>
      </c>
    </row>
    <row r="218" spans="1:27">
      <c r="A218" s="343">
        <v>20260814</v>
      </c>
      <c r="B218" s="343">
        <v>48888.85</v>
      </c>
      <c r="C218" s="343">
        <v>182</v>
      </c>
      <c r="D218" s="343">
        <v>449</v>
      </c>
      <c r="E218" s="384">
        <v>46248</v>
      </c>
      <c r="F218" s="343" t="s">
        <v>236</v>
      </c>
      <c r="G218" s="343" t="s">
        <v>168</v>
      </c>
      <c r="Q218" s="343" t="s">
        <v>338</v>
      </c>
      <c r="R218" s="343" t="s">
        <v>157</v>
      </c>
      <c r="S218" s="384">
        <v>46195</v>
      </c>
      <c r="T218" s="384">
        <v>46201</v>
      </c>
      <c r="U218" s="343" t="s">
        <v>277</v>
      </c>
      <c r="V218" s="343">
        <v>281</v>
      </c>
      <c r="W218" s="343">
        <v>117455</v>
      </c>
      <c r="X218" s="343">
        <v>75</v>
      </c>
      <c r="Y218" s="343">
        <v>0</v>
      </c>
      <c r="Z218" s="343">
        <v>117530</v>
      </c>
      <c r="AA218" s="343">
        <v>9396.4</v>
      </c>
    </row>
    <row r="219" spans="1:27">
      <c r="A219" s="343">
        <v>20260815</v>
      </c>
      <c r="B219" s="343">
        <v>99180.2</v>
      </c>
      <c r="C219" s="343">
        <v>379</v>
      </c>
      <c r="D219" s="343">
        <v>812</v>
      </c>
      <c r="E219" s="384">
        <v>46249</v>
      </c>
      <c r="F219" s="343" t="s">
        <v>244</v>
      </c>
      <c r="G219" s="343" t="s">
        <v>168</v>
      </c>
      <c r="Q219" s="343" t="s">
        <v>338</v>
      </c>
      <c r="R219" s="343" t="s">
        <v>157</v>
      </c>
      <c r="S219" s="384">
        <v>46195</v>
      </c>
      <c r="T219" s="384">
        <v>46201</v>
      </c>
      <c r="U219" s="343" t="s">
        <v>343</v>
      </c>
      <c r="V219" s="343">
        <v>8</v>
      </c>
      <c r="W219" s="343">
        <v>92022.87</v>
      </c>
      <c r="X219" s="343">
        <v>0</v>
      </c>
      <c r="Y219" s="343">
        <v>0</v>
      </c>
      <c r="Z219" s="343">
        <v>92022.87</v>
      </c>
      <c r="AA219" s="343">
        <v>6453.65</v>
      </c>
    </row>
    <row r="220" spans="1:27">
      <c r="A220" s="343">
        <v>20260816</v>
      </c>
      <c r="B220" s="343">
        <v>92028.15</v>
      </c>
      <c r="C220" s="343">
        <v>369</v>
      </c>
      <c r="D220" s="343">
        <v>596</v>
      </c>
      <c r="E220" s="384">
        <v>46250</v>
      </c>
      <c r="F220" s="343" t="s">
        <v>245</v>
      </c>
      <c r="G220" s="343" t="s">
        <v>168</v>
      </c>
      <c r="Q220" s="343" t="s">
        <v>338</v>
      </c>
      <c r="R220" s="343" t="s">
        <v>157</v>
      </c>
      <c r="S220" s="384">
        <v>46195</v>
      </c>
      <c r="T220" s="384">
        <v>46201</v>
      </c>
      <c r="U220" s="343" t="s">
        <v>344</v>
      </c>
      <c r="V220" s="343">
        <v>371.72899999999998</v>
      </c>
      <c r="W220" s="343">
        <v>2948.74</v>
      </c>
      <c r="X220" s="343">
        <v>0</v>
      </c>
      <c r="Y220" s="343">
        <v>0</v>
      </c>
      <c r="Z220" s="343">
        <v>2948.74</v>
      </c>
      <c r="AA220" s="343">
        <v>206.41</v>
      </c>
    </row>
    <row r="221" spans="1:27">
      <c r="A221" s="343">
        <v>20260817</v>
      </c>
      <c r="B221" s="343">
        <v>0</v>
      </c>
      <c r="C221" s="343">
        <v>1</v>
      </c>
      <c r="D221" s="343">
        <v>1</v>
      </c>
      <c r="E221" s="384">
        <v>46251</v>
      </c>
      <c r="F221" s="343" t="s">
        <v>232</v>
      </c>
      <c r="G221" s="343" t="s">
        <v>101</v>
      </c>
      <c r="Q221" s="343" t="s">
        <v>338</v>
      </c>
      <c r="R221" s="343" t="s">
        <v>157</v>
      </c>
      <c r="S221" s="384">
        <v>46195</v>
      </c>
      <c r="T221" s="384">
        <v>46201</v>
      </c>
      <c r="U221" s="343" t="s">
        <v>106</v>
      </c>
      <c r="V221" s="343">
        <v>11</v>
      </c>
      <c r="W221" s="343">
        <v>2606.1999999999998</v>
      </c>
      <c r="X221" s="343">
        <v>0</v>
      </c>
      <c r="Y221" s="343">
        <v>0</v>
      </c>
      <c r="Z221" s="343">
        <v>2606.1999999999998</v>
      </c>
      <c r="AA221" s="343">
        <v>0</v>
      </c>
    </row>
    <row r="222" spans="1:27">
      <c r="A222" s="343">
        <v>20260818</v>
      </c>
      <c r="B222" s="343">
        <v>29666.45</v>
      </c>
      <c r="C222" s="343">
        <v>76</v>
      </c>
      <c r="D222" s="343">
        <v>226</v>
      </c>
      <c r="E222" s="384">
        <v>46252</v>
      </c>
      <c r="F222" s="343" t="s">
        <v>233</v>
      </c>
      <c r="G222" s="343" t="s">
        <v>101</v>
      </c>
      <c r="Q222" s="343" t="s">
        <v>338</v>
      </c>
      <c r="R222" s="343" t="s">
        <v>157</v>
      </c>
      <c r="S222" s="384">
        <v>46195</v>
      </c>
      <c r="T222" s="384">
        <v>46201</v>
      </c>
      <c r="U222" s="343" t="s">
        <v>346</v>
      </c>
      <c r="V222" s="343">
        <v>1</v>
      </c>
      <c r="W222" s="343">
        <v>12316.71</v>
      </c>
      <c r="X222" s="343">
        <v>0</v>
      </c>
      <c r="Y222" s="343">
        <v>0</v>
      </c>
      <c r="Z222" s="343">
        <v>12316.71</v>
      </c>
      <c r="AA222" s="343">
        <v>985.34</v>
      </c>
    </row>
    <row r="223" spans="1:27">
      <c r="A223" s="343">
        <v>20260819</v>
      </c>
      <c r="B223" s="343">
        <v>27777</v>
      </c>
      <c r="C223" s="343">
        <v>97</v>
      </c>
      <c r="D223" s="343">
        <v>262</v>
      </c>
      <c r="E223" s="384">
        <v>46253</v>
      </c>
      <c r="F223" s="343" t="s">
        <v>234</v>
      </c>
      <c r="G223" s="343" t="s">
        <v>101</v>
      </c>
      <c r="Q223" s="343" t="s">
        <v>338</v>
      </c>
      <c r="R223" s="343" t="s">
        <v>157</v>
      </c>
      <c r="S223" s="384">
        <v>46195</v>
      </c>
      <c r="T223" s="384">
        <v>46201</v>
      </c>
      <c r="U223" s="343" t="s">
        <v>345</v>
      </c>
      <c r="V223" s="343">
        <v>671</v>
      </c>
      <c r="W223" s="343">
        <v>14480</v>
      </c>
      <c r="X223" s="343">
        <v>314</v>
      </c>
      <c r="Y223" s="343">
        <v>0</v>
      </c>
      <c r="Z223" s="343">
        <v>14794</v>
      </c>
      <c r="AA223" s="343">
        <v>1158.4000000000001</v>
      </c>
    </row>
    <row r="224" spans="1:27">
      <c r="A224" s="343">
        <v>20260820</v>
      </c>
      <c r="B224" s="343">
        <v>33057</v>
      </c>
      <c r="C224" s="343">
        <v>169</v>
      </c>
      <c r="D224" s="343">
        <v>365</v>
      </c>
      <c r="E224" s="384">
        <v>46254</v>
      </c>
      <c r="F224" s="343" t="s">
        <v>235</v>
      </c>
      <c r="G224" s="343" t="s">
        <v>101</v>
      </c>
      <c r="Q224" s="343" t="s">
        <v>338</v>
      </c>
      <c r="R224" s="343" t="s">
        <v>160</v>
      </c>
      <c r="S224" s="384">
        <v>46202</v>
      </c>
      <c r="T224" s="384">
        <v>46208</v>
      </c>
      <c r="U224" s="343" t="s">
        <v>285</v>
      </c>
      <c r="V224" s="343">
        <v>8769</v>
      </c>
      <c r="W224" s="343">
        <v>236352.26</v>
      </c>
      <c r="X224" s="343">
        <v>8865.75</v>
      </c>
      <c r="Y224" s="343">
        <v>0</v>
      </c>
      <c r="Z224" s="343">
        <v>245218.01</v>
      </c>
      <c r="AA224" s="343">
        <v>18908.21</v>
      </c>
    </row>
    <row r="225" spans="1:27">
      <c r="A225" s="343">
        <v>20260821</v>
      </c>
      <c r="B225" s="343">
        <v>75923.199999999997</v>
      </c>
      <c r="C225" s="343">
        <v>196</v>
      </c>
      <c r="D225" s="343">
        <v>499</v>
      </c>
      <c r="E225" s="384">
        <v>46255</v>
      </c>
      <c r="F225" s="343" t="s">
        <v>236</v>
      </c>
      <c r="G225" s="343" t="s">
        <v>101</v>
      </c>
      <c r="Q225" s="343" t="s">
        <v>338</v>
      </c>
      <c r="R225" s="343" t="s">
        <v>160</v>
      </c>
      <c r="S225" s="384">
        <v>46202</v>
      </c>
      <c r="T225" s="384">
        <v>46208</v>
      </c>
      <c r="U225" s="343" t="s">
        <v>342</v>
      </c>
      <c r="V225" s="343">
        <v>3648</v>
      </c>
      <c r="W225" s="343">
        <v>29964.240000000002</v>
      </c>
      <c r="X225" s="343">
        <v>1141.75</v>
      </c>
      <c r="Y225" s="343">
        <v>0</v>
      </c>
      <c r="Z225" s="343">
        <v>31105.99</v>
      </c>
      <c r="AA225" s="343">
        <v>2397.12</v>
      </c>
    </row>
    <row r="226" spans="1:27">
      <c r="A226" s="343">
        <v>20260822</v>
      </c>
      <c r="B226" s="343">
        <v>72042.100000000006</v>
      </c>
      <c r="C226" s="343">
        <v>353</v>
      </c>
      <c r="D226" s="343">
        <v>673</v>
      </c>
      <c r="E226" s="384">
        <v>46256</v>
      </c>
      <c r="F226" s="343" t="s">
        <v>244</v>
      </c>
      <c r="G226" s="343" t="s">
        <v>101</v>
      </c>
      <c r="Q226" s="343" t="s">
        <v>338</v>
      </c>
      <c r="R226" s="343" t="s">
        <v>160</v>
      </c>
      <c r="S226" s="384">
        <v>46202</v>
      </c>
      <c r="T226" s="384">
        <v>46208</v>
      </c>
      <c r="U226" s="343" t="s">
        <v>281</v>
      </c>
      <c r="V226" s="343">
        <v>4177</v>
      </c>
      <c r="W226" s="343">
        <v>191726</v>
      </c>
      <c r="X226" s="343">
        <v>11075</v>
      </c>
      <c r="Y226" s="343">
        <v>0</v>
      </c>
      <c r="Z226" s="343">
        <v>202801</v>
      </c>
      <c r="AA226" s="343">
        <v>15338.08</v>
      </c>
    </row>
    <row r="227" spans="1:27">
      <c r="A227" s="343">
        <v>20260823</v>
      </c>
      <c r="B227" s="343">
        <v>86385.86</v>
      </c>
      <c r="C227" s="343">
        <v>326</v>
      </c>
      <c r="D227" s="343">
        <v>533</v>
      </c>
      <c r="E227" s="384">
        <v>46257</v>
      </c>
      <c r="F227" s="343" t="s">
        <v>245</v>
      </c>
      <c r="G227" s="343" t="s">
        <v>101</v>
      </c>
      <c r="Q227" s="343" t="s">
        <v>338</v>
      </c>
      <c r="R227" s="343" t="s">
        <v>160</v>
      </c>
      <c r="S227" s="384">
        <v>46202</v>
      </c>
      <c r="T227" s="384">
        <v>46208</v>
      </c>
      <c r="U227" s="343" t="s">
        <v>279</v>
      </c>
      <c r="V227" s="343">
        <v>267</v>
      </c>
      <c r="W227" s="343">
        <v>2955</v>
      </c>
      <c r="X227" s="343">
        <v>36</v>
      </c>
      <c r="Y227" s="343">
        <v>0</v>
      </c>
      <c r="Z227" s="343">
        <v>2991</v>
      </c>
      <c r="AA227" s="343">
        <v>236.4</v>
      </c>
    </row>
    <row r="228" spans="1:27">
      <c r="Q228" s="343" t="s">
        <v>338</v>
      </c>
      <c r="R228" s="343" t="s">
        <v>160</v>
      </c>
      <c r="S228" s="384">
        <v>46202</v>
      </c>
      <c r="T228" s="384">
        <v>46208</v>
      </c>
      <c r="U228" s="343" t="s">
        <v>277</v>
      </c>
      <c r="V228" s="343">
        <v>208</v>
      </c>
      <c r="W228" s="343">
        <v>71110</v>
      </c>
      <c r="X228" s="343">
        <v>0</v>
      </c>
      <c r="Y228" s="343">
        <v>0</v>
      </c>
      <c r="Z228" s="343">
        <v>71110</v>
      </c>
      <c r="AA228" s="343">
        <v>5688.8</v>
      </c>
    </row>
    <row r="229" spans="1:27">
      <c r="Q229" s="343" t="s">
        <v>338</v>
      </c>
      <c r="R229" s="343" t="s">
        <v>160</v>
      </c>
      <c r="S229" s="384">
        <v>46202</v>
      </c>
      <c r="T229" s="384">
        <v>46208</v>
      </c>
      <c r="U229" s="343" t="s">
        <v>343</v>
      </c>
      <c r="V229" s="343">
        <v>5</v>
      </c>
      <c r="W229" s="343">
        <v>4151.7299999999996</v>
      </c>
      <c r="X229" s="343">
        <v>0</v>
      </c>
      <c r="Y229" s="343">
        <v>0</v>
      </c>
      <c r="Z229" s="343">
        <v>4151.7299999999996</v>
      </c>
      <c r="AA229" s="343">
        <v>304.10000000000002</v>
      </c>
    </row>
    <row r="230" spans="1:27">
      <c r="Q230" s="343" t="s">
        <v>338</v>
      </c>
      <c r="R230" s="343" t="s">
        <v>160</v>
      </c>
      <c r="S230" s="384">
        <v>46202</v>
      </c>
      <c r="T230" s="384">
        <v>46208</v>
      </c>
      <c r="U230" s="343" t="s">
        <v>344</v>
      </c>
      <c r="V230" s="343">
        <v>583.28499999999997</v>
      </c>
      <c r="W230" s="343">
        <v>3718.89</v>
      </c>
      <c r="X230" s="343">
        <v>0</v>
      </c>
      <c r="Y230" s="343">
        <v>0</v>
      </c>
      <c r="Z230" s="343">
        <v>3718.89</v>
      </c>
      <c r="AA230" s="343">
        <v>260.32</v>
      </c>
    </row>
    <row r="231" spans="1:27">
      <c r="Q231" s="343" t="s">
        <v>338</v>
      </c>
      <c r="R231" s="343" t="s">
        <v>160</v>
      </c>
      <c r="S231" s="384">
        <v>46202</v>
      </c>
      <c r="T231" s="384">
        <v>46208</v>
      </c>
      <c r="U231" s="343" t="s">
        <v>106</v>
      </c>
      <c r="V231" s="343">
        <v>9</v>
      </c>
      <c r="W231" s="343">
        <v>1813.45</v>
      </c>
      <c r="X231" s="343">
        <v>0</v>
      </c>
      <c r="Y231" s="343">
        <v>0</v>
      </c>
      <c r="Z231" s="343">
        <v>1813.45</v>
      </c>
      <c r="AA231" s="343">
        <v>0</v>
      </c>
    </row>
    <row r="232" spans="1:27">
      <c r="Q232" s="343" t="s">
        <v>338</v>
      </c>
      <c r="R232" s="343" t="s">
        <v>160</v>
      </c>
      <c r="S232" s="384">
        <v>46202</v>
      </c>
      <c r="T232" s="384">
        <v>46208</v>
      </c>
      <c r="U232" s="343" t="s">
        <v>346</v>
      </c>
      <c r="V232" s="343">
        <v>16</v>
      </c>
      <c r="W232" s="343">
        <v>4962.24</v>
      </c>
      <c r="X232" s="343">
        <v>0</v>
      </c>
      <c r="Y232" s="343">
        <v>0</v>
      </c>
      <c r="Z232" s="343">
        <v>4962.24</v>
      </c>
      <c r="AA232" s="343">
        <v>396.98</v>
      </c>
    </row>
    <row r="233" spans="1:27">
      <c r="Q233" s="343" t="s">
        <v>338</v>
      </c>
      <c r="R233" s="343" t="s">
        <v>160</v>
      </c>
      <c r="S233" s="384">
        <v>46202</v>
      </c>
      <c r="T233" s="384">
        <v>46208</v>
      </c>
      <c r="U233" s="343" t="s">
        <v>345</v>
      </c>
      <c r="V233" s="343">
        <v>717</v>
      </c>
      <c r="W233" s="343">
        <v>11271</v>
      </c>
      <c r="X233" s="343">
        <v>191</v>
      </c>
      <c r="Y233" s="343">
        <v>0</v>
      </c>
      <c r="Z233" s="343">
        <v>11462</v>
      </c>
      <c r="AA233" s="343">
        <v>901.68</v>
      </c>
    </row>
    <row r="234" spans="1:27">
      <c r="Q234" s="343" t="s">
        <v>338</v>
      </c>
      <c r="R234" s="343" t="s">
        <v>161</v>
      </c>
      <c r="S234" s="384">
        <v>46209</v>
      </c>
      <c r="T234" s="384">
        <v>46215</v>
      </c>
      <c r="U234" s="343" t="s">
        <v>285</v>
      </c>
      <c r="V234" s="343">
        <v>10614</v>
      </c>
      <c r="W234" s="343">
        <v>280061.75</v>
      </c>
      <c r="X234" s="343">
        <v>13909.25</v>
      </c>
      <c r="Y234" s="343">
        <v>0</v>
      </c>
      <c r="Z234" s="343">
        <v>293971</v>
      </c>
      <c r="AA234" s="343">
        <v>22404.97</v>
      </c>
    </row>
    <row r="235" spans="1:27">
      <c r="Q235" s="343" t="s">
        <v>338</v>
      </c>
      <c r="R235" s="343" t="s">
        <v>161</v>
      </c>
      <c r="S235" s="384">
        <v>46209</v>
      </c>
      <c r="T235" s="384">
        <v>46215</v>
      </c>
      <c r="U235" s="343" t="s">
        <v>342</v>
      </c>
      <c r="V235" s="343">
        <v>3841</v>
      </c>
      <c r="W235" s="343">
        <v>31660.5</v>
      </c>
      <c r="X235" s="343">
        <v>1056.5</v>
      </c>
      <c r="Y235" s="343">
        <v>0</v>
      </c>
      <c r="Z235" s="343">
        <v>32717</v>
      </c>
      <c r="AA235" s="343">
        <v>2532.89</v>
      </c>
    </row>
    <row r="236" spans="1:27">
      <c r="Q236" s="343" t="s">
        <v>338</v>
      </c>
      <c r="R236" s="343" t="s">
        <v>161</v>
      </c>
      <c r="S236" s="384">
        <v>46209</v>
      </c>
      <c r="T236" s="384">
        <v>46215</v>
      </c>
      <c r="U236" s="343" t="s">
        <v>281</v>
      </c>
      <c r="V236" s="343">
        <v>5111</v>
      </c>
      <c r="W236" s="343">
        <v>259159</v>
      </c>
      <c r="X236" s="343">
        <v>11101</v>
      </c>
      <c r="Y236" s="343">
        <v>0</v>
      </c>
      <c r="Z236" s="343">
        <v>270260</v>
      </c>
      <c r="AA236" s="343">
        <v>20732.78</v>
      </c>
    </row>
    <row r="237" spans="1:27">
      <c r="Q237" s="343" t="s">
        <v>338</v>
      </c>
      <c r="R237" s="343" t="s">
        <v>161</v>
      </c>
      <c r="S237" s="384">
        <v>46209</v>
      </c>
      <c r="T237" s="384">
        <v>46215</v>
      </c>
      <c r="U237" s="343" t="s">
        <v>279</v>
      </c>
      <c r="V237" s="343">
        <v>553</v>
      </c>
      <c r="W237" s="343">
        <v>6622</v>
      </c>
      <c r="X237" s="343">
        <v>24</v>
      </c>
      <c r="Y237" s="343">
        <v>0</v>
      </c>
      <c r="Z237" s="343">
        <v>6646</v>
      </c>
      <c r="AA237" s="343">
        <v>529.76</v>
      </c>
    </row>
    <row r="238" spans="1:27">
      <c r="Q238" s="343" t="s">
        <v>338</v>
      </c>
      <c r="R238" s="343" t="s">
        <v>161</v>
      </c>
      <c r="S238" s="384">
        <v>46209</v>
      </c>
      <c r="T238" s="384">
        <v>46215</v>
      </c>
      <c r="U238" s="343" t="s">
        <v>277</v>
      </c>
      <c r="V238" s="343">
        <v>300</v>
      </c>
      <c r="W238" s="343">
        <v>125545</v>
      </c>
      <c r="X238" s="343">
        <v>370</v>
      </c>
      <c r="Y238" s="343">
        <v>0</v>
      </c>
      <c r="Z238" s="343">
        <v>125915</v>
      </c>
      <c r="AA238" s="343">
        <v>10043.6</v>
      </c>
    </row>
    <row r="239" spans="1:27">
      <c r="Q239" s="343" t="s">
        <v>338</v>
      </c>
      <c r="R239" s="343" t="s">
        <v>161</v>
      </c>
      <c r="S239" s="384">
        <v>46209</v>
      </c>
      <c r="T239" s="384">
        <v>46215</v>
      </c>
      <c r="U239" s="343" t="s">
        <v>343</v>
      </c>
      <c r="V239" s="343">
        <v>4</v>
      </c>
      <c r="W239" s="343">
        <v>7659.04</v>
      </c>
      <c r="X239" s="343">
        <v>0</v>
      </c>
      <c r="Y239" s="343">
        <v>0</v>
      </c>
      <c r="Z239" s="343">
        <v>7659.04</v>
      </c>
      <c r="AA239" s="343">
        <v>547.29999999999995</v>
      </c>
    </row>
    <row r="240" spans="1:27">
      <c r="Q240" s="343" t="s">
        <v>338</v>
      </c>
      <c r="R240" s="343" t="s">
        <v>161</v>
      </c>
      <c r="S240" s="384">
        <v>46209</v>
      </c>
      <c r="T240" s="384">
        <v>46215</v>
      </c>
      <c r="U240" s="343" t="s">
        <v>344</v>
      </c>
      <c r="V240" s="343">
        <v>393.67899999999997</v>
      </c>
      <c r="W240" s="343">
        <v>1968.4</v>
      </c>
      <c r="X240" s="343">
        <v>0</v>
      </c>
      <c r="Y240" s="343">
        <v>0</v>
      </c>
      <c r="Z240" s="343">
        <v>1968.4</v>
      </c>
      <c r="AA240" s="343">
        <v>137.80000000000001</v>
      </c>
    </row>
    <row r="241" spans="17:27">
      <c r="Q241" s="343" t="s">
        <v>338</v>
      </c>
      <c r="R241" s="343" t="s">
        <v>161</v>
      </c>
      <c r="S241" s="384">
        <v>46209</v>
      </c>
      <c r="T241" s="384">
        <v>46215</v>
      </c>
      <c r="U241" s="343" t="s">
        <v>106</v>
      </c>
      <c r="V241" s="343">
        <v>11</v>
      </c>
      <c r="W241" s="343">
        <v>3488.55</v>
      </c>
      <c r="X241" s="343">
        <v>0</v>
      </c>
      <c r="Y241" s="343">
        <v>0</v>
      </c>
      <c r="Z241" s="343">
        <v>3488.55</v>
      </c>
      <c r="AA241" s="343">
        <v>0</v>
      </c>
    </row>
    <row r="242" spans="17:27">
      <c r="Q242" s="343" t="s">
        <v>338</v>
      </c>
      <c r="R242" s="343" t="s">
        <v>161</v>
      </c>
      <c r="S242" s="384">
        <v>46209</v>
      </c>
      <c r="T242" s="384">
        <v>46215</v>
      </c>
      <c r="U242" s="343" t="s">
        <v>346</v>
      </c>
      <c r="V242" s="343">
        <v>7</v>
      </c>
      <c r="W242" s="343">
        <v>2344.65</v>
      </c>
      <c r="X242" s="343">
        <v>0</v>
      </c>
      <c r="Y242" s="343">
        <v>0</v>
      </c>
      <c r="Z242" s="343">
        <v>2344.65</v>
      </c>
      <c r="AA242" s="343">
        <v>0</v>
      </c>
    </row>
    <row r="243" spans="17:27">
      <c r="Q243" s="343" t="s">
        <v>338</v>
      </c>
      <c r="R243" s="343" t="s">
        <v>161</v>
      </c>
      <c r="S243" s="384">
        <v>46209</v>
      </c>
      <c r="T243" s="384">
        <v>46215</v>
      </c>
      <c r="U243" s="343" t="s">
        <v>345</v>
      </c>
      <c r="V243" s="343">
        <v>721</v>
      </c>
      <c r="W243" s="343">
        <v>13615</v>
      </c>
      <c r="X243" s="343">
        <v>351</v>
      </c>
      <c r="Y243" s="343">
        <v>0</v>
      </c>
      <c r="Z243" s="343">
        <v>13966</v>
      </c>
      <c r="AA243" s="343">
        <v>1089.2</v>
      </c>
    </row>
    <row r="244" spans="17:27">
      <c r="Q244" s="343" t="s">
        <v>338</v>
      </c>
      <c r="R244" s="343" t="s">
        <v>162</v>
      </c>
      <c r="S244" s="384">
        <v>46216</v>
      </c>
      <c r="T244" s="384">
        <v>46222</v>
      </c>
      <c r="U244" s="343" t="s">
        <v>285</v>
      </c>
      <c r="V244" s="343">
        <v>9127</v>
      </c>
      <c r="W244" s="343">
        <v>238257.82</v>
      </c>
      <c r="X244" s="343">
        <v>11122.18</v>
      </c>
      <c r="Y244" s="343">
        <v>0</v>
      </c>
      <c r="Z244" s="343">
        <v>249380</v>
      </c>
      <c r="AA244" s="343">
        <v>19060.650000000001</v>
      </c>
    </row>
    <row r="245" spans="17:27">
      <c r="Q245" s="343" t="s">
        <v>338</v>
      </c>
      <c r="R245" s="343" t="s">
        <v>162</v>
      </c>
      <c r="S245" s="384">
        <v>46216</v>
      </c>
      <c r="T245" s="384">
        <v>46222</v>
      </c>
      <c r="U245" s="343" t="s">
        <v>342</v>
      </c>
      <c r="V245" s="343">
        <v>3100</v>
      </c>
      <c r="W245" s="343">
        <v>25236.59</v>
      </c>
      <c r="X245" s="343">
        <v>1159.4100000000001</v>
      </c>
      <c r="Y245" s="343">
        <v>0</v>
      </c>
      <c r="Z245" s="343">
        <v>26396</v>
      </c>
      <c r="AA245" s="343">
        <v>2018.98</v>
      </c>
    </row>
    <row r="246" spans="17:27">
      <c r="Q246" s="343" t="s">
        <v>338</v>
      </c>
      <c r="R246" s="343" t="s">
        <v>162</v>
      </c>
      <c r="S246" s="384">
        <v>46216</v>
      </c>
      <c r="T246" s="384">
        <v>46222</v>
      </c>
      <c r="U246" s="343" t="s">
        <v>281</v>
      </c>
      <c r="V246" s="343">
        <v>4334</v>
      </c>
      <c r="W246" s="343">
        <v>174897.88</v>
      </c>
      <c r="X246" s="343">
        <v>7480.12</v>
      </c>
      <c r="Y246" s="343">
        <v>0</v>
      </c>
      <c r="Z246" s="343">
        <v>182378</v>
      </c>
      <c r="AA246" s="343">
        <v>13991.82</v>
      </c>
    </row>
    <row r="247" spans="17:27">
      <c r="Q247" s="343" t="s">
        <v>338</v>
      </c>
      <c r="R247" s="343" t="s">
        <v>162</v>
      </c>
      <c r="S247" s="384">
        <v>46216</v>
      </c>
      <c r="T247" s="384">
        <v>46222</v>
      </c>
      <c r="U247" s="343" t="s">
        <v>279</v>
      </c>
      <c r="V247" s="343">
        <v>247</v>
      </c>
      <c r="W247" s="343">
        <v>2952</v>
      </c>
      <c r="X247" s="343">
        <v>12</v>
      </c>
      <c r="Y247" s="343">
        <v>0</v>
      </c>
      <c r="Z247" s="343">
        <v>2964</v>
      </c>
      <c r="AA247" s="343">
        <v>236.16</v>
      </c>
    </row>
    <row r="248" spans="17:27">
      <c r="Q248" s="343" t="s">
        <v>338</v>
      </c>
      <c r="R248" s="343" t="s">
        <v>162</v>
      </c>
      <c r="S248" s="384">
        <v>46216</v>
      </c>
      <c r="T248" s="384">
        <v>46222</v>
      </c>
      <c r="U248" s="343" t="s">
        <v>277</v>
      </c>
      <c r="V248" s="343">
        <v>186</v>
      </c>
      <c r="W248" s="343">
        <v>71025</v>
      </c>
      <c r="X248" s="343">
        <v>550</v>
      </c>
      <c r="Y248" s="343">
        <v>0</v>
      </c>
      <c r="Z248" s="343">
        <v>71575</v>
      </c>
      <c r="AA248" s="343">
        <v>5682</v>
      </c>
    </row>
    <row r="249" spans="17:27">
      <c r="Q249" s="343" t="s">
        <v>338</v>
      </c>
      <c r="R249" s="343" t="s">
        <v>162</v>
      </c>
      <c r="S249" s="384">
        <v>46216</v>
      </c>
      <c r="T249" s="384">
        <v>46222</v>
      </c>
      <c r="U249" s="343" t="s">
        <v>343</v>
      </c>
      <c r="V249" s="343">
        <v>2</v>
      </c>
      <c r="W249" s="343">
        <v>840</v>
      </c>
      <c r="X249" s="343">
        <v>0</v>
      </c>
      <c r="Y249" s="343">
        <v>0</v>
      </c>
      <c r="Z249" s="343">
        <v>840</v>
      </c>
      <c r="AA249" s="343">
        <v>67.2</v>
      </c>
    </row>
    <row r="250" spans="17:27">
      <c r="Q250" s="343" t="s">
        <v>338</v>
      </c>
      <c r="R250" s="343" t="s">
        <v>162</v>
      </c>
      <c r="S250" s="384">
        <v>46216</v>
      </c>
      <c r="T250" s="384">
        <v>46222</v>
      </c>
      <c r="U250" s="343" t="s">
        <v>344</v>
      </c>
      <c r="V250" s="343">
        <v>43.4</v>
      </c>
      <c r="W250" s="343">
        <v>217.01</v>
      </c>
      <c r="X250" s="343">
        <v>0</v>
      </c>
      <c r="Y250" s="343">
        <v>0</v>
      </c>
      <c r="Z250" s="343">
        <v>217.01</v>
      </c>
      <c r="AA250" s="343">
        <v>15.19</v>
      </c>
    </row>
    <row r="251" spans="17:27">
      <c r="Q251" s="343" t="s">
        <v>338</v>
      </c>
      <c r="R251" s="343" t="s">
        <v>162</v>
      </c>
      <c r="S251" s="384">
        <v>46216</v>
      </c>
      <c r="T251" s="384">
        <v>46222</v>
      </c>
      <c r="U251" s="343" t="s">
        <v>293</v>
      </c>
      <c r="V251" s="343">
        <v>1</v>
      </c>
      <c r="W251" s="343">
        <v>1869.15</v>
      </c>
      <c r="X251" s="343">
        <v>0</v>
      </c>
      <c r="Y251" s="343">
        <v>0</v>
      </c>
      <c r="Z251" s="343">
        <v>1869.15</v>
      </c>
      <c r="AA251" s="343">
        <v>130.84</v>
      </c>
    </row>
    <row r="252" spans="17:27">
      <c r="Q252" s="343" t="s">
        <v>338</v>
      </c>
      <c r="R252" s="343" t="s">
        <v>162</v>
      </c>
      <c r="S252" s="384">
        <v>46216</v>
      </c>
      <c r="T252" s="384">
        <v>46222</v>
      </c>
      <c r="U252" s="343" t="s">
        <v>106</v>
      </c>
      <c r="V252" s="343">
        <v>10</v>
      </c>
      <c r="W252" s="343">
        <v>1434.2</v>
      </c>
      <c r="X252" s="343">
        <v>0</v>
      </c>
      <c r="Y252" s="343">
        <v>0</v>
      </c>
      <c r="Z252" s="343">
        <v>1434.2</v>
      </c>
      <c r="AA252" s="343">
        <v>0</v>
      </c>
    </row>
    <row r="253" spans="17:27">
      <c r="Q253" s="343" t="s">
        <v>338</v>
      </c>
      <c r="R253" s="343" t="s">
        <v>162</v>
      </c>
      <c r="S253" s="384">
        <v>46216</v>
      </c>
      <c r="T253" s="384">
        <v>46222</v>
      </c>
      <c r="U253" s="343" t="s">
        <v>345</v>
      </c>
      <c r="V253" s="343">
        <v>640</v>
      </c>
      <c r="W253" s="343">
        <v>12116.46</v>
      </c>
      <c r="X253" s="343">
        <v>256.54000000000002</v>
      </c>
      <c r="Y253" s="343">
        <v>0</v>
      </c>
      <c r="Z253" s="343">
        <v>12373</v>
      </c>
      <c r="AA253" s="343">
        <v>969.3</v>
      </c>
    </row>
    <row r="254" spans="17:27">
      <c r="Q254" s="343" t="s">
        <v>338</v>
      </c>
      <c r="R254" s="343" t="s">
        <v>163</v>
      </c>
      <c r="S254" s="384">
        <v>46223</v>
      </c>
      <c r="T254" s="384">
        <v>46229</v>
      </c>
      <c r="U254" s="343" t="s">
        <v>285</v>
      </c>
      <c r="V254" s="343">
        <v>8904</v>
      </c>
      <c r="W254" s="343">
        <v>226674.16</v>
      </c>
      <c r="X254" s="343">
        <v>12159.84</v>
      </c>
      <c r="Y254" s="343">
        <v>0</v>
      </c>
      <c r="Z254" s="343">
        <v>238834</v>
      </c>
      <c r="AA254" s="343">
        <v>18134.02</v>
      </c>
    </row>
    <row r="255" spans="17:27">
      <c r="Q255" s="343" t="s">
        <v>338</v>
      </c>
      <c r="R255" s="343" t="s">
        <v>163</v>
      </c>
      <c r="S255" s="384">
        <v>46223</v>
      </c>
      <c r="T255" s="384">
        <v>46229</v>
      </c>
      <c r="U255" s="343" t="s">
        <v>342</v>
      </c>
      <c r="V255" s="343">
        <v>2866</v>
      </c>
      <c r="W255" s="343">
        <v>23016.73</v>
      </c>
      <c r="X255" s="343">
        <v>1037.25</v>
      </c>
      <c r="Y255" s="343">
        <v>0</v>
      </c>
      <c r="Z255" s="343">
        <v>24053.98</v>
      </c>
      <c r="AA255" s="343">
        <v>1841.46</v>
      </c>
    </row>
    <row r="256" spans="17:27">
      <c r="Q256" s="343" t="s">
        <v>338</v>
      </c>
      <c r="R256" s="343" t="s">
        <v>163</v>
      </c>
      <c r="S256" s="384">
        <v>46223</v>
      </c>
      <c r="T256" s="384">
        <v>46229</v>
      </c>
      <c r="U256" s="343" t="s">
        <v>281</v>
      </c>
      <c r="V256" s="343">
        <v>4378</v>
      </c>
      <c r="W256" s="343">
        <v>153533.09</v>
      </c>
      <c r="X256" s="343">
        <v>8707.91</v>
      </c>
      <c r="Y256" s="343">
        <v>0</v>
      </c>
      <c r="Z256" s="343">
        <v>162241</v>
      </c>
      <c r="AA256" s="343">
        <v>12282.63</v>
      </c>
    </row>
    <row r="257" spans="17:27">
      <c r="Q257" s="343" t="s">
        <v>338</v>
      </c>
      <c r="R257" s="343" t="s">
        <v>163</v>
      </c>
      <c r="S257" s="384">
        <v>46223</v>
      </c>
      <c r="T257" s="384">
        <v>46229</v>
      </c>
      <c r="U257" s="343" t="s">
        <v>279</v>
      </c>
      <c r="V257" s="343">
        <v>211</v>
      </c>
      <c r="W257" s="343">
        <v>2514</v>
      </c>
      <c r="X257" s="343">
        <v>15</v>
      </c>
      <c r="Y257" s="343">
        <v>0</v>
      </c>
      <c r="Z257" s="343">
        <v>2529</v>
      </c>
      <c r="AA257" s="343">
        <v>201.12</v>
      </c>
    </row>
    <row r="258" spans="17:27">
      <c r="Q258" s="343" t="s">
        <v>338</v>
      </c>
      <c r="R258" s="343" t="s">
        <v>163</v>
      </c>
      <c r="S258" s="384">
        <v>46223</v>
      </c>
      <c r="T258" s="384">
        <v>46229</v>
      </c>
      <c r="U258" s="343" t="s">
        <v>277</v>
      </c>
      <c r="V258" s="343">
        <v>154</v>
      </c>
      <c r="W258" s="343">
        <v>56490</v>
      </c>
      <c r="X258" s="343">
        <v>240</v>
      </c>
      <c r="Y258" s="343">
        <v>0</v>
      </c>
      <c r="Z258" s="343">
        <v>56730</v>
      </c>
      <c r="AA258" s="343">
        <v>4519.2</v>
      </c>
    </row>
    <row r="259" spans="17:27">
      <c r="Q259" s="343" t="s">
        <v>338</v>
      </c>
      <c r="R259" s="343" t="s">
        <v>163</v>
      </c>
      <c r="S259" s="384">
        <v>46223</v>
      </c>
      <c r="T259" s="384">
        <v>46229</v>
      </c>
      <c r="U259" s="343" t="s">
        <v>343</v>
      </c>
      <c r="V259" s="343">
        <v>4</v>
      </c>
      <c r="W259" s="343">
        <v>185</v>
      </c>
      <c r="X259" s="343">
        <v>0</v>
      </c>
      <c r="Y259" s="343">
        <v>0</v>
      </c>
      <c r="Z259" s="343">
        <v>185</v>
      </c>
      <c r="AA259" s="343">
        <v>14.8</v>
      </c>
    </row>
    <row r="260" spans="17:27">
      <c r="Q260" s="343" t="s">
        <v>338</v>
      </c>
      <c r="R260" s="343" t="s">
        <v>163</v>
      </c>
      <c r="S260" s="384">
        <v>46223</v>
      </c>
      <c r="T260" s="384">
        <v>46229</v>
      </c>
      <c r="U260" s="343" t="s">
        <v>335</v>
      </c>
      <c r="V260" s="343">
        <v>0</v>
      </c>
      <c r="W260" s="343">
        <v>-64.8</v>
      </c>
      <c r="X260" s="343">
        <v>0</v>
      </c>
      <c r="Y260" s="343">
        <v>64.8</v>
      </c>
      <c r="Z260" s="343">
        <v>0</v>
      </c>
      <c r="AA260" s="343">
        <v>0</v>
      </c>
    </row>
    <row r="261" spans="17:27">
      <c r="Q261" s="343" t="s">
        <v>338</v>
      </c>
      <c r="R261" s="343" t="s">
        <v>163</v>
      </c>
      <c r="S261" s="384">
        <v>46223</v>
      </c>
      <c r="T261" s="384">
        <v>46229</v>
      </c>
      <c r="U261" s="343" t="s">
        <v>344</v>
      </c>
      <c r="V261" s="343">
        <v>474.04700000000003</v>
      </c>
      <c r="W261" s="343">
        <v>2370.23</v>
      </c>
      <c r="X261" s="343">
        <v>0</v>
      </c>
      <c r="Y261" s="343">
        <v>0</v>
      </c>
      <c r="Z261" s="343">
        <v>2370.23</v>
      </c>
      <c r="AA261" s="343">
        <v>165.92</v>
      </c>
    </row>
    <row r="262" spans="17:27">
      <c r="Q262" s="343" t="s">
        <v>338</v>
      </c>
      <c r="R262" s="343" t="s">
        <v>163</v>
      </c>
      <c r="S262" s="384">
        <v>46223</v>
      </c>
      <c r="T262" s="384">
        <v>46229</v>
      </c>
      <c r="U262" s="343" t="s">
        <v>293</v>
      </c>
      <c r="V262" s="343">
        <v>4</v>
      </c>
      <c r="W262" s="343">
        <v>5905.24</v>
      </c>
      <c r="X262" s="343">
        <v>0</v>
      </c>
      <c r="Y262" s="343">
        <v>0</v>
      </c>
      <c r="Z262" s="343">
        <v>5905.24</v>
      </c>
      <c r="AA262" s="343">
        <v>413.36</v>
      </c>
    </row>
    <row r="263" spans="17:27">
      <c r="Q263" s="343" t="s">
        <v>338</v>
      </c>
      <c r="R263" s="343" t="s">
        <v>163</v>
      </c>
      <c r="S263" s="384">
        <v>46223</v>
      </c>
      <c r="T263" s="384">
        <v>46229</v>
      </c>
      <c r="U263" s="343" t="s">
        <v>106</v>
      </c>
      <c r="V263" s="343">
        <v>9</v>
      </c>
      <c r="W263" s="343">
        <v>996.45</v>
      </c>
      <c r="X263" s="343">
        <v>0</v>
      </c>
      <c r="Y263" s="343">
        <v>0</v>
      </c>
      <c r="Z263" s="343">
        <v>996.45</v>
      </c>
      <c r="AA263" s="343">
        <v>0</v>
      </c>
    </row>
    <row r="264" spans="17:27">
      <c r="Q264" s="343" t="s">
        <v>338</v>
      </c>
      <c r="R264" s="343" t="s">
        <v>163</v>
      </c>
      <c r="S264" s="384">
        <v>46223</v>
      </c>
      <c r="T264" s="384">
        <v>46229</v>
      </c>
      <c r="U264" s="343" t="s">
        <v>346</v>
      </c>
      <c r="V264" s="343">
        <v>5</v>
      </c>
      <c r="W264" s="343">
        <v>2481.16</v>
      </c>
      <c r="X264" s="343">
        <v>0</v>
      </c>
      <c r="Y264" s="343">
        <v>0</v>
      </c>
      <c r="Z264" s="343">
        <v>2481.16</v>
      </c>
      <c r="AA264" s="343">
        <v>198.5</v>
      </c>
    </row>
    <row r="265" spans="17:27">
      <c r="Q265" s="343" t="s">
        <v>338</v>
      </c>
      <c r="R265" s="343" t="s">
        <v>163</v>
      </c>
      <c r="S265" s="384">
        <v>46223</v>
      </c>
      <c r="T265" s="384">
        <v>46229</v>
      </c>
      <c r="U265" s="343" t="s">
        <v>345</v>
      </c>
      <c r="V265" s="343">
        <v>647</v>
      </c>
      <c r="W265" s="343">
        <v>12444</v>
      </c>
      <c r="X265" s="343">
        <v>363</v>
      </c>
      <c r="Y265" s="343">
        <v>0</v>
      </c>
      <c r="Z265" s="343">
        <v>12807</v>
      </c>
      <c r="AA265" s="343">
        <v>995.52</v>
      </c>
    </row>
    <row r="266" spans="17:27">
      <c r="Q266" s="343" t="s">
        <v>338</v>
      </c>
      <c r="R266" s="343" t="s">
        <v>166</v>
      </c>
      <c r="S266" s="384">
        <v>46230</v>
      </c>
      <c r="T266" s="384">
        <v>46236</v>
      </c>
      <c r="U266" s="343" t="s">
        <v>285</v>
      </c>
      <c r="V266" s="343">
        <v>8536</v>
      </c>
      <c r="W266" s="343">
        <v>200831</v>
      </c>
      <c r="X266" s="343">
        <v>10738</v>
      </c>
      <c r="Y266" s="343">
        <v>0</v>
      </c>
      <c r="Z266" s="343">
        <v>211569</v>
      </c>
      <c r="AA266" s="343">
        <v>16066.57</v>
      </c>
    </row>
    <row r="267" spans="17:27">
      <c r="Q267" s="343" t="s">
        <v>338</v>
      </c>
      <c r="R267" s="343" t="s">
        <v>166</v>
      </c>
      <c r="S267" s="384">
        <v>46230</v>
      </c>
      <c r="T267" s="384">
        <v>46236</v>
      </c>
      <c r="U267" s="343" t="s">
        <v>342</v>
      </c>
      <c r="V267" s="343">
        <v>2677</v>
      </c>
      <c r="W267" s="343">
        <v>21469</v>
      </c>
      <c r="X267" s="343">
        <v>750</v>
      </c>
      <c r="Y267" s="343">
        <v>0</v>
      </c>
      <c r="Z267" s="343">
        <v>22219</v>
      </c>
      <c r="AA267" s="343">
        <v>1717.55</v>
      </c>
    </row>
    <row r="268" spans="17:27">
      <c r="Q268" s="343" t="s">
        <v>338</v>
      </c>
      <c r="R268" s="343" t="s">
        <v>166</v>
      </c>
      <c r="S268" s="384">
        <v>46230</v>
      </c>
      <c r="T268" s="384">
        <v>46236</v>
      </c>
      <c r="U268" s="343" t="s">
        <v>281</v>
      </c>
      <c r="V268" s="343">
        <v>3986</v>
      </c>
      <c r="W268" s="343">
        <v>180939</v>
      </c>
      <c r="X268" s="343">
        <v>8472</v>
      </c>
      <c r="Y268" s="343">
        <v>0</v>
      </c>
      <c r="Z268" s="343">
        <v>189411</v>
      </c>
      <c r="AA268" s="343">
        <v>14475.2</v>
      </c>
    </row>
    <row r="269" spans="17:27">
      <c r="Q269" s="343" t="s">
        <v>338</v>
      </c>
      <c r="R269" s="343" t="s">
        <v>166</v>
      </c>
      <c r="S269" s="384">
        <v>46230</v>
      </c>
      <c r="T269" s="384">
        <v>46236</v>
      </c>
      <c r="U269" s="343" t="s">
        <v>279</v>
      </c>
      <c r="V269" s="343">
        <v>224</v>
      </c>
      <c r="W269" s="343">
        <v>2640</v>
      </c>
      <c r="X269" s="343">
        <v>48</v>
      </c>
      <c r="Y269" s="343">
        <v>0</v>
      </c>
      <c r="Z269" s="343">
        <v>2688</v>
      </c>
      <c r="AA269" s="343">
        <v>211.2</v>
      </c>
    </row>
    <row r="270" spans="17:27">
      <c r="Q270" s="343" t="s">
        <v>338</v>
      </c>
      <c r="R270" s="343" t="s">
        <v>166</v>
      </c>
      <c r="S270" s="384">
        <v>46230</v>
      </c>
      <c r="T270" s="384">
        <v>46236</v>
      </c>
      <c r="U270" s="343" t="s">
        <v>277</v>
      </c>
      <c r="V270" s="343">
        <v>142</v>
      </c>
      <c r="W270" s="343">
        <v>34515</v>
      </c>
      <c r="X270" s="343">
        <v>0</v>
      </c>
      <c r="Y270" s="343">
        <v>0</v>
      </c>
      <c r="Z270" s="343">
        <v>34515</v>
      </c>
      <c r="AA270" s="343">
        <v>2761.2</v>
      </c>
    </row>
    <row r="271" spans="17:27">
      <c r="Q271" s="343" t="s">
        <v>338</v>
      </c>
      <c r="R271" s="343" t="s">
        <v>166</v>
      </c>
      <c r="S271" s="384">
        <v>46230</v>
      </c>
      <c r="T271" s="384">
        <v>46236</v>
      </c>
      <c r="U271" s="343" t="s">
        <v>343</v>
      </c>
      <c r="V271" s="343">
        <v>6</v>
      </c>
      <c r="W271" s="343">
        <v>1319</v>
      </c>
      <c r="X271" s="343">
        <v>0</v>
      </c>
      <c r="Y271" s="343">
        <v>0</v>
      </c>
      <c r="Z271" s="343">
        <v>1319</v>
      </c>
      <c r="AA271" s="343">
        <v>105.52</v>
      </c>
    </row>
    <row r="272" spans="17:27">
      <c r="Q272" s="343" t="s">
        <v>338</v>
      </c>
      <c r="R272" s="343" t="s">
        <v>166</v>
      </c>
      <c r="S272" s="384">
        <v>46230</v>
      </c>
      <c r="T272" s="384">
        <v>46236</v>
      </c>
      <c r="U272" s="343" t="s">
        <v>344</v>
      </c>
      <c r="V272" s="343">
        <v>263.654</v>
      </c>
      <c r="W272" s="343">
        <v>1318.27</v>
      </c>
      <c r="X272" s="343">
        <v>0</v>
      </c>
      <c r="Y272" s="343">
        <v>0</v>
      </c>
      <c r="Z272" s="343">
        <v>1318.27</v>
      </c>
      <c r="AA272" s="343">
        <v>92.28</v>
      </c>
    </row>
    <row r="273" spans="17:27">
      <c r="Q273" s="343" t="s">
        <v>338</v>
      </c>
      <c r="R273" s="343" t="s">
        <v>166</v>
      </c>
      <c r="S273" s="384">
        <v>46230</v>
      </c>
      <c r="T273" s="384">
        <v>46236</v>
      </c>
      <c r="U273" s="343" t="s">
        <v>293</v>
      </c>
      <c r="V273" s="343">
        <v>1</v>
      </c>
      <c r="W273" s="343">
        <v>934.58</v>
      </c>
      <c r="X273" s="343">
        <v>0</v>
      </c>
      <c r="Y273" s="343">
        <v>0</v>
      </c>
      <c r="Z273" s="343">
        <v>934.58</v>
      </c>
      <c r="AA273" s="343">
        <v>65.42</v>
      </c>
    </row>
    <row r="274" spans="17:27">
      <c r="Q274" s="343" t="s">
        <v>338</v>
      </c>
      <c r="R274" s="343" t="s">
        <v>166</v>
      </c>
      <c r="S274" s="384">
        <v>46230</v>
      </c>
      <c r="T274" s="384">
        <v>46236</v>
      </c>
      <c r="U274" s="343" t="s">
        <v>106</v>
      </c>
      <c r="V274" s="343">
        <v>7</v>
      </c>
      <c r="W274" s="343">
        <v>793.75</v>
      </c>
      <c r="X274" s="343">
        <v>0</v>
      </c>
      <c r="Y274" s="343">
        <v>0</v>
      </c>
      <c r="Z274" s="343">
        <v>793.75</v>
      </c>
      <c r="AA274" s="343">
        <v>0</v>
      </c>
    </row>
    <row r="275" spans="17:27">
      <c r="Q275" s="343" t="s">
        <v>338</v>
      </c>
      <c r="R275" s="343" t="s">
        <v>166</v>
      </c>
      <c r="S275" s="384">
        <v>46230</v>
      </c>
      <c r="T275" s="384">
        <v>46236</v>
      </c>
      <c r="U275" s="343" t="s">
        <v>345</v>
      </c>
      <c r="V275" s="343">
        <v>538</v>
      </c>
      <c r="W275" s="343">
        <v>11565</v>
      </c>
      <c r="X275" s="343">
        <v>198</v>
      </c>
      <c r="Y275" s="343">
        <v>0</v>
      </c>
      <c r="Z275" s="343">
        <v>11763</v>
      </c>
      <c r="AA275" s="343">
        <v>925.2</v>
      </c>
    </row>
    <row r="276" spans="17:27">
      <c r="Q276" s="343" t="s">
        <v>338</v>
      </c>
      <c r="R276" s="343" t="s">
        <v>167</v>
      </c>
      <c r="S276" s="384">
        <v>46237</v>
      </c>
      <c r="T276" s="384">
        <v>46243</v>
      </c>
      <c r="U276" s="343" t="s">
        <v>285</v>
      </c>
      <c r="V276" s="343">
        <v>9928</v>
      </c>
      <c r="W276" s="343">
        <v>202883.81</v>
      </c>
      <c r="X276" s="343">
        <v>12281.2</v>
      </c>
      <c r="Y276" s="343">
        <v>0</v>
      </c>
      <c r="Z276" s="343">
        <v>215165.01</v>
      </c>
      <c r="AA276" s="343">
        <v>15570.71</v>
      </c>
    </row>
    <row r="277" spans="17:27">
      <c r="Q277" s="343" t="s">
        <v>338</v>
      </c>
      <c r="R277" s="343" t="s">
        <v>167</v>
      </c>
      <c r="S277" s="384">
        <v>46237</v>
      </c>
      <c r="T277" s="384">
        <v>46243</v>
      </c>
      <c r="U277" s="343" t="s">
        <v>342</v>
      </c>
      <c r="V277" s="343">
        <v>3186</v>
      </c>
      <c r="W277" s="343">
        <v>30441.4</v>
      </c>
      <c r="X277" s="343">
        <v>1096.5999999999999</v>
      </c>
      <c r="Y277" s="343">
        <v>0</v>
      </c>
      <c r="Z277" s="343">
        <v>31538</v>
      </c>
      <c r="AA277" s="343">
        <v>1696.83</v>
      </c>
    </row>
    <row r="278" spans="17:27">
      <c r="Q278" s="343" t="s">
        <v>338</v>
      </c>
      <c r="R278" s="343" t="s">
        <v>167</v>
      </c>
      <c r="S278" s="384">
        <v>46237</v>
      </c>
      <c r="T278" s="384">
        <v>46243</v>
      </c>
      <c r="U278" s="343" t="s">
        <v>281</v>
      </c>
      <c r="V278" s="343">
        <v>3844</v>
      </c>
      <c r="W278" s="343">
        <v>161345.5</v>
      </c>
      <c r="X278" s="343">
        <v>9582</v>
      </c>
      <c r="Y278" s="343">
        <v>0</v>
      </c>
      <c r="Z278" s="343">
        <v>170927.5</v>
      </c>
      <c r="AA278" s="343">
        <v>12907.64</v>
      </c>
    </row>
    <row r="279" spans="17:27">
      <c r="Q279" s="343" t="s">
        <v>338</v>
      </c>
      <c r="R279" s="343" t="s">
        <v>167</v>
      </c>
      <c r="S279" s="384">
        <v>46237</v>
      </c>
      <c r="T279" s="384">
        <v>46243</v>
      </c>
      <c r="U279" s="343" t="s">
        <v>279</v>
      </c>
      <c r="V279" s="343">
        <v>209</v>
      </c>
      <c r="W279" s="343">
        <v>2471</v>
      </c>
      <c r="X279" s="343">
        <v>48</v>
      </c>
      <c r="Y279" s="343">
        <v>0</v>
      </c>
      <c r="Z279" s="343">
        <v>2519</v>
      </c>
      <c r="AA279" s="343">
        <v>197.68</v>
      </c>
    </row>
    <row r="280" spans="17:27">
      <c r="Q280" s="343" t="s">
        <v>338</v>
      </c>
      <c r="R280" s="343" t="s">
        <v>167</v>
      </c>
      <c r="S280" s="384">
        <v>46237</v>
      </c>
      <c r="T280" s="384">
        <v>46243</v>
      </c>
      <c r="U280" s="343" t="s">
        <v>277</v>
      </c>
      <c r="V280" s="343">
        <v>122</v>
      </c>
      <c r="W280" s="343">
        <v>23160</v>
      </c>
      <c r="X280" s="343">
        <v>350</v>
      </c>
      <c r="Y280" s="343">
        <v>0</v>
      </c>
      <c r="Z280" s="343">
        <v>23510</v>
      </c>
      <c r="AA280" s="343">
        <v>1852.8</v>
      </c>
    </row>
    <row r="281" spans="17:27">
      <c r="Q281" s="343" t="s">
        <v>338</v>
      </c>
      <c r="R281" s="343" t="s">
        <v>167</v>
      </c>
      <c r="S281" s="384">
        <v>46237</v>
      </c>
      <c r="T281" s="384">
        <v>46243</v>
      </c>
      <c r="U281" s="343" t="s">
        <v>343</v>
      </c>
      <c r="V281" s="343">
        <v>6</v>
      </c>
      <c r="W281" s="343">
        <v>2936</v>
      </c>
      <c r="X281" s="343">
        <v>23</v>
      </c>
      <c r="Y281" s="343">
        <v>0</v>
      </c>
      <c r="Z281" s="343">
        <v>2959</v>
      </c>
      <c r="AA281" s="343">
        <v>38.880000000000003</v>
      </c>
    </row>
    <row r="282" spans="17:27">
      <c r="Q282" s="343" t="s">
        <v>338</v>
      </c>
      <c r="R282" s="343" t="s">
        <v>167</v>
      </c>
      <c r="S282" s="384">
        <v>46237</v>
      </c>
      <c r="T282" s="384">
        <v>46243</v>
      </c>
      <c r="U282" s="343" t="s">
        <v>293</v>
      </c>
      <c r="V282" s="343">
        <v>1</v>
      </c>
      <c r="W282" s="343">
        <v>2803.74</v>
      </c>
      <c r="X282" s="343">
        <v>0</v>
      </c>
      <c r="Y282" s="343">
        <v>0</v>
      </c>
      <c r="Z282" s="343">
        <v>2803.74</v>
      </c>
      <c r="AA282" s="343">
        <v>196.26</v>
      </c>
    </row>
    <row r="283" spans="17:27">
      <c r="Q283" s="343" t="s">
        <v>338</v>
      </c>
      <c r="R283" s="343" t="s">
        <v>167</v>
      </c>
      <c r="S283" s="384">
        <v>46237</v>
      </c>
      <c r="T283" s="384">
        <v>46243</v>
      </c>
      <c r="U283" s="343" t="s">
        <v>106</v>
      </c>
      <c r="V283" s="343">
        <v>5</v>
      </c>
      <c r="W283" s="343">
        <v>1303.6500000000001</v>
      </c>
      <c r="X283" s="343">
        <v>0</v>
      </c>
      <c r="Y283" s="343">
        <v>0</v>
      </c>
      <c r="Z283" s="343">
        <v>1303.6500000000001</v>
      </c>
      <c r="AA283" s="343">
        <v>0</v>
      </c>
    </row>
    <row r="284" spans="17:27">
      <c r="Q284" s="343" t="s">
        <v>338</v>
      </c>
      <c r="R284" s="343" t="s">
        <v>167</v>
      </c>
      <c r="S284" s="384">
        <v>46237</v>
      </c>
      <c r="T284" s="384">
        <v>46243</v>
      </c>
      <c r="U284" s="343" t="s">
        <v>346</v>
      </c>
      <c r="V284" s="343">
        <v>6</v>
      </c>
      <c r="W284" s="343">
        <v>1860.84</v>
      </c>
      <c r="X284" s="343">
        <v>0</v>
      </c>
      <c r="Y284" s="343">
        <v>0</v>
      </c>
      <c r="Z284" s="343">
        <v>1860.84</v>
      </c>
      <c r="AA284" s="343">
        <v>148.87</v>
      </c>
    </row>
    <row r="285" spans="17:27">
      <c r="Q285" s="343" t="s">
        <v>338</v>
      </c>
      <c r="R285" s="343" t="s">
        <v>167</v>
      </c>
      <c r="S285" s="384">
        <v>46237</v>
      </c>
      <c r="T285" s="384">
        <v>46243</v>
      </c>
      <c r="U285" s="343" t="s">
        <v>345</v>
      </c>
      <c r="V285" s="343">
        <v>695</v>
      </c>
      <c r="W285" s="343">
        <v>11824</v>
      </c>
      <c r="X285" s="343">
        <v>625</v>
      </c>
      <c r="Y285" s="343">
        <v>0</v>
      </c>
      <c r="Z285" s="343">
        <v>12449</v>
      </c>
      <c r="AA285" s="343">
        <v>945.92</v>
      </c>
    </row>
    <row r="286" spans="17:27">
      <c r="Q286" s="343" t="s">
        <v>338</v>
      </c>
      <c r="R286" s="343" t="s">
        <v>168</v>
      </c>
      <c r="S286" s="384">
        <v>46244</v>
      </c>
      <c r="T286" s="384">
        <v>46250</v>
      </c>
      <c r="U286" s="343" t="s">
        <v>106</v>
      </c>
      <c r="V286" s="343">
        <v>3</v>
      </c>
      <c r="W286" s="343">
        <v>247</v>
      </c>
      <c r="X286" s="343">
        <v>0</v>
      </c>
      <c r="Y286" s="343">
        <v>0</v>
      </c>
      <c r="Z286" s="343">
        <v>247</v>
      </c>
      <c r="AA286" s="343">
        <v>0</v>
      </c>
    </row>
    <row r="287" spans="17:27">
      <c r="Q287" s="343" t="s">
        <v>170</v>
      </c>
      <c r="R287" s="343" t="s">
        <v>101</v>
      </c>
      <c r="S287" s="384">
        <v>46251</v>
      </c>
      <c r="T287" s="384">
        <v>46257</v>
      </c>
      <c r="U287" s="343" t="s">
        <v>106</v>
      </c>
      <c r="V287" s="343">
        <v>8</v>
      </c>
      <c r="W287" s="343">
        <v>1841.05</v>
      </c>
      <c r="X287" s="343">
        <v>0</v>
      </c>
      <c r="Y287" s="343">
        <v>0</v>
      </c>
      <c r="Z287" s="343">
        <v>1841.05</v>
      </c>
      <c r="AA287" s="343"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AF1B-2AF0-4176-95E8-885D4A7A499D}">
  <dimension ref="A1:AA557"/>
  <sheetViews>
    <sheetView topLeftCell="A227" workbookViewId="0">
      <selection activeCell="J186" sqref="J186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9.140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9.140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7.7109375" style="343" bestFit="1" customWidth="1"/>
    <col min="18" max="18" width="8.140625" style="343" bestFit="1" customWidth="1"/>
    <col min="19" max="19" width="9.85546875" style="343" bestFit="1" customWidth="1"/>
    <col min="20" max="20" width="9.140625" style="343" bestFit="1" customWidth="1"/>
    <col min="21" max="21" width="17.85546875" style="343" bestFit="1" customWidth="1"/>
    <col min="22" max="22" width="7" style="343" bestFit="1" customWidth="1"/>
    <col min="23" max="23" width="9.140625" style="343" bestFit="1" customWidth="1"/>
    <col min="24" max="24" width="14.5703125" style="343" bestFit="1" customWidth="1"/>
    <col min="25" max="25" width="13.42578125" style="343" bestFit="1" customWidth="1"/>
    <col min="26" max="26" width="10.28515625" style="343" bestFit="1" customWidth="1"/>
    <col min="27" max="27" width="10.85546875" style="343" bestFit="1" customWidth="1"/>
    <col min="28" max="16384" width="9.140625" style="343"/>
  </cols>
  <sheetData>
    <row r="1" spans="1:27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102</v>
      </c>
      <c r="R1" s="343" t="s">
        <v>100</v>
      </c>
      <c r="S1" s="343" t="s">
        <v>112</v>
      </c>
      <c r="T1" s="343" t="s">
        <v>113</v>
      </c>
      <c r="U1" s="343" t="s">
        <v>266</v>
      </c>
      <c r="V1" s="343" t="s">
        <v>267</v>
      </c>
      <c r="W1" s="343" t="s">
        <v>116</v>
      </c>
      <c r="X1" s="343" t="s">
        <v>268</v>
      </c>
      <c r="Y1" s="343" t="s">
        <v>269</v>
      </c>
      <c r="Z1" s="343" t="s">
        <v>270</v>
      </c>
      <c r="AA1" s="343" t="s">
        <v>271</v>
      </c>
    </row>
    <row r="2" spans="1:27">
      <c r="A2" s="343">
        <v>20251231</v>
      </c>
      <c r="C2" s="343">
        <v>11</v>
      </c>
      <c r="D2" s="343">
        <v>5</v>
      </c>
      <c r="E2" s="384">
        <v>46022</v>
      </c>
      <c r="F2" s="343" t="s">
        <v>234</v>
      </c>
      <c r="G2" s="343" t="s">
        <v>122</v>
      </c>
      <c r="I2" s="343">
        <v>20250205</v>
      </c>
      <c r="K2" s="343">
        <v>1</v>
      </c>
      <c r="L2" s="343">
        <v>1</v>
      </c>
      <c r="M2" s="384">
        <v>45693</v>
      </c>
      <c r="N2" s="343" t="s">
        <v>234</v>
      </c>
      <c r="O2" s="343" t="s">
        <v>282</v>
      </c>
      <c r="Q2" s="343" t="s">
        <v>338</v>
      </c>
      <c r="R2" s="343" t="s">
        <v>137</v>
      </c>
      <c r="S2" s="384">
        <v>46097</v>
      </c>
      <c r="T2" s="384">
        <v>46103</v>
      </c>
    </row>
    <row r="3" spans="1:27">
      <c r="A3" s="343">
        <v>20260102</v>
      </c>
      <c r="B3" s="343">
        <v>388</v>
      </c>
      <c r="C3" s="343">
        <v>6</v>
      </c>
      <c r="D3" s="343">
        <v>6</v>
      </c>
      <c r="E3" s="384">
        <v>46024</v>
      </c>
      <c r="F3" s="343" t="s">
        <v>236</v>
      </c>
      <c r="G3" s="343" t="s">
        <v>122</v>
      </c>
      <c r="I3" s="343">
        <v>20250212</v>
      </c>
      <c r="J3" s="343">
        <v>38760</v>
      </c>
      <c r="K3" s="343">
        <v>178</v>
      </c>
      <c r="L3" s="343">
        <v>410</v>
      </c>
      <c r="M3" s="384">
        <v>45700</v>
      </c>
      <c r="N3" s="343" t="s">
        <v>234</v>
      </c>
      <c r="O3" s="343" t="s">
        <v>284</v>
      </c>
      <c r="Q3" s="343" t="s">
        <v>338</v>
      </c>
      <c r="R3" s="343" t="s">
        <v>137</v>
      </c>
      <c r="S3" s="384">
        <v>46097</v>
      </c>
      <c r="T3" s="384">
        <v>46103</v>
      </c>
    </row>
    <row r="4" spans="1:27">
      <c r="A4" s="343">
        <v>20260103</v>
      </c>
      <c r="B4" s="343">
        <v>257</v>
      </c>
      <c r="C4" s="343">
        <v>1</v>
      </c>
      <c r="D4" s="343">
        <v>2</v>
      </c>
      <c r="E4" s="384">
        <v>46025</v>
      </c>
      <c r="F4" s="343" t="s">
        <v>244</v>
      </c>
      <c r="G4" s="343" t="s">
        <v>122</v>
      </c>
      <c r="I4" s="343">
        <v>20250219</v>
      </c>
      <c r="J4" s="343">
        <v>45769.75</v>
      </c>
      <c r="K4" s="343">
        <v>186</v>
      </c>
      <c r="L4" s="343">
        <v>453</v>
      </c>
      <c r="M4" s="384">
        <v>45707</v>
      </c>
      <c r="N4" s="343" t="s">
        <v>234</v>
      </c>
      <c r="O4" s="343" t="s">
        <v>286</v>
      </c>
      <c r="Q4" s="343" t="s">
        <v>338</v>
      </c>
      <c r="R4" s="343" t="s">
        <v>137</v>
      </c>
      <c r="S4" s="384">
        <v>46097</v>
      </c>
      <c r="T4" s="384">
        <v>46103</v>
      </c>
    </row>
    <row r="5" spans="1:27">
      <c r="A5" s="343">
        <v>20260107</v>
      </c>
      <c r="C5" s="343">
        <v>2</v>
      </c>
      <c r="D5" s="343">
        <v>2</v>
      </c>
      <c r="E5" s="384">
        <v>46029</v>
      </c>
      <c r="F5" s="343" t="s">
        <v>234</v>
      </c>
      <c r="G5" s="343" t="s">
        <v>123</v>
      </c>
      <c r="I5" s="343">
        <v>20250226</v>
      </c>
      <c r="J5" s="343">
        <v>54596</v>
      </c>
      <c r="K5" s="343">
        <v>215</v>
      </c>
      <c r="L5" s="343">
        <v>536</v>
      </c>
      <c r="M5" s="384">
        <v>45714</v>
      </c>
      <c r="N5" s="343" t="s">
        <v>234</v>
      </c>
      <c r="O5" s="343" t="s">
        <v>288</v>
      </c>
      <c r="Q5" s="343" t="s">
        <v>338</v>
      </c>
      <c r="R5" s="343" t="s">
        <v>137</v>
      </c>
      <c r="S5" s="384">
        <v>46097</v>
      </c>
      <c r="T5" s="384">
        <v>46103</v>
      </c>
    </row>
    <row r="6" spans="1:27">
      <c r="A6" s="343">
        <v>20260108</v>
      </c>
      <c r="B6" s="343">
        <v>5250.8</v>
      </c>
      <c r="C6" s="343">
        <v>2</v>
      </c>
      <c r="D6" s="343">
        <v>36</v>
      </c>
      <c r="E6" s="384">
        <v>46030</v>
      </c>
      <c r="F6" s="343" t="s">
        <v>235</v>
      </c>
      <c r="G6" s="343" t="s">
        <v>123</v>
      </c>
      <c r="I6" s="343">
        <v>20250305</v>
      </c>
      <c r="J6" s="343">
        <v>45868.9</v>
      </c>
      <c r="K6" s="343">
        <v>189</v>
      </c>
      <c r="L6" s="343">
        <v>419</v>
      </c>
      <c r="M6" s="384">
        <v>45721</v>
      </c>
      <c r="N6" s="343" t="s">
        <v>234</v>
      </c>
      <c r="O6" s="343" t="s">
        <v>290</v>
      </c>
      <c r="Q6" s="343" t="s">
        <v>338</v>
      </c>
      <c r="R6" s="343" t="s">
        <v>137</v>
      </c>
      <c r="S6" s="384">
        <v>46097</v>
      </c>
      <c r="T6" s="384">
        <v>46103</v>
      </c>
    </row>
    <row r="7" spans="1:27">
      <c r="A7" s="343">
        <v>20260109</v>
      </c>
      <c r="B7" s="343">
        <v>583</v>
      </c>
      <c r="C7" s="343">
        <v>3</v>
      </c>
      <c r="D7" s="343">
        <v>6</v>
      </c>
      <c r="E7" s="384">
        <v>46031</v>
      </c>
      <c r="F7" s="343" t="s">
        <v>236</v>
      </c>
      <c r="G7" s="343" t="s">
        <v>123</v>
      </c>
      <c r="I7" s="343">
        <v>20250312</v>
      </c>
      <c r="J7" s="343">
        <v>43328.56</v>
      </c>
      <c r="K7" s="343">
        <v>166</v>
      </c>
      <c r="L7" s="343">
        <v>392</v>
      </c>
      <c r="M7" s="384">
        <v>45728</v>
      </c>
      <c r="N7" s="343" t="s">
        <v>234</v>
      </c>
      <c r="O7" s="343" t="s">
        <v>292</v>
      </c>
      <c r="Q7" s="343" t="s">
        <v>338</v>
      </c>
      <c r="R7" s="343" t="s">
        <v>137</v>
      </c>
      <c r="S7" s="384">
        <v>46097</v>
      </c>
      <c r="T7" s="384">
        <v>46103</v>
      </c>
    </row>
    <row r="8" spans="1:27">
      <c r="A8" s="343">
        <v>20260110</v>
      </c>
      <c r="B8" s="343">
        <v>1102</v>
      </c>
      <c r="C8" s="343">
        <v>6</v>
      </c>
      <c r="D8" s="343">
        <v>13</v>
      </c>
      <c r="E8" s="384">
        <v>46032</v>
      </c>
      <c r="F8" s="343" t="s">
        <v>244</v>
      </c>
      <c r="G8" s="343" t="s">
        <v>123</v>
      </c>
      <c r="I8" s="343">
        <v>20250319</v>
      </c>
      <c r="J8" s="343">
        <v>51587.5</v>
      </c>
      <c r="K8" s="343">
        <v>206</v>
      </c>
      <c r="L8" s="343">
        <v>458</v>
      </c>
      <c r="M8" s="384">
        <v>45735</v>
      </c>
      <c r="N8" s="343" t="s">
        <v>234</v>
      </c>
      <c r="O8" s="343" t="s">
        <v>294</v>
      </c>
      <c r="Q8" s="343" t="s">
        <v>338</v>
      </c>
      <c r="R8" s="343" t="s">
        <v>137</v>
      </c>
      <c r="S8" s="384">
        <v>46097</v>
      </c>
      <c r="T8" s="384">
        <v>46103</v>
      </c>
    </row>
    <row r="9" spans="1:27">
      <c r="A9" s="343">
        <v>20260114</v>
      </c>
      <c r="B9" s="343">
        <v>4498.99</v>
      </c>
      <c r="C9" s="343">
        <v>2</v>
      </c>
      <c r="D9" s="343">
        <v>29</v>
      </c>
      <c r="E9" s="384">
        <v>46036</v>
      </c>
      <c r="F9" s="343" t="s">
        <v>234</v>
      </c>
      <c r="G9" s="343" t="s">
        <v>124</v>
      </c>
      <c r="I9" s="343">
        <v>20250326</v>
      </c>
      <c r="J9" s="343">
        <v>48726.21</v>
      </c>
      <c r="K9" s="343">
        <v>154</v>
      </c>
      <c r="L9" s="343">
        <v>427</v>
      </c>
      <c r="M9" s="384">
        <v>45742</v>
      </c>
      <c r="N9" s="343" t="s">
        <v>234</v>
      </c>
      <c r="O9" s="343" t="s">
        <v>295</v>
      </c>
      <c r="Q9" s="343" t="s">
        <v>338</v>
      </c>
      <c r="R9" s="343" t="s">
        <v>138</v>
      </c>
      <c r="S9" s="384">
        <v>46104</v>
      </c>
      <c r="T9" s="384">
        <v>46110</v>
      </c>
    </row>
    <row r="10" spans="1:27">
      <c r="A10" s="343">
        <v>20260115</v>
      </c>
      <c r="B10" s="343">
        <v>7457.1</v>
      </c>
      <c r="C10" s="343">
        <v>9</v>
      </c>
      <c r="D10" s="343">
        <v>37</v>
      </c>
      <c r="E10" s="384">
        <v>46037</v>
      </c>
      <c r="F10" s="343" t="s">
        <v>235</v>
      </c>
      <c r="G10" s="343" t="s">
        <v>124</v>
      </c>
      <c r="I10" s="343">
        <v>20250402</v>
      </c>
      <c r="J10" s="343">
        <v>61235.5</v>
      </c>
      <c r="K10" s="343">
        <v>199</v>
      </c>
      <c r="L10" s="343">
        <v>483</v>
      </c>
      <c r="M10" s="384">
        <v>45749</v>
      </c>
      <c r="N10" s="343" t="s">
        <v>234</v>
      </c>
      <c r="O10" s="343" t="s">
        <v>296</v>
      </c>
      <c r="Q10" s="343" t="s">
        <v>338</v>
      </c>
      <c r="R10" s="343" t="s">
        <v>138</v>
      </c>
      <c r="S10" s="384">
        <v>46104</v>
      </c>
      <c r="T10" s="384">
        <v>46110</v>
      </c>
    </row>
    <row r="11" spans="1:27">
      <c r="A11" s="343">
        <v>20260116</v>
      </c>
      <c r="C11" s="343">
        <v>2</v>
      </c>
      <c r="D11" s="343">
        <v>1</v>
      </c>
      <c r="E11" s="384">
        <v>46038</v>
      </c>
      <c r="F11" s="343" t="s">
        <v>236</v>
      </c>
      <c r="G11" s="343" t="s">
        <v>124</v>
      </c>
      <c r="I11" s="343">
        <v>20250409</v>
      </c>
      <c r="J11" s="343">
        <v>49067</v>
      </c>
      <c r="K11" s="343">
        <v>139</v>
      </c>
      <c r="L11" s="343">
        <v>354</v>
      </c>
      <c r="M11" s="384">
        <v>45756</v>
      </c>
      <c r="N11" s="343" t="s">
        <v>234</v>
      </c>
      <c r="O11" s="343" t="s">
        <v>297</v>
      </c>
      <c r="Q11" s="343" t="s">
        <v>338</v>
      </c>
      <c r="R11" s="343" t="s">
        <v>138</v>
      </c>
      <c r="S11" s="384">
        <v>46104</v>
      </c>
      <c r="T11" s="384">
        <v>46110</v>
      </c>
    </row>
    <row r="12" spans="1:27">
      <c r="A12" s="343">
        <v>20260117</v>
      </c>
      <c r="B12" s="343">
        <v>158</v>
      </c>
      <c r="C12" s="343">
        <v>4</v>
      </c>
      <c r="D12" s="343">
        <v>3</v>
      </c>
      <c r="E12" s="384">
        <v>46039</v>
      </c>
      <c r="F12" s="343" t="s">
        <v>244</v>
      </c>
      <c r="G12" s="343" t="s">
        <v>124</v>
      </c>
      <c r="I12" s="343">
        <v>20250416</v>
      </c>
      <c r="J12" s="343">
        <v>58172.45</v>
      </c>
      <c r="K12" s="343">
        <v>213</v>
      </c>
      <c r="L12" s="343">
        <v>502</v>
      </c>
      <c r="M12" s="384">
        <v>45763</v>
      </c>
      <c r="N12" s="343" t="s">
        <v>234</v>
      </c>
      <c r="O12" s="343" t="s">
        <v>298</v>
      </c>
      <c r="Q12" s="343" t="s">
        <v>338</v>
      </c>
      <c r="R12" s="343" t="s">
        <v>138</v>
      </c>
      <c r="S12" s="384">
        <v>46104</v>
      </c>
      <c r="T12" s="384">
        <v>46110</v>
      </c>
    </row>
    <row r="13" spans="1:27">
      <c r="A13" s="343">
        <v>20260122</v>
      </c>
      <c r="B13" s="343">
        <v>13503</v>
      </c>
      <c r="C13" s="343">
        <v>3</v>
      </c>
      <c r="D13" s="343">
        <v>53</v>
      </c>
      <c r="E13" s="384">
        <v>46044</v>
      </c>
      <c r="F13" s="343" t="s">
        <v>235</v>
      </c>
      <c r="G13" s="343" t="s">
        <v>125</v>
      </c>
      <c r="I13" s="343">
        <v>20250423</v>
      </c>
      <c r="J13" s="343">
        <v>45483.66</v>
      </c>
      <c r="K13" s="343">
        <v>146</v>
      </c>
      <c r="L13" s="343">
        <v>364</v>
      </c>
      <c r="M13" s="384">
        <v>45770</v>
      </c>
      <c r="N13" s="343" t="s">
        <v>234</v>
      </c>
      <c r="O13" s="343" t="s">
        <v>299</v>
      </c>
      <c r="Q13" s="343" t="s">
        <v>338</v>
      </c>
      <c r="R13" s="343" t="s">
        <v>138</v>
      </c>
      <c r="S13" s="384">
        <v>46104</v>
      </c>
      <c r="T13" s="384">
        <v>46110</v>
      </c>
    </row>
    <row r="14" spans="1:27">
      <c r="A14" s="343">
        <v>20260123</v>
      </c>
      <c r="B14" s="343">
        <v>4050.25</v>
      </c>
      <c r="C14" s="343">
        <v>8</v>
      </c>
      <c r="D14" s="343">
        <v>17</v>
      </c>
      <c r="E14" s="384">
        <v>46045</v>
      </c>
      <c r="F14" s="343" t="s">
        <v>236</v>
      </c>
      <c r="G14" s="343" t="s">
        <v>125</v>
      </c>
      <c r="I14" s="343">
        <v>20250430</v>
      </c>
      <c r="J14" s="343">
        <v>45161.5</v>
      </c>
      <c r="K14" s="343">
        <v>167</v>
      </c>
      <c r="L14" s="343">
        <v>396</v>
      </c>
      <c r="M14" s="384">
        <v>45777</v>
      </c>
      <c r="N14" s="343" t="s">
        <v>234</v>
      </c>
      <c r="O14" s="343" t="s">
        <v>300</v>
      </c>
      <c r="Q14" s="343" t="s">
        <v>338</v>
      </c>
      <c r="R14" s="343" t="s">
        <v>138</v>
      </c>
      <c r="S14" s="384">
        <v>46104</v>
      </c>
      <c r="T14" s="384">
        <v>46110</v>
      </c>
    </row>
    <row r="15" spans="1:27">
      <c r="A15" s="343">
        <v>20260124</v>
      </c>
      <c r="B15" s="343">
        <v>1942</v>
      </c>
      <c r="C15" s="343">
        <v>9</v>
      </c>
      <c r="D15" s="343">
        <v>16</v>
      </c>
      <c r="E15" s="384">
        <v>46046</v>
      </c>
      <c r="F15" s="343" t="s">
        <v>244</v>
      </c>
      <c r="G15" s="343" t="s">
        <v>125</v>
      </c>
      <c r="I15" s="343">
        <v>20250507</v>
      </c>
      <c r="J15" s="343">
        <v>38396.25</v>
      </c>
      <c r="K15" s="343">
        <v>133</v>
      </c>
      <c r="L15" s="343">
        <v>313</v>
      </c>
      <c r="M15" s="384">
        <v>45784</v>
      </c>
      <c r="N15" s="343" t="s">
        <v>234</v>
      </c>
      <c r="O15" s="343" t="s">
        <v>301</v>
      </c>
      <c r="Q15" s="343" t="s">
        <v>338</v>
      </c>
      <c r="R15" s="343" t="s">
        <v>138</v>
      </c>
      <c r="S15" s="384">
        <v>46104</v>
      </c>
      <c r="T15" s="384">
        <v>46110</v>
      </c>
    </row>
    <row r="16" spans="1:27">
      <c r="A16" s="343">
        <v>20260128</v>
      </c>
      <c r="B16" s="343">
        <v>8041.95</v>
      </c>
      <c r="C16" s="343">
        <v>2</v>
      </c>
      <c r="D16" s="343">
        <v>31</v>
      </c>
      <c r="E16" s="384">
        <v>46050</v>
      </c>
      <c r="F16" s="343" t="s">
        <v>234</v>
      </c>
      <c r="G16" s="343" t="s">
        <v>128</v>
      </c>
      <c r="I16" s="343">
        <v>20250514</v>
      </c>
      <c r="J16" s="343">
        <v>38111.199999999997</v>
      </c>
      <c r="K16" s="343">
        <v>136</v>
      </c>
      <c r="L16" s="343">
        <v>289</v>
      </c>
      <c r="M16" s="384">
        <v>45791</v>
      </c>
      <c r="N16" s="343" t="s">
        <v>234</v>
      </c>
      <c r="O16" s="343" t="s">
        <v>302</v>
      </c>
      <c r="Q16" s="343" t="s">
        <v>338</v>
      </c>
      <c r="R16" s="343" t="s">
        <v>138</v>
      </c>
      <c r="S16" s="384">
        <v>46104</v>
      </c>
      <c r="T16" s="384">
        <v>46110</v>
      </c>
    </row>
    <row r="17" spans="1:20">
      <c r="A17" s="343">
        <v>20260129</v>
      </c>
      <c r="C17" s="343">
        <v>3</v>
      </c>
      <c r="D17" s="343">
        <v>3</v>
      </c>
      <c r="E17" s="384">
        <v>46051</v>
      </c>
      <c r="F17" s="343" t="s">
        <v>235</v>
      </c>
      <c r="G17" s="343" t="s">
        <v>128</v>
      </c>
      <c r="I17" s="343">
        <v>20250521</v>
      </c>
      <c r="J17" s="343">
        <v>48073.93</v>
      </c>
      <c r="K17" s="343">
        <v>145</v>
      </c>
      <c r="L17" s="343">
        <v>324</v>
      </c>
      <c r="M17" s="384">
        <v>45798</v>
      </c>
      <c r="N17" s="343" t="s">
        <v>234</v>
      </c>
      <c r="O17" s="343" t="s">
        <v>303</v>
      </c>
      <c r="Q17" s="343" t="s">
        <v>338</v>
      </c>
      <c r="R17" s="343" t="s">
        <v>141</v>
      </c>
      <c r="S17" s="384">
        <v>46111</v>
      </c>
      <c r="T17" s="384">
        <v>46117</v>
      </c>
    </row>
    <row r="18" spans="1:20">
      <c r="A18" s="343">
        <v>20260130</v>
      </c>
      <c r="B18" s="343">
        <v>6851.25</v>
      </c>
      <c r="C18" s="343">
        <v>3</v>
      </c>
      <c r="D18" s="343">
        <v>32</v>
      </c>
      <c r="E18" s="384">
        <v>46052</v>
      </c>
      <c r="F18" s="343" t="s">
        <v>236</v>
      </c>
      <c r="G18" s="343" t="s">
        <v>128</v>
      </c>
      <c r="I18" s="343">
        <v>20250528</v>
      </c>
      <c r="J18" s="343">
        <v>24950.25</v>
      </c>
      <c r="K18" s="343">
        <v>80</v>
      </c>
      <c r="L18" s="343">
        <v>189</v>
      </c>
      <c r="M18" s="384">
        <v>45805</v>
      </c>
      <c r="N18" s="343" t="s">
        <v>234</v>
      </c>
      <c r="O18" s="343" t="s">
        <v>304</v>
      </c>
      <c r="Q18" s="343" t="s">
        <v>338</v>
      </c>
      <c r="R18" s="343" t="s">
        <v>141</v>
      </c>
      <c r="S18" s="384">
        <v>46111</v>
      </c>
      <c r="T18" s="384">
        <v>46117</v>
      </c>
    </row>
    <row r="19" spans="1:20">
      <c r="A19" s="343">
        <v>20260131</v>
      </c>
      <c r="C19" s="343">
        <v>1</v>
      </c>
      <c r="D19" s="343">
        <v>0</v>
      </c>
      <c r="E19" s="384">
        <v>46053</v>
      </c>
      <c r="F19" s="343" t="s">
        <v>244</v>
      </c>
      <c r="G19" s="343" t="s">
        <v>128</v>
      </c>
      <c r="I19" s="343">
        <v>20250604</v>
      </c>
      <c r="J19" s="343">
        <v>38540.699999999997</v>
      </c>
      <c r="K19" s="343">
        <v>122</v>
      </c>
      <c r="L19" s="343">
        <v>334</v>
      </c>
      <c r="M19" s="384">
        <v>45812</v>
      </c>
      <c r="N19" s="343" t="s">
        <v>234</v>
      </c>
      <c r="O19" s="343" t="s">
        <v>305</v>
      </c>
      <c r="Q19" s="343" t="s">
        <v>338</v>
      </c>
      <c r="R19" s="343" t="s">
        <v>141</v>
      </c>
      <c r="S19" s="384">
        <v>46111</v>
      </c>
      <c r="T19" s="384">
        <v>46117</v>
      </c>
    </row>
    <row r="20" spans="1:20">
      <c r="A20" s="343">
        <v>20260204</v>
      </c>
      <c r="C20" s="343">
        <v>2</v>
      </c>
      <c r="D20" s="343">
        <v>1</v>
      </c>
      <c r="E20" s="384">
        <v>46057</v>
      </c>
      <c r="F20" s="343" t="s">
        <v>234</v>
      </c>
      <c r="G20" s="343" t="s">
        <v>129</v>
      </c>
      <c r="I20" s="343">
        <v>20250611</v>
      </c>
      <c r="J20" s="343">
        <v>44328.61</v>
      </c>
      <c r="K20" s="343">
        <v>124</v>
      </c>
      <c r="L20" s="343">
        <v>320</v>
      </c>
      <c r="M20" s="384">
        <v>45819</v>
      </c>
      <c r="N20" s="343" t="s">
        <v>234</v>
      </c>
      <c r="O20" s="343" t="s">
        <v>306</v>
      </c>
      <c r="Q20" s="343" t="s">
        <v>338</v>
      </c>
      <c r="R20" s="343" t="s">
        <v>141</v>
      </c>
      <c r="S20" s="384">
        <v>46111</v>
      </c>
      <c r="T20" s="384">
        <v>46117</v>
      </c>
    </row>
    <row r="21" spans="1:20">
      <c r="A21" s="343">
        <v>20260205</v>
      </c>
      <c r="B21" s="343">
        <v>3277.05</v>
      </c>
      <c r="C21" s="343">
        <v>1</v>
      </c>
      <c r="D21" s="343">
        <v>10</v>
      </c>
      <c r="E21" s="384">
        <v>46058</v>
      </c>
      <c r="F21" s="343" t="s">
        <v>235</v>
      </c>
      <c r="G21" s="343" t="s">
        <v>129</v>
      </c>
      <c r="I21" s="343">
        <v>20250618</v>
      </c>
      <c r="J21" s="343">
        <v>23543.5</v>
      </c>
      <c r="K21" s="343">
        <v>97</v>
      </c>
      <c r="L21" s="343">
        <v>211</v>
      </c>
      <c r="M21" s="384">
        <v>45826</v>
      </c>
      <c r="N21" s="343" t="s">
        <v>234</v>
      </c>
      <c r="O21" s="343" t="s">
        <v>307</v>
      </c>
      <c r="Q21" s="343" t="s">
        <v>338</v>
      </c>
      <c r="R21" s="343" t="s">
        <v>141</v>
      </c>
      <c r="S21" s="384">
        <v>46111</v>
      </c>
      <c r="T21" s="384">
        <v>46117</v>
      </c>
    </row>
    <row r="22" spans="1:20">
      <c r="A22" s="343">
        <v>20260206</v>
      </c>
      <c r="C22" s="343">
        <v>5</v>
      </c>
      <c r="D22" s="343">
        <v>5</v>
      </c>
      <c r="E22" s="384">
        <v>46059</v>
      </c>
      <c r="F22" s="343" t="s">
        <v>236</v>
      </c>
      <c r="G22" s="343" t="s">
        <v>129</v>
      </c>
      <c r="I22" s="343">
        <v>20250625</v>
      </c>
      <c r="J22" s="343">
        <v>34081.75</v>
      </c>
      <c r="K22" s="343">
        <v>92</v>
      </c>
      <c r="L22" s="343">
        <v>322</v>
      </c>
      <c r="M22" s="384">
        <v>45833</v>
      </c>
      <c r="N22" s="343" t="s">
        <v>234</v>
      </c>
      <c r="O22" s="343" t="s">
        <v>308</v>
      </c>
      <c r="Q22" s="343" t="s">
        <v>338</v>
      </c>
      <c r="R22" s="343" t="s">
        <v>141</v>
      </c>
      <c r="S22" s="384">
        <v>46111</v>
      </c>
      <c r="T22" s="384">
        <v>46117</v>
      </c>
    </row>
    <row r="23" spans="1:20">
      <c r="A23" s="343">
        <v>20260207</v>
      </c>
      <c r="C23" s="343">
        <v>1</v>
      </c>
      <c r="D23" s="343">
        <v>0</v>
      </c>
      <c r="E23" s="384">
        <v>46060</v>
      </c>
      <c r="F23" s="343" t="s">
        <v>244</v>
      </c>
      <c r="G23" s="343" t="s">
        <v>129</v>
      </c>
      <c r="I23" s="343">
        <v>20250702</v>
      </c>
      <c r="J23" s="343">
        <v>18537.75</v>
      </c>
      <c r="K23" s="343">
        <v>62</v>
      </c>
      <c r="L23" s="343">
        <v>128</v>
      </c>
      <c r="M23" s="384">
        <v>45840</v>
      </c>
      <c r="N23" s="343" t="s">
        <v>234</v>
      </c>
      <c r="O23" s="343" t="s">
        <v>309</v>
      </c>
      <c r="Q23" s="343" t="s">
        <v>338</v>
      </c>
      <c r="R23" s="343" t="s">
        <v>141</v>
      </c>
      <c r="S23" s="384">
        <v>46111</v>
      </c>
      <c r="T23" s="384">
        <v>46117</v>
      </c>
    </row>
    <row r="24" spans="1:20">
      <c r="A24" s="343">
        <v>20260211</v>
      </c>
      <c r="B24" s="343">
        <v>7382.55</v>
      </c>
      <c r="C24" s="343">
        <v>11</v>
      </c>
      <c r="D24" s="343">
        <v>32</v>
      </c>
      <c r="E24" s="384">
        <v>46064</v>
      </c>
      <c r="F24" s="343" t="s">
        <v>234</v>
      </c>
      <c r="G24" s="343" t="s">
        <v>130</v>
      </c>
      <c r="I24" s="343">
        <v>20250709</v>
      </c>
      <c r="J24" s="343">
        <v>25313.5</v>
      </c>
      <c r="K24" s="343">
        <v>90</v>
      </c>
      <c r="L24" s="343">
        <v>204</v>
      </c>
      <c r="M24" s="384">
        <v>45847</v>
      </c>
      <c r="N24" s="343" t="s">
        <v>234</v>
      </c>
      <c r="O24" s="343" t="s">
        <v>310</v>
      </c>
      <c r="Q24" s="343" t="s">
        <v>338</v>
      </c>
      <c r="R24" s="343" t="s">
        <v>142</v>
      </c>
      <c r="S24" s="384">
        <v>46118</v>
      </c>
      <c r="T24" s="384">
        <v>46124</v>
      </c>
    </row>
    <row r="25" spans="1:20">
      <c r="A25" s="343">
        <v>20260212</v>
      </c>
      <c r="C25" s="343">
        <v>1</v>
      </c>
      <c r="D25" s="343">
        <v>1</v>
      </c>
      <c r="E25" s="384">
        <v>46065</v>
      </c>
      <c r="F25" s="343" t="s">
        <v>235</v>
      </c>
      <c r="G25" s="343" t="s">
        <v>130</v>
      </c>
      <c r="I25" s="343">
        <v>20250716</v>
      </c>
      <c r="J25" s="343">
        <v>29520.75</v>
      </c>
      <c r="K25" s="343">
        <v>77</v>
      </c>
      <c r="L25" s="343">
        <v>190</v>
      </c>
      <c r="M25" s="384">
        <v>45854</v>
      </c>
      <c r="N25" s="343" t="s">
        <v>234</v>
      </c>
      <c r="O25" s="343" t="s">
        <v>311</v>
      </c>
      <c r="Q25" s="343" t="s">
        <v>338</v>
      </c>
      <c r="R25" s="343" t="s">
        <v>142</v>
      </c>
      <c r="S25" s="384">
        <v>46118</v>
      </c>
      <c r="T25" s="384">
        <v>46124</v>
      </c>
    </row>
    <row r="26" spans="1:20">
      <c r="A26" s="343">
        <v>20260213</v>
      </c>
      <c r="C26" s="343">
        <v>1</v>
      </c>
      <c r="D26" s="343">
        <v>1</v>
      </c>
      <c r="E26" s="384">
        <v>46066</v>
      </c>
      <c r="F26" s="343" t="s">
        <v>236</v>
      </c>
      <c r="G26" s="343" t="s">
        <v>130</v>
      </c>
      <c r="I26" s="343">
        <v>20250723</v>
      </c>
      <c r="J26" s="343">
        <v>24860.25</v>
      </c>
      <c r="K26" s="343">
        <v>97</v>
      </c>
      <c r="L26" s="343">
        <v>203</v>
      </c>
      <c r="M26" s="384">
        <v>45861</v>
      </c>
      <c r="N26" s="343" t="s">
        <v>234</v>
      </c>
      <c r="O26" s="343" t="s">
        <v>312</v>
      </c>
      <c r="Q26" s="343" t="s">
        <v>338</v>
      </c>
      <c r="R26" s="343" t="s">
        <v>142</v>
      </c>
      <c r="S26" s="384">
        <v>46118</v>
      </c>
      <c r="T26" s="384">
        <v>46124</v>
      </c>
    </row>
    <row r="27" spans="1:20">
      <c r="A27" s="343">
        <v>20260214</v>
      </c>
      <c r="B27" s="343">
        <v>12133</v>
      </c>
      <c r="C27" s="343">
        <v>31</v>
      </c>
      <c r="D27" s="343">
        <v>69</v>
      </c>
      <c r="E27" s="384">
        <v>46067</v>
      </c>
      <c r="F27" s="343" t="s">
        <v>244</v>
      </c>
      <c r="G27" s="343" t="s">
        <v>130</v>
      </c>
      <c r="I27" s="343">
        <v>20250730</v>
      </c>
      <c r="J27" s="343">
        <v>19397.25</v>
      </c>
      <c r="K27" s="343">
        <v>74</v>
      </c>
      <c r="L27" s="343">
        <v>184</v>
      </c>
      <c r="M27" s="384">
        <v>45868</v>
      </c>
      <c r="N27" s="343" t="s">
        <v>234</v>
      </c>
      <c r="O27" s="343" t="s">
        <v>313</v>
      </c>
      <c r="Q27" s="343" t="s">
        <v>338</v>
      </c>
      <c r="R27" s="343" t="s">
        <v>142</v>
      </c>
      <c r="S27" s="384">
        <v>46118</v>
      </c>
      <c r="T27" s="384">
        <v>46124</v>
      </c>
    </row>
    <row r="28" spans="1:20">
      <c r="A28" s="343">
        <v>20260218</v>
      </c>
      <c r="B28" s="343">
        <v>6018.6</v>
      </c>
      <c r="C28" s="343">
        <v>2</v>
      </c>
      <c r="D28" s="343">
        <v>31</v>
      </c>
      <c r="E28" s="384">
        <v>46071</v>
      </c>
      <c r="F28" s="343" t="s">
        <v>234</v>
      </c>
      <c r="G28" s="343" t="s">
        <v>131</v>
      </c>
      <c r="I28" s="343">
        <v>20250806</v>
      </c>
      <c r="J28" s="343">
        <v>34613.75</v>
      </c>
      <c r="K28" s="343">
        <v>137</v>
      </c>
      <c r="L28" s="343">
        <v>270</v>
      </c>
      <c r="M28" s="384">
        <v>45875</v>
      </c>
      <c r="N28" s="343" t="s">
        <v>234</v>
      </c>
      <c r="O28" s="343" t="s">
        <v>314</v>
      </c>
      <c r="Q28" s="343" t="s">
        <v>338</v>
      </c>
      <c r="R28" s="343" t="s">
        <v>142</v>
      </c>
      <c r="S28" s="384">
        <v>46118</v>
      </c>
      <c r="T28" s="384">
        <v>46124</v>
      </c>
    </row>
    <row r="29" spans="1:20">
      <c r="A29" s="343">
        <v>20260219</v>
      </c>
      <c r="C29" s="343">
        <v>2</v>
      </c>
      <c r="D29" s="343">
        <v>2</v>
      </c>
      <c r="E29" s="384">
        <v>46072</v>
      </c>
      <c r="F29" s="343" t="s">
        <v>235</v>
      </c>
      <c r="G29" s="343" t="s">
        <v>131</v>
      </c>
      <c r="I29" s="343">
        <v>20250813</v>
      </c>
      <c r="J29" s="343">
        <v>34319.599999999999</v>
      </c>
      <c r="K29" s="343">
        <v>122</v>
      </c>
      <c r="L29" s="343">
        <v>301</v>
      </c>
      <c r="M29" s="384">
        <v>45882</v>
      </c>
      <c r="N29" s="343" t="s">
        <v>234</v>
      </c>
      <c r="O29" s="343" t="s">
        <v>315</v>
      </c>
      <c r="Q29" s="343" t="s">
        <v>338</v>
      </c>
      <c r="R29" s="343" t="s">
        <v>142</v>
      </c>
      <c r="S29" s="384">
        <v>46118</v>
      </c>
      <c r="T29" s="384">
        <v>46124</v>
      </c>
    </row>
    <row r="30" spans="1:20">
      <c r="A30" s="343">
        <v>20260220</v>
      </c>
      <c r="C30" s="343">
        <v>2</v>
      </c>
      <c r="D30" s="343">
        <v>2</v>
      </c>
      <c r="E30" s="384">
        <v>46073</v>
      </c>
      <c r="F30" s="343" t="s">
        <v>236</v>
      </c>
      <c r="G30" s="343" t="s">
        <v>131</v>
      </c>
      <c r="I30" s="343">
        <v>20250820</v>
      </c>
      <c r="J30" s="343">
        <v>42154.5</v>
      </c>
      <c r="K30" s="343">
        <v>160</v>
      </c>
      <c r="L30" s="343">
        <v>378</v>
      </c>
      <c r="M30" s="384">
        <v>45889</v>
      </c>
      <c r="N30" s="343" t="s">
        <v>234</v>
      </c>
      <c r="O30" s="343" t="s">
        <v>316</v>
      </c>
      <c r="Q30" s="343" t="s">
        <v>338</v>
      </c>
      <c r="R30" s="343" t="s">
        <v>142</v>
      </c>
      <c r="S30" s="384">
        <v>46118</v>
      </c>
      <c r="T30" s="384">
        <v>46124</v>
      </c>
    </row>
    <row r="31" spans="1:20">
      <c r="A31" s="343">
        <v>20260225</v>
      </c>
      <c r="B31" s="343">
        <v>10610.77</v>
      </c>
      <c r="C31" s="343">
        <v>4</v>
      </c>
      <c r="D31" s="343">
        <v>97</v>
      </c>
      <c r="E31" s="384">
        <v>46078</v>
      </c>
      <c r="F31" s="343" t="s">
        <v>234</v>
      </c>
      <c r="G31" s="343" t="s">
        <v>134</v>
      </c>
      <c r="I31" s="343">
        <v>20250827</v>
      </c>
      <c r="J31" s="343">
        <v>33482.9</v>
      </c>
      <c r="K31" s="343">
        <v>133</v>
      </c>
      <c r="L31" s="343">
        <v>301</v>
      </c>
      <c r="M31" s="384">
        <v>45896</v>
      </c>
      <c r="N31" s="343" t="s">
        <v>234</v>
      </c>
      <c r="O31" s="343" t="s">
        <v>317</v>
      </c>
      <c r="Q31" s="343" t="s">
        <v>338</v>
      </c>
      <c r="R31" s="343" t="s">
        <v>142</v>
      </c>
      <c r="S31" s="384">
        <v>46118</v>
      </c>
      <c r="T31" s="384">
        <v>46124</v>
      </c>
    </row>
    <row r="32" spans="1:20">
      <c r="A32" s="343">
        <v>20260226</v>
      </c>
      <c r="B32" s="343">
        <v>4469.32</v>
      </c>
      <c r="C32" s="343">
        <v>2</v>
      </c>
      <c r="D32" s="343">
        <v>27</v>
      </c>
      <c r="E32" s="384">
        <v>46079</v>
      </c>
      <c r="F32" s="343" t="s">
        <v>235</v>
      </c>
      <c r="G32" s="343" t="s">
        <v>134</v>
      </c>
      <c r="I32" s="343">
        <v>20250903</v>
      </c>
      <c r="J32" s="343">
        <v>28912</v>
      </c>
      <c r="K32" s="343">
        <v>90</v>
      </c>
      <c r="L32" s="343">
        <v>207</v>
      </c>
      <c r="M32" s="384">
        <v>45903</v>
      </c>
      <c r="N32" s="343" t="s">
        <v>234</v>
      </c>
      <c r="O32" s="343" t="s">
        <v>318</v>
      </c>
      <c r="Q32" s="343" t="s">
        <v>338</v>
      </c>
      <c r="R32" s="343" t="s">
        <v>142</v>
      </c>
      <c r="S32" s="384">
        <v>46118</v>
      </c>
      <c r="T32" s="384">
        <v>46124</v>
      </c>
    </row>
    <row r="33" spans="1:20">
      <c r="A33" s="343">
        <v>20260227</v>
      </c>
      <c r="C33" s="343">
        <v>9</v>
      </c>
      <c r="D33" s="343">
        <v>9</v>
      </c>
      <c r="E33" s="384">
        <v>46080</v>
      </c>
      <c r="F33" s="343" t="s">
        <v>236</v>
      </c>
      <c r="G33" s="343" t="s">
        <v>134</v>
      </c>
      <c r="I33" s="343">
        <v>20250910</v>
      </c>
      <c r="J33" s="343">
        <v>43016.25</v>
      </c>
      <c r="K33" s="343">
        <v>153</v>
      </c>
      <c r="L33" s="343">
        <v>405</v>
      </c>
      <c r="M33" s="384">
        <v>45910</v>
      </c>
      <c r="N33" s="343" t="s">
        <v>234</v>
      </c>
      <c r="O33" s="343" t="s">
        <v>319</v>
      </c>
      <c r="Q33" s="343" t="s">
        <v>338</v>
      </c>
      <c r="R33" s="343" t="s">
        <v>143</v>
      </c>
      <c r="S33" s="384">
        <v>46125</v>
      </c>
      <c r="T33" s="384">
        <v>46131</v>
      </c>
    </row>
    <row r="34" spans="1:20">
      <c r="A34" s="343">
        <v>20260301</v>
      </c>
      <c r="B34" s="343">
        <v>7675.5</v>
      </c>
      <c r="C34" s="343">
        <v>1</v>
      </c>
      <c r="D34" s="343">
        <v>0</v>
      </c>
      <c r="E34" s="384">
        <v>46082</v>
      </c>
      <c r="F34" s="343" t="s">
        <v>245</v>
      </c>
      <c r="G34" s="343" t="s">
        <v>134</v>
      </c>
      <c r="I34" s="343">
        <v>20250917</v>
      </c>
      <c r="J34" s="343">
        <v>36004.400000000001</v>
      </c>
      <c r="K34" s="343">
        <v>140</v>
      </c>
      <c r="L34" s="343">
        <v>289</v>
      </c>
      <c r="M34" s="384">
        <v>45917</v>
      </c>
      <c r="N34" s="343" t="s">
        <v>234</v>
      </c>
      <c r="O34" s="343" t="s">
        <v>320</v>
      </c>
      <c r="Q34" s="343" t="s">
        <v>338</v>
      </c>
      <c r="R34" s="343" t="s">
        <v>143</v>
      </c>
      <c r="S34" s="384">
        <v>46125</v>
      </c>
      <c r="T34" s="384">
        <v>46131</v>
      </c>
    </row>
    <row r="35" spans="1:20">
      <c r="A35" s="343">
        <v>20260303</v>
      </c>
      <c r="B35" s="343">
        <v>4888.2</v>
      </c>
      <c r="C35" s="343">
        <v>31</v>
      </c>
      <c r="D35" s="343">
        <v>76</v>
      </c>
      <c r="E35" s="384">
        <v>46084</v>
      </c>
      <c r="F35" s="343" t="s">
        <v>233</v>
      </c>
      <c r="G35" s="343" t="s">
        <v>135</v>
      </c>
      <c r="I35" s="343">
        <v>20250924</v>
      </c>
      <c r="J35" s="343">
        <v>29587.25</v>
      </c>
      <c r="K35" s="343">
        <v>154</v>
      </c>
      <c r="L35" s="343">
        <v>301</v>
      </c>
      <c r="M35" s="384">
        <v>45924</v>
      </c>
      <c r="N35" s="343" t="s">
        <v>234</v>
      </c>
      <c r="O35" s="343" t="s">
        <v>321</v>
      </c>
      <c r="Q35" s="343" t="s">
        <v>338</v>
      </c>
      <c r="R35" s="343" t="s">
        <v>143</v>
      </c>
      <c r="S35" s="384">
        <v>46125</v>
      </c>
      <c r="T35" s="384">
        <v>46131</v>
      </c>
    </row>
    <row r="36" spans="1:20">
      <c r="A36" s="343">
        <v>20260304</v>
      </c>
      <c r="B36" s="343">
        <v>17915.099999999999</v>
      </c>
      <c r="C36" s="343">
        <v>37</v>
      </c>
      <c r="D36" s="343">
        <v>178</v>
      </c>
      <c r="E36" s="384">
        <v>46085</v>
      </c>
      <c r="F36" s="343" t="s">
        <v>234</v>
      </c>
      <c r="G36" s="343" t="s">
        <v>135</v>
      </c>
      <c r="I36" s="343">
        <v>20251001</v>
      </c>
      <c r="J36" s="343">
        <v>19464.830000000002</v>
      </c>
      <c r="K36" s="343">
        <v>70</v>
      </c>
      <c r="L36" s="343">
        <v>143</v>
      </c>
      <c r="M36" s="384">
        <v>45931</v>
      </c>
      <c r="N36" s="343" t="s">
        <v>234</v>
      </c>
      <c r="O36" s="343" t="s">
        <v>322</v>
      </c>
      <c r="Q36" s="343" t="s">
        <v>338</v>
      </c>
      <c r="R36" s="343" t="s">
        <v>143</v>
      </c>
      <c r="S36" s="384">
        <v>46125</v>
      </c>
      <c r="T36" s="384">
        <v>46131</v>
      </c>
    </row>
    <row r="37" spans="1:20">
      <c r="A37" s="343">
        <v>20260305</v>
      </c>
      <c r="B37" s="343">
        <v>2916.4</v>
      </c>
      <c r="C37" s="343">
        <v>23</v>
      </c>
      <c r="D37" s="343">
        <v>40</v>
      </c>
      <c r="E37" s="384">
        <v>46086</v>
      </c>
      <c r="F37" s="343" t="s">
        <v>235</v>
      </c>
      <c r="G37" s="343" t="s">
        <v>135</v>
      </c>
      <c r="I37" s="343">
        <v>20251008</v>
      </c>
      <c r="J37" s="343">
        <v>25097.25</v>
      </c>
      <c r="K37" s="343">
        <v>89</v>
      </c>
      <c r="L37" s="343">
        <v>238</v>
      </c>
      <c r="M37" s="384">
        <v>45938</v>
      </c>
      <c r="N37" s="343" t="s">
        <v>234</v>
      </c>
      <c r="O37" s="343" t="s">
        <v>323</v>
      </c>
      <c r="Q37" s="343" t="s">
        <v>338</v>
      </c>
      <c r="R37" s="343" t="s">
        <v>143</v>
      </c>
      <c r="S37" s="384">
        <v>46125</v>
      </c>
      <c r="T37" s="384">
        <v>46131</v>
      </c>
    </row>
    <row r="38" spans="1:20">
      <c r="A38" s="343">
        <v>20260306</v>
      </c>
      <c r="B38" s="343">
        <v>12338.25</v>
      </c>
      <c r="C38" s="343">
        <v>34</v>
      </c>
      <c r="D38" s="343">
        <v>103</v>
      </c>
      <c r="E38" s="384">
        <v>46087</v>
      </c>
      <c r="F38" s="343" t="s">
        <v>236</v>
      </c>
      <c r="G38" s="343" t="s">
        <v>135</v>
      </c>
      <c r="I38" s="343">
        <v>20251015</v>
      </c>
      <c r="J38" s="343">
        <v>35973</v>
      </c>
      <c r="K38" s="343">
        <v>102</v>
      </c>
      <c r="L38" s="343">
        <v>250</v>
      </c>
      <c r="M38" s="384">
        <v>45945</v>
      </c>
      <c r="N38" s="343" t="s">
        <v>234</v>
      </c>
      <c r="O38" s="343" t="s">
        <v>324</v>
      </c>
      <c r="Q38" s="343" t="s">
        <v>338</v>
      </c>
      <c r="R38" s="343" t="s">
        <v>143</v>
      </c>
      <c r="S38" s="384">
        <v>46125</v>
      </c>
      <c r="T38" s="384">
        <v>46131</v>
      </c>
    </row>
    <row r="39" spans="1:20">
      <c r="A39" s="343">
        <v>20260307</v>
      </c>
      <c r="B39" s="343">
        <v>5404.35</v>
      </c>
      <c r="C39" s="343">
        <v>1</v>
      </c>
      <c r="D39" s="343">
        <v>14</v>
      </c>
      <c r="E39" s="384">
        <v>46088</v>
      </c>
      <c r="F39" s="343" t="s">
        <v>244</v>
      </c>
      <c r="G39" s="343" t="s">
        <v>135</v>
      </c>
      <c r="I39" s="343">
        <v>20251022</v>
      </c>
      <c r="J39" s="343">
        <v>36583.25</v>
      </c>
      <c r="K39" s="343">
        <v>123</v>
      </c>
      <c r="L39" s="343">
        <v>269</v>
      </c>
      <c r="M39" s="384">
        <v>45952</v>
      </c>
      <c r="N39" s="343" t="s">
        <v>234</v>
      </c>
      <c r="O39" s="343" t="s">
        <v>325</v>
      </c>
      <c r="Q39" s="343" t="s">
        <v>338</v>
      </c>
      <c r="R39" s="343" t="s">
        <v>143</v>
      </c>
      <c r="S39" s="384">
        <v>46125</v>
      </c>
      <c r="T39" s="384">
        <v>46131</v>
      </c>
    </row>
    <row r="40" spans="1:20">
      <c r="A40" s="343">
        <v>20260309</v>
      </c>
      <c r="B40" s="343">
        <v>2646</v>
      </c>
      <c r="C40" s="343">
        <v>14</v>
      </c>
      <c r="D40" s="343">
        <v>41</v>
      </c>
      <c r="E40" s="384">
        <v>46090</v>
      </c>
      <c r="F40" s="343" t="s">
        <v>232</v>
      </c>
      <c r="G40" s="343" t="s">
        <v>136</v>
      </c>
      <c r="I40" s="343">
        <v>20251029</v>
      </c>
      <c r="J40" s="343">
        <v>33462</v>
      </c>
      <c r="K40" s="343">
        <v>120</v>
      </c>
      <c r="L40" s="343">
        <v>265</v>
      </c>
      <c r="M40" s="384">
        <v>45959</v>
      </c>
      <c r="N40" s="343" t="s">
        <v>234</v>
      </c>
      <c r="O40" s="343" t="s">
        <v>326</v>
      </c>
      <c r="Q40" s="343" t="s">
        <v>338</v>
      </c>
      <c r="R40" s="343" t="s">
        <v>143</v>
      </c>
      <c r="S40" s="384">
        <v>46125</v>
      </c>
      <c r="T40" s="384">
        <v>46131</v>
      </c>
    </row>
    <row r="41" spans="1:20">
      <c r="A41" s="343">
        <v>20260310</v>
      </c>
      <c r="B41" s="343">
        <v>6049.05</v>
      </c>
      <c r="C41" s="343">
        <v>20</v>
      </c>
      <c r="D41" s="343">
        <v>67</v>
      </c>
      <c r="E41" s="384">
        <v>46091</v>
      </c>
      <c r="F41" s="343" t="s">
        <v>233</v>
      </c>
      <c r="G41" s="343" t="s">
        <v>136</v>
      </c>
      <c r="I41" s="343">
        <v>20251105</v>
      </c>
      <c r="J41" s="343">
        <v>46471.93</v>
      </c>
      <c r="K41" s="343">
        <v>138</v>
      </c>
      <c r="L41" s="343">
        <v>315</v>
      </c>
      <c r="M41" s="384">
        <v>45966</v>
      </c>
      <c r="N41" s="343" t="s">
        <v>234</v>
      </c>
      <c r="O41" s="343" t="s">
        <v>327</v>
      </c>
      <c r="Q41" s="343" t="s">
        <v>338</v>
      </c>
      <c r="R41" s="343" t="s">
        <v>144</v>
      </c>
      <c r="S41" s="384">
        <v>46132</v>
      </c>
      <c r="T41" s="384">
        <v>46138</v>
      </c>
    </row>
    <row r="42" spans="1:20">
      <c r="A42" s="343">
        <v>20260311</v>
      </c>
      <c r="B42" s="343">
        <v>15594.14</v>
      </c>
      <c r="C42" s="343">
        <v>27</v>
      </c>
      <c r="D42" s="343">
        <v>120</v>
      </c>
      <c r="E42" s="384">
        <v>46092</v>
      </c>
      <c r="F42" s="343" t="s">
        <v>234</v>
      </c>
      <c r="G42" s="343" t="s">
        <v>136</v>
      </c>
      <c r="I42" s="343">
        <v>20251112</v>
      </c>
      <c r="J42" s="343">
        <v>41563.83</v>
      </c>
      <c r="K42" s="343">
        <v>119</v>
      </c>
      <c r="L42" s="343">
        <v>320</v>
      </c>
      <c r="M42" s="384">
        <v>45973</v>
      </c>
      <c r="N42" s="343" t="s">
        <v>234</v>
      </c>
      <c r="O42" s="343" t="s">
        <v>328</v>
      </c>
      <c r="Q42" s="343" t="s">
        <v>338</v>
      </c>
      <c r="R42" s="343" t="s">
        <v>144</v>
      </c>
      <c r="S42" s="384">
        <v>46132</v>
      </c>
      <c r="T42" s="384">
        <v>46138</v>
      </c>
    </row>
    <row r="43" spans="1:20">
      <c r="A43" s="343">
        <v>20260312</v>
      </c>
      <c r="B43" s="343">
        <v>4433.75</v>
      </c>
      <c r="C43" s="343">
        <v>22</v>
      </c>
      <c r="D43" s="343">
        <v>47</v>
      </c>
      <c r="E43" s="384">
        <v>46093</v>
      </c>
      <c r="F43" s="343" t="s">
        <v>235</v>
      </c>
      <c r="G43" s="343" t="s">
        <v>136</v>
      </c>
      <c r="I43" s="343">
        <v>20251119</v>
      </c>
      <c r="J43" s="343">
        <v>27811.25</v>
      </c>
      <c r="K43" s="343">
        <v>93</v>
      </c>
      <c r="L43" s="343">
        <v>236</v>
      </c>
      <c r="M43" s="384">
        <v>45980</v>
      </c>
      <c r="N43" s="343" t="s">
        <v>234</v>
      </c>
      <c r="O43" s="343" t="s">
        <v>329</v>
      </c>
      <c r="Q43" s="343" t="s">
        <v>338</v>
      </c>
      <c r="R43" s="343" t="s">
        <v>144</v>
      </c>
      <c r="S43" s="384">
        <v>46132</v>
      </c>
      <c r="T43" s="384">
        <v>46138</v>
      </c>
    </row>
    <row r="44" spans="1:20">
      <c r="A44" s="343">
        <v>20260313</v>
      </c>
      <c r="B44" s="343">
        <v>5253</v>
      </c>
      <c r="C44" s="343">
        <v>23</v>
      </c>
      <c r="D44" s="343">
        <v>55</v>
      </c>
      <c r="E44" s="384">
        <v>46094</v>
      </c>
      <c r="F44" s="343" t="s">
        <v>236</v>
      </c>
      <c r="G44" s="343" t="s">
        <v>136</v>
      </c>
      <c r="I44" s="343">
        <v>20251126</v>
      </c>
      <c r="J44" s="343">
        <v>30260.5</v>
      </c>
      <c r="K44" s="343">
        <v>105</v>
      </c>
      <c r="L44" s="343">
        <v>246</v>
      </c>
      <c r="M44" s="384">
        <v>45987</v>
      </c>
      <c r="N44" s="343" t="s">
        <v>234</v>
      </c>
      <c r="O44" s="343" t="s">
        <v>330</v>
      </c>
      <c r="Q44" s="343" t="s">
        <v>338</v>
      </c>
      <c r="R44" s="343" t="s">
        <v>144</v>
      </c>
      <c r="S44" s="384">
        <v>46132</v>
      </c>
      <c r="T44" s="384">
        <v>46138</v>
      </c>
    </row>
    <row r="45" spans="1:20">
      <c r="A45" s="343">
        <v>20260314</v>
      </c>
      <c r="B45" s="343">
        <v>5551.35</v>
      </c>
      <c r="C45" s="343">
        <v>1</v>
      </c>
      <c r="D45" s="343">
        <v>25</v>
      </c>
      <c r="E45" s="384">
        <v>46095</v>
      </c>
      <c r="F45" s="343" t="s">
        <v>244</v>
      </c>
      <c r="G45" s="343" t="s">
        <v>136</v>
      </c>
      <c r="I45" s="343">
        <v>20251203</v>
      </c>
      <c r="J45" s="343">
        <v>66601.7</v>
      </c>
      <c r="K45" s="343">
        <v>202</v>
      </c>
      <c r="L45" s="343">
        <v>490</v>
      </c>
      <c r="M45" s="384">
        <v>45994</v>
      </c>
      <c r="N45" s="343" t="s">
        <v>234</v>
      </c>
      <c r="O45" s="343" t="s">
        <v>331</v>
      </c>
      <c r="Q45" s="343" t="s">
        <v>338</v>
      </c>
      <c r="R45" s="343" t="s">
        <v>144</v>
      </c>
      <c r="S45" s="384">
        <v>46132</v>
      </c>
      <c r="T45" s="384">
        <v>46138</v>
      </c>
    </row>
    <row r="46" spans="1:20">
      <c r="A46" s="343">
        <v>20260316</v>
      </c>
      <c r="B46" s="343">
        <v>3839.5</v>
      </c>
      <c r="C46" s="343">
        <v>18</v>
      </c>
      <c r="D46" s="343">
        <v>43</v>
      </c>
      <c r="E46" s="384">
        <v>46097</v>
      </c>
      <c r="F46" s="343" t="s">
        <v>232</v>
      </c>
      <c r="G46" s="343" t="s">
        <v>137</v>
      </c>
      <c r="I46" s="343">
        <v>20251210</v>
      </c>
      <c r="J46" s="343">
        <v>81694.61</v>
      </c>
      <c r="K46" s="343">
        <v>13</v>
      </c>
      <c r="L46" s="343">
        <v>350</v>
      </c>
      <c r="M46" s="384">
        <v>46001</v>
      </c>
      <c r="N46" s="343" t="s">
        <v>234</v>
      </c>
      <c r="O46" s="343" t="s">
        <v>332</v>
      </c>
      <c r="Q46" s="343" t="s">
        <v>338</v>
      </c>
      <c r="R46" s="343" t="s">
        <v>144</v>
      </c>
      <c r="S46" s="384">
        <v>46132</v>
      </c>
      <c r="T46" s="384">
        <v>46138</v>
      </c>
    </row>
    <row r="47" spans="1:20">
      <c r="A47" s="343">
        <v>20260317</v>
      </c>
      <c r="B47" s="343">
        <v>88725</v>
      </c>
      <c r="C47" s="343">
        <v>1</v>
      </c>
      <c r="D47" s="343">
        <v>90</v>
      </c>
      <c r="E47" s="384">
        <v>46098</v>
      </c>
      <c r="F47" s="343" t="s">
        <v>233</v>
      </c>
      <c r="G47" s="343" t="s">
        <v>137</v>
      </c>
      <c r="I47" s="343">
        <v>20251217</v>
      </c>
      <c r="J47" s="343">
        <v>39726.269999999997</v>
      </c>
      <c r="K47" s="343">
        <v>86</v>
      </c>
      <c r="L47" s="343">
        <v>250</v>
      </c>
      <c r="M47" s="384">
        <v>46008</v>
      </c>
      <c r="N47" s="343" t="s">
        <v>234</v>
      </c>
      <c r="O47" s="343" t="s">
        <v>333</v>
      </c>
      <c r="Q47" s="343" t="s">
        <v>338</v>
      </c>
      <c r="R47" s="343" t="s">
        <v>144</v>
      </c>
      <c r="S47" s="384">
        <v>46132</v>
      </c>
      <c r="T47" s="384">
        <v>46138</v>
      </c>
    </row>
    <row r="48" spans="1:20">
      <c r="A48" s="343">
        <v>20260318</v>
      </c>
      <c r="B48" s="343">
        <v>8794</v>
      </c>
      <c r="C48" s="343">
        <v>21</v>
      </c>
      <c r="D48" s="343">
        <v>51</v>
      </c>
      <c r="E48" s="384">
        <v>46099</v>
      </c>
      <c r="F48" s="343" t="s">
        <v>234</v>
      </c>
      <c r="G48" s="343" t="s">
        <v>137</v>
      </c>
      <c r="I48" s="343">
        <v>20251224</v>
      </c>
      <c r="J48" s="343">
        <v>63116.28</v>
      </c>
      <c r="K48" s="343">
        <v>203</v>
      </c>
      <c r="L48" s="343">
        <v>547</v>
      </c>
      <c r="M48" s="384">
        <v>46015</v>
      </c>
      <c r="N48" s="343" t="s">
        <v>234</v>
      </c>
      <c r="O48" s="343" t="s">
        <v>334</v>
      </c>
      <c r="Q48" s="343" t="s">
        <v>338</v>
      </c>
      <c r="R48" s="343" t="s">
        <v>147</v>
      </c>
      <c r="S48" s="384">
        <v>46139</v>
      </c>
      <c r="T48" s="384">
        <v>46145</v>
      </c>
    </row>
    <row r="49" spans="1:20">
      <c r="A49" s="343">
        <v>20260319</v>
      </c>
      <c r="B49" s="343">
        <v>5865.1</v>
      </c>
      <c r="C49" s="343">
        <v>22</v>
      </c>
      <c r="D49" s="343">
        <v>64</v>
      </c>
      <c r="E49" s="384">
        <v>46100</v>
      </c>
      <c r="F49" s="343" t="s">
        <v>235</v>
      </c>
      <c r="G49" s="343" t="s">
        <v>137</v>
      </c>
      <c r="I49" s="343">
        <v>20251231</v>
      </c>
      <c r="J49" s="343">
        <v>175240.09</v>
      </c>
      <c r="K49" s="343">
        <v>230</v>
      </c>
      <c r="L49" s="343">
        <v>632</v>
      </c>
      <c r="M49" s="384">
        <v>46022</v>
      </c>
      <c r="N49" s="343" t="s">
        <v>234</v>
      </c>
      <c r="O49" s="343" t="s">
        <v>122</v>
      </c>
      <c r="Q49" s="343" t="s">
        <v>338</v>
      </c>
      <c r="R49" s="343" t="s">
        <v>147</v>
      </c>
      <c r="S49" s="384">
        <v>46139</v>
      </c>
      <c r="T49" s="384">
        <v>46145</v>
      </c>
    </row>
    <row r="50" spans="1:20">
      <c r="A50" s="343">
        <v>20260320</v>
      </c>
      <c r="B50" s="343">
        <v>9037.16</v>
      </c>
      <c r="C50" s="343">
        <v>28</v>
      </c>
      <c r="D50" s="343">
        <v>81</v>
      </c>
      <c r="E50" s="384">
        <v>46101</v>
      </c>
      <c r="F50" s="343" t="s">
        <v>236</v>
      </c>
      <c r="G50" s="343" t="s">
        <v>137</v>
      </c>
      <c r="I50" s="343">
        <v>20260107</v>
      </c>
      <c r="J50" s="343">
        <v>37714.75</v>
      </c>
      <c r="K50" s="343">
        <v>100</v>
      </c>
      <c r="L50" s="343">
        <v>249</v>
      </c>
      <c r="M50" s="384">
        <v>46029</v>
      </c>
      <c r="N50" s="343" t="s">
        <v>234</v>
      </c>
      <c r="O50" s="343" t="s">
        <v>123</v>
      </c>
      <c r="Q50" s="343" t="s">
        <v>338</v>
      </c>
      <c r="R50" s="343" t="s">
        <v>147</v>
      </c>
      <c r="S50" s="384">
        <v>46139</v>
      </c>
      <c r="T50" s="384">
        <v>46145</v>
      </c>
    </row>
    <row r="51" spans="1:20">
      <c r="A51" s="343">
        <v>20260323</v>
      </c>
      <c r="B51" s="343">
        <v>1874</v>
      </c>
      <c r="C51" s="343">
        <v>17</v>
      </c>
      <c r="D51" s="343">
        <v>34</v>
      </c>
      <c r="E51" s="384">
        <v>46104</v>
      </c>
      <c r="F51" s="343" t="s">
        <v>232</v>
      </c>
      <c r="G51" s="343" t="s">
        <v>138</v>
      </c>
      <c r="I51" s="343">
        <v>20260114</v>
      </c>
      <c r="J51" s="343">
        <v>37945.75</v>
      </c>
      <c r="K51" s="343">
        <v>118</v>
      </c>
      <c r="L51" s="343">
        <v>308</v>
      </c>
      <c r="M51" s="384">
        <v>46036</v>
      </c>
      <c r="N51" s="343" t="s">
        <v>234</v>
      </c>
      <c r="O51" s="343" t="s">
        <v>124</v>
      </c>
      <c r="Q51" s="343" t="s">
        <v>338</v>
      </c>
      <c r="R51" s="343" t="s">
        <v>147</v>
      </c>
      <c r="S51" s="384">
        <v>46139</v>
      </c>
      <c r="T51" s="384">
        <v>46145</v>
      </c>
    </row>
    <row r="52" spans="1:20">
      <c r="A52" s="343">
        <v>20260324</v>
      </c>
      <c r="B52" s="343">
        <v>22261.5</v>
      </c>
      <c r="C52" s="343">
        <v>35</v>
      </c>
      <c r="D52" s="343">
        <v>153</v>
      </c>
      <c r="E52" s="384">
        <v>46105</v>
      </c>
      <c r="F52" s="343" t="s">
        <v>233</v>
      </c>
      <c r="G52" s="343" t="s">
        <v>138</v>
      </c>
      <c r="I52" s="343">
        <v>20260121</v>
      </c>
      <c r="J52" s="343">
        <v>35782.800000000003</v>
      </c>
      <c r="K52" s="343">
        <v>131</v>
      </c>
      <c r="L52" s="343">
        <v>313</v>
      </c>
      <c r="M52" s="384">
        <v>46043</v>
      </c>
      <c r="N52" s="343" t="s">
        <v>234</v>
      </c>
      <c r="O52" s="343" t="s">
        <v>125</v>
      </c>
      <c r="Q52" s="343" t="s">
        <v>338</v>
      </c>
      <c r="R52" s="343" t="s">
        <v>147</v>
      </c>
      <c r="S52" s="384">
        <v>46139</v>
      </c>
      <c r="T52" s="384">
        <v>46145</v>
      </c>
    </row>
    <row r="53" spans="1:20">
      <c r="A53" s="343">
        <v>20260325</v>
      </c>
      <c r="B53" s="343">
        <v>2409</v>
      </c>
      <c r="C53" s="343">
        <v>17</v>
      </c>
      <c r="D53" s="343">
        <v>34</v>
      </c>
      <c r="E53" s="384">
        <v>46106</v>
      </c>
      <c r="F53" s="343" t="s">
        <v>234</v>
      </c>
      <c r="G53" s="343" t="s">
        <v>138</v>
      </c>
      <c r="I53" s="343">
        <v>20260128</v>
      </c>
      <c r="J53" s="343">
        <v>40200.5</v>
      </c>
      <c r="K53" s="343">
        <v>115</v>
      </c>
      <c r="L53" s="343">
        <v>309</v>
      </c>
      <c r="M53" s="384">
        <v>46050</v>
      </c>
      <c r="N53" s="343" t="s">
        <v>234</v>
      </c>
      <c r="O53" s="343" t="s">
        <v>128</v>
      </c>
      <c r="Q53" s="343" t="s">
        <v>338</v>
      </c>
      <c r="R53" s="343" t="s">
        <v>147</v>
      </c>
      <c r="S53" s="384">
        <v>46139</v>
      </c>
      <c r="T53" s="384">
        <v>46145</v>
      </c>
    </row>
    <row r="54" spans="1:20">
      <c r="A54" s="343">
        <v>20260326</v>
      </c>
      <c r="B54" s="343">
        <v>5857</v>
      </c>
      <c r="C54" s="343">
        <v>28</v>
      </c>
      <c r="D54" s="343">
        <v>61</v>
      </c>
      <c r="E54" s="384">
        <v>46107</v>
      </c>
      <c r="F54" s="343" t="s">
        <v>235</v>
      </c>
      <c r="G54" s="343" t="s">
        <v>138</v>
      </c>
      <c r="I54" s="343">
        <v>20260204</v>
      </c>
      <c r="J54" s="343">
        <v>43523.199999999997</v>
      </c>
      <c r="K54" s="343">
        <v>142</v>
      </c>
      <c r="L54" s="343">
        <v>299</v>
      </c>
      <c r="M54" s="384">
        <v>46057</v>
      </c>
      <c r="N54" s="343" t="s">
        <v>234</v>
      </c>
      <c r="O54" s="343" t="s">
        <v>129</v>
      </c>
      <c r="Q54" s="343" t="s">
        <v>338</v>
      </c>
      <c r="R54" s="343" t="s">
        <v>147</v>
      </c>
      <c r="S54" s="384">
        <v>46139</v>
      </c>
      <c r="T54" s="384">
        <v>46145</v>
      </c>
    </row>
    <row r="55" spans="1:20">
      <c r="A55" s="343">
        <v>20260327</v>
      </c>
      <c r="B55" s="343">
        <v>8722.25</v>
      </c>
      <c r="C55" s="343">
        <v>40</v>
      </c>
      <c r="D55" s="343">
        <v>95</v>
      </c>
      <c r="E55" s="384">
        <v>46108</v>
      </c>
      <c r="F55" s="343" t="s">
        <v>236</v>
      </c>
      <c r="G55" s="343" t="s">
        <v>138</v>
      </c>
      <c r="I55" s="343">
        <v>20260211</v>
      </c>
      <c r="J55" s="343">
        <v>34267.699999999997</v>
      </c>
      <c r="K55" s="343">
        <v>118</v>
      </c>
      <c r="L55" s="343">
        <v>283</v>
      </c>
      <c r="M55" s="384">
        <v>46064</v>
      </c>
      <c r="N55" s="343" t="s">
        <v>234</v>
      </c>
      <c r="O55" s="343" t="s">
        <v>130</v>
      </c>
      <c r="Q55" s="343" t="s">
        <v>338</v>
      </c>
      <c r="R55" s="343" t="s">
        <v>147</v>
      </c>
      <c r="S55" s="384">
        <v>46139</v>
      </c>
      <c r="T55" s="384">
        <v>46145</v>
      </c>
    </row>
    <row r="56" spans="1:20">
      <c r="A56" s="343">
        <v>20260328</v>
      </c>
      <c r="C56" s="343">
        <v>2</v>
      </c>
      <c r="D56" s="343">
        <v>2</v>
      </c>
      <c r="E56" s="384">
        <v>46109</v>
      </c>
      <c r="F56" s="343" t="s">
        <v>244</v>
      </c>
      <c r="G56" s="343" t="s">
        <v>138</v>
      </c>
      <c r="I56" s="343">
        <v>20260218</v>
      </c>
      <c r="J56" s="343">
        <v>36826.78</v>
      </c>
      <c r="K56" s="343">
        <v>115</v>
      </c>
      <c r="L56" s="343">
        <v>287</v>
      </c>
      <c r="M56" s="384">
        <v>46071</v>
      </c>
      <c r="N56" s="343" t="s">
        <v>234</v>
      </c>
      <c r="O56" s="343" t="s">
        <v>131</v>
      </c>
      <c r="Q56" s="343" t="s">
        <v>338</v>
      </c>
      <c r="R56" s="343" t="s">
        <v>147</v>
      </c>
      <c r="S56" s="384">
        <v>46139</v>
      </c>
      <c r="T56" s="384">
        <v>46145</v>
      </c>
    </row>
    <row r="57" spans="1:20">
      <c r="A57" s="343">
        <v>20260330</v>
      </c>
      <c r="B57" s="343">
        <v>4889.05</v>
      </c>
      <c r="C57" s="343">
        <v>22</v>
      </c>
      <c r="D57" s="343">
        <v>63</v>
      </c>
      <c r="E57" s="384">
        <v>46111</v>
      </c>
      <c r="F57" s="343" t="s">
        <v>232</v>
      </c>
      <c r="G57" s="343" t="s">
        <v>141</v>
      </c>
      <c r="I57" s="343">
        <v>20260225</v>
      </c>
      <c r="J57" s="343">
        <v>42159.1</v>
      </c>
      <c r="K57" s="343">
        <v>130</v>
      </c>
      <c r="L57" s="343">
        <v>320</v>
      </c>
      <c r="M57" s="384">
        <v>46078</v>
      </c>
      <c r="N57" s="343" t="s">
        <v>234</v>
      </c>
      <c r="O57" s="343" t="s">
        <v>134</v>
      </c>
      <c r="Q57" s="343" t="s">
        <v>338</v>
      </c>
      <c r="R57" s="343" t="s">
        <v>148</v>
      </c>
      <c r="S57" s="384">
        <v>46146</v>
      </c>
      <c r="T57" s="384">
        <v>46152</v>
      </c>
    </row>
    <row r="58" spans="1:20">
      <c r="A58" s="343">
        <v>20260331</v>
      </c>
      <c r="B58" s="343">
        <v>4654.75</v>
      </c>
      <c r="C58" s="343">
        <v>23</v>
      </c>
      <c r="D58" s="343">
        <v>49</v>
      </c>
      <c r="E58" s="384">
        <v>46112</v>
      </c>
      <c r="F58" s="343" t="s">
        <v>233</v>
      </c>
      <c r="G58" s="343" t="s">
        <v>141</v>
      </c>
      <c r="I58" s="343">
        <v>20260304</v>
      </c>
      <c r="J58" s="343">
        <v>39622.25</v>
      </c>
      <c r="K58" s="343">
        <v>134</v>
      </c>
      <c r="L58" s="343">
        <v>301</v>
      </c>
      <c r="M58" s="384">
        <v>46085</v>
      </c>
      <c r="N58" s="343" t="s">
        <v>234</v>
      </c>
      <c r="O58" s="343" t="s">
        <v>135</v>
      </c>
      <c r="Q58" s="343" t="s">
        <v>338</v>
      </c>
      <c r="R58" s="343" t="s">
        <v>148</v>
      </c>
      <c r="S58" s="384">
        <v>46146</v>
      </c>
      <c r="T58" s="384">
        <v>46152</v>
      </c>
    </row>
    <row r="59" spans="1:20">
      <c r="A59" s="343">
        <v>20260401</v>
      </c>
      <c r="B59" s="343">
        <v>6900</v>
      </c>
      <c r="C59" s="343">
        <v>30</v>
      </c>
      <c r="D59" s="343">
        <v>61</v>
      </c>
      <c r="E59" s="384">
        <v>46113</v>
      </c>
      <c r="F59" s="343" t="s">
        <v>234</v>
      </c>
      <c r="G59" s="343" t="s">
        <v>141</v>
      </c>
      <c r="I59" s="343">
        <v>20260311</v>
      </c>
      <c r="J59" s="343">
        <v>34594.300000000003</v>
      </c>
      <c r="K59" s="343">
        <v>97</v>
      </c>
      <c r="L59" s="343">
        <v>247</v>
      </c>
      <c r="M59" s="384">
        <v>46092</v>
      </c>
      <c r="N59" s="343" t="s">
        <v>234</v>
      </c>
      <c r="O59" s="343" t="s">
        <v>136</v>
      </c>
      <c r="Q59" s="343" t="s">
        <v>338</v>
      </c>
      <c r="R59" s="343" t="s">
        <v>148</v>
      </c>
      <c r="S59" s="384">
        <v>46146</v>
      </c>
      <c r="T59" s="384">
        <v>46152</v>
      </c>
    </row>
    <row r="60" spans="1:20">
      <c r="A60" s="343">
        <v>20260402</v>
      </c>
      <c r="B60" s="343">
        <v>8915</v>
      </c>
      <c r="C60" s="343">
        <v>44</v>
      </c>
      <c r="D60" s="343">
        <v>117</v>
      </c>
      <c r="E60" s="384">
        <v>46114</v>
      </c>
      <c r="F60" s="343" t="s">
        <v>235</v>
      </c>
      <c r="G60" s="343" t="s">
        <v>141</v>
      </c>
      <c r="I60" s="343">
        <v>20260318</v>
      </c>
      <c r="J60" s="343">
        <v>33405.589999999997</v>
      </c>
      <c r="K60" s="343">
        <v>115</v>
      </c>
      <c r="L60" s="343">
        <v>292</v>
      </c>
      <c r="M60" s="384">
        <v>46099</v>
      </c>
      <c r="N60" s="343" t="s">
        <v>234</v>
      </c>
      <c r="O60" s="343" t="s">
        <v>137</v>
      </c>
      <c r="Q60" s="343" t="s">
        <v>338</v>
      </c>
      <c r="R60" s="343" t="s">
        <v>148</v>
      </c>
      <c r="S60" s="384">
        <v>46146</v>
      </c>
      <c r="T60" s="384">
        <v>46152</v>
      </c>
    </row>
    <row r="61" spans="1:20">
      <c r="A61" s="343">
        <v>20260403</v>
      </c>
      <c r="B61" s="343">
        <v>7274.51</v>
      </c>
      <c r="C61" s="343">
        <v>46</v>
      </c>
      <c r="D61" s="343">
        <v>123</v>
      </c>
      <c r="E61" s="384">
        <v>46115</v>
      </c>
      <c r="F61" s="343" t="s">
        <v>236</v>
      </c>
      <c r="G61" s="343" t="s">
        <v>141</v>
      </c>
      <c r="I61" s="343">
        <v>20260325</v>
      </c>
      <c r="J61" s="343">
        <v>47029.5</v>
      </c>
      <c r="K61" s="343">
        <v>146</v>
      </c>
      <c r="L61" s="343">
        <v>375</v>
      </c>
      <c r="M61" s="384">
        <v>46106</v>
      </c>
      <c r="N61" s="343" t="s">
        <v>234</v>
      </c>
      <c r="O61" s="343" t="s">
        <v>138</v>
      </c>
      <c r="Q61" s="343" t="s">
        <v>338</v>
      </c>
      <c r="R61" s="343" t="s">
        <v>148</v>
      </c>
      <c r="S61" s="384">
        <v>46146</v>
      </c>
      <c r="T61" s="384">
        <v>46152</v>
      </c>
    </row>
    <row r="62" spans="1:20">
      <c r="A62" s="343">
        <v>20260406</v>
      </c>
      <c r="B62" s="343">
        <v>8213.4</v>
      </c>
      <c r="C62" s="343">
        <v>21</v>
      </c>
      <c r="D62" s="343">
        <v>63</v>
      </c>
      <c r="E62" s="384">
        <v>46118</v>
      </c>
      <c r="F62" s="343" t="s">
        <v>232</v>
      </c>
      <c r="G62" s="343" t="s">
        <v>142</v>
      </c>
      <c r="I62" s="343">
        <v>20260401</v>
      </c>
      <c r="J62" s="343">
        <v>34059</v>
      </c>
      <c r="K62" s="343">
        <v>110</v>
      </c>
      <c r="L62" s="343">
        <v>259</v>
      </c>
      <c r="M62" s="384">
        <v>46113</v>
      </c>
      <c r="N62" s="343" t="s">
        <v>234</v>
      </c>
      <c r="O62" s="343" t="s">
        <v>141</v>
      </c>
      <c r="Q62" s="343" t="s">
        <v>338</v>
      </c>
      <c r="R62" s="343" t="s">
        <v>148</v>
      </c>
      <c r="S62" s="384">
        <v>46146</v>
      </c>
      <c r="T62" s="384">
        <v>46152</v>
      </c>
    </row>
    <row r="63" spans="1:20">
      <c r="A63" s="343">
        <v>20260407</v>
      </c>
      <c r="B63" s="343">
        <v>6521.9</v>
      </c>
      <c r="C63" s="343">
        <v>29</v>
      </c>
      <c r="D63" s="343">
        <v>92</v>
      </c>
      <c r="E63" s="384">
        <v>46119</v>
      </c>
      <c r="F63" s="343" t="s">
        <v>233</v>
      </c>
      <c r="G63" s="343" t="s">
        <v>142</v>
      </c>
      <c r="I63" s="343">
        <v>20260408</v>
      </c>
      <c r="J63" s="343">
        <v>34278</v>
      </c>
      <c r="K63" s="343">
        <v>120</v>
      </c>
      <c r="L63" s="343">
        <v>281</v>
      </c>
      <c r="M63" s="384">
        <v>46120</v>
      </c>
      <c r="N63" s="343" t="s">
        <v>234</v>
      </c>
      <c r="O63" s="343" t="s">
        <v>142</v>
      </c>
      <c r="Q63" s="343" t="s">
        <v>338</v>
      </c>
      <c r="R63" s="343" t="s">
        <v>148</v>
      </c>
      <c r="S63" s="384">
        <v>46146</v>
      </c>
      <c r="T63" s="384">
        <v>46152</v>
      </c>
    </row>
    <row r="64" spans="1:20">
      <c r="A64" s="343">
        <v>20260408</v>
      </c>
      <c r="B64" s="343">
        <v>3324</v>
      </c>
      <c r="C64" s="343">
        <v>24</v>
      </c>
      <c r="D64" s="343">
        <v>52</v>
      </c>
      <c r="E64" s="384">
        <v>46120</v>
      </c>
      <c r="F64" s="343" t="s">
        <v>234</v>
      </c>
      <c r="G64" s="343" t="s">
        <v>142</v>
      </c>
      <c r="I64" s="343">
        <v>20260415</v>
      </c>
      <c r="J64" s="343">
        <v>26984.5</v>
      </c>
      <c r="K64" s="343">
        <v>81</v>
      </c>
      <c r="L64" s="343">
        <v>184</v>
      </c>
      <c r="M64" s="384">
        <v>46127</v>
      </c>
      <c r="N64" s="343" t="s">
        <v>234</v>
      </c>
      <c r="O64" s="343" t="s">
        <v>143</v>
      </c>
      <c r="Q64" s="343" t="s">
        <v>338</v>
      </c>
      <c r="R64" s="343" t="s">
        <v>148</v>
      </c>
      <c r="S64" s="384">
        <v>46146</v>
      </c>
      <c r="T64" s="384">
        <v>46152</v>
      </c>
    </row>
    <row r="65" spans="1:27">
      <c r="A65" s="343">
        <v>20260409</v>
      </c>
      <c r="B65" s="343">
        <v>3550</v>
      </c>
      <c r="C65" s="343">
        <v>26</v>
      </c>
      <c r="D65" s="343">
        <v>55</v>
      </c>
      <c r="E65" s="384">
        <v>46121</v>
      </c>
      <c r="F65" s="343" t="s">
        <v>235</v>
      </c>
      <c r="G65" s="343" t="s">
        <v>142</v>
      </c>
      <c r="I65" s="343">
        <v>20260422</v>
      </c>
      <c r="J65" s="343">
        <v>82215</v>
      </c>
      <c r="K65" s="343">
        <v>7</v>
      </c>
      <c r="L65" s="343">
        <v>146</v>
      </c>
      <c r="M65" s="384">
        <v>46134</v>
      </c>
      <c r="N65" s="343" t="s">
        <v>234</v>
      </c>
      <c r="O65" s="343" t="s">
        <v>144</v>
      </c>
      <c r="Q65" s="343" t="s">
        <v>338</v>
      </c>
      <c r="R65" s="343" t="s">
        <v>148</v>
      </c>
      <c r="S65" s="384">
        <v>46146</v>
      </c>
      <c r="T65" s="384">
        <v>46152</v>
      </c>
    </row>
    <row r="66" spans="1:27">
      <c r="A66" s="343">
        <v>20260410</v>
      </c>
      <c r="B66" s="343">
        <v>13244.15</v>
      </c>
      <c r="C66" s="343">
        <v>49</v>
      </c>
      <c r="D66" s="343">
        <v>146</v>
      </c>
      <c r="E66" s="384">
        <v>46122</v>
      </c>
      <c r="F66" s="343" t="s">
        <v>236</v>
      </c>
      <c r="G66" s="343" t="s">
        <v>142</v>
      </c>
      <c r="I66" s="343">
        <v>20260429</v>
      </c>
      <c r="J66" s="343">
        <v>45097.66</v>
      </c>
      <c r="K66" s="343">
        <v>149</v>
      </c>
      <c r="L66" s="343">
        <v>414</v>
      </c>
      <c r="M66" s="384">
        <v>46141</v>
      </c>
      <c r="N66" s="343" t="s">
        <v>234</v>
      </c>
      <c r="O66" s="343" t="s">
        <v>147</v>
      </c>
      <c r="Q66" s="343" t="s">
        <v>338</v>
      </c>
      <c r="R66" s="343" t="s">
        <v>128</v>
      </c>
      <c r="S66" s="384">
        <v>46048</v>
      </c>
      <c r="T66" s="384">
        <v>46054</v>
      </c>
      <c r="U66" s="343" t="s">
        <v>281</v>
      </c>
      <c r="V66" s="343">
        <v>2516</v>
      </c>
      <c r="W66" s="343">
        <v>64386.03</v>
      </c>
      <c r="X66" s="343">
        <v>1398.75</v>
      </c>
      <c r="Y66" s="343">
        <v>143</v>
      </c>
      <c r="Z66" s="343">
        <v>65927.78</v>
      </c>
      <c r="AA66" s="343">
        <v>5150.99</v>
      </c>
    </row>
    <row r="67" spans="1:27">
      <c r="A67" s="343">
        <v>20260411</v>
      </c>
      <c r="B67" s="343">
        <v>4110.49</v>
      </c>
      <c r="C67" s="343">
        <v>1</v>
      </c>
      <c r="D67" s="343">
        <v>15</v>
      </c>
      <c r="E67" s="384">
        <v>46123</v>
      </c>
      <c r="F67" s="343" t="s">
        <v>244</v>
      </c>
      <c r="G67" s="343" t="s">
        <v>142</v>
      </c>
      <c r="I67" s="343">
        <v>20260506</v>
      </c>
      <c r="J67" s="343">
        <v>42085.71</v>
      </c>
      <c r="K67" s="343">
        <v>112</v>
      </c>
      <c r="L67" s="343">
        <v>325</v>
      </c>
      <c r="M67" s="384">
        <v>46148</v>
      </c>
      <c r="N67" s="343" t="s">
        <v>234</v>
      </c>
      <c r="O67" s="343" t="s">
        <v>148</v>
      </c>
      <c r="Q67" s="343" t="s">
        <v>338</v>
      </c>
      <c r="R67" s="343" t="s">
        <v>149</v>
      </c>
      <c r="S67" s="384">
        <v>46153</v>
      </c>
      <c r="T67" s="384">
        <v>46159</v>
      </c>
      <c r="U67" s="343" t="s">
        <v>285</v>
      </c>
      <c r="V67" s="343">
        <v>7097</v>
      </c>
      <c r="W67" s="343">
        <v>172806</v>
      </c>
      <c r="X67" s="343">
        <v>11913</v>
      </c>
      <c r="Y67" s="343">
        <v>459</v>
      </c>
      <c r="Z67" s="343">
        <v>185178</v>
      </c>
      <c r="AA67" s="343">
        <v>13824.48</v>
      </c>
    </row>
    <row r="68" spans="1:27">
      <c r="A68" s="343">
        <v>20260412</v>
      </c>
      <c r="B68" s="343">
        <v>5800.2</v>
      </c>
      <c r="C68" s="343">
        <v>1</v>
      </c>
      <c r="D68" s="343">
        <v>35</v>
      </c>
      <c r="E68" s="384">
        <v>46124</v>
      </c>
      <c r="F68" s="343" t="s">
        <v>245</v>
      </c>
      <c r="G68" s="343" t="s">
        <v>142</v>
      </c>
      <c r="I68" s="343">
        <v>20260513</v>
      </c>
      <c r="J68" s="343">
        <v>31810.25</v>
      </c>
      <c r="K68" s="343">
        <v>103</v>
      </c>
      <c r="L68" s="343">
        <v>273</v>
      </c>
      <c r="M68" s="384">
        <v>46155</v>
      </c>
      <c r="N68" s="343" t="s">
        <v>234</v>
      </c>
      <c r="O68" s="343" t="s">
        <v>149</v>
      </c>
      <c r="Q68" s="343" t="s">
        <v>338</v>
      </c>
      <c r="R68" s="343" t="s">
        <v>149</v>
      </c>
      <c r="S68" s="384">
        <v>46153</v>
      </c>
      <c r="T68" s="384">
        <v>46159</v>
      </c>
      <c r="U68" s="343" t="s">
        <v>342</v>
      </c>
      <c r="V68" s="343">
        <v>1458</v>
      </c>
      <c r="W68" s="343">
        <v>12938.5</v>
      </c>
      <c r="X68" s="343">
        <v>656.5</v>
      </c>
      <c r="Y68" s="343">
        <v>20</v>
      </c>
      <c r="Z68" s="343">
        <v>13615</v>
      </c>
      <c r="AA68" s="343">
        <v>1035.0899999999999</v>
      </c>
    </row>
    <row r="69" spans="1:27">
      <c r="A69" s="343">
        <v>20260413</v>
      </c>
      <c r="B69" s="343">
        <v>9491</v>
      </c>
      <c r="C69" s="343">
        <v>27</v>
      </c>
      <c r="D69" s="343">
        <v>82</v>
      </c>
      <c r="E69" s="384">
        <v>46125</v>
      </c>
      <c r="F69" s="343" t="s">
        <v>232</v>
      </c>
      <c r="G69" s="343" t="s">
        <v>143</v>
      </c>
      <c r="I69" s="343">
        <v>20260520</v>
      </c>
      <c r="J69" s="343">
        <v>28485.65</v>
      </c>
      <c r="K69" s="343">
        <v>90</v>
      </c>
      <c r="L69" s="343">
        <v>259</v>
      </c>
      <c r="M69" s="384">
        <v>46162</v>
      </c>
      <c r="N69" s="343" t="s">
        <v>234</v>
      </c>
      <c r="O69" s="343" t="s">
        <v>150</v>
      </c>
      <c r="Q69" s="343" t="s">
        <v>338</v>
      </c>
      <c r="R69" s="343" t="s">
        <v>149</v>
      </c>
      <c r="S69" s="384">
        <v>46153</v>
      </c>
      <c r="T69" s="384">
        <v>46159</v>
      </c>
      <c r="U69" s="343" t="s">
        <v>281</v>
      </c>
      <c r="V69" s="343">
        <v>1842</v>
      </c>
      <c r="W69" s="343">
        <v>43333.760000000002</v>
      </c>
      <c r="X69" s="343">
        <v>599</v>
      </c>
      <c r="Y69" s="343">
        <v>106</v>
      </c>
      <c r="Z69" s="343">
        <v>44038.76</v>
      </c>
      <c r="AA69" s="343">
        <v>3466.77</v>
      </c>
    </row>
    <row r="70" spans="1:27">
      <c r="A70" s="343">
        <v>20260414</v>
      </c>
      <c r="B70" s="343">
        <v>11032.4</v>
      </c>
      <c r="C70" s="343">
        <v>31</v>
      </c>
      <c r="D70" s="343">
        <v>110</v>
      </c>
      <c r="E70" s="384">
        <v>46126</v>
      </c>
      <c r="F70" s="343" t="s">
        <v>233</v>
      </c>
      <c r="G70" s="343" t="s">
        <v>143</v>
      </c>
      <c r="I70" s="343">
        <v>20260527</v>
      </c>
      <c r="J70" s="343">
        <v>26828.5</v>
      </c>
      <c r="K70" s="343">
        <v>99</v>
      </c>
      <c r="L70" s="343">
        <v>260</v>
      </c>
      <c r="M70" s="384">
        <v>46169</v>
      </c>
      <c r="N70" s="343" t="s">
        <v>234</v>
      </c>
      <c r="O70" s="343" t="s">
        <v>153</v>
      </c>
      <c r="Q70" s="343" t="s">
        <v>338</v>
      </c>
      <c r="R70" s="343" t="s">
        <v>149</v>
      </c>
      <c r="S70" s="384">
        <v>46153</v>
      </c>
      <c r="T70" s="384">
        <v>46159</v>
      </c>
      <c r="U70" s="343" t="s">
        <v>277</v>
      </c>
      <c r="V70" s="343">
        <v>184</v>
      </c>
      <c r="W70" s="343">
        <v>29415</v>
      </c>
      <c r="X70" s="343">
        <v>430</v>
      </c>
      <c r="Y70" s="343">
        <v>605</v>
      </c>
      <c r="Z70" s="343">
        <v>30450</v>
      </c>
      <c r="AA70" s="343">
        <v>2353.1999999999998</v>
      </c>
    </row>
    <row r="71" spans="1:27">
      <c r="A71" s="343">
        <v>20260415</v>
      </c>
      <c r="B71" s="343">
        <v>7291.25</v>
      </c>
      <c r="C71" s="343">
        <v>46</v>
      </c>
      <c r="D71" s="343">
        <v>106</v>
      </c>
      <c r="E71" s="384">
        <v>46127</v>
      </c>
      <c r="F71" s="343" t="s">
        <v>234</v>
      </c>
      <c r="G71" s="343" t="s">
        <v>143</v>
      </c>
      <c r="I71" s="343">
        <v>20260603</v>
      </c>
      <c r="J71" s="343">
        <v>23607</v>
      </c>
      <c r="K71" s="343">
        <v>66</v>
      </c>
      <c r="L71" s="343">
        <v>187</v>
      </c>
      <c r="M71" s="384">
        <v>46176</v>
      </c>
      <c r="N71" s="343" t="s">
        <v>234</v>
      </c>
      <c r="O71" s="343" t="s">
        <v>154</v>
      </c>
      <c r="Q71" s="343" t="s">
        <v>338</v>
      </c>
      <c r="R71" s="343" t="s">
        <v>122</v>
      </c>
      <c r="S71" s="384">
        <v>46020</v>
      </c>
      <c r="T71" s="384">
        <v>46026</v>
      </c>
      <c r="U71" s="343" t="s">
        <v>285</v>
      </c>
      <c r="V71" s="343">
        <v>10209</v>
      </c>
      <c r="W71" s="343">
        <v>362099.18</v>
      </c>
      <c r="X71" s="343">
        <v>8898.82</v>
      </c>
      <c r="Y71" s="343">
        <v>0</v>
      </c>
      <c r="Z71" s="343">
        <v>370998</v>
      </c>
      <c r="AA71" s="343">
        <v>28968.02</v>
      </c>
    </row>
    <row r="72" spans="1:27">
      <c r="A72" s="343">
        <v>20260416</v>
      </c>
      <c r="B72" s="343">
        <v>7274</v>
      </c>
      <c r="C72" s="343">
        <v>36</v>
      </c>
      <c r="D72" s="343">
        <v>89</v>
      </c>
      <c r="E72" s="384">
        <v>46128</v>
      </c>
      <c r="F72" s="343" t="s">
        <v>235</v>
      </c>
      <c r="G72" s="343" t="s">
        <v>143</v>
      </c>
      <c r="I72" s="343">
        <v>20260610</v>
      </c>
      <c r="J72" s="343">
        <v>35800.35</v>
      </c>
      <c r="K72" s="343">
        <v>80</v>
      </c>
      <c r="L72" s="343">
        <v>230</v>
      </c>
      <c r="M72" s="384">
        <v>46183</v>
      </c>
      <c r="N72" s="343" t="s">
        <v>234</v>
      </c>
      <c r="O72" s="343" t="s">
        <v>155</v>
      </c>
      <c r="Q72" s="343" t="s">
        <v>338</v>
      </c>
      <c r="R72" s="343" t="s">
        <v>122</v>
      </c>
      <c r="S72" s="384">
        <v>46020</v>
      </c>
      <c r="T72" s="384">
        <v>46026</v>
      </c>
      <c r="U72" s="343" t="s">
        <v>342</v>
      </c>
      <c r="V72" s="343">
        <v>2099</v>
      </c>
      <c r="W72" s="343">
        <v>18967.82</v>
      </c>
      <c r="X72" s="343">
        <v>591.17999999999995</v>
      </c>
      <c r="Y72" s="343">
        <v>0</v>
      </c>
      <c r="Z72" s="343">
        <v>19559</v>
      </c>
      <c r="AA72" s="343">
        <v>1517.44</v>
      </c>
    </row>
    <row r="73" spans="1:27">
      <c r="A73" s="343">
        <v>20260417</v>
      </c>
      <c r="B73" s="343">
        <v>9913.7000000000007</v>
      </c>
      <c r="C73" s="343">
        <v>48</v>
      </c>
      <c r="D73" s="343">
        <v>142</v>
      </c>
      <c r="E73" s="384">
        <v>46129</v>
      </c>
      <c r="F73" s="343" t="s">
        <v>236</v>
      </c>
      <c r="G73" s="343" t="s">
        <v>143</v>
      </c>
      <c r="I73" s="343">
        <v>20260617</v>
      </c>
      <c r="J73" s="343">
        <v>14759.75</v>
      </c>
      <c r="K73" s="343">
        <v>60</v>
      </c>
      <c r="L73" s="343">
        <v>161</v>
      </c>
      <c r="M73" s="384">
        <v>46190</v>
      </c>
      <c r="N73" s="343" t="s">
        <v>234</v>
      </c>
      <c r="O73" s="343" t="s">
        <v>156</v>
      </c>
      <c r="Q73" s="343" t="s">
        <v>338</v>
      </c>
      <c r="R73" s="343" t="s">
        <v>122</v>
      </c>
      <c r="S73" s="384">
        <v>46020</v>
      </c>
      <c r="T73" s="384">
        <v>46026</v>
      </c>
      <c r="U73" s="343" t="s">
        <v>281</v>
      </c>
      <c r="V73" s="343">
        <v>3393</v>
      </c>
      <c r="W73" s="343">
        <v>88062.92</v>
      </c>
      <c r="X73" s="343">
        <v>2869.33</v>
      </c>
      <c r="Y73" s="343">
        <v>0</v>
      </c>
      <c r="Z73" s="343">
        <v>90932.25</v>
      </c>
      <c r="AA73" s="343">
        <v>7045.29</v>
      </c>
    </row>
    <row r="74" spans="1:27">
      <c r="A74" s="343">
        <v>20260420</v>
      </c>
      <c r="B74" s="343">
        <v>5123.5</v>
      </c>
      <c r="C74" s="343">
        <v>29</v>
      </c>
      <c r="D74" s="343">
        <v>70</v>
      </c>
      <c r="E74" s="384">
        <v>46132</v>
      </c>
      <c r="F74" s="343" t="s">
        <v>232</v>
      </c>
      <c r="G74" s="343" t="s">
        <v>144</v>
      </c>
      <c r="I74" s="343">
        <v>20260624</v>
      </c>
      <c r="J74" s="343">
        <v>30400.79</v>
      </c>
      <c r="K74" s="343">
        <v>68</v>
      </c>
      <c r="L74" s="343">
        <v>191</v>
      </c>
      <c r="M74" s="384">
        <v>46197</v>
      </c>
      <c r="N74" s="343" t="s">
        <v>234</v>
      </c>
      <c r="O74" s="343" t="s">
        <v>157</v>
      </c>
      <c r="Q74" s="343" t="s">
        <v>338</v>
      </c>
      <c r="R74" s="343" t="s">
        <v>122</v>
      </c>
      <c r="S74" s="384">
        <v>46020</v>
      </c>
      <c r="T74" s="384">
        <v>46026</v>
      </c>
      <c r="U74" s="343" t="s">
        <v>279</v>
      </c>
      <c r="V74" s="343">
        <v>111</v>
      </c>
      <c r="W74" s="343">
        <v>1050</v>
      </c>
      <c r="X74" s="343">
        <v>60</v>
      </c>
      <c r="Y74" s="343">
        <v>0</v>
      </c>
      <c r="Z74" s="343">
        <v>1110</v>
      </c>
      <c r="AA74" s="343">
        <v>84</v>
      </c>
    </row>
    <row r="75" spans="1:27">
      <c r="A75" s="343">
        <v>20260421</v>
      </c>
      <c r="B75" s="343">
        <v>6672</v>
      </c>
      <c r="C75" s="343">
        <v>35</v>
      </c>
      <c r="D75" s="343">
        <v>89</v>
      </c>
      <c r="E75" s="384">
        <v>46133</v>
      </c>
      <c r="F75" s="343" t="s">
        <v>233</v>
      </c>
      <c r="G75" s="343" t="s">
        <v>144</v>
      </c>
      <c r="I75" s="343">
        <v>20260701</v>
      </c>
      <c r="J75" s="343">
        <v>18442.75</v>
      </c>
      <c r="K75" s="343">
        <v>65</v>
      </c>
      <c r="L75" s="343">
        <v>175</v>
      </c>
      <c r="M75" s="384">
        <v>46204</v>
      </c>
      <c r="N75" s="343" t="s">
        <v>234</v>
      </c>
      <c r="O75" s="343" t="s">
        <v>160</v>
      </c>
      <c r="Q75" s="343" t="s">
        <v>338</v>
      </c>
      <c r="R75" s="343" t="s">
        <v>122</v>
      </c>
      <c r="S75" s="384">
        <v>46020</v>
      </c>
      <c r="T75" s="384">
        <v>46026</v>
      </c>
      <c r="U75" s="343" t="s">
        <v>287</v>
      </c>
      <c r="V75" s="343">
        <v>930</v>
      </c>
      <c r="W75" s="343">
        <v>26003.33</v>
      </c>
      <c r="X75" s="343">
        <v>463.67</v>
      </c>
      <c r="Y75" s="343">
        <v>0</v>
      </c>
      <c r="Z75" s="343">
        <v>26467</v>
      </c>
      <c r="AA75" s="343">
        <v>2080.2600000000002</v>
      </c>
    </row>
    <row r="76" spans="1:27">
      <c r="A76" s="343">
        <v>20260422</v>
      </c>
      <c r="B76" s="343">
        <v>5669</v>
      </c>
      <c r="C76" s="343">
        <v>34</v>
      </c>
      <c r="D76" s="343">
        <v>86</v>
      </c>
      <c r="E76" s="384">
        <v>46134</v>
      </c>
      <c r="F76" s="343" t="s">
        <v>234</v>
      </c>
      <c r="G76" s="343" t="s">
        <v>144</v>
      </c>
      <c r="I76" s="343">
        <v>20260708</v>
      </c>
      <c r="J76" s="343">
        <v>19283.75</v>
      </c>
      <c r="K76" s="343">
        <v>70</v>
      </c>
      <c r="L76" s="343">
        <v>152</v>
      </c>
      <c r="M76" s="384">
        <v>46211</v>
      </c>
      <c r="N76" s="343" t="s">
        <v>234</v>
      </c>
      <c r="O76" s="343" t="s">
        <v>161</v>
      </c>
      <c r="Q76" s="343" t="s">
        <v>338</v>
      </c>
      <c r="R76" s="343" t="s">
        <v>123</v>
      </c>
      <c r="S76" s="384">
        <v>46027</v>
      </c>
      <c r="T76" s="384">
        <v>46033</v>
      </c>
      <c r="U76" s="343" t="s">
        <v>285</v>
      </c>
      <c r="V76" s="343">
        <v>6097</v>
      </c>
      <c r="W76" s="343">
        <v>178266.5</v>
      </c>
      <c r="X76" s="343">
        <v>8873.5</v>
      </c>
      <c r="Y76" s="343">
        <v>0</v>
      </c>
      <c r="Z76" s="343">
        <v>187140</v>
      </c>
      <c r="AA76" s="343">
        <v>14261.36</v>
      </c>
    </row>
    <row r="77" spans="1:27">
      <c r="A77" s="343">
        <v>20260423</v>
      </c>
      <c r="B77" s="343">
        <v>19856.150000000001</v>
      </c>
      <c r="C77" s="343">
        <v>53</v>
      </c>
      <c r="D77" s="343">
        <v>158</v>
      </c>
      <c r="E77" s="384">
        <v>46135</v>
      </c>
      <c r="F77" s="343" t="s">
        <v>235</v>
      </c>
      <c r="G77" s="343" t="s">
        <v>144</v>
      </c>
      <c r="I77" s="343">
        <v>20260715</v>
      </c>
      <c r="J77" s="343">
        <v>22956</v>
      </c>
      <c r="K77" s="343">
        <v>76</v>
      </c>
      <c r="L77" s="343">
        <v>177</v>
      </c>
      <c r="M77" s="384">
        <v>46218</v>
      </c>
      <c r="N77" s="343" t="s">
        <v>234</v>
      </c>
      <c r="O77" s="343" t="s">
        <v>162</v>
      </c>
      <c r="Q77" s="343" t="s">
        <v>338</v>
      </c>
      <c r="R77" s="343" t="s">
        <v>123</v>
      </c>
      <c r="S77" s="384">
        <v>46027</v>
      </c>
      <c r="T77" s="384">
        <v>46033</v>
      </c>
      <c r="U77" s="343" t="s">
        <v>342</v>
      </c>
      <c r="V77" s="343">
        <v>1384</v>
      </c>
      <c r="W77" s="343">
        <v>12591</v>
      </c>
      <c r="X77" s="343">
        <v>558</v>
      </c>
      <c r="Y77" s="343">
        <v>0</v>
      </c>
      <c r="Z77" s="343">
        <v>13149</v>
      </c>
      <c r="AA77" s="343">
        <v>1007.28</v>
      </c>
    </row>
    <row r="78" spans="1:27">
      <c r="A78" s="343">
        <v>20260424</v>
      </c>
      <c r="B78" s="343">
        <v>7229</v>
      </c>
      <c r="C78" s="343">
        <v>51</v>
      </c>
      <c r="D78" s="343">
        <v>109</v>
      </c>
      <c r="E78" s="384">
        <v>46136</v>
      </c>
      <c r="F78" s="343" t="s">
        <v>236</v>
      </c>
      <c r="G78" s="343" t="s">
        <v>144</v>
      </c>
      <c r="I78" s="343">
        <v>20260722</v>
      </c>
      <c r="J78" s="343">
        <v>23277.5</v>
      </c>
      <c r="K78" s="343">
        <v>81</v>
      </c>
      <c r="L78" s="343">
        <v>213</v>
      </c>
      <c r="M78" s="384">
        <v>46225</v>
      </c>
      <c r="N78" s="343" t="s">
        <v>234</v>
      </c>
      <c r="O78" s="343" t="s">
        <v>163</v>
      </c>
      <c r="Q78" s="343" t="s">
        <v>338</v>
      </c>
      <c r="R78" s="343" t="s">
        <v>123</v>
      </c>
      <c r="S78" s="384">
        <v>46027</v>
      </c>
      <c r="T78" s="384">
        <v>46033</v>
      </c>
      <c r="U78" s="343" t="s">
        <v>281</v>
      </c>
      <c r="V78" s="343">
        <v>2008</v>
      </c>
      <c r="W78" s="343">
        <v>50068.01</v>
      </c>
      <c r="X78" s="343">
        <v>1916.75</v>
      </c>
      <c r="Y78" s="343">
        <v>0</v>
      </c>
      <c r="Z78" s="343">
        <v>51984.76</v>
      </c>
      <c r="AA78" s="343">
        <v>4005.47</v>
      </c>
    </row>
    <row r="79" spans="1:27">
      <c r="A79" s="343">
        <v>20260426</v>
      </c>
      <c r="B79" s="343">
        <v>6116.25</v>
      </c>
      <c r="C79" s="343">
        <v>1</v>
      </c>
      <c r="D79" s="343">
        <v>13</v>
      </c>
      <c r="E79" s="384">
        <v>46138</v>
      </c>
      <c r="F79" s="343" t="s">
        <v>245</v>
      </c>
      <c r="G79" s="343" t="s">
        <v>144</v>
      </c>
      <c r="I79" s="343">
        <v>20260729</v>
      </c>
      <c r="J79" s="343">
        <v>17277.5</v>
      </c>
      <c r="K79" s="343">
        <v>84</v>
      </c>
      <c r="L79" s="343">
        <v>159</v>
      </c>
      <c r="M79" s="384">
        <v>46232</v>
      </c>
      <c r="N79" s="343" t="s">
        <v>234</v>
      </c>
      <c r="O79" s="343" t="s">
        <v>166</v>
      </c>
      <c r="Q79" s="343" t="s">
        <v>338</v>
      </c>
      <c r="R79" s="343" t="s">
        <v>123</v>
      </c>
      <c r="S79" s="384">
        <v>46027</v>
      </c>
      <c r="T79" s="384">
        <v>46033</v>
      </c>
      <c r="U79" s="343" t="s">
        <v>277</v>
      </c>
      <c r="V79" s="343">
        <v>195</v>
      </c>
      <c r="W79" s="343">
        <v>36155</v>
      </c>
      <c r="X79" s="343">
        <v>100</v>
      </c>
      <c r="Y79" s="343">
        <v>0</v>
      </c>
      <c r="Z79" s="343">
        <v>36255</v>
      </c>
      <c r="AA79" s="343">
        <v>2892.4</v>
      </c>
    </row>
    <row r="80" spans="1:27">
      <c r="A80" s="343">
        <v>20260427</v>
      </c>
      <c r="B80" s="343">
        <v>4980.5</v>
      </c>
      <c r="C80" s="343">
        <v>28</v>
      </c>
      <c r="D80" s="343">
        <v>76</v>
      </c>
      <c r="E80" s="384">
        <v>46139</v>
      </c>
      <c r="F80" s="343" t="s">
        <v>232</v>
      </c>
      <c r="G80" s="343" t="s">
        <v>147</v>
      </c>
      <c r="I80" s="343">
        <v>20260805</v>
      </c>
      <c r="J80" s="343">
        <v>24100</v>
      </c>
      <c r="K80" s="343">
        <v>79</v>
      </c>
      <c r="L80" s="343">
        <v>224</v>
      </c>
      <c r="M80" s="384">
        <v>46239</v>
      </c>
      <c r="N80" s="343" t="s">
        <v>234</v>
      </c>
      <c r="O80" s="343" t="s">
        <v>167</v>
      </c>
      <c r="Q80" s="343" t="s">
        <v>338</v>
      </c>
      <c r="R80" s="343" t="s">
        <v>123</v>
      </c>
      <c r="S80" s="384">
        <v>46027</v>
      </c>
      <c r="T80" s="384">
        <v>46033</v>
      </c>
      <c r="U80" s="343" t="s">
        <v>287</v>
      </c>
      <c r="V80" s="343">
        <v>698</v>
      </c>
      <c r="W80" s="343">
        <v>18748</v>
      </c>
      <c r="X80" s="343">
        <v>907</v>
      </c>
      <c r="Y80" s="343">
        <v>0</v>
      </c>
      <c r="Z80" s="343">
        <v>19655</v>
      </c>
      <c r="AA80" s="343">
        <v>1499.84</v>
      </c>
    </row>
    <row r="81" spans="1:27">
      <c r="A81" s="343">
        <v>20260428</v>
      </c>
      <c r="B81" s="343">
        <v>7342.25</v>
      </c>
      <c r="C81" s="343">
        <v>26</v>
      </c>
      <c r="D81" s="343">
        <v>71</v>
      </c>
      <c r="E81" s="384">
        <v>46140</v>
      </c>
      <c r="F81" s="343" t="s">
        <v>233</v>
      </c>
      <c r="G81" s="343" t="s">
        <v>147</v>
      </c>
      <c r="I81" s="343">
        <v>20260812</v>
      </c>
      <c r="J81" s="343">
        <v>27205.75</v>
      </c>
      <c r="K81" s="343">
        <v>92</v>
      </c>
      <c r="L81" s="343">
        <v>235</v>
      </c>
      <c r="M81" s="384">
        <v>46246</v>
      </c>
      <c r="N81" s="343" t="s">
        <v>234</v>
      </c>
      <c r="O81" s="343" t="s">
        <v>168</v>
      </c>
      <c r="Q81" s="343" t="s">
        <v>338</v>
      </c>
      <c r="R81" s="343" t="s">
        <v>124</v>
      </c>
      <c r="S81" s="384">
        <v>46034</v>
      </c>
      <c r="T81" s="384">
        <v>46040</v>
      </c>
      <c r="U81" s="343" t="s">
        <v>285</v>
      </c>
      <c r="V81" s="343">
        <v>7156</v>
      </c>
      <c r="W81" s="343">
        <v>208205.5</v>
      </c>
      <c r="X81" s="343">
        <v>9370.5</v>
      </c>
      <c r="Y81" s="343">
        <v>0</v>
      </c>
      <c r="Z81" s="343">
        <v>217576</v>
      </c>
      <c r="AA81" s="343">
        <v>16656.45</v>
      </c>
    </row>
    <row r="82" spans="1:27">
      <c r="A82" s="343">
        <v>20260429</v>
      </c>
      <c r="B82" s="343">
        <v>4049.01</v>
      </c>
      <c r="C82" s="343">
        <v>26</v>
      </c>
      <c r="D82" s="343">
        <v>73</v>
      </c>
      <c r="E82" s="384">
        <v>46141</v>
      </c>
      <c r="F82" s="343" t="s">
        <v>234</v>
      </c>
      <c r="G82" s="343" t="s">
        <v>147</v>
      </c>
      <c r="I82" s="343">
        <v>20260819</v>
      </c>
      <c r="J82" s="343">
        <v>25214.75</v>
      </c>
      <c r="K82" s="343">
        <v>169</v>
      </c>
      <c r="L82" s="343">
        <v>1136</v>
      </c>
      <c r="M82" s="384">
        <v>46253</v>
      </c>
      <c r="N82" s="343" t="s">
        <v>234</v>
      </c>
      <c r="O82" s="343" t="s">
        <v>101</v>
      </c>
      <c r="Q82" s="343" t="s">
        <v>338</v>
      </c>
      <c r="R82" s="343" t="s">
        <v>124</v>
      </c>
      <c r="S82" s="384">
        <v>46034</v>
      </c>
      <c r="T82" s="384">
        <v>46040</v>
      </c>
      <c r="U82" s="343" t="s">
        <v>342</v>
      </c>
      <c r="V82" s="343">
        <v>1577</v>
      </c>
      <c r="W82" s="343">
        <v>14920</v>
      </c>
      <c r="X82" s="343">
        <v>342</v>
      </c>
      <c r="Y82" s="343">
        <v>0</v>
      </c>
      <c r="Z82" s="343">
        <v>15262</v>
      </c>
      <c r="AA82" s="343">
        <v>1193.5999999999999</v>
      </c>
    </row>
    <row r="83" spans="1:27">
      <c r="A83" s="343">
        <v>20260430</v>
      </c>
      <c r="B83" s="343">
        <v>7080.26</v>
      </c>
      <c r="C83" s="343">
        <v>39</v>
      </c>
      <c r="D83" s="343">
        <v>98</v>
      </c>
      <c r="E83" s="384">
        <v>46142</v>
      </c>
      <c r="F83" s="343" t="s">
        <v>235</v>
      </c>
      <c r="G83" s="343" t="s">
        <v>147</v>
      </c>
      <c r="I83" s="343">
        <v>20250206</v>
      </c>
      <c r="J83" s="343">
        <v>40059.85</v>
      </c>
      <c r="K83" s="343">
        <v>224</v>
      </c>
      <c r="L83" s="343">
        <v>234</v>
      </c>
      <c r="M83" s="384">
        <v>45694</v>
      </c>
      <c r="N83" s="343" t="s">
        <v>235</v>
      </c>
      <c r="O83" s="343" t="s">
        <v>282</v>
      </c>
      <c r="Q83" s="343" t="s">
        <v>338</v>
      </c>
      <c r="R83" s="343" t="s">
        <v>124</v>
      </c>
      <c r="S83" s="384">
        <v>46034</v>
      </c>
      <c r="T83" s="384">
        <v>46040</v>
      </c>
      <c r="U83" s="343" t="s">
        <v>281</v>
      </c>
      <c r="V83" s="343">
        <v>2600</v>
      </c>
      <c r="W83" s="343">
        <v>63297</v>
      </c>
      <c r="X83" s="343">
        <v>2238.5</v>
      </c>
      <c r="Y83" s="343">
        <v>0</v>
      </c>
      <c r="Z83" s="343">
        <v>65535.5</v>
      </c>
      <c r="AA83" s="343">
        <v>5063.82</v>
      </c>
    </row>
    <row r="84" spans="1:27">
      <c r="A84" s="343">
        <v>20260501</v>
      </c>
      <c r="B84" s="343">
        <v>6904.9</v>
      </c>
      <c r="C84" s="343">
        <v>47</v>
      </c>
      <c r="D84" s="343">
        <v>110</v>
      </c>
      <c r="E84" s="384">
        <v>46143</v>
      </c>
      <c r="F84" s="343" t="s">
        <v>236</v>
      </c>
      <c r="G84" s="343" t="s">
        <v>147</v>
      </c>
      <c r="I84" s="343">
        <v>20250213</v>
      </c>
      <c r="J84" s="343">
        <v>55626.45</v>
      </c>
      <c r="K84" s="343">
        <v>236</v>
      </c>
      <c r="L84" s="343">
        <v>516</v>
      </c>
      <c r="M84" s="384">
        <v>45701</v>
      </c>
      <c r="N84" s="343" t="s">
        <v>235</v>
      </c>
      <c r="O84" s="343" t="s">
        <v>284</v>
      </c>
      <c r="Q84" s="343" t="s">
        <v>338</v>
      </c>
      <c r="R84" s="343" t="s">
        <v>124</v>
      </c>
      <c r="S84" s="384">
        <v>46034</v>
      </c>
      <c r="T84" s="384">
        <v>46040</v>
      </c>
      <c r="U84" s="343" t="s">
        <v>287</v>
      </c>
      <c r="V84" s="343">
        <v>846</v>
      </c>
      <c r="W84" s="343">
        <v>23153</v>
      </c>
      <c r="X84" s="343">
        <v>563</v>
      </c>
      <c r="Y84" s="343">
        <v>0</v>
      </c>
      <c r="Z84" s="343">
        <v>23716</v>
      </c>
      <c r="AA84" s="343">
        <v>1852.24</v>
      </c>
    </row>
    <row r="85" spans="1:27">
      <c r="A85" s="343">
        <v>20260502</v>
      </c>
      <c r="B85" s="343">
        <v>361</v>
      </c>
      <c r="C85" s="343">
        <v>1</v>
      </c>
      <c r="D85" s="343">
        <v>2</v>
      </c>
      <c r="E85" s="384">
        <v>46144</v>
      </c>
      <c r="F85" s="343" t="s">
        <v>244</v>
      </c>
      <c r="G85" s="343" t="s">
        <v>147</v>
      </c>
      <c r="I85" s="343">
        <v>20250220</v>
      </c>
      <c r="J85" s="343">
        <v>56490.5</v>
      </c>
      <c r="K85" s="343">
        <v>264</v>
      </c>
      <c r="L85" s="343">
        <v>1378</v>
      </c>
      <c r="M85" s="384">
        <v>45708</v>
      </c>
      <c r="N85" s="343" t="s">
        <v>235</v>
      </c>
      <c r="O85" s="343" t="s">
        <v>286</v>
      </c>
      <c r="Q85" s="343" t="s">
        <v>338</v>
      </c>
      <c r="R85" s="343" t="s">
        <v>125</v>
      </c>
      <c r="S85" s="384">
        <v>46041</v>
      </c>
      <c r="T85" s="384">
        <v>46047</v>
      </c>
      <c r="U85" s="343" t="s">
        <v>285</v>
      </c>
      <c r="V85" s="343">
        <v>7086</v>
      </c>
      <c r="W85" s="343">
        <v>201713.41</v>
      </c>
      <c r="X85" s="343">
        <v>9472.59</v>
      </c>
      <c r="Y85" s="343">
        <v>0</v>
      </c>
      <c r="Z85" s="343">
        <v>211186</v>
      </c>
      <c r="AA85" s="343">
        <v>16137.14</v>
      </c>
    </row>
    <row r="86" spans="1:27">
      <c r="A86" s="343">
        <v>20260503</v>
      </c>
      <c r="C86" s="343">
        <v>1</v>
      </c>
      <c r="D86" s="343">
        <v>1</v>
      </c>
      <c r="E86" s="384">
        <v>46145</v>
      </c>
      <c r="F86" s="343" t="s">
        <v>245</v>
      </c>
      <c r="G86" s="343" t="s">
        <v>147</v>
      </c>
      <c r="I86" s="343">
        <v>20250227</v>
      </c>
      <c r="J86" s="343">
        <v>69759.75</v>
      </c>
      <c r="K86" s="343">
        <v>259</v>
      </c>
      <c r="L86" s="343">
        <v>632</v>
      </c>
      <c r="M86" s="384">
        <v>45715</v>
      </c>
      <c r="N86" s="343" t="s">
        <v>235</v>
      </c>
      <c r="O86" s="343" t="s">
        <v>288</v>
      </c>
      <c r="Q86" s="343" t="s">
        <v>338</v>
      </c>
      <c r="R86" s="343" t="s">
        <v>125</v>
      </c>
      <c r="S86" s="384">
        <v>46041</v>
      </c>
      <c r="T86" s="384">
        <v>46047</v>
      </c>
      <c r="U86" s="343" t="s">
        <v>342</v>
      </c>
      <c r="V86" s="343">
        <v>1528</v>
      </c>
      <c r="W86" s="343">
        <v>14213</v>
      </c>
      <c r="X86" s="343">
        <v>439</v>
      </c>
      <c r="Y86" s="343">
        <v>0</v>
      </c>
      <c r="Z86" s="343">
        <v>14652</v>
      </c>
      <c r="AA86" s="343">
        <v>1137.04</v>
      </c>
    </row>
    <row r="87" spans="1:27">
      <c r="A87" s="343">
        <v>20260504</v>
      </c>
      <c r="B87" s="343">
        <v>7207.25</v>
      </c>
      <c r="C87" s="343">
        <v>37</v>
      </c>
      <c r="D87" s="343">
        <v>94</v>
      </c>
      <c r="E87" s="384">
        <v>46146</v>
      </c>
      <c r="F87" s="343" t="s">
        <v>232</v>
      </c>
      <c r="G87" s="343" t="s">
        <v>148</v>
      </c>
      <c r="I87" s="343">
        <v>20250306</v>
      </c>
      <c r="J87" s="343">
        <v>64635.33</v>
      </c>
      <c r="K87" s="343">
        <v>286</v>
      </c>
      <c r="L87" s="343">
        <v>647</v>
      </c>
      <c r="M87" s="384">
        <v>45722</v>
      </c>
      <c r="N87" s="343" t="s">
        <v>235</v>
      </c>
      <c r="O87" s="343" t="s">
        <v>290</v>
      </c>
      <c r="Q87" s="343" t="s">
        <v>338</v>
      </c>
      <c r="R87" s="343" t="s">
        <v>125</v>
      </c>
      <c r="S87" s="384">
        <v>46041</v>
      </c>
      <c r="T87" s="384">
        <v>46047</v>
      </c>
      <c r="U87" s="343" t="s">
        <v>281</v>
      </c>
      <c r="V87" s="343">
        <v>2488</v>
      </c>
      <c r="W87" s="343">
        <v>66203</v>
      </c>
      <c r="X87" s="343">
        <v>1847.75</v>
      </c>
      <c r="Y87" s="343">
        <v>0</v>
      </c>
      <c r="Z87" s="343">
        <v>68050.75</v>
      </c>
      <c r="AA87" s="343">
        <v>5296.26</v>
      </c>
    </row>
    <row r="88" spans="1:27">
      <c r="A88" s="343">
        <v>20260505</v>
      </c>
      <c r="B88" s="343">
        <v>3436.8</v>
      </c>
      <c r="C88" s="343">
        <v>24</v>
      </c>
      <c r="D88" s="343">
        <v>56</v>
      </c>
      <c r="E88" s="384">
        <v>46147</v>
      </c>
      <c r="F88" s="343" t="s">
        <v>233</v>
      </c>
      <c r="G88" s="343" t="s">
        <v>148</v>
      </c>
      <c r="I88" s="343">
        <v>20250313</v>
      </c>
      <c r="J88" s="343">
        <v>51447.5</v>
      </c>
      <c r="K88" s="343">
        <v>221</v>
      </c>
      <c r="L88" s="343">
        <v>511</v>
      </c>
      <c r="M88" s="384">
        <v>45729</v>
      </c>
      <c r="N88" s="343" t="s">
        <v>235</v>
      </c>
      <c r="O88" s="343" t="s">
        <v>292</v>
      </c>
      <c r="Q88" s="343" t="s">
        <v>338</v>
      </c>
      <c r="R88" s="343" t="s">
        <v>125</v>
      </c>
      <c r="S88" s="384">
        <v>46041</v>
      </c>
      <c r="T88" s="384">
        <v>46047</v>
      </c>
      <c r="U88" s="343" t="s">
        <v>279</v>
      </c>
      <c r="V88" s="343">
        <v>137</v>
      </c>
      <c r="W88" s="343">
        <v>1360</v>
      </c>
      <c r="X88" s="343">
        <v>10</v>
      </c>
      <c r="Y88" s="343">
        <v>0</v>
      </c>
      <c r="Z88" s="343">
        <v>1370</v>
      </c>
      <c r="AA88" s="343">
        <v>108.8</v>
      </c>
    </row>
    <row r="89" spans="1:27">
      <c r="A89" s="343">
        <v>20260506</v>
      </c>
      <c r="B89" s="343">
        <v>9123.7000000000007</v>
      </c>
      <c r="C89" s="343">
        <v>40</v>
      </c>
      <c r="D89" s="343">
        <v>144</v>
      </c>
      <c r="E89" s="384">
        <v>46148</v>
      </c>
      <c r="F89" s="343" t="s">
        <v>234</v>
      </c>
      <c r="G89" s="343" t="s">
        <v>148</v>
      </c>
      <c r="I89" s="343">
        <v>20250320</v>
      </c>
      <c r="J89" s="343">
        <v>74494.850000000006</v>
      </c>
      <c r="K89" s="343">
        <v>272</v>
      </c>
      <c r="L89" s="343">
        <v>616</v>
      </c>
      <c r="M89" s="384">
        <v>45736</v>
      </c>
      <c r="N89" s="343" t="s">
        <v>235</v>
      </c>
      <c r="O89" s="343" t="s">
        <v>294</v>
      </c>
      <c r="Q89" s="343" t="s">
        <v>338</v>
      </c>
      <c r="R89" s="343" t="s">
        <v>125</v>
      </c>
      <c r="S89" s="384">
        <v>46041</v>
      </c>
      <c r="T89" s="384">
        <v>46047</v>
      </c>
      <c r="U89" s="343" t="s">
        <v>277</v>
      </c>
      <c r="V89" s="343">
        <v>252</v>
      </c>
      <c r="W89" s="343">
        <v>55215</v>
      </c>
      <c r="X89" s="343">
        <v>520</v>
      </c>
      <c r="Y89" s="343">
        <v>0</v>
      </c>
      <c r="Z89" s="343">
        <v>55735</v>
      </c>
      <c r="AA89" s="343">
        <v>4417.2</v>
      </c>
    </row>
    <row r="90" spans="1:27">
      <c r="A90" s="343">
        <v>20260507</v>
      </c>
      <c r="B90" s="343">
        <v>5341.85</v>
      </c>
      <c r="C90" s="343">
        <v>34</v>
      </c>
      <c r="D90" s="343">
        <v>101</v>
      </c>
      <c r="E90" s="384">
        <v>46149</v>
      </c>
      <c r="F90" s="343" t="s">
        <v>235</v>
      </c>
      <c r="G90" s="343" t="s">
        <v>148</v>
      </c>
      <c r="I90" s="343">
        <v>20250327</v>
      </c>
      <c r="J90" s="343">
        <v>62281</v>
      </c>
      <c r="K90" s="343">
        <v>181</v>
      </c>
      <c r="L90" s="343">
        <v>485</v>
      </c>
      <c r="M90" s="384">
        <v>45743</v>
      </c>
      <c r="N90" s="343" t="s">
        <v>235</v>
      </c>
      <c r="O90" s="343" t="s">
        <v>295</v>
      </c>
      <c r="Q90" s="343" t="s">
        <v>338</v>
      </c>
      <c r="R90" s="343" t="s">
        <v>125</v>
      </c>
      <c r="S90" s="384">
        <v>46041</v>
      </c>
      <c r="T90" s="384">
        <v>46047</v>
      </c>
      <c r="U90" s="343" t="s">
        <v>287</v>
      </c>
      <c r="V90" s="343">
        <v>714</v>
      </c>
      <c r="W90" s="343">
        <v>18295.09</v>
      </c>
      <c r="X90" s="343">
        <v>590.91</v>
      </c>
      <c r="Y90" s="343">
        <v>0</v>
      </c>
      <c r="Z90" s="343">
        <v>18886</v>
      </c>
      <c r="AA90" s="343">
        <v>1463.61</v>
      </c>
    </row>
    <row r="91" spans="1:27">
      <c r="A91" s="343">
        <v>20260508</v>
      </c>
      <c r="B91" s="343">
        <v>6387</v>
      </c>
      <c r="C91" s="343">
        <v>86</v>
      </c>
      <c r="D91" s="343">
        <v>139</v>
      </c>
      <c r="E91" s="384">
        <v>46150</v>
      </c>
      <c r="F91" s="343" t="s">
        <v>236</v>
      </c>
      <c r="G91" s="343" t="s">
        <v>148</v>
      </c>
      <c r="I91" s="343">
        <v>20250403</v>
      </c>
      <c r="J91" s="343">
        <v>89334</v>
      </c>
      <c r="K91" s="343">
        <v>6</v>
      </c>
      <c r="L91" s="343">
        <v>190</v>
      </c>
      <c r="M91" s="384">
        <v>45750</v>
      </c>
      <c r="N91" s="343" t="s">
        <v>235</v>
      </c>
      <c r="O91" s="343" t="s">
        <v>296</v>
      </c>
      <c r="Q91" s="343" t="s">
        <v>338</v>
      </c>
      <c r="R91" s="343" t="s">
        <v>128</v>
      </c>
      <c r="S91" s="384">
        <v>46048</v>
      </c>
      <c r="T91" s="384">
        <v>46054</v>
      </c>
      <c r="U91" s="343" t="s">
        <v>285</v>
      </c>
      <c r="V91" s="343">
        <v>7669</v>
      </c>
      <c r="W91" s="343">
        <v>235143.41</v>
      </c>
      <c r="X91" s="343">
        <v>7602.25</v>
      </c>
      <c r="Y91" s="343">
        <v>0</v>
      </c>
      <c r="Z91" s="343">
        <v>242745.66</v>
      </c>
      <c r="AA91" s="343">
        <v>18811.509999999998</v>
      </c>
    </row>
    <row r="92" spans="1:27">
      <c r="A92" s="343">
        <v>20260510</v>
      </c>
      <c r="B92" s="343">
        <v>44717.5</v>
      </c>
      <c r="C92" s="343">
        <v>134</v>
      </c>
      <c r="D92" s="343">
        <v>449</v>
      </c>
      <c r="E92" s="384">
        <v>46152</v>
      </c>
      <c r="F92" s="343" t="s">
        <v>245</v>
      </c>
      <c r="G92" s="343" t="s">
        <v>148</v>
      </c>
      <c r="I92" s="343">
        <v>20250410</v>
      </c>
      <c r="J92" s="343">
        <v>65727</v>
      </c>
      <c r="K92" s="343">
        <v>239</v>
      </c>
      <c r="L92" s="343">
        <v>607</v>
      </c>
      <c r="M92" s="384">
        <v>45757</v>
      </c>
      <c r="N92" s="343" t="s">
        <v>235</v>
      </c>
      <c r="O92" s="343" t="s">
        <v>297</v>
      </c>
      <c r="Q92" s="343" t="s">
        <v>338</v>
      </c>
      <c r="R92" s="343" t="s">
        <v>128</v>
      </c>
      <c r="S92" s="384">
        <v>46048</v>
      </c>
      <c r="T92" s="384">
        <v>46054</v>
      </c>
      <c r="U92" s="343" t="s">
        <v>342</v>
      </c>
      <c r="V92" s="343">
        <v>1797</v>
      </c>
      <c r="W92" s="343">
        <v>16521</v>
      </c>
      <c r="X92" s="343">
        <v>471</v>
      </c>
      <c r="Y92" s="343">
        <v>0</v>
      </c>
      <c r="Z92" s="343">
        <v>16992</v>
      </c>
      <c r="AA92" s="343">
        <v>1321.68</v>
      </c>
    </row>
    <row r="93" spans="1:27">
      <c r="A93" s="343">
        <v>20260511</v>
      </c>
      <c r="B93" s="343">
        <v>9084.89</v>
      </c>
      <c r="C93" s="343">
        <v>27</v>
      </c>
      <c r="D93" s="343">
        <v>105</v>
      </c>
      <c r="E93" s="384">
        <v>46153</v>
      </c>
      <c r="F93" s="343" t="s">
        <v>232</v>
      </c>
      <c r="G93" s="343" t="s">
        <v>149</v>
      </c>
      <c r="I93" s="343">
        <v>20250417</v>
      </c>
      <c r="J93" s="343">
        <v>74834.460000000006</v>
      </c>
      <c r="K93" s="343">
        <v>264</v>
      </c>
      <c r="L93" s="343">
        <v>640</v>
      </c>
      <c r="M93" s="384">
        <v>45764</v>
      </c>
      <c r="N93" s="343" t="s">
        <v>235</v>
      </c>
      <c r="O93" s="343" t="s">
        <v>298</v>
      </c>
      <c r="Q93" s="343" t="s">
        <v>338</v>
      </c>
      <c r="R93" s="343" t="s">
        <v>128</v>
      </c>
      <c r="S93" s="384">
        <v>46048</v>
      </c>
      <c r="T93" s="384">
        <v>46054</v>
      </c>
      <c r="U93" s="343" t="s">
        <v>279</v>
      </c>
      <c r="V93" s="343">
        <v>114</v>
      </c>
      <c r="W93" s="343">
        <v>1120</v>
      </c>
      <c r="X93" s="343">
        <v>20</v>
      </c>
      <c r="Y93" s="343">
        <v>0</v>
      </c>
      <c r="Z93" s="343">
        <v>1140</v>
      </c>
      <c r="AA93" s="343">
        <v>89.6</v>
      </c>
    </row>
    <row r="94" spans="1:27">
      <c r="A94" s="343">
        <v>20260512</v>
      </c>
      <c r="B94" s="343">
        <v>16718.59</v>
      </c>
      <c r="C94" s="343">
        <v>35</v>
      </c>
      <c r="D94" s="343">
        <v>195</v>
      </c>
      <c r="E94" s="384">
        <v>46154</v>
      </c>
      <c r="F94" s="343" t="s">
        <v>233</v>
      </c>
      <c r="G94" s="343" t="s">
        <v>149</v>
      </c>
      <c r="I94" s="343">
        <v>20250424</v>
      </c>
      <c r="J94" s="343">
        <v>57978.25</v>
      </c>
      <c r="K94" s="343">
        <v>206</v>
      </c>
      <c r="L94" s="343">
        <v>430</v>
      </c>
      <c r="M94" s="384">
        <v>45771</v>
      </c>
      <c r="N94" s="343" t="s">
        <v>235</v>
      </c>
      <c r="O94" s="343" t="s">
        <v>299</v>
      </c>
      <c r="Q94" s="343" t="s">
        <v>338</v>
      </c>
      <c r="R94" s="343" t="s">
        <v>128</v>
      </c>
      <c r="S94" s="384">
        <v>46048</v>
      </c>
      <c r="T94" s="384">
        <v>46054</v>
      </c>
      <c r="U94" s="343" t="s">
        <v>287</v>
      </c>
      <c r="V94" s="343">
        <v>771</v>
      </c>
      <c r="W94" s="343">
        <v>20199</v>
      </c>
      <c r="X94" s="343">
        <v>468</v>
      </c>
      <c r="Y94" s="343">
        <v>0</v>
      </c>
      <c r="Z94" s="343">
        <v>20667</v>
      </c>
      <c r="AA94" s="343">
        <v>1615.92</v>
      </c>
    </row>
    <row r="95" spans="1:27">
      <c r="A95" s="343">
        <v>20260513</v>
      </c>
      <c r="B95" s="343">
        <v>3075</v>
      </c>
      <c r="C95" s="343">
        <v>21</v>
      </c>
      <c r="D95" s="343">
        <v>49</v>
      </c>
      <c r="E95" s="384">
        <v>46155</v>
      </c>
      <c r="F95" s="343" t="s">
        <v>234</v>
      </c>
      <c r="G95" s="343" t="s">
        <v>149</v>
      </c>
      <c r="I95" s="343">
        <v>20250501</v>
      </c>
      <c r="J95" s="343">
        <v>70139.5</v>
      </c>
      <c r="K95" s="343">
        <v>295</v>
      </c>
      <c r="L95" s="343">
        <v>597</v>
      </c>
      <c r="M95" s="384">
        <v>45778</v>
      </c>
      <c r="N95" s="343" t="s">
        <v>235</v>
      </c>
      <c r="O95" s="343" t="s">
        <v>300</v>
      </c>
      <c r="Q95" s="343" t="s">
        <v>338</v>
      </c>
      <c r="R95" s="343" t="s">
        <v>129</v>
      </c>
      <c r="S95" s="384">
        <v>46055</v>
      </c>
      <c r="T95" s="384">
        <v>46061</v>
      </c>
      <c r="U95" s="343" t="s">
        <v>285</v>
      </c>
      <c r="V95" s="343">
        <v>6760</v>
      </c>
      <c r="W95" s="343">
        <v>188115.15</v>
      </c>
      <c r="X95" s="343">
        <v>7451.71</v>
      </c>
      <c r="Y95" s="343">
        <v>0</v>
      </c>
      <c r="Z95" s="343">
        <v>195566.86</v>
      </c>
      <c r="AA95" s="343">
        <v>15049.21</v>
      </c>
    </row>
    <row r="96" spans="1:27">
      <c r="A96" s="343">
        <v>20260514</v>
      </c>
      <c r="B96" s="343">
        <v>11818.52</v>
      </c>
      <c r="C96" s="343">
        <v>29</v>
      </c>
      <c r="D96" s="343">
        <v>125</v>
      </c>
      <c r="E96" s="384">
        <v>46156</v>
      </c>
      <c r="F96" s="343" t="s">
        <v>235</v>
      </c>
      <c r="G96" s="343" t="s">
        <v>149</v>
      </c>
      <c r="I96" s="343">
        <v>20250508</v>
      </c>
      <c r="J96" s="343">
        <v>57215.25</v>
      </c>
      <c r="K96" s="343">
        <v>238</v>
      </c>
      <c r="L96" s="343">
        <v>544</v>
      </c>
      <c r="M96" s="384">
        <v>45785</v>
      </c>
      <c r="N96" s="343" t="s">
        <v>235</v>
      </c>
      <c r="O96" s="343" t="s">
        <v>301</v>
      </c>
      <c r="Q96" s="343" t="s">
        <v>338</v>
      </c>
      <c r="R96" s="343" t="s">
        <v>129</v>
      </c>
      <c r="S96" s="384">
        <v>46055</v>
      </c>
      <c r="T96" s="384">
        <v>46061</v>
      </c>
      <c r="U96" s="343" t="s">
        <v>342</v>
      </c>
      <c r="V96" s="343">
        <v>1295</v>
      </c>
      <c r="W96" s="343">
        <v>11941.02</v>
      </c>
      <c r="X96" s="343">
        <v>250.98</v>
      </c>
      <c r="Y96" s="343">
        <v>0</v>
      </c>
      <c r="Z96" s="343">
        <v>12192</v>
      </c>
      <c r="AA96" s="343">
        <v>955.3</v>
      </c>
    </row>
    <row r="97" spans="1:27">
      <c r="A97" s="343">
        <v>20260515</v>
      </c>
      <c r="B97" s="343">
        <v>12446.61</v>
      </c>
      <c r="C97" s="343">
        <v>27</v>
      </c>
      <c r="D97" s="343">
        <v>101</v>
      </c>
      <c r="E97" s="384">
        <v>46157</v>
      </c>
      <c r="F97" s="343" t="s">
        <v>236</v>
      </c>
      <c r="G97" s="343" t="s">
        <v>149</v>
      </c>
      <c r="I97" s="343">
        <v>20250515</v>
      </c>
      <c r="J97" s="343">
        <v>66175.539999999994</v>
      </c>
      <c r="K97" s="343">
        <v>220</v>
      </c>
      <c r="L97" s="343">
        <v>541</v>
      </c>
      <c r="M97" s="384">
        <v>45792</v>
      </c>
      <c r="N97" s="343" t="s">
        <v>235</v>
      </c>
      <c r="O97" s="343" t="s">
        <v>302</v>
      </c>
      <c r="Q97" s="343" t="s">
        <v>338</v>
      </c>
      <c r="R97" s="343" t="s">
        <v>129</v>
      </c>
      <c r="S97" s="384">
        <v>46055</v>
      </c>
      <c r="T97" s="384">
        <v>46061</v>
      </c>
      <c r="U97" s="343" t="s">
        <v>281</v>
      </c>
      <c r="V97" s="343">
        <v>2281</v>
      </c>
      <c r="W97" s="343">
        <v>57724.75</v>
      </c>
      <c r="X97" s="343">
        <v>1492</v>
      </c>
      <c r="Y97" s="343">
        <v>0</v>
      </c>
      <c r="Z97" s="343">
        <v>59216.75</v>
      </c>
      <c r="AA97" s="343">
        <v>4618.07</v>
      </c>
    </row>
    <row r="98" spans="1:27">
      <c r="A98" s="343">
        <v>20260517</v>
      </c>
      <c r="B98" s="343">
        <v>4874.1000000000004</v>
      </c>
      <c r="C98" s="343">
        <v>1</v>
      </c>
      <c r="D98" s="343">
        <v>29</v>
      </c>
      <c r="E98" s="384">
        <v>46159</v>
      </c>
      <c r="F98" s="343" t="s">
        <v>245</v>
      </c>
      <c r="G98" s="343" t="s">
        <v>149</v>
      </c>
      <c r="I98" s="343">
        <v>20250522</v>
      </c>
      <c r="J98" s="343">
        <v>47504.3</v>
      </c>
      <c r="K98" s="343">
        <v>171</v>
      </c>
      <c r="L98" s="343">
        <v>379</v>
      </c>
      <c r="M98" s="384">
        <v>45799</v>
      </c>
      <c r="N98" s="343" t="s">
        <v>235</v>
      </c>
      <c r="O98" s="343" t="s">
        <v>303</v>
      </c>
      <c r="Q98" s="343" t="s">
        <v>338</v>
      </c>
      <c r="R98" s="343" t="s">
        <v>129</v>
      </c>
      <c r="S98" s="384">
        <v>46055</v>
      </c>
      <c r="T98" s="384">
        <v>46061</v>
      </c>
      <c r="U98" s="343" t="s">
        <v>277</v>
      </c>
      <c r="V98" s="343">
        <v>241</v>
      </c>
      <c r="W98" s="343">
        <v>58545</v>
      </c>
      <c r="X98" s="343">
        <v>200</v>
      </c>
      <c r="Y98" s="343">
        <v>0</v>
      </c>
      <c r="Z98" s="343">
        <v>58745</v>
      </c>
      <c r="AA98" s="343">
        <v>4683.6000000000004</v>
      </c>
    </row>
    <row r="99" spans="1:27">
      <c r="A99" s="343">
        <v>20260518</v>
      </c>
      <c r="B99" s="343">
        <v>2465.0100000000002</v>
      </c>
      <c r="C99" s="343">
        <v>19</v>
      </c>
      <c r="D99" s="343">
        <v>39</v>
      </c>
      <c r="E99" s="384">
        <v>46160</v>
      </c>
      <c r="F99" s="343" t="s">
        <v>232</v>
      </c>
      <c r="G99" s="343" t="s">
        <v>150</v>
      </c>
      <c r="I99" s="343">
        <v>20250529</v>
      </c>
      <c r="J99" s="343">
        <v>43676.25</v>
      </c>
      <c r="K99" s="343">
        <v>164</v>
      </c>
      <c r="L99" s="343">
        <v>344</v>
      </c>
      <c r="M99" s="384">
        <v>45806</v>
      </c>
      <c r="N99" s="343" t="s">
        <v>235</v>
      </c>
      <c r="O99" s="343" t="s">
        <v>304</v>
      </c>
      <c r="Q99" s="343" t="s">
        <v>338</v>
      </c>
      <c r="R99" s="343" t="s">
        <v>129</v>
      </c>
      <c r="S99" s="384">
        <v>46055</v>
      </c>
      <c r="T99" s="384">
        <v>46061</v>
      </c>
      <c r="U99" s="343" t="s">
        <v>287</v>
      </c>
      <c r="V99" s="343">
        <v>609</v>
      </c>
      <c r="W99" s="343">
        <v>17581.830000000002</v>
      </c>
      <c r="X99" s="343">
        <v>355.17</v>
      </c>
      <c r="Y99" s="343">
        <v>0</v>
      </c>
      <c r="Z99" s="343">
        <v>17937</v>
      </c>
      <c r="AA99" s="343">
        <v>1406.54</v>
      </c>
    </row>
    <row r="100" spans="1:27">
      <c r="A100" s="343">
        <v>20260519</v>
      </c>
      <c r="B100" s="343">
        <v>8920.85</v>
      </c>
      <c r="C100" s="343">
        <v>25</v>
      </c>
      <c r="D100" s="343">
        <v>84</v>
      </c>
      <c r="E100" s="384">
        <v>46161</v>
      </c>
      <c r="F100" s="343" t="s">
        <v>233</v>
      </c>
      <c r="G100" s="343" t="s">
        <v>150</v>
      </c>
      <c r="I100" s="343">
        <v>20250605</v>
      </c>
      <c r="J100" s="343">
        <v>46416</v>
      </c>
      <c r="K100" s="343">
        <v>174</v>
      </c>
      <c r="L100" s="343">
        <v>382</v>
      </c>
      <c r="M100" s="384">
        <v>45813</v>
      </c>
      <c r="N100" s="343" t="s">
        <v>235</v>
      </c>
      <c r="O100" s="343" t="s">
        <v>305</v>
      </c>
      <c r="Q100" s="343" t="s">
        <v>338</v>
      </c>
      <c r="R100" s="343" t="s">
        <v>130</v>
      </c>
      <c r="S100" s="384">
        <v>46062</v>
      </c>
      <c r="T100" s="384">
        <v>46068</v>
      </c>
      <c r="U100" s="343" t="s">
        <v>285</v>
      </c>
      <c r="V100" s="343">
        <v>9576</v>
      </c>
      <c r="W100" s="343">
        <v>269490.3</v>
      </c>
      <c r="X100" s="343">
        <v>9312.7000000000007</v>
      </c>
      <c r="Y100" s="343">
        <v>0</v>
      </c>
      <c r="Z100" s="343">
        <v>278803</v>
      </c>
      <c r="AA100" s="343">
        <v>21547.81</v>
      </c>
    </row>
    <row r="101" spans="1:27">
      <c r="A101" s="343">
        <v>20260520</v>
      </c>
      <c r="B101" s="343">
        <v>3508</v>
      </c>
      <c r="C101" s="343">
        <v>23</v>
      </c>
      <c r="D101" s="343">
        <v>54</v>
      </c>
      <c r="E101" s="384">
        <v>46162</v>
      </c>
      <c r="F101" s="343" t="s">
        <v>234</v>
      </c>
      <c r="G101" s="343" t="s">
        <v>150</v>
      </c>
      <c r="I101" s="343">
        <v>20250612</v>
      </c>
      <c r="J101" s="343">
        <v>44628.95</v>
      </c>
      <c r="K101" s="343">
        <v>138</v>
      </c>
      <c r="L101" s="343">
        <v>331</v>
      </c>
      <c r="M101" s="384">
        <v>45820</v>
      </c>
      <c r="N101" s="343" t="s">
        <v>235</v>
      </c>
      <c r="O101" s="343" t="s">
        <v>306</v>
      </c>
      <c r="Q101" s="343" t="s">
        <v>338</v>
      </c>
      <c r="R101" s="343" t="s">
        <v>130</v>
      </c>
      <c r="S101" s="384">
        <v>46062</v>
      </c>
      <c r="T101" s="384">
        <v>46068</v>
      </c>
      <c r="U101" s="343" t="s">
        <v>342</v>
      </c>
      <c r="V101" s="343">
        <v>1883</v>
      </c>
      <c r="W101" s="343">
        <v>17317.5</v>
      </c>
      <c r="X101" s="343">
        <v>345.5</v>
      </c>
      <c r="Y101" s="343">
        <v>0</v>
      </c>
      <c r="Z101" s="343">
        <v>17663</v>
      </c>
      <c r="AA101" s="343">
        <v>1384.28</v>
      </c>
    </row>
    <row r="102" spans="1:27">
      <c r="A102" s="343">
        <v>20260521</v>
      </c>
      <c r="B102" s="343">
        <v>37067.4</v>
      </c>
      <c r="C102" s="343">
        <v>34</v>
      </c>
      <c r="D102" s="343">
        <v>179</v>
      </c>
      <c r="E102" s="384">
        <v>46163</v>
      </c>
      <c r="F102" s="343" t="s">
        <v>235</v>
      </c>
      <c r="G102" s="343" t="s">
        <v>150</v>
      </c>
      <c r="I102" s="343">
        <v>20250619</v>
      </c>
      <c r="J102" s="343">
        <v>50439</v>
      </c>
      <c r="K102" s="343">
        <v>139</v>
      </c>
      <c r="L102" s="343">
        <v>323</v>
      </c>
      <c r="M102" s="384">
        <v>45827</v>
      </c>
      <c r="N102" s="343" t="s">
        <v>235</v>
      </c>
      <c r="O102" s="343" t="s">
        <v>307</v>
      </c>
      <c r="Q102" s="343" t="s">
        <v>338</v>
      </c>
      <c r="R102" s="343" t="s">
        <v>130</v>
      </c>
      <c r="S102" s="384">
        <v>46062</v>
      </c>
      <c r="T102" s="384">
        <v>46068</v>
      </c>
      <c r="U102" s="343" t="s">
        <v>281</v>
      </c>
      <c r="V102" s="343">
        <v>2773</v>
      </c>
      <c r="W102" s="343">
        <v>64888</v>
      </c>
      <c r="X102" s="343">
        <v>2588</v>
      </c>
      <c r="Y102" s="343">
        <v>0</v>
      </c>
      <c r="Z102" s="343">
        <v>67476</v>
      </c>
      <c r="AA102" s="343">
        <v>5191.1400000000003</v>
      </c>
    </row>
    <row r="103" spans="1:27">
      <c r="A103" s="343">
        <v>20260522</v>
      </c>
      <c r="B103" s="343">
        <v>10551</v>
      </c>
      <c r="C103" s="343">
        <v>50</v>
      </c>
      <c r="D103" s="343">
        <v>150</v>
      </c>
      <c r="E103" s="384">
        <v>46164</v>
      </c>
      <c r="F103" s="343" t="s">
        <v>236</v>
      </c>
      <c r="G103" s="343" t="s">
        <v>150</v>
      </c>
      <c r="I103" s="343">
        <v>20250626</v>
      </c>
      <c r="J103" s="343">
        <v>41238.449999999997</v>
      </c>
      <c r="K103" s="343">
        <v>130</v>
      </c>
      <c r="L103" s="343">
        <v>317</v>
      </c>
      <c r="M103" s="384">
        <v>45834</v>
      </c>
      <c r="N103" s="343" t="s">
        <v>235</v>
      </c>
      <c r="O103" s="343" t="s">
        <v>308</v>
      </c>
      <c r="Q103" s="343" t="s">
        <v>338</v>
      </c>
      <c r="R103" s="343" t="s">
        <v>130</v>
      </c>
      <c r="S103" s="384">
        <v>46062</v>
      </c>
      <c r="T103" s="384">
        <v>46068</v>
      </c>
      <c r="U103" s="343" t="s">
        <v>287</v>
      </c>
      <c r="V103" s="343">
        <v>873</v>
      </c>
      <c r="W103" s="343">
        <v>23327.4</v>
      </c>
      <c r="X103" s="343">
        <v>441.6</v>
      </c>
      <c r="Y103" s="343">
        <v>0</v>
      </c>
      <c r="Z103" s="343">
        <v>23769</v>
      </c>
      <c r="AA103" s="343">
        <v>1866.19</v>
      </c>
    </row>
    <row r="104" spans="1:27">
      <c r="A104" s="343">
        <v>20260525</v>
      </c>
      <c r="B104" s="343">
        <v>4723.75</v>
      </c>
      <c r="C104" s="343">
        <v>24</v>
      </c>
      <c r="D104" s="343">
        <v>62</v>
      </c>
      <c r="E104" s="384">
        <v>46167</v>
      </c>
      <c r="F104" s="343" t="s">
        <v>232</v>
      </c>
      <c r="G104" s="343" t="s">
        <v>153</v>
      </c>
      <c r="I104" s="343">
        <v>20250703</v>
      </c>
      <c r="J104" s="343">
        <v>41091.5</v>
      </c>
      <c r="K104" s="343">
        <v>165</v>
      </c>
      <c r="L104" s="343">
        <v>353</v>
      </c>
      <c r="M104" s="384">
        <v>45841</v>
      </c>
      <c r="N104" s="343" t="s">
        <v>235</v>
      </c>
      <c r="O104" s="343" t="s">
        <v>309</v>
      </c>
      <c r="Q104" s="343" t="s">
        <v>338</v>
      </c>
      <c r="R104" s="343" t="s">
        <v>131</v>
      </c>
      <c r="S104" s="384">
        <v>46069</v>
      </c>
      <c r="T104" s="384">
        <v>46075</v>
      </c>
      <c r="U104" s="343" t="s">
        <v>285</v>
      </c>
      <c r="V104" s="343">
        <v>7447</v>
      </c>
      <c r="W104" s="343">
        <v>216926.75</v>
      </c>
      <c r="X104" s="343">
        <v>8332.75</v>
      </c>
      <c r="Y104" s="343">
        <v>0</v>
      </c>
      <c r="Z104" s="343">
        <v>225259.5</v>
      </c>
      <c r="AA104" s="343">
        <v>17354.169999999998</v>
      </c>
    </row>
    <row r="105" spans="1:27">
      <c r="A105" s="343">
        <v>20260526</v>
      </c>
      <c r="B105" s="343">
        <v>2455.0100000000002</v>
      </c>
      <c r="C105" s="343">
        <v>18</v>
      </c>
      <c r="D105" s="343">
        <v>50</v>
      </c>
      <c r="E105" s="384">
        <v>46168</v>
      </c>
      <c r="F105" s="343" t="s">
        <v>233</v>
      </c>
      <c r="G105" s="343" t="s">
        <v>153</v>
      </c>
      <c r="I105" s="343">
        <v>20250710</v>
      </c>
      <c r="J105" s="343">
        <v>43466.5</v>
      </c>
      <c r="K105" s="343">
        <v>129</v>
      </c>
      <c r="L105" s="343">
        <v>334</v>
      </c>
      <c r="M105" s="384">
        <v>45848</v>
      </c>
      <c r="N105" s="343" t="s">
        <v>235</v>
      </c>
      <c r="O105" s="343" t="s">
        <v>310</v>
      </c>
      <c r="Q105" s="343" t="s">
        <v>338</v>
      </c>
      <c r="R105" s="343" t="s">
        <v>131</v>
      </c>
      <c r="S105" s="384">
        <v>46069</v>
      </c>
      <c r="T105" s="384">
        <v>46075</v>
      </c>
      <c r="U105" s="343" t="s">
        <v>342</v>
      </c>
      <c r="V105" s="343">
        <v>1550</v>
      </c>
      <c r="W105" s="343">
        <v>14320</v>
      </c>
      <c r="X105" s="343">
        <v>281</v>
      </c>
      <c r="Y105" s="343">
        <v>0</v>
      </c>
      <c r="Z105" s="343">
        <v>14601</v>
      </c>
      <c r="AA105" s="343">
        <v>1145.5999999999999</v>
      </c>
    </row>
    <row r="106" spans="1:27">
      <c r="A106" s="343">
        <v>20260527</v>
      </c>
      <c r="B106" s="343">
        <v>4919</v>
      </c>
      <c r="C106" s="343">
        <v>24</v>
      </c>
      <c r="D106" s="343">
        <v>63</v>
      </c>
      <c r="E106" s="384">
        <v>46169</v>
      </c>
      <c r="F106" s="343" t="s">
        <v>234</v>
      </c>
      <c r="G106" s="343" t="s">
        <v>153</v>
      </c>
      <c r="I106" s="343">
        <v>20250717</v>
      </c>
      <c r="J106" s="343">
        <v>27763.279999999999</v>
      </c>
      <c r="K106" s="343">
        <v>112</v>
      </c>
      <c r="L106" s="343">
        <v>250</v>
      </c>
      <c r="M106" s="384">
        <v>45855</v>
      </c>
      <c r="N106" s="343" t="s">
        <v>235</v>
      </c>
      <c r="O106" s="343" t="s">
        <v>311</v>
      </c>
      <c r="Q106" s="343" t="s">
        <v>338</v>
      </c>
      <c r="R106" s="343" t="s">
        <v>131</v>
      </c>
      <c r="S106" s="384">
        <v>46069</v>
      </c>
      <c r="T106" s="384">
        <v>46075</v>
      </c>
      <c r="U106" s="343" t="s">
        <v>281</v>
      </c>
      <c r="V106" s="343">
        <v>2589</v>
      </c>
      <c r="W106" s="343">
        <v>64756.4</v>
      </c>
      <c r="X106" s="343">
        <v>1986</v>
      </c>
      <c r="Y106" s="343">
        <v>0</v>
      </c>
      <c r="Z106" s="343">
        <v>66742.399999999994</v>
      </c>
      <c r="AA106" s="343">
        <v>5180.59</v>
      </c>
    </row>
    <row r="107" spans="1:27">
      <c r="A107" s="343">
        <v>20260528</v>
      </c>
      <c r="B107" s="343">
        <v>6395</v>
      </c>
      <c r="C107" s="343">
        <v>19</v>
      </c>
      <c r="D107" s="343">
        <v>68</v>
      </c>
      <c r="E107" s="384">
        <v>46170</v>
      </c>
      <c r="F107" s="343" t="s">
        <v>235</v>
      </c>
      <c r="G107" s="343" t="s">
        <v>153</v>
      </c>
      <c r="I107" s="343">
        <v>20250724</v>
      </c>
      <c r="J107" s="343">
        <v>50137.93</v>
      </c>
      <c r="K107" s="343">
        <v>151</v>
      </c>
      <c r="L107" s="343">
        <v>356</v>
      </c>
      <c r="M107" s="384">
        <v>45862</v>
      </c>
      <c r="N107" s="343" t="s">
        <v>235</v>
      </c>
      <c r="O107" s="343" t="s">
        <v>312</v>
      </c>
      <c r="Q107" s="343" t="s">
        <v>338</v>
      </c>
      <c r="R107" s="343" t="s">
        <v>131</v>
      </c>
      <c r="S107" s="384">
        <v>46069</v>
      </c>
      <c r="T107" s="384">
        <v>46075</v>
      </c>
      <c r="U107" s="343" t="s">
        <v>287</v>
      </c>
      <c r="V107" s="343">
        <v>826</v>
      </c>
      <c r="W107" s="343">
        <v>21716</v>
      </c>
      <c r="X107" s="343">
        <v>376</v>
      </c>
      <c r="Y107" s="343">
        <v>0</v>
      </c>
      <c r="Z107" s="343">
        <v>22092</v>
      </c>
      <c r="AA107" s="343">
        <v>1737.28</v>
      </c>
    </row>
    <row r="108" spans="1:27">
      <c r="A108" s="343">
        <v>20260529</v>
      </c>
      <c r="B108" s="343">
        <v>20825.900000000001</v>
      </c>
      <c r="C108" s="343">
        <v>41</v>
      </c>
      <c r="D108" s="343">
        <v>172</v>
      </c>
      <c r="E108" s="384">
        <v>46171</v>
      </c>
      <c r="F108" s="343" t="s">
        <v>236</v>
      </c>
      <c r="G108" s="343" t="s">
        <v>153</v>
      </c>
      <c r="I108" s="343">
        <v>20250731</v>
      </c>
      <c r="J108" s="343">
        <v>31352.9</v>
      </c>
      <c r="K108" s="343">
        <v>122</v>
      </c>
      <c r="L108" s="343">
        <v>268</v>
      </c>
      <c r="M108" s="384">
        <v>45869</v>
      </c>
      <c r="N108" s="343" t="s">
        <v>235</v>
      </c>
      <c r="O108" s="343" t="s">
        <v>313</v>
      </c>
      <c r="Q108" s="343" t="s">
        <v>338</v>
      </c>
      <c r="R108" s="343" t="s">
        <v>134</v>
      </c>
      <c r="S108" s="384">
        <v>46076</v>
      </c>
      <c r="T108" s="384">
        <v>46082</v>
      </c>
      <c r="U108" s="343" t="s">
        <v>285</v>
      </c>
      <c r="V108" s="343">
        <v>8599</v>
      </c>
      <c r="W108" s="343">
        <v>230401.85</v>
      </c>
      <c r="X108" s="343">
        <v>10864.15</v>
      </c>
      <c r="Y108" s="343">
        <v>0</v>
      </c>
      <c r="Z108" s="343">
        <v>241266</v>
      </c>
      <c r="AA108" s="343">
        <v>18432.22</v>
      </c>
    </row>
    <row r="109" spans="1:27">
      <c r="A109" s="343">
        <v>20260530</v>
      </c>
      <c r="B109" s="343">
        <v>7875</v>
      </c>
      <c r="C109" s="343">
        <v>1</v>
      </c>
      <c r="D109" s="343">
        <v>12</v>
      </c>
      <c r="E109" s="384">
        <v>46172</v>
      </c>
      <c r="F109" s="343" t="s">
        <v>244</v>
      </c>
      <c r="G109" s="343" t="s">
        <v>153</v>
      </c>
      <c r="I109" s="343">
        <v>20250807</v>
      </c>
      <c r="J109" s="343">
        <v>40463</v>
      </c>
      <c r="K109" s="343">
        <v>160</v>
      </c>
      <c r="L109" s="343">
        <v>364</v>
      </c>
      <c r="M109" s="384">
        <v>45876</v>
      </c>
      <c r="N109" s="343" t="s">
        <v>235</v>
      </c>
      <c r="O109" s="343" t="s">
        <v>314</v>
      </c>
      <c r="Q109" s="343" t="s">
        <v>338</v>
      </c>
      <c r="R109" s="343" t="s">
        <v>134</v>
      </c>
      <c r="S109" s="384">
        <v>46076</v>
      </c>
      <c r="T109" s="384">
        <v>46082</v>
      </c>
      <c r="U109" s="343" t="s">
        <v>342</v>
      </c>
      <c r="V109" s="343">
        <v>1764</v>
      </c>
      <c r="W109" s="343">
        <v>16184</v>
      </c>
      <c r="X109" s="343">
        <v>510</v>
      </c>
      <c r="Y109" s="343">
        <v>0</v>
      </c>
      <c r="Z109" s="343">
        <v>16694</v>
      </c>
      <c r="AA109" s="343">
        <v>1294.74</v>
      </c>
    </row>
    <row r="110" spans="1:27">
      <c r="A110" s="343">
        <v>20260531</v>
      </c>
      <c r="C110" s="343">
        <v>1</v>
      </c>
      <c r="D110" s="343">
        <v>1</v>
      </c>
      <c r="E110" s="384">
        <v>46173</v>
      </c>
      <c r="F110" s="343" t="s">
        <v>245</v>
      </c>
      <c r="G110" s="343" t="s">
        <v>153</v>
      </c>
      <c r="I110" s="343">
        <v>20250814</v>
      </c>
      <c r="J110" s="343">
        <v>33601</v>
      </c>
      <c r="K110" s="343">
        <v>137</v>
      </c>
      <c r="L110" s="343">
        <v>305</v>
      </c>
      <c r="M110" s="384">
        <v>45883</v>
      </c>
      <c r="N110" s="343" t="s">
        <v>235</v>
      </c>
      <c r="O110" s="343" t="s">
        <v>315</v>
      </c>
      <c r="Q110" s="343" t="s">
        <v>338</v>
      </c>
      <c r="R110" s="343" t="s">
        <v>134</v>
      </c>
      <c r="S110" s="384">
        <v>46076</v>
      </c>
      <c r="T110" s="384">
        <v>46082</v>
      </c>
      <c r="U110" s="343" t="s">
        <v>281</v>
      </c>
      <c r="V110" s="343">
        <v>2873</v>
      </c>
      <c r="W110" s="343">
        <v>69964.259999999995</v>
      </c>
      <c r="X110" s="343">
        <v>2399.75</v>
      </c>
      <c r="Y110" s="343">
        <v>0</v>
      </c>
      <c r="Z110" s="343">
        <v>72364.009999999995</v>
      </c>
      <c r="AA110" s="343">
        <v>5597.33</v>
      </c>
    </row>
    <row r="111" spans="1:27">
      <c r="A111" s="343">
        <v>20260601</v>
      </c>
      <c r="B111" s="343">
        <v>4829.25</v>
      </c>
      <c r="C111" s="343">
        <v>28</v>
      </c>
      <c r="D111" s="343">
        <v>76</v>
      </c>
      <c r="E111" s="384">
        <v>46174</v>
      </c>
      <c r="F111" s="343" t="s">
        <v>232</v>
      </c>
      <c r="G111" s="343" t="s">
        <v>154</v>
      </c>
      <c r="I111" s="343">
        <v>20250821</v>
      </c>
      <c r="J111" s="343">
        <v>53387.62</v>
      </c>
      <c r="K111" s="343">
        <v>202</v>
      </c>
      <c r="L111" s="343">
        <v>479</v>
      </c>
      <c r="M111" s="384">
        <v>45890</v>
      </c>
      <c r="N111" s="343" t="s">
        <v>235</v>
      </c>
      <c r="O111" s="343" t="s">
        <v>316</v>
      </c>
      <c r="Q111" s="343" t="s">
        <v>338</v>
      </c>
      <c r="R111" s="343" t="s">
        <v>134</v>
      </c>
      <c r="S111" s="384">
        <v>46076</v>
      </c>
      <c r="T111" s="384">
        <v>46082</v>
      </c>
      <c r="U111" s="343" t="s">
        <v>279</v>
      </c>
      <c r="V111" s="343">
        <v>108</v>
      </c>
      <c r="W111" s="343">
        <v>1060</v>
      </c>
      <c r="X111" s="343">
        <v>20</v>
      </c>
      <c r="Y111" s="343">
        <v>0</v>
      </c>
      <c r="Z111" s="343">
        <v>1080</v>
      </c>
      <c r="AA111" s="343">
        <v>84.8</v>
      </c>
    </row>
    <row r="112" spans="1:27">
      <c r="A112" s="343">
        <v>20260602</v>
      </c>
      <c r="B112" s="343">
        <v>3157</v>
      </c>
      <c r="C112" s="343">
        <v>17</v>
      </c>
      <c r="D112" s="343">
        <v>44</v>
      </c>
      <c r="E112" s="384">
        <v>46175</v>
      </c>
      <c r="F112" s="343" t="s">
        <v>233</v>
      </c>
      <c r="G112" s="343" t="s">
        <v>154</v>
      </c>
      <c r="I112" s="343">
        <v>20250828</v>
      </c>
      <c r="J112" s="343">
        <v>50030.25</v>
      </c>
      <c r="K112" s="343">
        <v>155</v>
      </c>
      <c r="L112" s="343">
        <v>364</v>
      </c>
      <c r="M112" s="384">
        <v>45897</v>
      </c>
      <c r="N112" s="343" t="s">
        <v>235</v>
      </c>
      <c r="O112" s="343" t="s">
        <v>317</v>
      </c>
      <c r="Q112" s="343" t="s">
        <v>338</v>
      </c>
      <c r="R112" s="343" t="s">
        <v>134</v>
      </c>
      <c r="S112" s="384">
        <v>46076</v>
      </c>
      <c r="T112" s="384">
        <v>46082</v>
      </c>
      <c r="U112" s="343" t="s">
        <v>277</v>
      </c>
      <c r="V112" s="343">
        <v>284</v>
      </c>
      <c r="W112" s="343">
        <v>66365</v>
      </c>
      <c r="X112" s="343">
        <v>100</v>
      </c>
      <c r="Y112" s="343">
        <v>0</v>
      </c>
      <c r="Z112" s="343">
        <v>66465</v>
      </c>
      <c r="AA112" s="343">
        <v>5309.2</v>
      </c>
    </row>
    <row r="113" spans="1:27">
      <c r="A113" s="343">
        <v>20260603</v>
      </c>
      <c r="B113" s="343">
        <v>5643</v>
      </c>
      <c r="C113" s="343">
        <v>30</v>
      </c>
      <c r="D113" s="343">
        <v>73</v>
      </c>
      <c r="E113" s="384">
        <v>46176</v>
      </c>
      <c r="F113" s="343" t="s">
        <v>234</v>
      </c>
      <c r="G113" s="343" t="s">
        <v>154</v>
      </c>
      <c r="I113" s="343">
        <v>20250904</v>
      </c>
      <c r="J113" s="343">
        <v>39392.25</v>
      </c>
      <c r="K113" s="343">
        <v>128</v>
      </c>
      <c r="L113" s="343">
        <v>317</v>
      </c>
      <c r="M113" s="384">
        <v>45904</v>
      </c>
      <c r="N113" s="343" t="s">
        <v>235</v>
      </c>
      <c r="O113" s="343" t="s">
        <v>318</v>
      </c>
      <c r="Q113" s="343" t="s">
        <v>338</v>
      </c>
      <c r="R113" s="343" t="s">
        <v>134</v>
      </c>
      <c r="S113" s="384">
        <v>46076</v>
      </c>
      <c r="T113" s="384">
        <v>46082</v>
      </c>
      <c r="U113" s="343" t="s">
        <v>287</v>
      </c>
      <c r="V113" s="343">
        <v>873</v>
      </c>
      <c r="W113" s="343">
        <v>23062.5</v>
      </c>
      <c r="X113" s="343">
        <v>752.5</v>
      </c>
      <c r="Y113" s="343">
        <v>0</v>
      </c>
      <c r="Z113" s="343">
        <v>23815</v>
      </c>
      <c r="AA113" s="343">
        <v>1845.01</v>
      </c>
    </row>
    <row r="114" spans="1:27">
      <c r="A114" s="343">
        <v>20260604</v>
      </c>
      <c r="B114" s="343">
        <v>8194.2000000000007</v>
      </c>
      <c r="C114" s="343">
        <v>28</v>
      </c>
      <c r="D114" s="343">
        <v>80</v>
      </c>
      <c r="E114" s="384">
        <v>46177</v>
      </c>
      <c r="F114" s="343" t="s">
        <v>235</v>
      </c>
      <c r="G114" s="343" t="s">
        <v>154</v>
      </c>
      <c r="I114" s="343">
        <v>20250911</v>
      </c>
      <c r="J114" s="343">
        <v>29122.76</v>
      </c>
      <c r="K114" s="343">
        <v>125</v>
      </c>
      <c r="L114" s="343">
        <v>246</v>
      </c>
      <c r="M114" s="384">
        <v>45911</v>
      </c>
      <c r="N114" s="343" t="s">
        <v>235</v>
      </c>
      <c r="O114" s="343" t="s">
        <v>319</v>
      </c>
      <c r="Q114" s="343" t="s">
        <v>338</v>
      </c>
      <c r="R114" s="343" t="s">
        <v>135</v>
      </c>
      <c r="S114" s="384">
        <v>46083</v>
      </c>
      <c r="T114" s="384">
        <v>46089</v>
      </c>
      <c r="U114" s="343" t="s">
        <v>285</v>
      </c>
      <c r="V114" s="343">
        <v>9022</v>
      </c>
      <c r="W114" s="343">
        <v>234708.05</v>
      </c>
      <c r="X114" s="343">
        <v>11356.35</v>
      </c>
      <c r="Y114" s="343">
        <v>0</v>
      </c>
      <c r="Z114" s="343">
        <v>246064.4</v>
      </c>
      <c r="AA114" s="343">
        <v>18776.669999999998</v>
      </c>
    </row>
    <row r="115" spans="1:27">
      <c r="A115" s="343">
        <v>20260605</v>
      </c>
      <c r="B115" s="343">
        <v>8716.0499999999993</v>
      </c>
      <c r="C115" s="343">
        <v>38</v>
      </c>
      <c r="D115" s="343">
        <v>120</v>
      </c>
      <c r="E115" s="384">
        <v>46178</v>
      </c>
      <c r="F115" s="343" t="s">
        <v>236</v>
      </c>
      <c r="G115" s="343" t="s">
        <v>154</v>
      </c>
      <c r="I115" s="343">
        <v>20250918</v>
      </c>
      <c r="J115" s="343">
        <v>35474.35</v>
      </c>
      <c r="K115" s="343">
        <v>145</v>
      </c>
      <c r="L115" s="343">
        <v>318</v>
      </c>
      <c r="M115" s="384">
        <v>45918</v>
      </c>
      <c r="N115" s="343" t="s">
        <v>235</v>
      </c>
      <c r="O115" s="343" t="s">
        <v>320</v>
      </c>
      <c r="Q115" s="343" t="s">
        <v>338</v>
      </c>
      <c r="R115" s="343" t="s">
        <v>135</v>
      </c>
      <c r="S115" s="384">
        <v>46083</v>
      </c>
      <c r="T115" s="384">
        <v>46089</v>
      </c>
      <c r="U115" s="343" t="s">
        <v>342</v>
      </c>
      <c r="V115" s="343">
        <v>2027</v>
      </c>
      <c r="W115" s="343">
        <v>18067.599999999999</v>
      </c>
      <c r="X115" s="343">
        <v>857.4</v>
      </c>
      <c r="Y115" s="343">
        <v>0</v>
      </c>
      <c r="Z115" s="343">
        <v>18925</v>
      </c>
      <c r="AA115" s="343">
        <v>1445.42</v>
      </c>
    </row>
    <row r="116" spans="1:27">
      <c r="A116" s="343">
        <v>20260606</v>
      </c>
      <c r="C116" s="343">
        <v>1</v>
      </c>
      <c r="D116" s="343">
        <v>1</v>
      </c>
      <c r="E116" s="384">
        <v>46179</v>
      </c>
      <c r="F116" s="343" t="s">
        <v>244</v>
      </c>
      <c r="G116" s="343" t="s">
        <v>154</v>
      </c>
      <c r="I116" s="343">
        <v>20250925</v>
      </c>
      <c r="J116" s="343">
        <v>57331.25</v>
      </c>
      <c r="K116" s="343">
        <v>206</v>
      </c>
      <c r="L116" s="343">
        <v>482</v>
      </c>
      <c r="M116" s="384">
        <v>45925</v>
      </c>
      <c r="N116" s="343" t="s">
        <v>235</v>
      </c>
      <c r="O116" s="343" t="s">
        <v>321</v>
      </c>
      <c r="Q116" s="343" t="s">
        <v>338</v>
      </c>
      <c r="R116" s="343" t="s">
        <v>135</v>
      </c>
      <c r="S116" s="384">
        <v>46083</v>
      </c>
      <c r="T116" s="384">
        <v>46089</v>
      </c>
      <c r="U116" s="343" t="s">
        <v>281</v>
      </c>
      <c r="V116" s="343">
        <v>2717</v>
      </c>
      <c r="W116" s="343">
        <v>64050.15</v>
      </c>
      <c r="X116" s="343">
        <v>3078.6</v>
      </c>
      <c r="Y116" s="343">
        <v>0</v>
      </c>
      <c r="Z116" s="343">
        <v>67128.75</v>
      </c>
      <c r="AA116" s="343">
        <v>5124.1499999999996</v>
      </c>
    </row>
    <row r="117" spans="1:27">
      <c r="A117" s="343">
        <v>20260608</v>
      </c>
      <c r="B117" s="343">
        <v>1920</v>
      </c>
      <c r="C117" s="343">
        <v>13</v>
      </c>
      <c r="D117" s="343">
        <v>27</v>
      </c>
      <c r="E117" s="384">
        <v>46181</v>
      </c>
      <c r="F117" s="343" t="s">
        <v>232</v>
      </c>
      <c r="G117" s="343" t="s">
        <v>155</v>
      </c>
      <c r="I117" s="343">
        <v>20251002</v>
      </c>
      <c r="J117" s="343">
        <v>34052.5</v>
      </c>
      <c r="K117" s="343">
        <v>128</v>
      </c>
      <c r="L117" s="343">
        <v>271</v>
      </c>
      <c r="M117" s="384">
        <v>45932</v>
      </c>
      <c r="N117" s="343" t="s">
        <v>235</v>
      </c>
      <c r="O117" s="343" t="s">
        <v>322</v>
      </c>
      <c r="Q117" s="343" t="s">
        <v>338</v>
      </c>
      <c r="R117" s="343" t="s">
        <v>135</v>
      </c>
      <c r="S117" s="384">
        <v>46083</v>
      </c>
      <c r="T117" s="384">
        <v>46089</v>
      </c>
      <c r="U117" s="343" t="s">
        <v>277</v>
      </c>
      <c r="V117" s="343">
        <v>222</v>
      </c>
      <c r="W117" s="343">
        <v>38750</v>
      </c>
      <c r="X117" s="343">
        <v>170</v>
      </c>
      <c r="Y117" s="343">
        <v>0</v>
      </c>
      <c r="Z117" s="343">
        <v>38920</v>
      </c>
      <c r="AA117" s="343">
        <v>3100</v>
      </c>
    </row>
    <row r="118" spans="1:27">
      <c r="A118" s="343">
        <v>20260609</v>
      </c>
      <c r="B118" s="343">
        <v>3413.5</v>
      </c>
      <c r="C118" s="343">
        <v>31</v>
      </c>
      <c r="D118" s="343">
        <v>61</v>
      </c>
      <c r="E118" s="384">
        <v>46182</v>
      </c>
      <c r="F118" s="343" t="s">
        <v>233</v>
      </c>
      <c r="G118" s="343" t="s">
        <v>155</v>
      </c>
      <c r="I118" s="343">
        <v>20251009</v>
      </c>
      <c r="J118" s="343">
        <v>59993.75</v>
      </c>
      <c r="K118" s="343">
        <v>139</v>
      </c>
      <c r="L118" s="343">
        <v>343</v>
      </c>
      <c r="M118" s="384">
        <v>45939</v>
      </c>
      <c r="N118" s="343" t="s">
        <v>235</v>
      </c>
      <c r="O118" s="343" t="s">
        <v>323</v>
      </c>
      <c r="Q118" s="343" t="s">
        <v>338</v>
      </c>
      <c r="R118" s="343" t="s">
        <v>135</v>
      </c>
      <c r="S118" s="384">
        <v>46083</v>
      </c>
      <c r="T118" s="384">
        <v>46089</v>
      </c>
      <c r="U118" s="343" t="s">
        <v>287</v>
      </c>
      <c r="V118" s="343">
        <v>897</v>
      </c>
      <c r="W118" s="343">
        <v>23452</v>
      </c>
      <c r="X118" s="343">
        <v>1046</v>
      </c>
      <c r="Y118" s="343">
        <v>0</v>
      </c>
      <c r="Z118" s="343">
        <v>24498</v>
      </c>
      <c r="AA118" s="343">
        <v>1876.16</v>
      </c>
    </row>
    <row r="119" spans="1:27">
      <c r="A119" s="343">
        <v>20260610</v>
      </c>
      <c r="B119" s="343">
        <v>2795</v>
      </c>
      <c r="C119" s="343">
        <v>14</v>
      </c>
      <c r="D119" s="343">
        <v>36</v>
      </c>
      <c r="E119" s="384">
        <v>46183</v>
      </c>
      <c r="F119" s="343" t="s">
        <v>234</v>
      </c>
      <c r="G119" s="343" t="s">
        <v>155</v>
      </c>
      <c r="I119" s="343">
        <v>20251016</v>
      </c>
      <c r="J119" s="343">
        <v>44934.85</v>
      </c>
      <c r="K119" s="343">
        <v>169</v>
      </c>
      <c r="L119" s="343">
        <v>379</v>
      </c>
      <c r="M119" s="384">
        <v>45946</v>
      </c>
      <c r="N119" s="343" t="s">
        <v>235</v>
      </c>
      <c r="O119" s="343" t="s">
        <v>324</v>
      </c>
      <c r="Q119" s="343" t="s">
        <v>338</v>
      </c>
      <c r="R119" s="343" t="s">
        <v>136</v>
      </c>
      <c r="S119" s="384">
        <v>46090</v>
      </c>
      <c r="T119" s="384">
        <v>46096</v>
      </c>
      <c r="U119" s="343" t="s">
        <v>285</v>
      </c>
      <c r="V119" s="343">
        <v>7643</v>
      </c>
      <c r="W119" s="343">
        <v>210539.25</v>
      </c>
      <c r="X119" s="343">
        <v>9915.75</v>
      </c>
      <c r="Y119" s="343">
        <v>0</v>
      </c>
      <c r="Z119" s="343">
        <v>220455</v>
      </c>
      <c r="AA119" s="343">
        <v>16843.36</v>
      </c>
    </row>
    <row r="120" spans="1:27">
      <c r="A120" s="343">
        <v>20260611</v>
      </c>
      <c r="B120" s="343">
        <v>6467.25</v>
      </c>
      <c r="C120" s="343">
        <v>18</v>
      </c>
      <c r="D120" s="343">
        <v>39</v>
      </c>
      <c r="E120" s="384">
        <v>46184</v>
      </c>
      <c r="F120" s="343" t="s">
        <v>235</v>
      </c>
      <c r="G120" s="343" t="s">
        <v>155</v>
      </c>
      <c r="I120" s="343">
        <v>20251023</v>
      </c>
      <c r="J120" s="343">
        <v>53620.89</v>
      </c>
      <c r="K120" s="343">
        <v>152</v>
      </c>
      <c r="L120" s="343">
        <v>391</v>
      </c>
      <c r="M120" s="384">
        <v>45953</v>
      </c>
      <c r="N120" s="343" t="s">
        <v>235</v>
      </c>
      <c r="O120" s="343" t="s">
        <v>325</v>
      </c>
      <c r="Q120" s="343" t="s">
        <v>338</v>
      </c>
      <c r="R120" s="343" t="s">
        <v>136</v>
      </c>
      <c r="S120" s="384">
        <v>46090</v>
      </c>
      <c r="T120" s="384">
        <v>46096</v>
      </c>
      <c r="U120" s="343" t="s">
        <v>342</v>
      </c>
      <c r="V120" s="343">
        <v>1694</v>
      </c>
      <c r="W120" s="343">
        <v>15164</v>
      </c>
      <c r="X120" s="343">
        <v>735</v>
      </c>
      <c r="Y120" s="343">
        <v>0</v>
      </c>
      <c r="Z120" s="343">
        <v>15899</v>
      </c>
      <c r="AA120" s="343">
        <v>1213.1199999999999</v>
      </c>
    </row>
    <row r="121" spans="1:27">
      <c r="A121" s="343">
        <v>20260612</v>
      </c>
      <c r="B121" s="343">
        <v>2015.2</v>
      </c>
      <c r="C121" s="343">
        <v>16</v>
      </c>
      <c r="D121" s="343">
        <v>31</v>
      </c>
      <c r="E121" s="384">
        <v>46185</v>
      </c>
      <c r="F121" s="343" t="s">
        <v>236</v>
      </c>
      <c r="G121" s="343" t="s">
        <v>155</v>
      </c>
      <c r="I121" s="343">
        <v>20251030</v>
      </c>
      <c r="J121" s="343">
        <v>48664.21</v>
      </c>
      <c r="K121" s="343">
        <v>138</v>
      </c>
      <c r="L121" s="343">
        <v>315</v>
      </c>
      <c r="M121" s="384">
        <v>45960</v>
      </c>
      <c r="N121" s="343" t="s">
        <v>235</v>
      </c>
      <c r="O121" s="343" t="s">
        <v>326</v>
      </c>
      <c r="Q121" s="343" t="s">
        <v>338</v>
      </c>
      <c r="R121" s="343" t="s">
        <v>136</v>
      </c>
      <c r="S121" s="384">
        <v>46090</v>
      </c>
      <c r="T121" s="384">
        <v>46096</v>
      </c>
      <c r="U121" s="343" t="s">
        <v>281</v>
      </c>
      <c r="V121" s="343">
        <v>2396</v>
      </c>
      <c r="W121" s="343">
        <v>58478.75</v>
      </c>
      <c r="X121" s="343">
        <v>1977.5</v>
      </c>
      <c r="Y121" s="343">
        <v>0</v>
      </c>
      <c r="Z121" s="343">
        <v>60456.25</v>
      </c>
      <c r="AA121" s="343">
        <v>4678.38</v>
      </c>
    </row>
    <row r="122" spans="1:27">
      <c r="A122" s="343">
        <v>20260614</v>
      </c>
      <c r="C122" s="343">
        <v>1</v>
      </c>
      <c r="D122" s="343">
        <v>1</v>
      </c>
      <c r="E122" s="384">
        <v>46187</v>
      </c>
      <c r="F122" s="343" t="s">
        <v>245</v>
      </c>
      <c r="G122" s="343" t="s">
        <v>155</v>
      </c>
      <c r="I122" s="343">
        <v>20251106</v>
      </c>
      <c r="J122" s="343">
        <v>51471.25</v>
      </c>
      <c r="K122" s="343">
        <v>168</v>
      </c>
      <c r="L122" s="343">
        <v>416</v>
      </c>
      <c r="M122" s="384">
        <v>45967</v>
      </c>
      <c r="N122" s="343" t="s">
        <v>235</v>
      </c>
      <c r="O122" s="343" t="s">
        <v>327</v>
      </c>
      <c r="Q122" s="343" t="s">
        <v>338</v>
      </c>
      <c r="R122" s="343" t="s">
        <v>136</v>
      </c>
      <c r="S122" s="384">
        <v>46090</v>
      </c>
      <c r="T122" s="384">
        <v>46096</v>
      </c>
      <c r="U122" s="343" t="s">
        <v>279</v>
      </c>
      <c r="V122" s="343">
        <v>116</v>
      </c>
      <c r="W122" s="343">
        <v>1120</v>
      </c>
      <c r="X122" s="343">
        <v>40</v>
      </c>
      <c r="Y122" s="343">
        <v>0</v>
      </c>
      <c r="Z122" s="343">
        <v>1160</v>
      </c>
      <c r="AA122" s="343">
        <v>89.6</v>
      </c>
    </row>
    <row r="123" spans="1:27">
      <c r="A123" s="343">
        <v>20260615</v>
      </c>
      <c r="B123" s="343">
        <v>552</v>
      </c>
      <c r="C123" s="343">
        <v>5</v>
      </c>
      <c r="D123" s="343">
        <v>9</v>
      </c>
      <c r="E123" s="384">
        <v>46188</v>
      </c>
      <c r="F123" s="343" t="s">
        <v>232</v>
      </c>
      <c r="G123" s="343" t="s">
        <v>156</v>
      </c>
      <c r="I123" s="343">
        <v>20251113</v>
      </c>
      <c r="J123" s="343">
        <v>34916.5</v>
      </c>
      <c r="K123" s="343">
        <v>130</v>
      </c>
      <c r="L123" s="343">
        <v>315</v>
      </c>
      <c r="M123" s="384">
        <v>45974</v>
      </c>
      <c r="N123" s="343" t="s">
        <v>235</v>
      </c>
      <c r="O123" s="343" t="s">
        <v>328</v>
      </c>
      <c r="Q123" s="343" t="s">
        <v>338</v>
      </c>
      <c r="R123" s="343" t="s">
        <v>136</v>
      </c>
      <c r="S123" s="384">
        <v>46090</v>
      </c>
      <c r="T123" s="384">
        <v>46096</v>
      </c>
      <c r="U123" s="343" t="s">
        <v>277</v>
      </c>
      <c r="V123" s="343">
        <v>222</v>
      </c>
      <c r="W123" s="343">
        <v>42795</v>
      </c>
      <c r="X123" s="343">
        <v>345</v>
      </c>
      <c r="Y123" s="343">
        <v>0</v>
      </c>
      <c r="Z123" s="343">
        <v>43140</v>
      </c>
      <c r="AA123" s="343">
        <v>3423.6</v>
      </c>
    </row>
    <row r="124" spans="1:27">
      <c r="A124" s="343">
        <v>20260616</v>
      </c>
      <c r="B124" s="343">
        <v>9838.0499999999993</v>
      </c>
      <c r="C124" s="343">
        <v>25</v>
      </c>
      <c r="D124" s="343">
        <v>82</v>
      </c>
      <c r="E124" s="384">
        <v>46189</v>
      </c>
      <c r="F124" s="343" t="s">
        <v>233</v>
      </c>
      <c r="G124" s="343" t="s">
        <v>156</v>
      </c>
      <c r="I124" s="343">
        <v>20251120</v>
      </c>
      <c r="J124" s="343">
        <v>40589.49</v>
      </c>
      <c r="K124" s="343">
        <v>134</v>
      </c>
      <c r="L124" s="343">
        <v>316</v>
      </c>
      <c r="M124" s="384">
        <v>45981</v>
      </c>
      <c r="N124" s="343" t="s">
        <v>235</v>
      </c>
      <c r="O124" s="343" t="s">
        <v>329</v>
      </c>
      <c r="Q124" s="343" t="s">
        <v>338</v>
      </c>
      <c r="R124" s="343" t="s">
        <v>136</v>
      </c>
      <c r="S124" s="384">
        <v>46090</v>
      </c>
      <c r="T124" s="384">
        <v>46096</v>
      </c>
      <c r="U124" s="343" t="s">
        <v>287</v>
      </c>
      <c r="V124" s="343">
        <v>740</v>
      </c>
      <c r="W124" s="343">
        <v>18948</v>
      </c>
      <c r="X124" s="343">
        <v>699</v>
      </c>
      <c r="Y124" s="343">
        <v>0</v>
      </c>
      <c r="Z124" s="343">
        <v>19647</v>
      </c>
      <c r="AA124" s="343">
        <v>1515.84</v>
      </c>
    </row>
    <row r="125" spans="1:27">
      <c r="A125" s="343">
        <v>20260617</v>
      </c>
      <c r="B125" s="343">
        <v>6021</v>
      </c>
      <c r="C125" s="343">
        <v>26</v>
      </c>
      <c r="D125" s="343">
        <v>77</v>
      </c>
      <c r="E125" s="384">
        <v>46190</v>
      </c>
      <c r="F125" s="343" t="s">
        <v>234</v>
      </c>
      <c r="G125" s="343" t="s">
        <v>156</v>
      </c>
      <c r="I125" s="343">
        <v>20251127</v>
      </c>
      <c r="J125" s="343">
        <v>46430.5</v>
      </c>
      <c r="K125" s="343">
        <v>133</v>
      </c>
      <c r="L125" s="343">
        <v>351</v>
      </c>
      <c r="M125" s="384">
        <v>45988</v>
      </c>
      <c r="N125" s="343" t="s">
        <v>235</v>
      </c>
      <c r="O125" s="343" t="s">
        <v>330</v>
      </c>
      <c r="Q125" s="343" t="s">
        <v>338</v>
      </c>
      <c r="R125" s="343" t="s">
        <v>149</v>
      </c>
      <c r="S125" s="384">
        <v>46153</v>
      </c>
      <c r="T125" s="384">
        <v>46159</v>
      </c>
      <c r="U125" s="343" t="s">
        <v>287</v>
      </c>
      <c r="V125" s="343">
        <v>543</v>
      </c>
      <c r="W125" s="343">
        <v>13328</v>
      </c>
      <c r="X125" s="343">
        <v>289</v>
      </c>
      <c r="Y125" s="343">
        <v>0</v>
      </c>
      <c r="Z125" s="343">
        <v>13617</v>
      </c>
      <c r="AA125" s="343">
        <v>1066.24</v>
      </c>
    </row>
    <row r="126" spans="1:27">
      <c r="A126" s="343">
        <v>20260618</v>
      </c>
      <c r="B126" s="343">
        <v>4238</v>
      </c>
      <c r="C126" s="343">
        <v>29</v>
      </c>
      <c r="D126" s="343">
        <v>70</v>
      </c>
      <c r="E126" s="384">
        <v>46191</v>
      </c>
      <c r="F126" s="343" t="s">
        <v>235</v>
      </c>
      <c r="G126" s="343" t="s">
        <v>156</v>
      </c>
      <c r="I126" s="343">
        <v>20251204</v>
      </c>
      <c r="J126" s="343">
        <v>61382.7</v>
      </c>
      <c r="K126" s="343">
        <v>174</v>
      </c>
      <c r="L126" s="343">
        <v>403</v>
      </c>
      <c r="M126" s="384">
        <v>45995</v>
      </c>
      <c r="N126" s="343" t="s">
        <v>235</v>
      </c>
      <c r="O126" s="343" t="s">
        <v>331</v>
      </c>
      <c r="Q126" s="343" t="s">
        <v>338</v>
      </c>
      <c r="R126" s="343" t="s">
        <v>150</v>
      </c>
      <c r="S126" s="384">
        <v>46160</v>
      </c>
      <c r="T126" s="384">
        <v>46166</v>
      </c>
      <c r="U126" s="343" t="s">
        <v>285</v>
      </c>
      <c r="V126" s="343">
        <v>8717</v>
      </c>
      <c r="W126" s="343">
        <v>201473.05</v>
      </c>
      <c r="X126" s="343">
        <v>8010.95</v>
      </c>
      <c r="Y126" s="343">
        <v>0</v>
      </c>
      <c r="Z126" s="343">
        <v>209484</v>
      </c>
      <c r="AA126" s="343">
        <v>16117.92</v>
      </c>
    </row>
    <row r="127" spans="1:27">
      <c r="A127" s="343">
        <v>20260619</v>
      </c>
      <c r="B127" s="343">
        <v>4094</v>
      </c>
      <c r="C127" s="343">
        <v>30</v>
      </c>
      <c r="D127" s="343">
        <v>63</v>
      </c>
      <c r="E127" s="384">
        <v>46192</v>
      </c>
      <c r="F127" s="343" t="s">
        <v>236</v>
      </c>
      <c r="G127" s="343" t="s">
        <v>156</v>
      </c>
      <c r="I127" s="343">
        <v>20251211</v>
      </c>
      <c r="J127" s="343">
        <v>85504.52</v>
      </c>
      <c r="K127" s="343">
        <v>63</v>
      </c>
      <c r="L127" s="343">
        <v>307</v>
      </c>
      <c r="M127" s="384">
        <v>46002</v>
      </c>
      <c r="N127" s="343" t="s">
        <v>235</v>
      </c>
      <c r="O127" s="343" t="s">
        <v>332</v>
      </c>
      <c r="Q127" s="343" t="s">
        <v>338</v>
      </c>
      <c r="R127" s="343" t="s">
        <v>150</v>
      </c>
      <c r="S127" s="384">
        <v>46160</v>
      </c>
      <c r="T127" s="384">
        <v>46166</v>
      </c>
      <c r="U127" s="343" t="s">
        <v>342</v>
      </c>
      <c r="V127" s="343">
        <v>1517</v>
      </c>
      <c r="W127" s="343">
        <v>13499</v>
      </c>
      <c r="X127" s="343">
        <v>722</v>
      </c>
      <c r="Y127" s="343">
        <v>0</v>
      </c>
      <c r="Z127" s="343">
        <v>14221</v>
      </c>
      <c r="AA127" s="343">
        <v>1079.96</v>
      </c>
    </row>
    <row r="128" spans="1:27">
      <c r="A128" s="343">
        <v>20260620</v>
      </c>
      <c r="C128" s="343">
        <v>1</v>
      </c>
      <c r="D128" s="343">
        <v>1</v>
      </c>
      <c r="E128" s="384">
        <v>46193</v>
      </c>
      <c r="F128" s="343" t="s">
        <v>244</v>
      </c>
      <c r="G128" s="343" t="s">
        <v>156</v>
      </c>
      <c r="I128" s="343">
        <v>20251218</v>
      </c>
      <c r="J128" s="343">
        <v>39036</v>
      </c>
      <c r="K128" s="343">
        <v>138</v>
      </c>
      <c r="L128" s="343">
        <v>327</v>
      </c>
      <c r="M128" s="384">
        <v>46009</v>
      </c>
      <c r="N128" s="343" t="s">
        <v>235</v>
      </c>
      <c r="O128" s="343" t="s">
        <v>333</v>
      </c>
      <c r="Q128" s="343" t="s">
        <v>338</v>
      </c>
      <c r="R128" s="343" t="s">
        <v>150</v>
      </c>
      <c r="S128" s="384">
        <v>46160</v>
      </c>
      <c r="T128" s="384">
        <v>46166</v>
      </c>
      <c r="U128" s="343" t="s">
        <v>281</v>
      </c>
      <c r="V128" s="343">
        <v>2185</v>
      </c>
      <c r="W128" s="343">
        <v>57234.71</v>
      </c>
      <c r="X128" s="343">
        <v>1776.8</v>
      </c>
      <c r="Y128" s="343">
        <v>0</v>
      </c>
      <c r="Z128" s="343">
        <v>59011.51</v>
      </c>
      <c r="AA128" s="343">
        <v>4578.82</v>
      </c>
    </row>
    <row r="129" spans="1:27">
      <c r="A129" s="343">
        <v>20260621</v>
      </c>
      <c r="B129" s="343">
        <v>12606</v>
      </c>
      <c r="C129" s="343">
        <v>34</v>
      </c>
      <c r="D129" s="343">
        <v>116</v>
      </c>
      <c r="E129" s="384">
        <v>46194</v>
      </c>
      <c r="F129" s="343" t="s">
        <v>245</v>
      </c>
      <c r="G129" s="343" t="s">
        <v>156</v>
      </c>
      <c r="I129" s="343">
        <v>20251225</v>
      </c>
      <c r="J129" s="343">
        <v>45680.25</v>
      </c>
      <c r="K129" s="343">
        <v>120</v>
      </c>
      <c r="L129" s="343">
        <v>339</v>
      </c>
      <c r="M129" s="384">
        <v>46016</v>
      </c>
      <c r="N129" s="343" t="s">
        <v>235</v>
      </c>
      <c r="O129" s="343" t="s">
        <v>334</v>
      </c>
      <c r="Q129" s="343" t="s">
        <v>338</v>
      </c>
      <c r="R129" s="343" t="s">
        <v>150</v>
      </c>
      <c r="S129" s="384">
        <v>46160</v>
      </c>
      <c r="T129" s="384">
        <v>46166</v>
      </c>
      <c r="U129" s="343" t="s">
        <v>279</v>
      </c>
      <c r="V129" s="343">
        <v>122</v>
      </c>
      <c r="W129" s="343">
        <v>960</v>
      </c>
      <c r="X129" s="343">
        <v>10</v>
      </c>
      <c r="Y129" s="343">
        <v>0</v>
      </c>
      <c r="Z129" s="343">
        <v>970</v>
      </c>
      <c r="AA129" s="343">
        <v>76.8</v>
      </c>
    </row>
    <row r="130" spans="1:27">
      <c r="A130" s="343">
        <v>20260622</v>
      </c>
      <c r="B130" s="343">
        <v>1836.01</v>
      </c>
      <c r="C130" s="343">
        <v>13</v>
      </c>
      <c r="D130" s="343">
        <v>27</v>
      </c>
      <c r="E130" s="384">
        <v>46195</v>
      </c>
      <c r="F130" s="343" t="s">
        <v>232</v>
      </c>
      <c r="G130" s="343" t="s">
        <v>157</v>
      </c>
      <c r="I130" s="343">
        <v>20260101</v>
      </c>
      <c r="J130" s="343">
        <v>61577.25</v>
      </c>
      <c r="K130" s="343">
        <v>147</v>
      </c>
      <c r="L130" s="343">
        <v>486</v>
      </c>
      <c r="M130" s="384">
        <v>46023</v>
      </c>
      <c r="N130" s="343" t="s">
        <v>235</v>
      </c>
      <c r="O130" s="343" t="s">
        <v>122</v>
      </c>
      <c r="Q130" s="343" t="s">
        <v>338</v>
      </c>
      <c r="R130" s="343" t="s">
        <v>150</v>
      </c>
      <c r="S130" s="384">
        <v>46160</v>
      </c>
      <c r="T130" s="384">
        <v>46166</v>
      </c>
      <c r="U130" s="343" t="s">
        <v>287</v>
      </c>
      <c r="V130" s="343">
        <v>816</v>
      </c>
      <c r="W130" s="343">
        <v>16688</v>
      </c>
      <c r="X130" s="343">
        <v>919</v>
      </c>
      <c r="Y130" s="343">
        <v>0</v>
      </c>
      <c r="Z130" s="343">
        <v>17607</v>
      </c>
      <c r="AA130" s="343">
        <v>1335.04</v>
      </c>
    </row>
    <row r="131" spans="1:27">
      <c r="A131" s="343">
        <v>20260623</v>
      </c>
      <c r="B131" s="343">
        <v>3319.25</v>
      </c>
      <c r="C131" s="343">
        <v>21</v>
      </c>
      <c r="D131" s="343">
        <v>75</v>
      </c>
      <c r="E131" s="384">
        <v>46196</v>
      </c>
      <c r="F131" s="343" t="s">
        <v>233</v>
      </c>
      <c r="G131" s="343" t="s">
        <v>157</v>
      </c>
      <c r="I131" s="343">
        <v>20260108</v>
      </c>
      <c r="J131" s="343">
        <v>29085.5</v>
      </c>
      <c r="K131" s="343">
        <v>122</v>
      </c>
      <c r="L131" s="343">
        <v>438</v>
      </c>
      <c r="M131" s="384">
        <v>46030</v>
      </c>
      <c r="N131" s="343" t="s">
        <v>235</v>
      </c>
      <c r="O131" s="343" t="s">
        <v>123</v>
      </c>
      <c r="Q131" s="343" t="s">
        <v>338</v>
      </c>
      <c r="R131" s="343" t="s">
        <v>153</v>
      </c>
      <c r="S131" s="384">
        <v>46167</v>
      </c>
      <c r="T131" s="384">
        <v>46173</v>
      </c>
      <c r="U131" s="343" t="s">
        <v>285</v>
      </c>
      <c r="V131" s="343">
        <v>6657</v>
      </c>
      <c r="W131" s="343">
        <v>165564.69</v>
      </c>
      <c r="X131" s="343">
        <v>8937.31</v>
      </c>
      <c r="Y131" s="343">
        <v>0</v>
      </c>
      <c r="Z131" s="343">
        <v>174502</v>
      </c>
      <c r="AA131" s="343">
        <v>13245.18</v>
      </c>
    </row>
    <row r="132" spans="1:27">
      <c r="A132" s="343">
        <v>20260624</v>
      </c>
      <c r="B132" s="343">
        <v>4453.6499999999996</v>
      </c>
      <c r="C132" s="343">
        <v>17</v>
      </c>
      <c r="D132" s="343">
        <v>59</v>
      </c>
      <c r="E132" s="384">
        <v>46197</v>
      </c>
      <c r="F132" s="343" t="s">
        <v>234</v>
      </c>
      <c r="G132" s="343" t="s">
        <v>157</v>
      </c>
      <c r="I132" s="343">
        <v>20260115</v>
      </c>
      <c r="J132" s="343">
        <v>46146.25</v>
      </c>
      <c r="K132" s="343">
        <v>149</v>
      </c>
      <c r="L132" s="343">
        <v>378</v>
      </c>
      <c r="M132" s="384">
        <v>46037</v>
      </c>
      <c r="N132" s="343" t="s">
        <v>235</v>
      </c>
      <c r="O132" s="343" t="s">
        <v>124</v>
      </c>
      <c r="Q132" s="343" t="s">
        <v>338</v>
      </c>
      <c r="R132" s="343" t="s">
        <v>153</v>
      </c>
      <c r="S132" s="384">
        <v>46167</v>
      </c>
      <c r="T132" s="384">
        <v>46173</v>
      </c>
      <c r="U132" s="343" t="s">
        <v>342</v>
      </c>
      <c r="V132" s="343">
        <v>1430</v>
      </c>
      <c r="W132" s="343">
        <v>12787.7</v>
      </c>
      <c r="X132" s="343">
        <v>513.29</v>
      </c>
      <c r="Y132" s="343">
        <v>0</v>
      </c>
      <c r="Z132" s="343">
        <v>13300.99</v>
      </c>
      <c r="AA132" s="343">
        <v>1023.01</v>
      </c>
    </row>
    <row r="133" spans="1:27">
      <c r="A133" s="343">
        <v>20260625</v>
      </c>
      <c r="B133" s="343">
        <v>7471.25</v>
      </c>
      <c r="C133" s="343">
        <v>33</v>
      </c>
      <c r="D133" s="343">
        <v>92</v>
      </c>
      <c r="E133" s="384">
        <v>46198</v>
      </c>
      <c r="F133" s="343" t="s">
        <v>235</v>
      </c>
      <c r="G133" s="343" t="s">
        <v>157</v>
      </c>
      <c r="I133" s="343">
        <v>20260122</v>
      </c>
      <c r="J133" s="343">
        <v>50786.25</v>
      </c>
      <c r="K133" s="343">
        <v>206</v>
      </c>
      <c r="L133" s="343">
        <v>482</v>
      </c>
      <c r="M133" s="384">
        <v>46044</v>
      </c>
      <c r="N133" s="343" t="s">
        <v>235</v>
      </c>
      <c r="O133" s="343" t="s">
        <v>125</v>
      </c>
      <c r="Q133" s="343" t="s">
        <v>338</v>
      </c>
      <c r="R133" s="343" t="s">
        <v>153</v>
      </c>
      <c r="S133" s="384">
        <v>46167</v>
      </c>
      <c r="T133" s="384">
        <v>46173</v>
      </c>
      <c r="U133" s="343" t="s">
        <v>281</v>
      </c>
      <c r="V133" s="343">
        <v>1856</v>
      </c>
      <c r="W133" s="343">
        <v>46311.26</v>
      </c>
      <c r="X133" s="343">
        <v>1460.75</v>
      </c>
      <c r="Y133" s="343">
        <v>0</v>
      </c>
      <c r="Z133" s="343">
        <v>47772.01</v>
      </c>
      <c r="AA133" s="343">
        <v>3703.67</v>
      </c>
    </row>
    <row r="134" spans="1:27">
      <c r="A134" s="343">
        <v>20260626</v>
      </c>
      <c r="B134" s="343">
        <v>5868.8</v>
      </c>
      <c r="C134" s="343">
        <v>27</v>
      </c>
      <c r="D134" s="343">
        <v>75</v>
      </c>
      <c r="E134" s="384">
        <v>46199</v>
      </c>
      <c r="F134" s="343" t="s">
        <v>236</v>
      </c>
      <c r="G134" s="343" t="s">
        <v>157</v>
      </c>
      <c r="I134" s="343">
        <v>20260129</v>
      </c>
      <c r="J134" s="343">
        <v>56346.25</v>
      </c>
      <c r="K134" s="343">
        <v>195</v>
      </c>
      <c r="L134" s="343">
        <v>470</v>
      </c>
      <c r="M134" s="384">
        <v>46051</v>
      </c>
      <c r="N134" s="343" t="s">
        <v>235</v>
      </c>
      <c r="O134" s="343" t="s">
        <v>128</v>
      </c>
      <c r="Q134" s="343" t="s">
        <v>338</v>
      </c>
      <c r="R134" s="343" t="s">
        <v>153</v>
      </c>
      <c r="S134" s="384">
        <v>46167</v>
      </c>
      <c r="T134" s="384">
        <v>46173</v>
      </c>
      <c r="U134" s="343" t="s">
        <v>279</v>
      </c>
      <c r="V134" s="343">
        <v>74</v>
      </c>
      <c r="W134" s="343">
        <v>720</v>
      </c>
      <c r="X134" s="343">
        <v>20</v>
      </c>
      <c r="Y134" s="343">
        <v>0</v>
      </c>
      <c r="Z134" s="343">
        <v>740</v>
      </c>
      <c r="AA134" s="343">
        <v>57.6</v>
      </c>
    </row>
    <row r="135" spans="1:27">
      <c r="A135" s="343">
        <v>20260627</v>
      </c>
      <c r="C135" s="343">
        <v>2</v>
      </c>
      <c r="D135" s="343">
        <v>2</v>
      </c>
      <c r="E135" s="384">
        <v>46200</v>
      </c>
      <c r="F135" s="343" t="s">
        <v>244</v>
      </c>
      <c r="G135" s="343" t="s">
        <v>157</v>
      </c>
      <c r="I135" s="343">
        <v>20260205</v>
      </c>
      <c r="J135" s="343">
        <v>71698</v>
      </c>
      <c r="K135" s="343">
        <v>180</v>
      </c>
      <c r="L135" s="343">
        <v>419</v>
      </c>
      <c r="M135" s="384">
        <v>46058</v>
      </c>
      <c r="N135" s="343" t="s">
        <v>235</v>
      </c>
      <c r="O135" s="343" t="s">
        <v>129</v>
      </c>
      <c r="Q135" s="343" t="s">
        <v>338</v>
      </c>
      <c r="R135" s="343" t="s">
        <v>153</v>
      </c>
      <c r="S135" s="384">
        <v>46167</v>
      </c>
      <c r="T135" s="384">
        <v>46173</v>
      </c>
      <c r="U135" s="343" t="s">
        <v>277</v>
      </c>
      <c r="V135" s="343">
        <v>149</v>
      </c>
      <c r="W135" s="343">
        <v>26515</v>
      </c>
      <c r="X135" s="343">
        <v>230</v>
      </c>
      <c r="Y135" s="343">
        <v>0</v>
      </c>
      <c r="Z135" s="343">
        <v>26745</v>
      </c>
      <c r="AA135" s="343">
        <v>2121.1999999999998</v>
      </c>
    </row>
    <row r="136" spans="1:27">
      <c r="A136" s="343">
        <v>20260629</v>
      </c>
      <c r="B136" s="343">
        <v>1443</v>
      </c>
      <c r="C136" s="343">
        <v>15</v>
      </c>
      <c r="D136" s="343">
        <v>31</v>
      </c>
      <c r="E136" s="384">
        <v>46202</v>
      </c>
      <c r="F136" s="343" t="s">
        <v>232</v>
      </c>
      <c r="G136" s="343" t="s">
        <v>160</v>
      </c>
      <c r="I136" s="343">
        <v>20260212</v>
      </c>
      <c r="J136" s="343">
        <v>50891.25</v>
      </c>
      <c r="K136" s="343">
        <v>177</v>
      </c>
      <c r="L136" s="343">
        <v>427</v>
      </c>
      <c r="M136" s="384">
        <v>46065</v>
      </c>
      <c r="N136" s="343" t="s">
        <v>235</v>
      </c>
      <c r="O136" s="343" t="s">
        <v>130</v>
      </c>
      <c r="Q136" s="343" t="s">
        <v>338</v>
      </c>
      <c r="R136" s="343" t="s">
        <v>153</v>
      </c>
      <c r="S136" s="384">
        <v>46167</v>
      </c>
      <c r="T136" s="384">
        <v>46173</v>
      </c>
      <c r="U136" s="343" t="s">
        <v>287</v>
      </c>
      <c r="V136" s="343">
        <v>688</v>
      </c>
      <c r="W136" s="343">
        <v>15865</v>
      </c>
      <c r="X136" s="343">
        <v>429</v>
      </c>
      <c r="Y136" s="343">
        <v>0</v>
      </c>
      <c r="Z136" s="343">
        <v>16294</v>
      </c>
      <c r="AA136" s="343">
        <v>1267.3599999999999</v>
      </c>
    </row>
    <row r="137" spans="1:27">
      <c r="A137" s="343">
        <v>20260630</v>
      </c>
      <c r="B137" s="343">
        <v>6857.6</v>
      </c>
      <c r="C137" s="343">
        <v>26</v>
      </c>
      <c r="D137" s="343">
        <v>89</v>
      </c>
      <c r="E137" s="384">
        <v>46203</v>
      </c>
      <c r="F137" s="343" t="s">
        <v>233</v>
      </c>
      <c r="G137" s="343" t="s">
        <v>160</v>
      </c>
      <c r="I137" s="343">
        <v>20260219</v>
      </c>
      <c r="J137" s="343">
        <v>80524.350000000006</v>
      </c>
      <c r="K137" s="343">
        <v>216</v>
      </c>
      <c r="L137" s="343">
        <v>487</v>
      </c>
      <c r="M137" s="384">
        <v>46072</v>
      </c>
      <c r="N137" s="343" t="s">
        <v>235</v>
      </c>
      <c r="O137" s="343" t="s">
        <v>131</v>
      </c>
      <c r="Q137" s="343" t="s">
        <v>338</v>
      </c>
      <c r="R137" s="343" t="s">
        <v>154</v>
      </c>
      <c r="S137" s="384">
        <v>46174</v>
      </c>
      <c r="T137" s="384">
        <v>46180</v>
      </c>
      <c r="U137" s="343" t="s">
        <v>285</v>
      </c>
      <c r="V137" s="343">
        <v>6259</v>
      </c>
      <c r="W137" s="343">
        <v>142685</v>
      </c>
      <c r="X137" s="343">
        <v>7480</v>
      </c>
      <c r="Y137" s="343">
        <v>0</v>
      </c>
      <c r="Z137" s="343">
        <v>150165</v>
      </c>
      <c r="AA137" s="343">
        <v>11414.82</v>
      </c>
    </row>
    <row r="138" spans="1:27">
      <c r="A138" s="343">
        <v>20260701</v>
      </c>
      <c r="B138" s="343">
        <v>1238</v>
      </c>
      <c r="C138" s="343">
        <v>10</v>
      </c>
      <c r="D138" s="343">
        <v>17</v>
      </c>
      <c r="E138" s="384">
        <v>46204</v>
      </c>
      <c r="F138" s="343" t="s">
        <v>234</v>
      </c>
      <c r="G138" s="343" t="s">
        <v>160</v>
      </c>
      <c r="I138" s="343">
        <v>20260226</v>
      </c>
      <c r="J138" s="343">
        <v>54017.5</v>
      </c>
      <c r="K138" s="343">
        <v>185</v>
      </c>
      <c r="L138" s="343">
        <v>417</v>
      </c>
      <c r="M138" s="384">
        <v>46079</v>
      </c>
      <c r="N138" s="343" t="s">
        <v>235</v>
      </c>
      <c r="O138" s="343" t="s">
        <v>134</v>
      </c>
      <c r="Q138" s="343" t="s">
        <v>338</v>
      </c>
      <c r="R138" s="343" t="s">
        <v>154</v>
      </c>
      <c r="S138" s="384">
        <v>46174</v>
      </c>
      <c r="T138" s="384">
        <v>46180</v>
      </c>
      <c r="U138" s="343" t="s">
        <v>342</v>
      </c>
      <c r="V138" s="343">
        <v>1195</v>
      </c>
      <c r="W138" s="343">
        <v>10776.25</v>
      </c>
      <c r="X138" s="343">
        <v>365.75</v>
      </c>
      <c r="Y138" s="343">
        <v>0</v>
      </c>
      <c r="Z138" s="343">
        <v>11142</v>
      </c>
      <c r="AA138" s="343">
        <v>862.1</v>
      </c>
    </row>
    <row r="139" spans="1:27">
      <c r="A139" s="343">
        <v>20260702</v>
      </c>
      <c r="B139" s="343">
        <v>4420</v>
      </c>
      <c r="C139" s="343">
        <v>22</v>
      </c>
      <c r="D139" s="343">
        <v>57</v>
      </c>
      <c r="E139" s="384">
        <v>46205</v>
      </c>
      <c r="F139" s="343" t="s">
        <v>235</v>
      </c>
      <c r="G139" s="343" t="s">
        <v>160</v>
      </c>
      <c r="I139" s="343">
        <v>20260305</v>
      </c>
      <c r="J139" s="343">
        <v>58259.95</v>
      </c>
      <c r="K139" s="343">
        <v>169</v>
      </c>
      <c r="L139" s="343">
        <v>451</v>
      </c>
      <c r="M139" s="384">
        <v>46086</v>
      </c>
      <c r="N139" s="343" t="s">
        <v>235</v>
      </c>
      <c r="O139" s="343" t="s">
        <v>135</v>
      </c>
      <c r="Q139" s="343" t="s">
        <v>338</v>
      </c>
      <c r="R139" s="343" t="s">
        <v>154</v>
      </c>
      <c r="S139" s="384">
        <v>46174</v>
      </c>
      <c r="T139" s="384">
        <v>46180</v>
      </c>
      <c r="U139" s="343" t="s">
        <v>281</v>
      </c>
      <c r="V139" s="343">
        <v>1481</v>
      </c>
      <c r="W139" s="343">
        <v>34254.5</v>
      </c>
      <c r="X139" s="343">
        <v>784.75</v>
      </c>
      <c r="Y139" s="343">
        <v>0</v>
      </c>
      <c r="Z139" s="343">
        <v>35039.25</v>
      </c>
      <c r="AA139" s="343">
        <v>2740.37</v>
      </c>
    </row>
    <row r="140" spans="1:27">
      <c r="A140" s="343">
        <v>20260703</v>
      </c>
      <c r="B140" s="343">
        <v>9454.35</v>
      </c>
      <c r="C140" s="343">
        <v>32</v>
      </c>
      <c r="D140" s="343">
        <v>99</v>
      </c>
      <c r="E140" s="384">
        <v>46206</v>
      </c>
      <c r="F140" s="343" t="s">
        <v>236</v>
      </c>
      <c r="G140" s="343" t="s">
        <v>160</v>
      </c>
      <c r="I140" s="343">
        <v>20260312</v>
      </c>
      <c r="J140" s="343">
        <v>48513</v>
      </c>
      <c r="K140" s="343">
        <v>156</v>
      </c>
      <c r="L140" s="343">
        <v>399</v>
      </c>
      <c r="M140" s="384">
        <v>46093</v>
      </c>
      <c r="N140" s="343" t="s">
        <v>235</v>
      </c>
      <c r="O140" s="343" t="s">
        <v>136</v>
      </c>
      <c r="Q140" s="343" t="s">
        <v>338</v>
      </c>
      <c r="R140" s="343" t="s">
        <v>154</v>
      </c>
      <c r="S140" s="384">
        <v>46174</v>
      </c>
      <c r="T140" s="384">
        <v>46180</v>
      </c>
      <c r="U140" s="343" t="s">
        <v>277</v>
      </c>
      <c r="V140" s="343">
        <v>135</v>
      </c>
      <c r="W140" s="343">
        <v>25105</v>
      </c>
      <c r="X140" s="343">
        <v>420</v>
      </c>
      <c r="Y140" s="343">
        <v>0</v>
      </c>
      <c r="Z140" s="343">
        <v>25525</v>
      </c>
      <c r="AA140" s="343">
        <v>2008.4</v>
      </c>
    </row>
    <row r="141" spans="1:27">
      <c r="A141" s="343">
        <v>20260704</v>
      </c>
      <c r="C141" s="343">
        <v>1</v>
      </c>
      <c r="D141" s="343">
        <v>0</v>
      </c>
      <c r="E141" s="384">
        <v>46207</v>
      </c>
      <c r="F141" s="343" t="s">
        <v>244</v>
      </c>
      <c r="G141" s="343" t="s">
        <v>160</v>
      </c>
      <c r="I141" s="343">
        <v>20260319</v>
      </c>
      <c r="J141" s="343">
        <v>41953.75</v>
      </c>
      <c r="K141" s="343">
        <v>140</v>
      </c>
      <c r="L141" s="343">
        <v>330</v>
      </c>
      <c r="M141" s="384">
        <v>46100</v>
      </c>
      <c r="N141" s="343" t="s">
        <v>235</v>
      </c>
      <c r="O141" s="343" t="s">
        <v>137</v>
      </c>
      <c r="Q141" s="343" t="s">
        <v>338</v>
      </c>
      <c r="R141" s="343" t="s">
        <v>154</v>
      </c>
      <c r="S141" s="384">
        <v>46174</v>
      </c>
      <c r="T141" s="384">
        <v>46180</v>
      </c>
      <c r="U141" s="343" t="s">
        <v>287</v>
      </c>
      <c r="V141" s="343">
        <v>539</v>
      </c>
      <c r="W141" s="343">
        <v>12817</v>
      </c>
      <c r="X141" s="343">
        <v>186</v>
      </c>
      <c r="Y141" s="343">
        <v>0</v>
      </c>
      <c r="Z141" s="343">
        <v>13003</v>
      </c>
      <c r="AA141" s="343">
        <v>1025.3599999999999</v>
      </c>
    </row>
    <row r="142" spans="1:27">
      <c r="A142" s="343">
        <v>20260706</v>
      </c>
      <c r="B142" s="343">
        <v>8120</v>
      </c>
      <c r="C142" s="343">
        <v>19</v>
      </c>
      <c r="D142" s="343">
        <v>72</v>
      </c>
      <c r="E142" s="384">
        <v>46209</v>
      </c>
      <c r="F142" s="343" t="s">
        <v>232</v>
      </c>
      <c r="G142" s="343" t="s">
        <v>161</v>
      </c>
      <c r="I142" s="343">
        <v>20260326</v>
      </c>
      <c r="J142" s="343">
        <v>53709.1</v>
      </c>
      <c r="K142" s="343">
        <v>136</v>
      </c>
      <c r="L142" s="343">
        <v>400</v>
      </c>
      <c r="M142" s="384">
        <v>46107</v>
      </c>
      <c r="N142" s="343" t="s">
        <v>235</v>
      </c>
      <c r="O142" s="343" t="s">
        <v>138</v>
      </c>
      <c r="Q142" s="343" t="s">
        <v>338</v>
      </c>
      <c r="R142" s="343" t="s">
        <v>155</v>
      </c>
      <c r="S142" s="384">
        <v>46181</v>
      </c>
      <c r="T142" s="384">
        <v>46187</v>
      </c>
      <c r="U142" s="343" t="s">
        <v>285</v>
      </c>
      <c r="V142" s="343">
        <v>5859</v>
      </c>
      <c r="W142" s="343">
        <v>128354.8</v>
      </c>
      <c r="X142" s="343">
        <v>10552.2</v>
      </c>
      <c r="Y142" s="343">
        <v>0</v>
      </c>
      <c r="Z142" s="343">
        <v>138907</v>
      </c>
      <c r="AA142" s="343">
        <v>10268.4</v>
      </c>
    </row>
    <row r="143" spans="1:27">
      <c r="A143" s="343">
        <v>20260707</v>
      </c>
      <c r="B143" s="343">
        <v>636</v>
      </c>
      <c r="C143" s="343">
        <v>10</v>
      </c>
      <c r="D143" s="343">
        <v>13</v>
      </c>
      <c r="E143" s="384">
        <v>46210</v>
      </c>
      <c r="F143" s="343" t="s">
        <v>233</v>
      </c>
      <c r="G143" s="343" t="s">
        <v>161</v>
      </c>
      <c r="I143" s="343">
        <v>20260402</v>
      </c>
      <c r="J143" s="343">
        <v>44952</v>
      </c>
      <c r="K143" s="343">
        <v>139</v>
      </c>
      <c r="L143" s="343">
        <v>378</v>
      </c>
      <c r="M143" s="384">
        <v>46114</v>
      </c>
      <c r="N143" s="343" t="s">
        <v>235</v>
      </c>
      <c r="O143" s="343" t="s">
        <v>141</v>
      </c>
      <c r="Q143" s="343" t="s">
        <v>338</v>
      </c>
      <c r="R143" s="343" t="s">
        <v>155</v>
      </c>
      <c r="S143" s="384">
        <v>46181</v>
      </c>
      <c r="T143" s="384">
        <v>46187</v>
      </c>
      <c r="U143" s="343" t="s">
        <v>342</v>
      </c>
      <c r="V143" s="343">
        <v>1025</v>
      </c>
      <c r="W143" s="343">
        <v>9136.15</v>
      </c>
      <c r="X143" s="343">
        <v>408.85</v>
      </c>
      <c r="Y143" s="343">
        <v>0</v>
      </c>
      <c r="Z143" s="343">
        <v>9545</v>
      </c>
      <c r="AA143" s="343">
        <v>730.91</v>
      </c>
    </row>
    <row r="144" spans="1:27">
      <c r="A144" s="343">
        <v>20260708</v>
      </c>
      <c r="B144" s="343">
        <v>4625</v>
      </c>
      <c r="C144" s="343">
        <v>29</v>
      </c>
      <c r="D144" s="343">
        <v>59</v>
      </c>
      <c r="E144" s="384">
        <v>46211</v>
      </c>
      <c r="F144" s="343" t="s">
        <v>234</v>
      </c>
      <c r="G144" s="343" t="s">
        <v>161</v>
      </c>
      <c r="I144" s="343">
        <v>20260409</v>
      </c>
      <c r="J144" s="343">
        <v>49721.75</v>
      </c>
      <c r="K144" s="343">
        <v>130</v>
      </c>
      <c r="L144" s="343">
        <v>389</v>
      </c>
      <c r="M144" s="384">
        <v>46121</v>
      </c>
      <c r="N144" s="343" t="s">
        <v>235</v>
      </c>
      <c r="O144" s="343" t="s">
        <v>142</v>
      </c>
      <c r="Q144" s="343" t="s">
        <v>338</v>
      </c>
      <c r="R144" s="343" t="s">
        <v>155</v>
      </c>
      <c r="S144" s="384">
        <v>46181</v>
      </c>
      <c r="T144" s="384">
        <v>46187</v>
      </c>
      <c r="U144" s="343" t="s">
        <v>281</v>
      </c>
      <c r="V144" s="343">
        <v>1478</v>
      </c>
      <c r="W144" s="343">
        <v>35569</v>
      </c>
      <c r="X144" s="343">
        <v>952</v>
      </c>
      <c r="Y144" s="343">
        <v>0</v>
      </c>
      <c r="Z144" s="343">
        <v>36521</v>
      </c>
      <c r="AA144" s="343">
        <v>2845.52</v>
      </c>
    </row>
    <row r="145" spans="1:27">
      <c r="A145" s="343">
        <v>20260709</v>
      </c>
      <c r="B145" s="343">
        <v>4854</v>
      </c>
      <c r="C145" s="343">
        <v>29</v>
      </c>
      <c r="D145" s="343">
        <v>84</v>
      </c>
      <c r="E145" s="384">
        <v>46212</v>
      </c>
      <c r="F145" s="343" t="s">
        <v>235</v>
      </c>
      <c r="G145" s="343" t="s">
        <v>161</v>
      </c>
      <c r="I145" s="343">
        <v>20260416</v>
      </c>
      <c r="J145" s="343">
        <v>44674.75</v>
      </c>
      <c r="K145" s="343">
        <v>158</v>
      </c>
      <c r="L145" s="343">
        <v>414</v>
      </c>
      <c r="M145" s="384">
        <v>46128</v>
      </c>
      <c r="N145" s="343" t="s">
        <v>235</v>
      </c>
      <c r="O145" s="343" t="s">
        <v>143</v>
      </c>
      <c r="Q145" s="343" t="s">
        <v>338</v>
      </c>
      <c r="R145" s="343" t="s">
        <v>155</v>
      </c>
      <c r="S145" s="384">
        <v>46181</v>
      </c>
      <c r="T145" s="384">
        <v>46187</v>
      </c>
      <c r="U145" s="343" t="s">
        <v>277</v>
      </c>
      <c r="V145" s="343">
        <v>208</v>
      </c>
      <c r="W145" s="343">
        <v>26605</v>
      </c>
      <c r="X145" s="343">
        <v>200</v>
      </c>
      <c r="Y145" s="343">
        <v>0</v>
      </c>
      <c r="Z145" s="343">
        <v>26805</v>
      </c>
      <c r="AA145" s="343">
        <v>2128.4</v>
      </c>
    </row>
    <row r="146" spans="1:27">
      <c r="A146" s="343">
        <v>20260710</v>
      </c>
      <c r="B146" s="343">
        <v>5616</v>
      </c>
      <c r="C146" s="343">
        <v>34</v>
      </c>
      <c r="D146" s="343">
        <v>71</v>
      </c>
      <c r="E146" s="384">
        <v>46213</v>
      </c>
      <c r="F146" s="343" t="s">
        <v>236</v>
      </c>
      <c r="G146" s="343" t="s">
        <v>161</v>
      </c>
      <c r="I146" s="343">
        <v>20260423</v>
      </c>
      <c r="J146" s="343">
        <v>35561.75</v>
      </c>
      <c r="K146" s="343">
        <v>127</v>
      </c>
      <c r="L146" s="343">
        <v>317</v>
      </c>
      <c r="M146" s="384">
        <v>46135</v>
      </c>
      <c r="N146" s="343" t="s">
        <v>235</v>
      </c>
      <c r="O146" s="343" t="s">
        <v>144</v>
      </c>
      <c r="Q146" s="343" t="s">
        <v>338</v>
      </c>
      <c r="R146" s="343" t="s">
        <v>155</v>
      </c>
      <c r="S146" s="384">
        <v>46181</v>
      </c>
      <c r="T146" s="384">
        <v>46187</v>
      </c>
      <c r="U146" s="343" t="s">
        <v>287</v>
      </c>
      <c r="V146" s="343">
        <v>467</v>
      </c>
      <c r="W146" s="343">
        <v>9923.5</v>
      </c>
      <c r="X146" s="343">
        <v>668</v>
      </c>
      <c r="Y146" s="343">
        <v>0</v>
      </c>
      <c r="Z146" s="343">
        <v>10591.5</v>
      </c>
      <c r="AA146" s="343">
        <v>793.89</v>
      </c>
    </row>
    <row r="147" spans="1:27">
      <c r="A147" s="343">
        <v>20260713</v>
      </c>
      <c r="B147" s="343">
        <v>2478</v>
      </c>
      <c r="C147" s="343">
        <v>13</v>
      </c>
      <c r="D147" s="343">
        <v>36</v>
      </c>
      <c r="E147" s="384">
        <v>46216</v>
      </c>
      <c r="F147" s="343" t="s">
        <v>232</v>
      </c>
      <c r="G147" s="343" t="s">
        <v>162</v>
      </c>
      <c r="I147" s="343">
        <v>20260430</v>
      </c>
      <c r="J147" s="343">
        <v>49787.25</v>
      </c>
      <c r="K147" s="343">
        <v>190</v>
      </c>
      <c r="L147" s="343">
        <v>443</v>
      </c>
      <c r="M147" s="384">
        <v>46142</v>
      </c>
      <c r="N147" s="343" t="s">
        <v>235</v>
      </c>
      <c r="O147" s="343" t="s">
        <v>147</v>
      </c>
      <c r="Q147" s="343" t="s">
        <v>338</v>
      </c>
      <c r="R147" s="343" t="s">
        <v>156</v>
      </c>
      <c r="S147" s="384">
        <v>46188</v>
      </c>
      <c r="T147" s="384">
        <v>46194</v>
      </c>
      <c r="U147" s="343" t="s">
        <v>285</v>
      </c>
      <c r="V147" s="343">
        <v>5978</v>
      </c>
      <c r="W147" s="343">
        <v>122447.9</v>
      </c>
      <c r="X147" s="343">
        <v>7469.32</v>
      </c>
      <c r="Y147" s="343">
        <v>0</v>
      </c>
      <c r="Z147" s="343">
        <v>129917.22</v>
      </c>
      <c r="AA147" s="343">
        <v>9795.86</v>
      </c>
    </row>
    <row r="148" spans="1:27">
      <c r="A148" s="343">
        <v>20260714</v>
      </c>
      <c r="B148" s="343">
        <v>13243.43</v>
      </c>
      <c r="C148" s="343">
        <v>24</v>
      </c>
      <c r="D148" s="343">
        <v>121</v>
      </c>
      <c r="E148" s="384">
        <v>46217</v>
      </c>
      <c r="F148" s="343" t="s">
        <v>233</v>
      </c>
      <c r="G148" s="343" t="s">
        <v>162</v>
      </c>
      <c r="I148" s="343">
        <v>20260507</v>
      </c>
      <c r="J148" s="343">
        <v>46551.85</v>
      </c>
      <c r="K148" s="343">
        <v>141</v>
      </c>
      <c r="L148" s="343">
        <v>359</v>
      </c>
      <c r="M148" s="384">
        <v>46149</v>
      </c>
      <c r="N148" s="343" t="s">
        <v>235</v>
      </c>
      <c r="O148" s="343" t="s">
        <v>148</v>
      </c>
      <c r="Q148" s="343" t="s">
        <v>338</v>
      </c>
      <c r="R148" s="343" t="s">
        <v>156</v>
      </c>
      <c r="S148" s="384">
        <v>46188</v>
      </c>
      <c r="T148" s="384">
        <v>46194</v>
      </c>
      <c r="U148" s="343" t="s">
        <v>342</v>
      </c>
      <c r="V148" s="343">
        <v>1063</v>
      </c>
      <c r="W148" s="343">
        <v>9463.57</v>
      </c>
      <c r="X148" s="343">
        <v>467.43</v>
      </c>
      <c r="Y148" s="343">
        <v>0</v>
      </c>
      <c r="Z148" s="343">
        <v>9931</v>
      </c>
      <c r="AA148" s="343">
        <v>757.12</v>
      </c>
    </row>
    <row r="149" spans="1:27">
      <c r="A149" s="343">
        <v>20260715</v>
      </c>
      <c r="B149" s="343">
        <v>2718</v>
      </c>
      <c r="C149" s="343">
        <v>20</v>
      </c>
      <c r="D149" s="343">
        <v>45</v>
      </c>
      <c r="E149" s="384">
        <v>46218</v>
      </c>
      <c r="F149" s="343" t="s">
        <v>234</v>
      </c>
      <c r="G149" s="343" t="s">
        <v>162</v>
      </c>
      <c r="I149" s="343">
        <v>20260514</v>
      </c>
      <c r="J149" s="343">
        <v>29181.5</v>
      </c>
      <c r="K149" s="343">
        <v>117</v>
      </c>
      <c r="L149" s="343">
        <v>289</v>
      </c>
      <c r="M149" s="384">
        <v>46156</v>
      </c>
      <c r="N149" s="343" t="s">
        <v>235</v>
      </c>
      <c r="O149" s="343" t="s">
        <v>149</v>
      </c>
      <c r="Q149" s="343" t="s">
        <v>338</v>
      </c>
      <c r="R149" s="343" t="s">
        <v>156</v>
      </c>
      <c r="S149" s="384">
        <v>46188</v>
      </c>
      <c r="T149" s="384">
        <v>46194</v>
      </c>
      <c r="U149" s="343" t="s">
        <v>281</v>
      </c>
      <c r="V149" s="343">
        <v>1364</v>
      </c>
      <c r="W149" s="343">
        <v>30025.25</v>
      </c>
      <c r="X149" s="343">
        <v>1037</v>
      </c>
      <c r="Y149" s="343">
        <v>0</v>
      </c>
      <c r="Z149" s="343">
        <v>31062.25</v>
      </c>
      <c r="AA149" s="343">
        <v>2402.0300000000002</v>
      </c>
    </row>
    <row r="150" spans="1:27">
      <c r="A150" s="343">
        <v>20260716</v>
      </c>
      <c r="B150" s="343">
        <v>3078</v>
      </c>
      <c r="C150" s="343">
        <v>17</v>
      </c>
      <c r="D150" s="343">
        <v>44</v>
      </c>
      <c r="E150" s="384">
        <v>46219</v>
      </c>
      <c r="F150" s="343" t="s">
        <v>235</v>
      </c>
      <c r="G150" s="343" t="s">
        <v>162</v>
      </c>
      <c r="I150" s="343">
        <v>20260521</v>
      </c>
      <c r="J150" s="343">
        <v>44420.09</v>
      </c>
      <c r="K150" s="343">
        <v>144</v>
      </c>
      <c r="L150" s="343">
        <v>424</v>
      </c>
      <c r="M150" s="384">
        <v>46163</v>
      </c>
      <c r="N150" s="343" t="s">
        <v>235</v>
      </c>
      <c r="O150" s="343" t="s">
        <v>150</v>
      </c>
      <c r="Q150" s="343" t="s">
        <v>338</v>
      </c>
      <c r="R150" s="343" t="s">
        <v>156</v>
      </c>
      <c r="S150" s="384">
        <v>46188</v>
      </c>
      <c r="T150" s="384">
        <v>46194</v>
      </c>
      <c r="U150" s="343" t="s">
        <v>277</v>
      </c>
      <c r="V150" s="343">
        <v>123</v>
      </c>
      <c r="W150" s="343">
        <v>20830</v>
      </c>
      <c r="X150" s="343">
        <v>120</v>
      </c>
      <c r="Y150" s="343">
        <v>0</v>
      </c>
      <c r="Z150" s="343">
        <v>20950</v>
      </c>
      <c r="AA150" s="343">
        <v>1666.4</v>
      </c>
    </row>
    <row r="151" spans="1:27">
      <c r="A151" s="343">
        <v>20260717</v>
      </c>
      <c r="B151" s="343">
        <v>2264</v>
      </c>
      <c r="C151" s="343">
        <v>17</v>
      </c>
      <c r="D151" s="343">
        <v>39</v>
      </c>
      <c r="E151" s="384">
        <v>46220</v>
      </c>
      <c r="F151" s="343" t="s">
        <v>236</v>
      </c>
      <c r="G151" s="343" t="s">
        <v>162</v>
      </c>
      <c r="I151" s="343">
        <v>20260528</v>
      </c>
      <c r="J151" s="343">
        <v>29577</v>
      </c>
      <c r="K151" s="343">
        <v>106</v>
      </c>
      <c r="L151" s="343">
        <v>265</v>
      </c>
      <c r="M151" s="384">
        <v>46170</v>
      </c>
      <c r="N151" s="343" t="s">
        <v>235</v>
      </c>
      <c r="O151" s="343" t="s">
        <v>153</v>
      </c>
      <c r="Q151" s="343" t="s">
        <v>338</v>
      </c>
      <c r="R151" s="343" t="s">
        <v>156</v>
      </c>
      <c r="S151" s="384">
        <v>46188</v>
      </c>
      <c r="T151" s="384">
        <v>46194</v>
      </c>
      <c r="U151" s="343" t="s">
        <v>287</v>
      </c>
      <c r="V151" s="343">
        <v>444</v>
      </c>
      <c r="W151" s="343">
        <v>10625</v>
      </c>
      <c r="X151" s="343">
        <v>274</v>
      </c>
      <c r="Y151" s="343">
        <v>0</v>
      </c>
      <c r="Z151" s="343">
        <v>10899</v>
      </c>
      <c r="AA151" s="343">
        <v>850</v>
      </c>
    </row>
    <row r="152" spans="1:27">
      <c r="A152" s="343">
        <v>20260718</v>
      </c>
      <c r="B152" s="343">
        <v>1700.5</v>
      </c>
      <c r="C152" s="343">
        <v>2</v>
      </c>
      <c r="D152" s="343">
        <v>15</v>
      </c>
      <c r="E152" s="384">
        <v>46221</v>
      </c>
      <c r="F152" s="343" t="s">
        <v>244</v>
      </c>
      <c r="G152" s="343" t="s">
        <v>162</v>
      </c>
      <c r="I152" s="343">
        <v>20260604</v>
      </c>
      <c r="J152" s="343">
        <v>24725.5</v>
      </c>
      <c r="K152" s="343">
        <v>106</v>
      </c>
      <c r="L152" s="343">
        <v>235</v>
      </c>
      <c r="M152" s="384">
        <v>46177</v>
      </c>
      <c r="N152" s="343" t="s">
        <v>235</v>
      </c>
      <c r="O152" s="343" t="s">
        <v>154</v>
      </c>
      <c r="Q152" s="343" t="s">
        <v>338</v>
      </c>
      <c r="R152" s="343" t="s">
        <v>157</v>
      </c>
      <c r="S152" s="384">
        <v>46195</v>
      </c>
      <c r="T152" s="384">
        <v>46201</v>
      </c>
      <c r="U152" s="343" t="s">
        <v>285</v>
      </c>
      <c r="V152" s="343">
        <v>6627</v>
      </c>
      <c r="W152" s="343">
        <v>151577.15</v>
      </c>
      <c r="X152" s="343">
        <v>11098.85</v>
      </c>
      <c r="Y152" s="343">
        <v>0</v>
      </c>
      <c r="Z152" s="343">
        <v>162676</v>
      </c>
      <c r="AA152" s="343">
        <v>12093.92</v>
      </c>
    </row>
    <row r="153" spans="1:27">
      <c r="A153" s="343">
        <v>20260720</v>
      </c>
      <c r="B153" s="343">
        <v>3499</v>
      </c>
      <c r="C153" s="343">
        <v>22</v>
      </c>
      <c r="D153" s="343">
        <v>54</v>
      </c>
      <c r="E153" s="384">
        <v>46223</v>
      </c>
      <c r="F153" s="343" t="s">
        <v>232</v>
      </c>
      <c r="G153" s="343" t="s">
        <v>163</v>
      </c>
      <c r="I153" s="343">
        <v>20260611</v>
      </c>
      <c r="J153" s="343">
        <v>28902.5</v>
      </c>
      <c r="K153" s="343">
        <v>110</v>
      </c>
      <c r="L153" s="343">
        <v>254</v>
      </c>
      <c r="M153" s="384">
        <v>46184</v>
      </c>
      <c r="N153" s="343" t="s">
        <v>235</v>
      </c>
      <c r="O153" s="343" t="s">
        <v>155</v>
      </c>
      <c r="Q153" s="343" t="s">
        <v>338</v>
      </c>
      <c r="R153" s="343" t="s">
        <v>157</v>
      </c>
      <c r="S153" s="384">
        <v>46195</v>
      </c>
      <c r="T153" s="384">
        <v>46201</v>
      </c>
      <c r="U153" s="343" t="s">
        <v>342</v>
      </c>
      <c r="V153" s="343">
        <v>1302</v>
      </c>
      <c r="W153" s="343">
        <v>11455.96</v>
      </c>
      <c r="X153" s="343">
        <v>612.04</v>
      </c>
      <c r="Y153" s="343">
        <v>0</v>
      </c>
      <c r="Z153" s="343">
        <v>12068</v>
      </c>
      <c r="AA153" s="343">
        <v>915.11</v>
      </c>
    </row>
    <row r="154" spans="1:27">
      <c r="A154" s="343">
        <v>20260721</v>
      </c>
      <c r="B154" s="343">
        <v>2860</v>
      </c>
      <c r="C154" s="343">
        <v>23</v>
      </c>
      <c r="D154" s="343">
        <v>48</v>
      </c>
      <c r="E154" s="384">
        <v>46224</v>
      </c>
      <c r="F154" s="343" t="s">
        <v>233</v>
      </c>
      <c r="G154" s="343" t="s">
        <v>163</v>
      </c>
      <c r="I154" s="343">
        <v>20260618</v>
      </c>
      <c r="J154" s="343">
        <v>22244.83</v>
      </c>
      <c r="K154" s="343">
        <v>86</v>
      </c>
      <c r="L154" s="343">
        <v>197</v>
      </c>
      <c r="M154" s="384">
        <v>46191</v>
      </c>
      <c r="N154" s="343" t="s">
        <v>235</v>
      </c>
      <c r="O154" s="343" t="s">
        <v>156</v>
      </c>
      <c r="Q154" s="343" t="s">
        <v>338</v>
      </c>
      <c r="R154" s="343" t="s">
        <v>157</v>
      </c>
      <c r="S154" s="384">
        <v>46195</v>
      </c>
      <c r="T154" s="384">
        <v>46201</v>
      </c>
      <c r="U154" s="343" t="s">
        <v>281</v>
      </c>
      <c r="V154" s="343">
        <v>1633</v>
      </c>
      <c r="W154" s="343">
        <v>38922.400000000001</v>
      </c>
      <c r="X154" s="343">
        <v>1392.86</v>
      </c>
      <c r="Y154" s="343">
        <v>0</v>
      </c>
      <c r="Z154" s="343">
        <v>40315.26</v>
      </c>
      <c r="AA154" s="343">
        <v>3108.55</v>
      </c>
    </row>
    <row r="155" spans="1:27">
      <c r="A155" s="343">
        <v>20260722</v>
      </c>
      <c r="B155" s="343">
        <v>5993</v>
      </c>
      <c r="C155" s="343">
        <v>24</v>
      </c>
      <c r="D155" s="343">
        <v>61</v>
      </c>
      <c r="E155" s="384">
        <v>46225</v>
      </c>
      <c r="F155" s="343" t="s">
        <v>234</v>
      </c>
      <c r="G155" s="343" t="s">
        <v>163</v>
      </c>
      <c r="I155" s="343">
        <v>20260625</v>
      </c>
      <c r="J155" s="343">
        <v>33095.5</v>
      </c>
      <c r="K155" s="343">
        <v>98</v>
      </c>
      <c r="L155" s="343">
        <v>242</v>
      </c>
      <c r="M155" s="384">
        <v>46198</v>
      </c>
      <c r="N155" s="343" t="s">
        <v>235</v>
      </c>
      <c r="O155" s="343" t="s">
        <v>157</v>
      </c>
      <c r="Q155" s="343" t="s">
        <v>338</v>
      </c>
      <c r="R155" s="343" t="s">
        <v>157</v>
      </c>
      <c r="S155" s="384">
        <v>46195</v>
      </c>
      <c r="T155" s="384">
        <v>46201</v>
      </c>
      <c r="U155" s="343" t="s">
        <v>287</v>
      </c>
      <c r="V155" s="343">
        <v>520</v>
      </c>
      <c r="W155" s="343">
        <v>12599</v>
      </c>
      <c r="X155" s="343">
        <v>349</v>
      </c>
      <c r="Y155" s="343">
        <v>0</v>
      </c>
      <c r="Z155" s="343">
        <v>12948</v>
      </c>
      <c r="AA155" s="343">
        <v>1007.92</v>
      </c>
    </row>
    <row r="156" spans="1:27">
      <c r="A156" s="343">
        <v>20260723</v>
      </c>
      <c r="B156" s="343">
        <v>2949</v>
      </c>
      <c r="C156" s="343">
        <v>19</v>
      </c>
      <c r="D156" s="343">
        <v>41</v>
      </c>
      <c r="E156" s="384">
        <v>46226</v>
      </c>
      <c r="F156" s="343" t="s">
        <v>235</v>
      </c>
      <c r="G156" s="343" t="s">
        <v>163</v>
      </c>
      <c r="I156" s="343">
        <v>20260702</v>
      </c>
      <c r="J156" s="343">
        <v>32008</v>
      </c>
      <c r="K156" s="343">
        <v>97</v>
      </c>
      <c r="L156" s="343">
        <v>252</v>
      </c>
      <c r="M156" s="384">
        <v>46205</v>
      </c>
      <c r="N156" s="343" t="s">
        <v>235</v>
      </c>
      <c r="O156" s="343" t="s">
        <v>160</v>
      </c>
      <c r="Q156" s="343" t="s">
        <v>338</v>
      </c>
      <c r="R156" s="343" t="s">
        <v>160</v>
      </c>
      <c r="S156" s="384">
        <v>46202</v>
      </c>
      <c r="T156" s="384">
        <v>46208</v>
      </c>
      <c r="U156" s="343" t="s">
        <v>285</v>
      </c>
      <c r="V156" s="343">
        <v>5593</v>
      </c>
      <c r="W156" s="343">
        <v>122261.96</v>
      </c>
      <c r="X156" s="343">
        <v>6129</v>
      </c>
      <c r="Y156" s="343">
        <v>0</v>
      </c>
      <c r="Z156" s="343">
        <v>128390.96</v>
      </c>
      <c r="AA156" s="343">
        <v>9781.01</v>
      </c>
    </row>
    <row r="157" spans="1:27">
      <c r="A157" s="343">
        <v>20260724</v>
      </c>
      <c r="B157" s="343">
        <v>5613</v>
      </c>
      <c r="C157" s="343">
        <v>32</v>
      </c>
      <c r="D157" s="343">
        <v>82</v>
      </c>
      <c r="E157" s="384">
        <v>46227</v>
      </c>
      <c r="F157" s="343" t="s">
        <v>236</v>
      </c>
      <c r="G157" s="343" t="s">
        <v>163</v>
      </c>
      <c r="I157" s="343">
        <v>20260709</v>
      </c>
      <c r="J157" s="343">
        <v>32048.25</v>
      </c>
      <c r="K157" s="343">
        <v>100</v>
      </c>
      <c r="L157" s="343">
        <v>243</v>
      </c>
      <c r="M157" s="384">
        <v>46212</v>
      </c>
      <c r="N157" s="343" t="s">
        <v>235</v>
      </c>
      <c r="O157" s="343" t="s">
        <v>161</v>
      </c>
      <c r="Q157" s="343" t="s">
        <v>338</v>
      </c>
      <c r="R157" s="343" t="s">
        <v>160</v>
      </c>
      <c r="S157" s="384">
        <v>46202</v>
      </c>
      <c r="T157" s="384">
        <v>46208</v>
      </c>
      <c r="U157" s="343" t="s">
        <v>342</v>
      </c>
      <c r="V157" s="343">
        <v>1079</v>
      </c>
      <c r="W157" s="343">
        <v>9786</v>
      </c>
      <c r="X157" s="343">
        <v>354</v>
      </c>
      <c r="Y157" s="343">
        <v>0</v>
      </c>
      <c r="Z157" s="343">
        <v>10140</v>
      </c>
      <c r="AA157" s="343">
        <v>782.88</v>
      </c>
    </row>
    <row r="158" spans="1:27">
      <c r="A158" s="343">
        <v>20260725</v>
      </c>
      <c r="C158" s="343">
        <v>1</v>
      </c>
      <c r="D158" s="343">
        <v>0</v>
      </c>
      <c r="E158" s="384">
        <v>46228</v>
      </c>
      <c r="F158" s="343" t="s">
        <v>244</v>
      </c>
      <c r="G158" s="343" t="s">
        <v>163</v>
      </c>
      <c r="I158" s="343">
        <v>20260716</v>
      </c>
      <c r="J158" s="343">
        <v>39487.78</v>
      </c>
      <c r="K158" s="343">
        <v>127</v>
      </c>
      <c r="L158" s="343">
        <v>335</v>
      </c>
      <c r="M158" s="384">
        <v>46219</v>
      </c>
      <c r="N158" s="343" t="s">
        <v>235</v>
      </c>
      <c r="O158" s="343" t="s">
        <v>162</v>
      </c>
      <c r="Q158" s="343" t="s">
        <v>338</v>
      </c>
      <c r="R158" s="343" t="s">
        <v>160</v>
      </c>
      <c r="S158" s="384">
        <v>46202</v>
      </c>
      <c r="T158" s="384">
        <v>46208</v>
      </c>
      <c r="U158" s="343" t="s">
        <v>281</v>
      </c>
      <c r="V158" s="343">
        <v>1116</v>
      </c>
      <c r="W158" s="343">
        <v>27240.5</v>
      </c>
      <c r="X158" s="343">
        <v>362</v>
      </c>
      <c r="Y158" s="343">
        <v>0</v>
      </c>
      <c r="Z158" s="343">
        <v>27602.5</v>
      </c>
      <c r="AA158" s="343">
        <v>2179.25</v>
      </c>
    </row>
    <row r="159" spans="1:27">
      <c r="A159" s="343">
        <v>20260727</v>
      </c>
      <c r="B159" s="343">
        <v>2124</v>
      </c>
      <c r="C159" s="343">
        <v>17</v>
      </c>
      <c r="D159" s="343">
        <v>36</v>
      </c>
      <c r="E159" s="384">
        <v>46230</v>
      </c>
      <c r="F159" s="343" t="s">
        <v>232</v>
      </c>
      <c r="G159" s="343" t="s">
        <v>166</v>
      </c>
      <c r="I159" s="343">
        <v>20260723</v>
      </c>
      <c r="J159" s="343">
        <v>34390.5</v>
      </c>
      <c r="K159" s="343">
        <v>188</v>
      </c>
      <c r="L159" s="343">
        <v>513</v>
      </c>
      <c r="M159" s="384">
        <v>46226</v>
      </c>
      <c r="N159" s="343" t="s">
        <v>235</v>
      </c>
      <c r="O159" s="343" t="s">
        <v>163</v>
      </c>
      <c r="Q159" s="343" t="s">
        <v>338</v>
      </c>
      <c r="R159" s="343" t="s">
        <v>160</v>
      </c>
      <c r="S159" s="384">
        <v>46202</v>
      </c>
      <c r="T159" s="384">
        <v>46208</v>
      </c>
      <c r="U159" s="343" t="s">
        <v>277</v>
      </c>
      <c r="V159" s="343">
        <v>128</v>
      </c>
      <c r="W159" s="343">
        <v>25475</v>
      </c>
      <c r="X159" s="343">
        <v>240</v>
      </c>
      <c r="Y159" s="343">
        <v>0</v>
      </c>
      <c r="Z159" s="343">
        <v>25715</v>
      </c>
      <c r="AA159" s="343">
        <v>2038</v>
      </c>
    </row>
    <row r="160" spans="1:27">
      <c r="A160" s="343">
        <v>20260728</v>
      </c>
      <c r="B160" s="343">
        <v>10795.69</v>
      </c>
      <c r="C160" s="343">
        <v>26</v>
      </c>
      <c r="D160" s="343">
        <v>100</v>
      </c>
      <c r="E160" s="384">
        <v>46231</v>
      </c>
      <c r="F160" s="343" t="s">
        <v>233</v>
      </c>
      <c r="G160" s="343" t="s">
        <v>166</v>
      </c>
      <c r="I160" s="343">
        <v>20260730</v>
      </c>
      <c r="J160" s="343">
        <v>31215.3</v>
      </c>
      <c r="K160" s="343">
        <v>99</v>
      </c>
      <c r="L160" s="343">
        <v>270</v>
      </c>
      <c r="M160" s="384">
        <v>46233</v>
      </c>
      <c r="N160" s="343" t="s">
        <v>235</v>
      </c>
      <c r="O160" s="343" t="s">
        <v>166</v>
      </c>
      <c r="Q160" s="343" t="s">
        <v>338</v>
      </c>
      <c r="R160" s="343" t="s">
        <v>160</v>
      </c>
      <c r="S160" s="384">
        <v>46202</v>
      </c>
      <c r="T160" s="384">
        <v>46208</v>
      </c>
      <c r="U160" s="343" t="s">
        <v>287</v>
      </c>
      <c r="V160" s="343">
        <v>348</v>
      </c>
      <c r="W160" s="343">
        <v>8760</v>
      </c>
      <c r="X160" s="343">
        <v>255</v>
      </c>
      <c r="Y160" s="343">
        <v>0</v>
      </c>
      <c r="Z160" s="343">
        <v>9015</v>
      </c>
      <c r="AA160" s="343">
        <v>700.8</v>
      </c>
    </row>
    <row r="161" spans="1:27">
      <c r="A161" s="343">
        <v>20260729</v>
      </c>
      <c r="B161" s="343">
        <v>3500</v>
      </c>
      <c r="C161" s="343">
        <v>19</v>
      </c>
      <c r="D161" s="343">
        <v>54</v>
      </c>
      <c r="E161" s="384">
        <v>46232</v>
      </c>
      <c r="F161" s="343" t="s">
        <v>234</v>
      </c>
      <c r="G161" s="343" t="s">
        <v>166</v>
      </c>
      <c r="I161" s="343">
        <v>20260806</v>
      </c>
      <c r="J161" s="343">
        <v>31854.5</v>
      </c>
      <c r="K161" s="343">
        <v>130</v>
      </c>
      <c r="L161" s="343">
        <v>298</v>
      </c>
      <c r="M161" s="384">
        <v>46240</v>
      </c>
      <c r="N161" s="343" t="s">
        <v>235</v>
      </c>
      <c r="O161" s="343" t="s">
        <v>167</v>
      </c>
      <c r="Q161" s="343" t="s">
        <v>338</v>
      </c>
      <c r="R161" s="343" t="s">
        <v>161</v>
      </c>
      <c r="S161" s="384">
        <v>46209</v>
      </c>
      <c r="T161" s="384">
        <v>46215</v>
      </c>
      <c r="U161" s="343" t="s">
        <v>285</v>
      </c>
      <c r="V161" s="343">
        <v>5971</v>
      </c>
      <c r="W161" s="343">
        <v>137848.17000000001</v>
      </c>
      <c r="X161" s="343">
        <v>8123.5</v>
      </c>
      <c r="Y161" s="343">
        <v>0</v>
      </c>
      <c r="Z161" s="343">
        <v>145971.67000000001</v>
      </c>
      <c r="AA161" s="343">
        <v>11027.86</v>
      </c>
    </row>
    <row r="162" spans="1:27">
      <c r="A162" s="343">
        <v>20260730</v>
      </c>
      <c r="B162" s="343">
        <v>2716</v>
      </c>
      <c r="C162" s="343">
        <v>16</v>
      </c>
      <c r="D162" s="343">
        <v>36</v>
      </c>
      <c r="E162" s="384">
        <v>46233</v>
      </c>
      <c r="F162" s="343" t="s">
        <v>235</v>
      </c>
      <c r="G162" s="343" t="s">
        <v>166</v>
      </c>
      <c r="I162" s="343">
        <v>20260813</v>
      </c>
      <c r="J162" s="343">
        <v>33064.980000000003</v>
      </c>
      <c r="K162" s="343">
        <v>117</v>
      </c>
      <c r="L162" s="343">
        <v>327</v>
      </c>
      <c r="M162" s="384">
        <v>46247</v>
      </c>
      <c r="N162" s="343" t="s">
        <v>235</v>
      </c>
      <c r="O162" s="343" t="s">
        <v>168</v>
      </c>
      <c r="Q162" s="343" t="s">
        <v>338</v>
      </c>
      <c r="R162" s="343" t="s">
        <v>161</v>
      </c>
      <c r="S162" s="384">
        <v>46209</v>
      </c>
      <c r="T162" s="384">
        <v>46215</v>
      </c>
      <c r="U162" s="343" t="s">
        <v>342</v>
      </c>
      <c r="V162" s="343">
        <v>1247</v>
      </c>
      <c r="W162" s="343">
        <v>11331.5</v>
      </c>
      <c r="X162" s="343">
        <v>193.5</v>
      </c>
      <c r="Y162" s="343">
        <v>0</v>
      </c>
      <c r="Z162" s="343">
        <v>11525</v>
      </c>
      <c r="AA162" s="343">
        <v>906.53</v>
      </c>
    </row>
    <row r="163" spans="1:27">
      <c r="A163" s="343">
        <v>20260731</v>
      </c>
      <c r="B163" s="343">
        <v>8777.6</v>
      </c>
      <c r="C163" s="343">
        <v>34</v>
      </c>
      <c r="D163" s="343">
        <v>104</v>
      </c>
      <c r="E163" s="384">
        <v>46234</v>
      </c>
      <c r="F163" s="343" t="s">
        <v>236</v>
      </c>
      <c r="G163" s="343" t="s">
        <v>166</v>
      </c>
      <c r="I163" s="343">
        <v>20260820</v>
      </c>
      <c r="J163" s="343">
        <v>39147.46</v>
      </c>
      <c r="K163" s="343">
        <v>143</v>
      </c>
      <c r="L163" s="343">
        <v>337</v>
      </c>
      <c r="M163" s="384">
        <v>46254</v>
      </c>
      <c r="N163" s="343" t="s">
        <v>235</v>
      </c>
      <c r="O163" s="343" t="s">
        <v>101</v>
      </c>
      <c r="Q163" s="343" t="s">
        <v>338</v>
      </c>
      <c r="R163" s="343" t="s">
        <v>161</v>
      </c>
      <c r="S163" s="384">
        <v>46209</v>
      </c>
      <c r="T163" s="384">
        <v>46215</v>
      </c>
      <c r="U163" s="343" t="s">
        <v>281</v>
      </c>
      <c r="V163" s="343">
        <v>1608</v>
      </c>
      <c r="W163" s="343">
        <v>37756.75</v>
      </c>
      <c r="X163" s="343">
        <v>1301</v>
      </c>
      <c r="Y163" s="343">
        <v>0</v>
      </c>
      <c r="Z163" s="343">
        <v>39057.75</v>
      </c>
      <c r="AA163" s="343">
        <v>3020.61</v>
      </c>
    </row>
    <row r="164" spans="1:27">
      <c r="A164" s="343">
        <v>20260803</v>
      </c>
      <c r="B164" s="343">
        <v>1797</v>
      </c>
      <c r="C164" s="343">
        <v>15</v>
      </c>
      <c r="D164" s="343">
        <v>28</v>
      </c>
      <c r="E164" s="384">
        <v>46237</v>
      </c>
      <c r="F164" s="343" t="s">
        <v>232</v>
      </c>
      <c r="G164" s="343" t="s">
        <v>167</v>
      </c>
      <c r="I164" s="343">
        <v>20250207</v>
      </c>
      <c r="J164" s="343">
        <v>50558.33</v>
      </c>
      <c r="K164" s="343">
        <v>225</v>
      </c>
      <c r="L164" s="343">
        <v>1472</v>
      </c>
      <c r="M164" s="384">
        <v>45695</v>
      </c>
      <c r="N164" s="343" t="s">
        <v>236</v>
      </c>
      <c r="O164" s="343" t="s">
        <v>282</v>
      </c>
      <c r="Q164" s="343" t="s">
        <v>338</v>
      </c>
      <c r="R164" s="343" t="s">
        <v>161</v>
      </c>
      <c r="S164" s="384">
        <v>46209</v>
      </c>
      <c r="T164" s="384">
        <v>46215</v>
      </c>
      <c r="U164" s="343" t="s">
        <v>279</v>
      </c>
      <c r="V164" s="343">
        <v>111</v>
      </c>
      <c r="W164" s="343">
        <v>1100</v>
      </c>
      <c r="X164" s="343">
        <v>10</v>
      </c>
      <c r="Y164" s="343">
        <v>0</v>
      </c>
      <c r="Z164" s="343">
        <v>1110</v>
      </c>
      <c r="AA164" s="343">
        <v>88</v>
      </c>
    </row>
    <row r="165" spans="1:27">
      <c r="A165" s="343">
        <v>20260804</v>
      </c>
      <c r="B165" s="343">
        <v>6376</v>
      </c>
      <c r="C165" s="343">
        <v>33</v>
      </c>
      <c r="D165" s="343">
        <v>93</v>
      </c>
      <c r="E165" s="384">
        <v>46238</v>
      </c>
      <c r="F165" s="343" t="s">
        <v>233</v>
      </c>
      <c r="G165" s="343" t="s">
        <v>167</v>
      </c>
      <c r="I165" s="343">
        <v>20250214</v>
      </c>
      <c r="J165" s="343">
        <v>73800.25</v>
      </c>
      <c r="K165" s="343">
        <v>245</v>
      </c>
      <c r="L165" s="343">
        <v>500</v>
      </c>
      <c r="M165" s="384">
        <v>45702</v>
      </c>
      <c r="N165" s="343" t="s">
        <v>236</v>
      </c>
      <c r="O165" s="343" t="s">
        <v>284</v>
      </c>
      <c r="Q165" s="343" t="s">
        <v>338</v>
      </c>
      <c r="R165" s="343" t="s">
        <v>161</v>
      </c>
      <c r="S165" s="384">
        <v>46209</v>
      </c>
      <c r="T165" s="384">
        <v>46215</v>
      </c>
      <c r="U165" s="343" t="s">
        <v>287</v>
      </c>
      <c r="V165" s="343">
        <v>493</v>
      </c>
      <c r="W165" s="343">
        <v>12051</v>
      </c>
      <c r="X165" s="343">
        <v>215</v>
      </c>
      <c r="Y165" s="343">
        <v>0</v>
      </c>
      <c r="Z165" s="343">
        <v>12266</v>
      </c>
      <c r="AA165" s="343">
        <v>964.08</v>
      </c>
    </row>
    <row r="166" spans="1:27">
      <c r="A166" s="343">
        <v>20260805</v>
      </c>
      <c r="B166" s="343">
        <v>11430.84</v>
      </c>
      <c r="C166" s="343">
        <v>33</v>
      </c>
      <c r="D166" s="343">
        <v>119</v>
      </c>
      <c r="E166" s="384">
        <v>46239</v>
      </c>
      <c r="F166" s="343" t="s">
        <v>234</v>
      </c>
      <c r="G166" s="343" t="s">
        <v>167</v>
      </c>
      <c r="I166" s="343">
        <v>20250221</v>
      </c>
      <c r="J166" s="343">
        <v>71129.67</v>
      </c>
      <c r="K166" s="343">
        <v>338</v>
      </c>
      <c r="L166" s="343">
        <v>785</v>
      </c>
      <c r="M166" s="384">
        <v>45709</v>
      </c>
      <c r="N166" s="343" t="s">
        <v>236</v>
      </c>
      <c r="O166" s="343" t="s">
        <v>286</v>
      </c>
      <c r="Q166" s="343" t="s">
        <v>338</v>
      </c>
      <c r="R166" s="343" t="s">
        <v>162</v>
      </c>
      <c r="S166" s="384">
        <v>46216</v>
      </c>
      <c r="T166" s="384">
        <v>46222</v>
      </c>
      <c r="U166" s="343" t="s">
        <v>285</v>
      </c>
      <c r="V166" s="343">
        <v>6635</v>
      </c>
      <c r="W166" s="343">
        <v>154674.01</v>
      </c>
      <c r="X166" s="343">
        <v>6986</v>
      </c>
      <c r="Y166" s="343">
        <v>0</v>
      </c>
      <c r="Z166" s="343">
        <v>161660.01</v>
      </c>
      <c r="AA166" s="343">
        <v>12373.92</v>
      </c>
    </row>
    <row r="167" spans="1:27">
      <c r="A167" s="343">
        <v>20260806</v>
      </c>
      <c r="B167" s="343">
        <v>6889</v>
      </c>
      <c r="C167" s="343">
        <v>28</v>
      </c>
      <c r="D167" s="343">
        <v>96</v>
      </c>
      <c r="E167" s="384">
        <v>46240</v>
      </c>
      <c r="F167" s="343" t="s">
        <v>235</v>
      </c>
      <c r="G167" s="343" t="s">
        <v>167</v>
      </c>
      <c r="I167" s="343">
        <v>20250228</v>
      </c>
      <c r="J167" s="343">
        <v>71913.55</v>
      </c>
      <c r="K167" s="343">
        <v>301</v>
      </c>
      <c r="L167" s="343">
        <v>642</v>
      </c>
      <c r="M167" s="384">
        <v>45716</v>
      </c>
      <c r="N167" s="343" t="s">
        <v>236</v>
      </c>
      <c r="O167" s="343" t="s">
        <v>288</v>
      </c>
      <c r="Q167" s="343" t="s">
        <v>338</v>
      </c>
      <c r="R167" s="343" t="s">
        <v>162</v>
      </c>
      <c r="S167" s="384">
        <v>46216</v>
      </c>
      <c r="T167" s="384">
        <v>46222</v>
      </c>
      <c r="U167" s="343" t="s">
        <v>342</v>
      </c>
      <c r="V167" s="343">
        <v>1407</v>
      </c>
      <c r="W167" s="343">
        <v>12856</v>
      </c>
      <c r="X167" s="343">
        <v>212</v>
      </c>
      <c r="Y167" s="343">
        <v>0</v>
      </c>
      <c r="Z167" s="343">
        <v>13068</v>
      </c>
      <c r="AA167" s="343">
        <v>1028.48</v>
      </c>
    </row>
    <row r="168" spans="1:27">
      <c r="A168" s="343">
        <v>20260807</v>
      </c>
      <c r="B168" s="343">
        <v>11197</v>
      </c>
      <c r="C168" s="343">
        <v>51</v>
      </c>
      <c r="D168" s="343">
        <v>149</v>
      </c>
      <c r="E168" s="384">
        <v>46241</v>
      </c>
      <c r="F168" s="343" t="s">
        <v>236</v>
      </c>
      <c r="G168" s="343" t="s">
        <v>167</v>
      </c>
      <c r="I168" s="343">
        <v>20250307</v>
      </c>
      <c r="J168" s="343">
        <v>86395.42</v>
      </c>
      <c r="K168" s="343">
        <v>335</v>
      </c>
      <c r="L168" s="343">
        <v>839</v>
      </c>
      <c r="M168" s="384">
        <v>45723</v>
      </c>
      <c r="N168" s="343" t="s">
        <v>236</v>
      </c>
      <c r="O168" s="343" t="s">
        <v>290</v>
      </c>
      <c r="Q168" s="343" t="s">
        <v>338</v>
      </c>
      <c r="R168" s="343" t="s">
        <v>162</v>
      </c>
      <c r="S168" s="384">
        <v>46216</v>
      </c>
      <c r="T168" s="384">
        <v>46222</v>
      </c>
      <c r="U168" s="343" t="s">
        <v>281</v>
      </c>
      <c r="V168" s="343">
        <v>1596</v>
      </c>
      <c r="W168" s="343">
        <v>35737</v>
      </c>
      <c r="X168" s="343">
        <v>1195</v>
      </c>
      <c r="Y168" s="343">
        <v>0</v>
      </c>
      <c r="Z168" s="343">
        <v>36932</v>
      </c>
      <c r="AA168" s="343">
        <v>2858.99</v>
      </c>
    </row>
    <row r="169" spans="1:27">
      <c r="A169" s="343">
        <v>20260808</v>
      </c>
      <c r="C169" s="343">
        <v>1</v>
      </c>
      <c r="D169" s="343">
        <v>0</v>
      </c>
      <c r="E169" s="384">
        <v>46242</v>
      </c>
      <c r="F169" s="343" t="s">
        <v>244</v>
      </c>
      <c r="G169" s="343" t="s">
        <v>167</v>
      </c>
      <c r="I169" s="343">
        <v>20250314</v>
      </c>
      <c r="J169" s="343">
        <v>89133.75</v>
      </c>
      <c r="K169" s="343">
        <v>319</v>
      </c>
      <c r="L169" s="343">
        <v>728</v>
      </c>
      <c r="M169" s="384">
        <v>45730</v>
      </c>
      <c r="N169" s="343" t="s">
        <v>236</v>
      </c>
      <c r="O169" s="343" t="s">
        <v>292</v>
      </c>
      <c r="Q169" s="343" t="s">
        <v>338</v>
      </c>
      <c r="R169" s="343" t="s">
        <v>162</v>
      </c>
      <c r="S169" s="384">
        <v>46216</v>
      </c>
      <c r="T169" s="384">
        <v>46222</v>
      </c>
      <c r="U169" s="343" t="s">
        <v>277</v>
      </c>
      <c r="V169" s="343">
        <v>155</v>
      </c>
      <c r="W169" s="343">
        <v>25805</v>
      </c>
      <c r="X169" s="343">
        <v>115</v>
      </c>
      <c r="Y169" s="343">
        <v>0</v>
      </c>
      <c r="Z169" s="343">
        <v>25920</v>
      </c>
      <c r="AA169" s="343">
        <v>2064.4</v>
      </c>
    </row>
    <row r="170" spans="1:27">
      <c r="A170" s="343">
        <v>20260810</v>
      </c>
      <c r="B170" s="343">
        <v>5424.8</v>
      </c>
      <c r="C170" s="343">
        <v>32</v>
      </c>
      <c r="D170" s="343">
        <v>81</v>
      </c>
      <c r="E170" s="384">
        <v>46244</v>
      </c>
      <c r="F170" s="343" t="s">
        <v>232</v>
      </c>
      <c r="G170" s="343" t="s">
        <v>168</v>
      </c>
      <c r="I170" s="343">
        <v>20250321</v>
      </c>
      <c r="J170" s="343">
        <v>85317.5</v>
      </c>
      <c r="K170" s="343">
        <v>342</v>
      </c>
      <c r="L170" s="343">
        <v>833</v>
      </c>
      <c r="M170" s="384">
        <v>45737</v>
      </c>
      <c r="N170" s="343" t="s">
        <v>236</v>
      </c>
      <c r="O170" s="343" t="s">
        <v>294</v>
      </c>
      <c r="Q170" s="343" t="s">
        <v>338</v>
      </c>
      <c r="R170" s="343" t="s">
        <v>162</v>
      </c>
      <c r="S170" s="384">
        <v>46216</v>
      </c>
      <c r="T170" s="384">
        <v>46222</v>
      </c>
      <c r="U170" s="343" t="s">
        <v>287</v>
      </c>
      <c r="V170" s="343">
        <v>502</v>
      </c>
      <c r="W170" s="343">
        <v>11686</v>
      </c>
      <c r="X170" s="343">
        <v>323</v>
      </c>
      <c r="Y170" s="343">
        <v>0</v>
      </c>
      <c r="Z170" s="343">
        <v>12009</v>
      </c>
      <c r="AA170" s="343">
        <v>934.88</v>
      </c>
    </row>
    <row r="171" spans="1:27">
      <c r="A171" s="343">
        <v>20260811</v>
      </c>
      <c r="B171" s="343">
        <v>5756.75</v>
      </c>
      <c r="C171" s="343">
        <v>29</v>
      </c>
      <c r="D171" s="343">
        <v>91</v>
      </c>
      <c r="E171" s="384">
        <v>46245</v>
      </c>
      <c r="F171" s="343" t="s">
        <v>233</v>
      </c>
      <c r="G171" s="343" t="s">
        <v>168</v>
      </c>
      <c r="I171" s="343">
        <v>20250328</v>
      </c>
      <c r="J171" s="343">
        <v>73167.61</v>
      </c>
      <c r="K171" s="343">
        <v>266</v>
      </c>
      <c r="L171" s="343">
        <v>687</v>
      </c>
      <c r="M171" s="384">
        <v>45744</v>
      </c>
      <c r="N171" s="343" t="s">
        <v>236</v>
      </c>
      <c r="O171" s="343" t="s">
        <v>295</v>
      </c>
      <c r="Q171" s="343" t="s">
        <v>338</v>
      </c>
      <c r="R171" s="343" t="s">
        <v>163</v>
      </c>
      <c r="S171" s="384">
        <v>46223</v>
      </c>
      <c r="T171" s="384">
        <v>46229</v>
      </c>
      <c r="U171" s="343" t="s">
        <v>285</v>
      </c>
      <c r="V171" s="343">
        <v>6173</v>
      </c>
      <c r="W171" s="343">
        <v>145976.5</v>
      </c>
      <c r="X171" s="343">
        <v>7769.5</v>
      </c>
      <c r="Y171" s="343">
        <v>0</v>
      </c>
      <c r="Z171" s="343">
        <v>153746</v>
      </c>
      <c r="AA171" s="343">
        <v>11678.23</v>
      </c>
    </row>
    <row r="172" spans="1:27">
      <c r="A172" s="343">
        <v>20260812</v>
      </c>
      <c r="B172" s="343">
        <v>7117.7</v>
      </c>
      <c r="C172" s="343">
        <v>31</v>
      </c>
      <c r="D172" s="343">
        <v>104</v>
      </c>
      <c r="E172" s="384">
        <v>46246</v>
      </c>
      <c r="F172" s="343" t="s">
        <v>234</v>
      </c>
      <c r="G172" s="343" t="s">
        <v>168</v>
      </c>
      <c r="I172" s="343">
        <v>20250404</v>
      </c>
      <c r="J172" s="343">
        <v>75383.05</v>
      </c>
      <c r="K172" s="343">
        <v>322</v>
      </c>
      <c r="L172" s="343">
        <v>696</v>
      </c>
      <c r="M172" s="384">
        <v>45751</v>
      </c>
      <c r="N172" s="343" t="s">
        <v>236</v>
      </c>
      <c r="O172" s="343" t="s">
        <v>296</v>
      </c>
      <c r="Q172" s="343" t="s">
        <v>338</v>
      </c>
      <c r="R172" s="343" t="s">
        <v>163</v>
      </c>
      <c r="S172" s="384">
        <v>46223</v>
      </c>
      <c r="T172" s="384">
        <v>46229</v>
      </c>
      <c r="U172" s="343" t="s">
        <v>342</v>
      </c>
      <c r="V172" s="343">
        <v>1330</v>
      </c>
      <c r="W172" s="343">
        <v>12090</v>
      </c>
      <c r="X172" s="343">
        <v>293</v>
      </c>
      <c r="Y172" s="343">
        <v>0</v>
      </c>
      <c r="Z172" s="343">
        <v>12383</v>
      </c>
      <c r="AA172" s="343">
        <v>967.2</v>
      </c>
    </row>
    <row r="173" spans="1:27">
      <c r="A173" s="343">
        <v>20260813</v>
      </c>
      <c r="B173" s="343">
        <v>7393</v>
      </c>
      <c r="C173" s="343">
        <v>33</v>
      </c>
      <c r="D173" s="343">
        <v>92</v>
      </c>
      <c r="E173" s="384">
        <v>46247</v>
      </c>
      <c r="F173" s="343" t="s">
        <v>235</v>
      </c>
      <c r="G173" s="343" t="s">
        <v>168</v>
      </c>
      <c r="I173" s="343">
        <v>20250411</v>
      </c>
      <c r="J173" s="343">
        <v>91150.5</v>
      </c>
      <c r="K173" s="343">
        <v>346</v>
      </c>
      <c r="L173" s="343">
        <v>794</v>
      </c>
      <c r="M173" s="384">
        <v>45758</v>
      </c>
      <c r="N173" s="343" t="s">
        <v>236</v>
      </c>
      <c r="O173" s="343" t="s">
        <v>297</v>
      </c>
      <c r="Q173" s="343" t="s">
        <v>338</v>
      </c>
      <c r="R173" s="343" t="s">
        <v>163</v>
      </c>
      <c r="S173" s="384">
        <v>46223</v>
      </c>
      <c r="T173" s="384">
        <v>46229</v>
      </c>
      <c r="U173" s="343" t="s">
        <v>281</v>
      </c>
      <c r="V173" s="343">
        <v>1691</v>
      </c>
      <c r="W173" s="343">
        <v>38214</v>
      </c>
      <c r="X173" s="343">
        <v>1599.75</v>
      </c>
      <c r="Y173" s="343">
        <v>0</v>
      </c>
      <c r="Z173" s="343">
        <v>39813.75</v>
      </c>
      <c r="AA173" s="343">
        <v>3057.18</v>
      </c>
    </row>
    <row r="174" spans="1:27">
      <c r="A174" s="343">
        <v>20260814</v>
      </c>
      <c r="B174" s="343">
        <v>5468</v>
      </c>
      <c r="C174" s="343">
        <v>36</v>
      </c>
      <c r="D174" s="343">
        <v>82</v>
      </c>
      <c r="E174" s="384">
        <v>46248</v>
      </c>
      <c r="F174" s="343" t="s">
        <v>236</v>
      </c>
      <c r="G174" s="343" t="s">
        <v>168</v>
      </c>
      <c r="I174" s="343">
        <v>20250418</v>
      </c>
      <c r="J174" s="343">
        <v>85190.51</v>
      </c>
      <c r="K174" s="343">
        <v>331</v>
      </c>
      <c r="L174" s="343">
        <v>805</v>
      </c>
      <c r="M174" s="384">
        <v>45765</v>
      </c>
      <c r="N174" s="343" t="s">
        <v>236</v>
      </c>
      <c r="O174" s="343" t="s">
        <v>298</v>
      </c>
      <c r="Q174" s="343" t="s">
        <v>338</v>
      </c>
      <c r="R174" s="343" t="s">
        <v>163</v>
      </c>
      <c r="S174" s="384">
        <v>46223</v>
      </c>
      <c r="T174" s="384">
        <v>46229</v>
      </c>
      <c r="U174" s="343" t="s">
        <v>277</v>
      </c>
      <c r="V174" s="343">
        <v>151</v>
      </c>
      <c r="W174" s="343">
        <v>35795</v>
      </c>
      <c r="X174" s="343">
        <v>125</v>
      </c>
      <c r="Y174" s="343">
        <v>0</v>
      </c>
      <c r="Z174" s="343">
        <v>35920</v>
      </c>
      <c r="AA174" s="343">
        <v>2863.6</v>
      </c>
    </row>
    <row r="175" spans="1:27">
      <c r="A175" s="343">
        <v>20260815</v>
      </c>
      <c r="B175" s="343">
        <v>0</v>
      </c>
      <c r="C175" s="343">
        <v>1</v>
      </c>
      <c r="D175" s="343">
        <v>1</v>
      </c>
      <c r="E175" s="384">
        <v>46249</v>
      </c>
      <c r="F175" s="343" t="s">
        <v>244</v>
      </c>
      <c r="G175" s="343" t="s">
        <v>168</v>
      </c>
      <c r="I175" s="343">
        <v>20250425</v>
      </c>
      <c r="J175" s="343">
        <v>78944.5</v>
      </c>
      <c r="K175" s="343">
        <v>382</v>
      </c>
      <c r="L175" s="343">
        <v>790</v>
      </c>
      <c r="M175" s="384">
        <v>45772</v>
      </c>
      <c r="N175" s="343" t="s">
        <v>236</v>
      </c>
      <c r="O175" s="343" t="s">
        <v>299</v>
      </c>
      <c r="Q175" s="343" t="s">
        <v>338</v>
      </c>
      <c r="R175" s="343" t="s">
        <v>163</v>
      </c>
      <c r="S175" s="384">
        <v>46223</v>
      </c>
      <c r="T175" s="384">
        <v>46229</v>
      </c>
      <c r="U175" s="343" t="s">
        <v>287</v>
      </c>
      <c r="V175" s="343">
        <v>762</v>
      </c>
      <c r="W175" s="343">
        <v>13157</v>
      </c>
      <c r="X175" s="343">
        <v>290</v>
      </c>
      <c r="Y175" s="343">
        <v>0</v>
      </c>
      <c r="Z175" s="343">
        <v>13447</v>
      </c>
      <c r="AA175" s="343">
        <v>1052.56</v>
      </c>
    </row>
    <row r="176" spans="1:27">
      <c r="A176" s="343">
        <v>20260816</v>
      </c>
      <c r="B176" s="343">
        <v>0</v>
      </c>
      <c r="C176" s="343">
        <v>1</v>
      </c>
      <c r="D176" s="343">
        <v>1</v>
      </c>
      <c r="E176" s="384">
        <v>46250</v>
      </c>
      <c r="F176" s="343" t="s">
        <v>245</v>
      </c>
      <c r="G176" s="343" t="s">
        <v>168</v>
      </c>
      <c r="I176" s="343">
        <v>20250502</v>
      </c>
      <c r="J176" s="343">
        <v>97086.95</v>
      </c>
      <c r="K176" s="343">
        <v>377</v>
      </c>
      <c r="L176" s="343">
        <v>959</v>
      </c>
      <c r="M176" s="384">
        <v>45779</v>
      </c>
      <c r="N176" s="343" t="s">
        <v>236</v>
      </c>
      <c r="O176" s="343" t="s">
        <v>300</v>
      </c>
      <c r="Q176" s="343" t="s">
        <v>338</v>
      </c>
      <c r="R176" s="343" t="s">
        <v>166</v>
      </c>
      <c r="S176" s="384">
        <v>46230</v>
      </c>
      <c r="T176" s="384">
        <v>46236</v>
      </c>
      <c r="U176" s="343" t="s">
        <v>285</v>
      </c>
      <c r="V176" s="343">
        <v>6368</v>
      </c>
      <c r="W176" s="343">
        <v>138564.45000000001</v>
      </c>
      <c r="X176" s="343">
        <v>7296.55</v>
      </c>
      <c r="Y176" s="343">
        <v>0</v>
      </c>
      <c r="Z176" s="343">
        <v>145861</v>
      </c>
      <c r="AA176" s="343">
        <v>10750.92</v>
      </c>
    </row>
    <row r="177" spans="1:27">
      <c r="A177" s="343">
        <v>20260817</v>
      </c>
      <c r="B177" s="343">
        <v>5432</v>
      </c>
      <c r="C177" s="343">
        <v>28</v>
      </c>
      <c r="D177" s="343">
        <v>71</v>
      </c>
      <c r="E177" s="384">
        <v>46251</v>
      </c>
      <c r="F177" s="343" t="s">
        <v>232</v>
      </c>
      <c r="G177" s="343" t="s">
        <v>101</v>
      </c>
      <c r="I177" s="343">
        <v>20250509</v>
      </c>
      <c r="J177" s="343">
        <v>68990.5</v>
      </c>
      <c r="K177" s="343">
        <v>285</v>
      </c>
      <c r="L177" s="343">
        <v>625</v>
      </c>
      <c r="M177" s="384">
        <v>45786</v>
      </c>
      <c r="N177" s="343" t="s">
        <v>236</v>
      </c>
      <c r="O177" s="343" t="s">
        <v>301</v>
      </c>
      <c r="Q177" s="343" t="s">
        <v>338</v>
      </c>
      <c r="R177" s="343" t="s">
        <v>166</v>
      </c>
      <c r="S177" s="384">
        <v>46230</v>
      </c>
      <c r="T177" s="384">
        <v>46236</v>
      </c>
      <c r="U177" s="343" t="s">
        <v>342</v>
      </c>
      <c r="V177" s="343">
        <v>1176</v>
      </c>
      <c r="W177" s="343">
        <v>10566.63</v>
      </c>
      <c r="X177" s="343">
        <v>460.35</v>
      </c>
      <c r="Y177" s="343">
        <v>0</v>
      </c>
      <c r="Z177" s="343">
        <v>11026.98</v>
      </c>
      <c r="AA177" s="343">
        <v>829.46</v>
      </c>
    </row>
    <row r="178" spans="1:27">
      <c r="A178" s="343">
        <v>20260818</v>
      </c>
      <c r="B178" s="343">
        <v>10380.120000000001</v>
      </c>
      <c r="C178" s="343">
        <v>35</v>
      </c>
      <c r="D178" s="343">
        <v>136</v>
      </c>
      <c r="E178" s="384">
        <v>46252</v>
      </c>
      <c r="F178" s="343" t="s">
        <v>233</v>
      </c>
      <c r="G178" s="343" t="s">
        <v>101</v>
      </c>
      <c r="I178" s="343">
        <v>20250516</v>
      </c>
      <c r="J178" s="343">
        <v>85107</v>
      </c>
      <c r="K178" s="343">
        <v>318</v>
      </c>
      <c r="L178" s="343">
        <v>711</v>
      </c>
      <c r="M178" s="384">
        <v>45793</v>
      </c>
      <c r="N178" s="343" t="s">
        <v>236</v>
      </c>
      <c r="O178" s="343" t="s">
        <v>302</v>
      </c>
      <c r="Q178" s="343" t="s">
        <v>338</v>
      </c>
      <c r="R178" s="343" t="s">
        <v>166</v>
      </c>
      <c r="S178" s="384">
        <v>46230</v>
      </c>
      <c r="T178" s="384">
        <v>46236</v>
      </c>
      <c r="U178" s="343" t="s">
        <v>281</v>
      </c>
      <c r="V178" s="343">
        <v>1788</v>
      </c>
      <c r="W178" s="343">
        <v>41807.050000000003</v>
      </c>
      <c r="X178" s="343">
        <v>729.7</v>
      </c>
      <c r="Y178" s="343">
        <v>0</v>
      </c>
      <c r="Z178" s="343">
        <v>42536.75</v>
      </c>
      <c r="AA178" s="343">
        <v>3309.36</v>
      </c>
    </row>
    <row r="179" spans="1:27">
      <c r="A179" s="343">
        <v>20260819</v>
      </c>
      <c r="B179" s="343">
        <v>11999.34</v>
      </c>
      <c r="C179" s="343">
        <v>36</v>
      </c>
      <c r="D179" s="343">
        <v>422</v>
      </c>
      <c r="E179" s="384">
        <v>46253</v>
      </c>
      <c r="F179" s="343" t="s">
        <v>234</v>
      </c>
      <c r="G179" s="343" t="s">
        <v>101</v>
      </c>
      <c r="I179" s="343">
        <v>20250523</v>
      </c>
      <c r="J179" s="343">
        <v>75253.899999999994</v>
      </c>
      <c r="K179" s="343">
        <v>284</v>
      </c>
      <c r="L179" s="343">
        <v>640</v>
      </c>
      <c r="M179" s="384">
        <v>45800</v>
      </c>
      <c r="N179" s="343" t="s">
        <v>236</v>
      </c>
      <c r="O179" s="343" t="s">
        <v>303</v>
      </c>
      <c r="Q179" s="343" t="s">
        <v>338</v>
      </c>
      <c r="R179" s="343" t="s">
        <v>166</v>
      </c>
      <c r="S179" s="384">
        <v>46230</v>
      </c>
      <c r="T179" s="384">
        <v>46236</v>
      </c>
      <c r="U179" s="343" t="s">
        <v>277</v>
      </c>
      <c r="V179" s="343">
        <v>104</v>
      </c>
      <c r="W179" s="343">
        <v>18565</v>
      </c>
      <c r="X179" s="343">
        <v>585</v>
      </c>
      <c r="Y179" s="343">
        <v>0</v>
      </c>
      <c r="Z179" s="343">
        <v>19150</v>
      </c>
      <c r="AA179" s="343">
        <v>1485.2</v>
      </c>
    </row>
    <row r="180" spans="1:27">
      <c r="A180" s="343">
        <v>20260820</v>
      </c>
      <c r="B180" s="343">
        <v>4605</v>
      </c>
      <c r="C180" s="343">
        <v>33</v>
      </c>
      <c r="D180" s="343">
        <v>76</v>
      </c>
      <c r="E180" s="384">
        <v>46254</v>
      </c>
      <c r="F180" s="343" t="s">
        <v>235</v>
      </c>
      <c r="G180" s="343" t="s">
        <v>101</v>
      </c>
      <c r="I180" s="343">
        <v>20250530</v>
      </c>
      <c r="J180" s="343">
        <v>74359</v>
      </c>
      <c r="K180" s="343">
        <v>269</v>
      </c>
      <c r="L180" s="343">
        <v>550</v>
      </c>
      <c r="M180" s="384">
        <v>45807</v>
      </c>
      <c r="N180" s="343" t="s">
        <v>236</v>
      </c>
      <c r="O180" s="343" t="s">
        <v>304</v>
      </c>
      <c r="Q180" s="343" t="s">
        <v>338</v>
      </c>
      <c r="R180" s="343" t="s">
        <v>166</v>
      </c>
      <c r="S180" s="384">
        <v>46230</v>
      </c>
      <c r="T180" s="384">
        <v>46236</v>
      </c>
      <c r="U180" s="343" t="s">
        <v>287</v>
      </c>
      <c r="V180" s="343">
        <v>505</v>
      </c>
      <c r="W180" s="343">
        <v>10397.1</v>
      </c>
      <c r="X180" s="343">
        <v>571.9</v>
      </c>
      <c r="Y180" s="343">
        <v>0</v>
      </c>
      <c r="Z180" s="343">
        <v>10969</v>
      </c>
      <c r="AA180" s="343">
        <v>821.76</v>
      </c>
    </row>
    <row r="181" spans="1:27">
      <c r="A181" s="343">
        <v>20260821</v>
      </c>
      <c r="B181" s="343">
        <v>6080</v>
      </c>
      <c r="C181" s="343">
        <v>37</v>
      </c>
      <c r="D181" s="343">
        <v>90</v>
      </c>
      <c r="E181" s="384">
        <v>46255</v>
      </c>
      <c r="F181" s="343" t="s">
        <v>236</v>
      </c>
      <c r="G181" s="343" t="s">
        <v>101</v>
      </c>
      <c r="I181" s="343">
        <v>20250606</v>
      </c>
      <c r="J181" s="343">
        <v>69135.3</v>
      </c>
      <c r="K181" s="343">
        <v>278</v>
      </c>
      <c r="L181" s="343">
        <v>558</v>
      </c>
      <c r="M181" s="384">
        <v>45814</v>
      </c>
      <c r="N181" s="343" t="s">
        <v>236</v>
      </c>
      <c r="O181" s="343" t="s">
        <v>305</v>
      </c>
      <c r="Q181" s="343" t="s">
        <v>338</v>
      </c>
      <c r="R181" s="343" t="s">
        <v>167</v>
      </c>
      <c r="S181" s="384">
        <v>46237</v>
      </c>
      <c r="T181" s="384">
        <v>46243</v>
      </c>
      <c r="U181" s="343" t="s">
        <v>285</v>
      </c>
      <c r="V181" s="343">
        <v>7981</v>
      </c>
      <c r="W181" s="343">
        <v>159293.5</v>
      </c>
      <c r="X181" s="343">
        <v>9180.5</v>
      </c>
      <c r="Y181" s="343">
        <v>0</v>
      </c>
      <c r="Z181" s="343">
        <v>168474</v>
      </c>
      <c r="AA181" s="343">
        <v>12707.25</v>
      </c>
    </row>
    <row r="182" spans="1:27">
      <c r="A182" s="343">
        <v>20260822</v>
      </c>
      <c r="B182" s="343">
        <v>180</v>
      </c>
      <c r="C182" s="343">
        <v>1</v>
      </c>
      <c r="D182" s="343">
        <v>2</v>
      </c>
      <c r="E182" s="384">
        <v>46256</v>
      </c>
      <c r="F182" s="343" t="s">
        <v>244</v>
      </c>
      <c r="G182" s="343" t="s">
        <v>101</v>
      </c>
      <c r="I182" s="343">
        <v>20250613</v>
      </c>
      <c r="J182" s="343">
        <v>64473.5</v>
      </c>
      <c r="K182" s="343">
        <v>255</v>
      </c>
      <c r="L182" s="343">
        <v>554</v>
      </c>
      <c r="M182" s="384">
        <v>45821</v>
      </c>
      <c r="N182" s="343" t="s">
        <v>236</v>
      </c>
      <c r="O182" s="343" t="s">
        <v>306</v>
      </c>
      <c r="Q182" s="343" t="s">
        <v>338</v>
      </c>
      <c r="R182" s="343" t="s">
        <v>167</v>
      </c>
      <c r="S182" s="384">
        <v>46237</v>
      </c>
      <c r="T182" s="384">
        <v>46243</v>
      </c>
      <c r="U182" s="343" t="s">
        <v>342</v>
      </c>
      <c r="V182" s="343">
        <v>1285</v>
      </c>
      <c r="W182" s="343">
        <v>11575</v>
      </c>
      <c r="X182" s="343">
        <v>578</v>
      </c>
      <c r="Y182" s="343">
        <v>0</v>
      </c>
      <c r="Z182" s="343">
        <v>12153</v>
      </c>
      <c r="AA182" s="343">
        <v>923.84</v>
      </c>
    </row>
    <row r="183" spans="1:27">
      <c r="I183" s="343">
        <v>20250620</v>
      </c>
      <c r="J183" s="343">
        <v>68986.7</v>
      </c>
      <c r="K183" s="343">
        <v>230</v>
      </c>
      <c r="L183" s="343">
        <v>537</v>
      </c>
      <c r="M183" s="384">
        <v>45828</v>
      </c>
      <c r="N183" s="343" t="s">
        <v>236</v>
      </c>
      <c r="O183" s="343" t="s">
        <v>307</v>
      </c>
      <c r="Q183" s="343" t="s">
        <v>338</v>
      </c>
      <c r="R183" s="343" t="s">
        <v>167</v>
      </c>
      <c r="S183" s="384">
        <v>46237</v>
      </c>
      <c r="T183" s="384">
        <v>46243</v>
      </c>
      <c r="U183" s="343" t="s">
        <v>281</v>
      </c>
      <c r="V183" s="343">
        <v>1849</v>
      </c>
      <c r="W183" s="343">
        <v>41566.75</v>
      </c>
      <c r="X183" s="343">
        <v>1444</v>
      </c>
      <c r="Y183" s="343">
        <v>0</v>
      </c>
      <c r="Z183" s="343">
        <v>43010.75</v>
      </c>
      <c r="AA183" s="343">
        <v>3325.38</v>
      </c>
    </row>
    <row r="184" spans="1:27">
      <c r="I184" s="343">
        <v>20250627</v>
      </c>
      <c r="J184" s="343">
        <v>65217.25</v>
      </c>
      <c r="K184" s="343">
        <v>250</v>
      </c>
      <c r="L184" s="343">
        <v>511</v>
      </c>
      <c r="M184" s="384">
        <v>45835</v>
      </c>
      <c r="N184" s="343" t="s">
        <v>236</v>
      </c>
      <c r="O184" s="343" t="s">
        <v>308</v>
      </c>
      <c r="Q184" s="343" t="s">
        <v>338</v>
      </c>
      <c r="R184" s="343" t="s">
        <v>167</v>
      </c>
      <c r="S184" s="384">
        <v>46237</v>
      </c>
      <c r="T184" s="384">
        <v>46243</v>
      </c>
      <c r="U184" s="343" t="s">
        <v>277</v>
      </c>
      <c r="V184" s="343">
        <v>203</v>
      </c>
      <c r="W184" s="343">
        <v>34680</v>
      </c>
      <c r="X184" s="343">
        <v>95</v>
      </c>
      <c r="Y184" s="343">
        <v>0</v>
      </c>
      <c r="Z184" s="343">
        <v>34775</v>
      </c>
      <c r="AA184" s="343">
        <v>2751.2</v>
      </c>
    </row>
    <row r="185" spans="1:27">
      <c r="I185" s="343">
        <v>20250704</v>
      </c>
      <c r="J185" s="343">
        <v>28401</v>
      </c>
      <c r="K185" s="343">
        <v>96</v>
      </c>
      <c r="L185" s="343">
        <v>209</v>
      </c>
      <c r="M185" s="384">
        <v>45842</v>
      </c>
      <c r="N185" s="343" t="s">
        <v>236</v>
      </c>
      <c r="O185" s="343" t="s">
        <v>309</v>
      </c>
      <c r="Q185" s="343" t="s">
        <v>338</v>
      </c>
      <c r="R185" s="343" t="s">
        <v>167</v>
      </c>
      <c r="S185" s="384">
        <v>46237</v>
      </c>
      <c r="T185" s="384">
        <v>46243</v>
      </c>
      <c r="U185" s="343" t="s">
        <v>287</v>
      </c>
      <c r="V185" s="343">
        <v>564</v>
      </c>
      <c r="W185" s="343">
        <v>11294</v>
      </c>
      <c r="X185" s="343">
        <v>375</v>
      </c>
      <c r="Y185" s="343">
        <v>0</v>
      </c>
      <c r="Z185" s="343">
        <v>11669</v>
      </c>
      <c r="AA185" s="343">
        <v>903.52</v>
      </c>
    </row>
    <row r="186" spans="1:27">
      <c r="I186" s="343">
        <v>20250711</v>
      </c>
      <c r="J186" s="343">
        <v>55790.25</v>
      </c>
      <c r="K186" s="343">
        <v>196</v>
      </c>
      <c r="L186" s="343">
        <v>469</v>
      </c>
      <c r="M186" s="384">
        <v>45849</v>
      </c>
      <c r="N186" s="343" t="s">
        <v>236</v>
      </c>
      <c r="O186" s="343" t="s">
        <v>310</v>
      </c>
      <c r="Q186" s="343" t="s">
        <v>338</v>
      </c>
      <c r="R186" s="343" t="s">
        <v>122</v>
      </c>
      <c r="S186" s="384">
        <v>46020</v>
      </c>
      <c r="T186" s="384">
        <v>46026</v>
      </c>
      <c r="U186" s="343" t="s">
        <v>277</v>
      </c>
      <c r="V186" s="343">
        <v>333</v>
      </c>
      <c r="W186" s="343">
        <v>75985</v>
      </c>
      <c r="X186" s="343">
        <v>0</v>
      </c>
      <c r="Y186" s="343">
        <v>0</v>
      </c>
      <c r="Z186" s="343">
        <v>75985</v>
      </c>
      <c r="AA186" s="343">
        <v>6078.8</v>
      </c>
    </row>
    <row r="187" spans="1:27">
      <c r="I187" s="343">
        <v>20250718</v>
      </c>
      <c r="J187" s="343">
        <v>63862.75</v>
      </c>
      <c r="K187" s="343">
        <v>203</v>
      </c>
      <c r="L187" s="343">
        <v>468</v>
      </c>
      <c r="M187" s="384">
        <v>45856</v>
      </c>
      <c r="N187" s="343" t="s">
        <v>236</v>
      </c>
      <c r="O187" s="343" t="s">
        <v>311</v>
      </c>
      <c r="Q187" s="343" t="s">
        <v>338</v>
      </c>
      <c r="R187" s="343" t="s">
        <v>122</v>
      </c>
      <c r="S187" s="384">
        <v>46020</v>
      </c>
      <c r="T187" s="384">
        <v>46026</v>
      </c>
      <c r="U187" s="343" t="s">
        <v>343</v>
      </c>
      <c r="V187" s="343">
        <v>4</v>
      </c>
      <c r="W187" s="343">
        <v>1718.09</v>
      </c>
      <c r="X187" s="343">
        <v>0</v>
      </c>
      <c r="Y187" s="343">
        <v>0</v>
      </c>
      <c r="Z187" s="343">
        <v>1718.09</v>
      </c>
      <c r="AA187" s="343">
        <v>137.44999999999999</v>
      </c>
    </row>
    <row r="188" spans="1:27">
      <c r="I188" s="343">
        <v>20250725</v>
      </c>
      <c r="J188" s="343">
        <v>67917.91</v>
      </c>
      <c r="K188" s="343">
        <v>246</v>
      </c>
      <c r="L188" s="343">
        <v>565</v>
      </c>
      <c r="M188" s="384">
        <v>45863</v>
      </c>
      <c r="N188" s="343" t="s">
        <v>236</v>
      </c>
      <c r="O188" s="343" t="s">
        <v>312</v>
      </c>
      <c r="Q188" s="343" t="s">
        <v>338</v>
      </c>
      <c r="R188" s="343" t="s">
        <v>122</v>
      </c>
      <c r="S188" s="384">
        <v>46020</v>
      </c>
      <c r="T188" s="384">
        <v>46026</v>
      </c>
      <c r="U188" s="343" t="s">
        <v>106</v>
      </c>
      <c r="V188" s="343">
        <v>2</v>
      </c>
      <c r="W188" s="343">
        <v>354.85</v>
      </c>
      <c r="X188" s="343">
        <v>0</v>
      </c>
      <c r="Y188" s="343">
        <v>0</v>
      </c>
      <c r="Z188" s="343">
        <v>354.85</v>
      </c>
      <c r="AA188" s="343">
        <v>0</v>
      </c>
    </row>
    <row r="189" spans="1:27">
      <c r="I189" s="343">
        <v>20250801</v>
      </c>
      <c r="J189" s="343">
        <v>47861.75</v>
      </c>
      <c r="K189" s="343">
        <v>202</v>
      </c>
      <c r="L189" s="343">
        <v>434</v>
      </c>
      <c r="M189" s="384">
        <v>45870</v>
      </c>
      <c r="N189" s="343" t="s">
        <v>236</v>
      </c>
      <c r="O189" s="343" t="s">
        <v>313</v>
      </c>
      <c r="Q189" s="343" t="s">
        <v>338</v>
      </c>
      <c r="R189" s="343" t="s">
        <v>123</v>
      </c>
      <c r="S189" s="384">
        <v>46027</v>
      </c>
      <c r="T189" s="384">
        <v>46033</v>
      </c>
      <c r="U189" s="343" t="s">
        <v>279</v>
      </c>
      <c r="V189" s="343">
        <v>54</v>
      </c>
      <c r="W189" s="343">
        <v>540</v>
      </c>
      <c r="X189" s="343">
        <v>0</v>
      </c>
      <c r="Y189" s="343">
        <v>0</v>
      </c>
      <c r="Z189" s="343">
        <v>540</v>
      </c>
      <c r="AA189" s="343">
        <v>43.2</v>
      </c>
    </row>
    <row r="190" spans="1:27">
      <c r="I190" s="343">
        <v>20250808</v>
      </c>
      <c r="J190" s="343">
        <v>57214.8</v>
      </c>
      <c r="K190" s="343">
        <v>179</v>
      </c>
      <c r="L190" s="343">
        <v>440</v>
      </c>
      <c r="M190" s="384">
        <v>45877</v>
      </c>
      <c r="N190" s="343" t="s">
        <v>236</v>
      </c>
      <c r="O190" s="343" t="s">
        <v>314</v>
      </c>
      <c r="Q190" s="343" t="s">
        <v>338</v>
      </c>
      <c r="R190" s="343" t="s">
        <v>123</v>
      </c>
      <c r="S190" s="384">
        <v>46027</v>
      </c>
      <c r="T190" s="384">
        <v>46033</v>
      </c>
      <c r="U190" s="343" t="s">
        <v>343</v>
      </c>
      <c r="V190" s="343">
        <v>4</v>
      </c>
      <c r="W190" s="343">
        <v>4476.8100000000004</v>
      </c>
      <c r="X190" s="343">
        <v>0</v>
      </c>
      <c r="Y190" s="343">
        <v>0</v>
      </c>
      <c r="Z190" s="343">
        <v>4476.8100000000004</v>
      </c>
      <c r="AA190" s="343">
        <v>355.65</v>
      </c>
    </row>
    <row r="191" spans="1:27">
      <c r="I191" s="343">
        <v>20250815</v>
      </c>
      <c r="J191" s="343">
        <v>74971.009999999995</v>
      </c>
      <c r="K191" s="343">
        <v>265</v>
      </c>
      <c r="L191" s="343">
        <v>624</v>
      </c>
      <c r="M191" s="384">
        <v>45884</v>
      </c>
      <c r="N191" s="343" t="s">
        <v>236</v>
      </c>
      <c r="O191" s="343" t="s">
        <v>315</v>
      </c>
      <c r="Q191" s="343" t="s">
        <v>338</v>
      </c>
      <c r="R191" s="343" t="s">
        <v>123</v>
      </c>
      <c r="S191" s="384">
        <v>46027</v>
      </c>
      <c r="T191" s="384">
        <v>46033</v>
      </c>
      <c r="U191" s="343" t="s">
        <v>106</v>
      </c>
      <c r="V191" s="343">
        <v>4</v>
      </c>
      <c r="W191" s="343">
        <v>1495.63</v>
      </c>
      <c r="X191" s="343">
        <v>0</v>
      </c>
      <c r="Y191" s="343">
        <v>0</v>
      </c>
      <c r="Z191" s="343">
        <v>1495.63</v>
      </c>
      <c r="AA191" s="343">
        <v>0</v>
      </c>
    </row>
    <row r="192" spans="1:27">
      <c r="I192" s="343">
        <v>20250822</v>
      </c>
      <c r="J192" s="343">
        <v>63972.28</v>
      </c>
      <c r="K192" s="343">
        <v>212</v>
      </c>
      <c r="L192" s="343">
        <v>549</v>
      </c>
      <c r="M192" s="384">
        <v>45891</v>
      </c>
      <c r="N192" s="343" t="s">
        <v>236</v>
      </c>
      <c r="O192" s="343" t="s">
        <v>316</v>
      </c>
      <c r="Q192" s="343" t="s">
        <v>338</v>
      </c>
      <c r="R192" s="343" t="s">
        <v>124</v>
      </c>
      <c r="S192" s="384">
        <v>46034</v>
      </c>
      <c r="T192" s="384">
        <v>46040</v>
      </c>
      <c r="U192" s="343" t="s">
        <v>279</v>
      </c>
      <c r="V192" s="343">
        <v>97</v>
      </c>
      <c r="W192" s="343">
        <v>970</v>
      </c>
      <c r="X192" s="343">
        <v>0</v>
      </c>
      <c r="Y192" s="343">
        <v>0</v>
      </c>
      <c r="Z192" s="343">
        <v>970</v>
      </c>
      <c r="AA192" s="343">
        <v>77.599999999999994</v>
      </c>
    </row>
    <row r="193" spans="9:27">
      <c r="I193" s="343">
        <v>20250829</v>
      </c>
      <c r="J193" s="343">
        <v>64123.25</v>
      </c>
      <c r="K193" s="343">
        <v>205</v>
      </c>
      <c r="L193" s="343">
        <v>451</v>
      </c>
      <c r="M193" s="384">
        <v>45898</v>
      </c>
      <c r="N193" s="343" t="s">
        <v>236</v>
      </c>
      <c r="O193" s="343" t="s">
        <v>317</v>
      </c>
      <c r="Q193" s="343" t="s">
        <v>338</v>
      </c>
      <c r="R193" s="343" t="s">
        <v>124</v>
      </c>
      <c r="S193" s="384">
        <v>46034</v>
      </c>
      <c r="T193" s="384">
        <v>46040</v>
      </c>
      <c r="U193" s="343" t="s">
        <v>277</v>
      </c>
      <c r="V193" s="343">
        <v>196</v>
      </c>
      <c r="W193" s="343">
        <v>42820</v>
      </c>
      <c r="X193" s="343">
        <v>0</v>
      </c>
      <c r="Y193" s="343">
        <v>0</v>
      </c>
      <c r="Z193" s="343">
        <v>42820</v>
      </c>
      <c r="AA193" s="343">
        <v>3425.6</v>
      </c>
    </row>
    <row r="194" spans="9:27">
      <c r="I194" s="343">
        <v>20250905</v>
      </c>
      <c r="J194" s="343">
        <v>51619.26</v>
      </c>
      <c r="K194" s="343">
        <v>160</v>
      </c>
      <c r="L194" s="343">
        <v>380</v>
      </c>
      <c r="M194" s="384">
        <v>45905</v>
      </c>
      <c r="N194" s="343" t="s">
        <v>236</v>
      </c>
      <c r="O194" s="343" t="s">
        <v>318</v>
      </c>
      <c r="Q194" s="343" t="s">
        <v>338</v>
      </c>
      <c r="R194" s="343" t="s">
        <v>124</v>
      </c>
      <c r="S194" s="384">
        <v>46034</v>
      </c>
      <c r="T194" s="384">
        <v>46040</v>
      </c>
      <c r="U194" s="343" t="s">
        <v>343</v>
      </c>
      <c r="V194" s="343">
        <v>1</v>
      </c>
      <c r="W194" s="343">
        <v>257</v>
      </c>
      <c r="X194" s="343">
        <v>0</v>
      </c>
      <c r="Y194" s="343">
        <v>0</v>
      </c>
      <c r="Z194" s="343">
        <v>257</v>
      </c>
      <c r="AA194" s="343">
        <v>20.56</v>
      </c>
    </row>
    <row r="195" spans="9:27">
      <c r="I195" s="343">
        <v>20250912</v>
      </c>
      <c r="J195" s="343">
        <v>71142.25</v>
      </c>
      <c r="K195" s="343">
        <v>282</v>
      </c>
      <c r="L195" s="343">
        <v>679</v>
      </c>
      <c r="M195" s="384">
        <v>45912</v>
      </c>
      <c r="N195" s="343" t="s">
        <v>236</v>
      </c>
      <c r="O195" s="343" t="s">
        <v>319</v>
      </c>
      <c r="Q195" s="343" t="s">
        <v>338</v>
      </c>
      <c r="R195" s="343" t="s">
        <v>124</v>
      </c>
      <c r="S195" s="384">
        <v>46034</v>
      </c>
      <c r="T195" s="384">
        <v>46040</v>
      </c>
      <c r="U195" s="343" t="s">
        <v>106</v>
      </c>
      <c r="V195" s="343">
        <v>7</v>
      </c>
      <c r="W195" s="343">
        <v>1529.53</v>
      </c>
      <c r="X195" s="343">
        <v>0</v>
      </c>
      <c r="Y195" s="343">
        <v>0</v>
      </c>
      <c r="Z195" s="343">
        <v>1529.53</v>
      </c>
      <c r="AA195" s="343">
        <v>0</v>
      </c>
    </row>
    <row r="196" spans="9:27">
      <c r="I196" s="343">
        <v>20250919</v>
      </c>
      <c r="J196" s="343">
        <v>74212.25</v>
      </c>
      <c r="K196" s="343">
        <v>275</v>
      </c>
      <c r="L196" s="343">
        <v>668</v>
      </c>
      <c r="M196" s="384">
        <v>45919</v>
      </c>
      <c r="N196" s="343" t="s">
        <v>236</v>
      </c>
      <c r="O196" s="343" t="s">
        <v>320</v>
      </c>
      <c r="Q196" s="343" t="s">
        <v>338</v>
      </c>
      <c r="R196" s="343" t="s">
        <v>125</v>
      </c>
      <c r="S196" s="384">
        <v>46041</v>
      </c>
      <c r="T196" s="384">
        <v>46047</v>
      </c>
      <c r="U196" s="343" t="s">
        <v>106</v>
      </c>
      <c r="V196" s="343">
        <v>6</v>
      </c>
      <c r="W196" s="343">
        <v>2346.9499999999998</v>
      </c>
      <c r="X196" s="343">
        <v>0</v>
      </c>
      <c r="Y196" s="343">
        <v>0</v>
      </c>
      <c r="Z196" s="343">
        <v>2346.9499999999998</v>
      </c>
      <c r="AA196" s="343">
        <v>0</v>
      </c>
    </row>
    <row r="197" spans="9:27">
      <c r="I197" s="343">
        <v>20250926</v>
      </c>
      <c r="J197" s="343">
        <v>69968.25</v>
      </c>
      <c r="K197" s="343">
        <v>279</v>
      </c>
      <c r="L197" s="343">
        <v>631</v>
      </c>
      <c r="M197" s="384">
        <v>45926</v>
      </c>
      <c r="N197" s="343" t="s">
        <v>236</v>
      </c>
      <c r="O197" s="343" t="s">
        <v>321</v>
      </c>
      <c r="Q197" s="343" t="s">
        <v>338</v>
      </c>
      <c r="R197" s="343" t="s">
        <v>128</v>
      </c>
      <c r="S197" s="384">
        <v>46048</v>
      </c>
      <c r="T197" s="384">
        <v>46054</v>
      </c>
      <c r="U197" s="343" t="s">
        <v>277</v>
      </c>
      <c r="V197" s="343">
        <v>345</v>
      </c>
      <c r="W197" s="343">
        <v>72910</v>
      </c>
      <c r="X197" s="343">
        <v>0</v>
      </c>
      <c r="Y197" s="343">
        <v>0</v>
      </c>
      <c r="Z197" s="343">
        <v>72910</v>
      </c>
      <c r="AA197" s="343">
        <v>5832.8</v>
      </c>
    </row>
    <row r="198" spans="9:27">
      <c r="I198" s="343">
        <v>20251003</v>
      </c>
      <c r="J198" s="343">
        <v>67353.25</v>
      </c>
      <c r="K198" s="343">
        <v>298</v>
      </c>
      <c r="L198" s="343">
        <v>1447</v>
      </c>
      <c r="M198" s="384">
        <v>45933</v>
      </c>
      <c r="N198" s="343" t="s">
        <v>236</v>
      </c>
      <c r="O198" s="343" t="s">
        <v>322</v>
      </c>
      <c r="Q198" s="343" t="s">
        <v>338</v>
      </c>
      <c r="R198" s="343" t="s">
        <v>128</v>
      </c>
      <c r="S198" s="384">
        <v>46048</v>
      </c>
      <c r="T198" s="384">
        <v>46054</v>
      </c>
      <c r="U198" s="343" t="s">
        <v>343</v>
      </c>
      <c r="V198" s="343">
        <v>6</v>
      </c>
      <c r="W198" s="343">
        <v>3353.8</v>
      </c>
      <c r="X198" s="343">
        <v>0</v>
      </c>
      <c r="Y198" s="343">
        <v>0</v>
      </c>
      <c r="Z198" s="343">
        <v>3353.8</v>
      </c>
      <c r="AA198" s="343">
        <v>268.31</v>
      </c>
    </row>
    <row r="199" spans="9:27">
      <c r="I199" s="343">
        <v>20251010</v>
      </c>
      <c r="J199" s="343">
        <v>91807.13</v>
      </c>
      <c r="K199" s="343">
        <v>269</v>
      </c>
      <c r="L199" s="343">
        <v>663</v>
      </c>
      <c r="M199" s="384">
        <v>45940</v>
      </c>
      <c r="N199" s="343" t="s">
        <v>236</v>
      </c>
      <c r="O199" s="343" t="s">
        <v>323</v>
      </c>
      <c r="Q199" s="343" t="s">
        <v>338</v>
      </c>
      <c r="R199" s="343" t="s">
        <v>128</v>
      </c>
      <c r="S199" s="384">
        <v>46048</v>
      </c>
      <c r="T199" s="384">
        <v>46054</v>
      </c>
      <c r="U199" s="343" t="s">
        <v>335</v>
      </c>
      <c r="V199" s="343">
        <v>0</v>
      </c>
      <c r="W199" s="343">
        <v>-1477.22</v>
      </c>
      <c r="X199" s="343">
        <v>0</v>
      </c>
      <c r="Y199" s="343">
        <v>1477.22</v>
      </c>
      <c r="Z199" s="343">
        <v>0</v>
      </c>
      <c r="AA199" s="343">
        <v>0</v>
      </c>
    </row>
    <row r="200" spans="9:27">
      <c r="I200" s="343">
        <v>20251017</v>
      </c>
      <c r="J200" s="343">
        <v>73978.75</v>
      </c>
      <c r="K200" s="343">
        <v>233</v>
      </c>
      <c r="L200" s="343">
        <v>526</v>
      </c>
      <c r="M200" s="384">
        <v>45947</v>
      </c>
      <c r="N200" s="343" t="s">
        <v>236</v>
      </c>
      <c r="O200" s="343" t="s">
        <v>324</v>
      </c>
      <c r="Q200" s="343" t="s">
        <v>338</v>
      </c>
      <c r="R200" s="343" t="s">
        <v>128</v>
      </c>
      <c r="S200" s="384">
        <v>46048</v>
      </c>
      <c r="T200" s="384">
        <v>46054</v>
      </c>
      <c r="U200" s="343" t="s">
        <v>106</v>
      </c>
      <c r="V200" s="343">
        <v>12</v>
      </c>
      <c r="W200" s="343">
        <v>3113.57</v>
      </c>
      <c r="X200" s="343">
        <v>0</v>
      </c>
      <c r="Y200" s="343">
        <v>0</v>
      </c>
      <c r="Z200" s="343">
        <v>3113.57</v>
      </c>
      <c r="AA200" s="343">
        <v>0</v>
      </c>
    </row>
    <row r="201" spans="9:27">
      <c r="I201" s="343">
        <v>20251024</v>
      </c>
      <c r="J201" s="343">
        <v>48451.25</v>
      </c>
      <c r="K201" s="343">
        <v>162</v>
      </c>
      <c r="L201" s="343">
        <v>378</v>
      </c>
      <c r="M201" s="384">
        <v>45954</v>
      </c>
      <c r="N201" s="343" t="s">
        <v>236</v>
      </c>
      <c r="O201" s="343" t="s">
        <v>325</v>
      </c>
      <c r="Q201" s="343" t="s">
        <v>338</v>
      </c>
      <c r="R201" s="343" t="s">
        <v>129</v>
      </c>
      <c r="S201" s="384">
        <v>46055</v>
      </c>
      <c r="T201" s="384">
        <v>46061</v>
      </c>
      <c r="U201" s="343" t="s">
        <v>279</v>
      </c>
      <c r="V201" s="343">
        <v>146</v>
      </c>
      <c r="W201" s="343">
        <v>1460</v>
      </c>
      <c r="X201" s="343">
        <v>0</v>
      </c>
      <c r="Y201" s="343">
        <v>0</v>
      </c>
      <c r="Z201" s="343">
        <v>1460</v>
      </c>
      <c r="AA201" s="343">
        <v>116.8</v>
      </c>
    </row>
    <row r="202" spans="9:27">
      <c r="I202" s="343">
        <v>20251031</v>
      </c>
      <c r="J202" s="343">
        <v>49039.11</v>
      </c>
      <c r="K202" s="343">
        <v>175</v>
      </c>
      <c r="L202" s="343">
        <v>414</v>
      </c>
      <c r="M202" s="384">
        <v>45961</v>
      </c>
      <c r="N202" s="343" t="s">
        <v>236</v>
      </c>
      <c r="O202" s="343" t="s">
        <v>326</v>
      </c>
      <c r="Q202" s="343" t="s">
        <v>338</v>
      </c>
      <c r="R202" s="343" t="s">
        <v>129</v>
      </c>
      <c r="S202" s="384">
        <v>46055</v>
      </c>
      <c r="T202" s="384">
        <v>46061</v>
      </c>
      <c r="U202" s="343" t="s">
        <v>343</v>
      </c>
      <c r="V202" s="343">
        <v>5</v>
      </c>
      <c r="W202" s="343">
        <v>24690.25</v>
      </c>
      <c r="X202" s="343">
        <v>0</v>
      </c>
      <c r="Y202" s="343">
        <v>0</v>
      </c>
      <c r="Z202" s="343">
        <v>24690.25</v>
      </c>
      <c r="AA202" s="343">
        <v>1919.22</v>
      </c>
    </row>
    <row r="203" spans="9:27">
      <c r="I203" s="343">
        <v>20251107</v>
      </c>
      <c r="J203" s="343">
        <v>82738.5</v>
      </c>
      <c r="K203" s="343">
        <v>329</v>
      </c>
      <c r="L203" s="343">
        <v>754</v>
      </c>
      <c r="M203" s="384">
        <v>45968</v>
      </c>
      <c r="N203" s="343" t="s">
        <v>236</v>
      </c>
      <c r="O203" s="343" t="s">
        <v>327</v>
      </c>
      <c r="Q203" s="343" t="s">
        <v>338</v>
      </c>
      <c r="R203" s="343" t="s">
        <v>129</v>
      </c>
      <c r="S203" s="384">
        <v>46055</v>
      </c>
      <c r="T203" s="384">
        <v>46061</v>
      </c>
      <c r="U203" s="343" t="s">
        <v>106</v>
      </c>
      <c r="V203" s="343">
        <v>5</v>
      </c>
      <c r="W203" s="343">
        <v>3117.5</v>
      </c>
      <c r="X203" s="343">
        <v>0</v>
      </c>
      <c r="Y203" s="343">
        <v>0</v>
      </c>
      <c r="Z203" s="343">
        <v>3117.5</v>
      </c>
      <c r="AA203" s="343">
        <v>0</v>
      </c>
    </row>
    <row r="204" spans="9:27">
      <c r="I204" s="343">
        <v>20251114</v>
      </c>
      <c r="J204" s="343">
        <v>88371.51</v>
      </c>
      <c r="K204" s="343">
        <v>311</v>
      </c>
      <c r="L204" s="343">
        <v>722</v>
      </c>
      <c r="M204" s="384">
        <v>45975</v>
      </c>
      <c r="N204" s="343" t="s">
        <v>236</v>
      </c>
      <c r="O204" s="343" t="s">
        <v>328</v>
      </c>
      <c r="Q204" s="343" t="s">
        <v>338</v>
      </c>
      <c r="R204" s="343" t="s">
        <v>130</v>
      </c>
      <c r="S204" s="384">
        <v>46062</v>
      </c>
      <c r="T204" s="384">
        <v>46068</v>
      </c>
      <c r="U204" s="343" t="s">
        <v>279</v>
      </c>
      <c r="V204" s="343">
        <v>159</v>
      </c>
      <c r="W204" s="343">
        <v>1590</v>
      </c>
      <c r="X204" s="343">
        <v>0</v>
      </c>
      <c r="Y204" s="343">
        <v>0</v>
      </c>
      <c r="Z204" s="343">
        <v>1590</v>
      </c>
      <c r="AA204" s="343">
        <v>127.2</v>
      </c>
    </row>
    <row r="205" spans="9:27">
      <c r="I205" s="343">
        <v>20251121</v>
      </c>
      <c r="J205" s="343">
        <v>70684</v>
      </c>
      <c r="K205" s="343">
        <v>212</v>
      </c>
      <c r="L205" s="343">
        <v>524</v>
      </c>
      <c r="M205" s="384">
        <v>45982</v>
      </c>
      <c r="N205" s="343" t="s">
        <v>236</v>
      </c>
      <c r="O205" s="343" t="s">
        <v>329</v>
      </c>
      <c r="Q205" s="343" t="s">
        <v>338</v>
      </c>
      <c r="R205" s="343" t="s">
        <v>130</v>
      </c>
      <c r="S205" s="384">
        <v>46062</v>
      </c>
      <c r="T205" s="384">
        <v>46068</v>
      </c>
      <c r="U205" s="343" t="s">
        <v>277</v>
      </c>
      <c r="V205" s="343">
        <v>270</v>
      </c>
      <c r="W205" s="343">
        <v>56950</v>
      </c>
      <c r="X205" s="343">
        <v>0</v>
      </c>
      <c r="Y205" s="343">
        <v>0</v>
      </c>
      <c r="Z205" s="343">
        <v>56950</v>
      </c>
      <c r="AA205" s="343">
        <v>4556</v>
      </c>
    </row>
    <row r="206" spans="9:27">
      <c r="I206" s="343">
        <v>20251128</v>
      </c>
      <c r="J206" s="343">
        <v>54073.5</v>
      </c>
      <c r="K206" s="343">
        <v>149</v>
      </c>
      <c r="L206" s="343">
        <v>440</v>
      </c>
      <c r="M206" s="384">
        <v>45989</v>
      </c>
      <c r="N206" s="343" t="s">
        <v>236</v>
      </c>
      <c r="O206" s="343" t="s">
        <v>330</v>
      </c>
      <c r="Q206" s="343" t="s">
        <v>338</v>
      </c>
      <c r="R206" s="343" t="s">
        <v>130</v>
      </c>
      <c r="S206" s="384">
        <v>46062</v>
      </c>
      <c r="T206" s="384">
        <v>46068</v>
      </c>
      <c r="U206" s="343" t="s">
        <v>343</v>
      </c>
      <c r="V206" s="343">
        <v>5</v>
      </c>
      <c r="W206" s="343">
        <v>1925</v>
      </c>
      <c r="X206" s="343">
        <v>0</v>
      </c>
      <c r="Y206" s="343">
        <v>0</v>
      </c>
      <c r="Z206" s="343">
        <v>1925</v>
      </c>
      <c r="AA206" s="343">
        <v>154</v>
      </c>
    </row>
    <row r="207" spans="9:27">
      <c r="I207" s="343">
        <v>20251205</v>
      </c>
      <c r="J207" s="343">
        <v>81428.350000000006</v>
      </c>
      <c r="K207" s="343">
        <v>271</v>
      </c>
      <c r="L207" s="343">
        <v>644</v>
      </c>
      <c r="M207" s="384">
        <v>45996</v>
      </c>
      <c r="N207" s="343" t="s">
        <v>236</v>
      </c>
      <c r="O207" s="343" t="s">
        <v>331</v>
      </c>
      <c r="Q207" s="343" t="s">
        <v>338</v>
      </c>
      <c r="R207" s="343" t="s">
        <v>130</v>
      </c>
      <c r="S207" s="384">
        <v>46062</v>
      </c>
      <c r="T207" s="384">
        <v>46068</v>
      </c>
      <c r="U207" s="343" t="s">
        <v>106</v>
      </c>
      <c r="V207" s="343">
        <v>6</v>
      </c>
      <c r="W207" s="343">
        <v>1395.99</v>
      </c>
      <c r="X207" s="343">
        <v>0</v>
      </c>
      <c r="Y207" s="343">
        <v>0</v>
      </c>
      <c r="Z207" s="343">
        <v>1395.99</v>
      </c>
      <c r="AA207" s="343">
        <v>0</v>
      </c>
    </row>
    <row r="208" spans="9:27">
      <c r="I208" s="343">
        <v>20251212</v>
      </c>
      <c r="J208" s="343">
        <v>63433.75</v>
      </c>
      <c r="K208" s="343">
        <v>250</v>
      </c>
      <c r="L208" s="343">
        <v>548</v>
      </c>
      <c r="M208" s="384">
        <v>46003</v>
      </c>
      <c r="N208" s="343" t="s">
        <v>236</v>
      </c>
      <c r="O208" s="343" t="s">
        <v>332</v>
      </c>
      <c r="Q208" s="343" t="s">
        <v>338</v>
      </c>
      <c r="R208" s="343" t="s">
        <v>131</v>
      </c>
      <c r="S208" s="384">
        <v>46069</v>
      </c>
      <c r="T208" s="384">
        <v>46075</v>
      </c>
      <c r="U208" s="343" t="s">
        <v>279</v>
      </c>
      <c r="V208" s="343">
        <v>89</v>
      </c>
      <c r="W208" s="343">
        <v>890</v>
      </c>
      <c r="X208" s="343">
        <v>0</v>
      </c>
      <c r="Y208" s="343">
        <v>0</v>
      </c>
      <c r="Z208" s="343">
        <v>890</v>
      </c>
      <c r="AA208" s="343">
        <v>71.2</v>
      </c>
    </row>
    <row r="209" spans="9:27">
      <c r="I209" s="343">
        <v>20251219</v>
      </c>
      <c r="J209" s="343">
        <v>73862.5</v>
      </c>
      <c r="K209" s="343">
        <v>208</v>
      </c>
      <c r="L209" s="343">
        <v>464</v>
      </c>
      <c r="M209" s="384">
        <v>46010</v>
      </c>
      <c r="N209" s="343" t="s">
        <v>236</v>
      </c>
      <c r="O209" s="343" t="s">
        <v>333</v>
      </c>
      <c r="Q209" s="343" t="s">
        <v>338</v>
      </c>
      <c r="R209" s="343" t="s">
        <v>131</v>
      </c>
      <c r="S209" s="384">
        <v>46069</v>
      </c>
      <c r="T209" s="384">
        <v>46075</v>
      </c>
      <c r="U209" s="343" t="s">
        <v>277</v>
      </c>
      <c r="V209" s="343">
        <v>208</v>
      </c>
      <c r="W209" s="343">
        <v>69310</v>
      </c>
      <c r="X209" s="343">
        <v>0</v>
      </c>
      <c r="Y209" s="343">
        <v>0</v>
      </c>
      <c r="Z209" s="343">
        <v>69310</v>
      </c>
      <c r="AA209" s="343">
        <v>5544.8</v>
      </c>
    </row>
    <row r="210" spans="9:27">
      <c r="I210" s="343">
        <v>20251226</v>
      </c>
      <c r="J210" s="343">
        <v>52373</v>
      </c>
      <c r="K210" s="343">
        <v>166</v>
      </c>
      <c r="L210" s="343">
        <v>1427</v>
      </c>
      <c r="M210" s="384">
        <v>46017</v>
      </c>
      <c r="N210" s="343" t="s">
        <v>236</v>
      </c>
      <c r="O210" s="343" t="s">
        <v>334</v>
      </c>
      <c r="Q210" s="343" t="s">
        <v>338</v>
      </c>
      <c r="R210" s="343" t="s">
        <v>131</v>
      </c>
      <c r="S210" s="384">
        <v>46069</v>
      </c>
      <c r="T210" s="384">
        <v>46075</v>
      </c>
      <c r="U210" s="343" t="s">
        <v>343</v>
      </c>
      <c r="V210" s="343">
        <v>2</v>
      </c>
      <c r="W210" s="343">
        <v>144</v>
      </c>
      <c r="X210" s="343">
        <v>0</v>
      </c>
      <c r="Y210" s="343">
        <v>0</v>
      </c>
      <c r="Z210" s="343">
        <v>144</v>
      </c>
      <c r="AA210" s="343">
        <v>11.52</v>
      </c>
    </row>
    <row r="211" spans="9:27">
      <c r="I211" s="343">
        <v>20260102</v>
      </c>
      <c r="J211" s="343">
        <v>76794.05</v>
      </c>
      <c r="K211" s="343">
        <v>225</v>
      </c>
      <c r="L211" s="343">
        <v>582</v>
      </c>
      <c r="M211" s="384">
        <v>46024</v>
      </c>
      <c r="N211" s="343" t="s">
        <v>236</v>
      </c>
      <c r="O211" s="343" t="s">
        <v>122</v>
      </c>
      <c r="Q211" s="343" t="s">
        <v>338</v>
      </c>
      <c r="R211" s="343" t="s">
        <v>131</v>
      </c>
      <c r="S211" s="384">
        <v>46069</v>
      </c>
      <c r="T211" s="384">
        <v>46075</v>
      </c>
      <c r="U211" s="343" t="s">
        <v>106</v>
      </c>
      <c r="V211" s="343">
        <v>5</v>
      </c>
      <c r="W211" s="343">
        <v>1066.3900000000001</v>
      </c>
      <c r="X211" s="343">
        <v>0</v>
      </c>
      <c r="Y211" s="343">
        <v>0</v>
      </c>
      <c r="Z211" s="343">
        <v>1066.3900000000001</v>
      </c>
      <c r="AA211" s="343">
        <v>0</v>
      </c>
    </row>
    <row r="212" spans="9:27">
      <c r="I212" s="343">
        <v>20260109</v>
      </c>
      <c r="J212" s="343">
        <v>64092</v>
      </c>
      <c r="K212" s="343">
        <v>202</v>
      </c>
      <c r="L212" s="343">
        <v>494</v>
      </c>
      <c r="M212" s="384">
        <v>46031</v>
      </c>
      <c r="N212" s="343" t="s">
        <v>236</v>
      </c>
      <c r="O212" s="343" t="s">
        <v>123</v>
      </c>
      <c r="Q212" s="343" t="s">
        <v>338</v>
      </c>
      <c r="R212" s="343" t="s">
        <v>134</v>
      </c>
      <c r="S212" s="384">
        <v>46076</v>
      </c>
      <c r="T212" s="384">
        <v>46082</v>
      </c>
      <c r="U212" s="343" t="s">
        <v>343</v>
      </c>
      <c r="V212" s="343">
        <v>1</v>
      </c>
      <c r="W212" s="343">
        <v>59</v>
      </c>
      <c r="X212" s="343">
        <v>0</v>
      </c>
      <c r="Y212" s="343">
        <v>0</v>
      </c>
      <c r="Z212" s="343">
        <v>59</v>
      </c>
      <c r="AA212" s="343">
        <v>4.72</v>
      </c>
    </row>
    <row r="213" spans="9:27">
      <c r="I213" s="343">
        <v>20260116</v>
      </c>
      <c r="J213" s="343">
        <v>74935.649999999994</v>
      </c>
      <c r="K213" s="343">
        <v>270</v>
      </c>
      <c r="L213" s="343">
        <v>650</v>
      </c>
      <c r="M213" s="384">
        <v>46038</v>
      </c>
      <c r="N213" s="343" t="s">
        <v>236</v>
      </c>
      <c r="O213" s="343" t="s">
        <v>124</v>
      </c>
      <c r="Q213" s="343" t="s">
        <v>338</v>
      </c>
      <c r="R213" s="343" t="s">
        <v>134</v>
      </c>
      <c r="S213" s="384">
        <v>46076</v>
      </c>
      <c r="T213" s="384">
        <v>46082</v>
      </c>
      <c r="U213" s="343" t="s">
        <v>106</v>
      </c>
      <c r="V213" s="343">
        <v>10</v>
      </c>
      <c r="W213" s="343">
        <v>2063.79</v>
      </c>
      <c r="X213" s="343">
        <v>0</v>
      </c>
      <c r="Y213" s="343">
        <v>0</v>
      </c>
      <c r="Z213" s="343">
        <v>2063.79</v>
      </c>
      <c r="AA213" s="343">
        <v>0</v>
      </c>
    </row>
    <row r="214" spans="9:27">
      <c r="I214" s="343">
        <v>20260123</v>
      </c>
      <c r="J214" s="343">
        <v>76803.8</v>
      </c>
      <c r="K214" s="343">
        <v>291</v>
      </c>
      <c r="L214" s="343">
        <v>678</v>
      </c>
      <c r="M214" s="384">
        <v>46045</v>
      </c>
      <c r="N214" s="343" t="s">
        <v>236</v>
      </c>
      <c r="O214" s="343" t="s">
        <v>125</v>
      </c>
      <c r="Q214" s="343" t="s">
        <v>338</v>
      </c>
      <c r="R214" s="343" t="s">
        <v>135</v>
      </c>
      <c r="S214" s="384">
        <v>46083</v>
      </c>
      <c r="T214" s="384">
        <v>46089</v>
      </c>
      <c r="U214" s="343" t="s">
        <v>279</v>
      </c>
      <c r="V214" s="343">
        <v>23</v>
      </c>
      <c r="W214" s="343">
        <v>230</v>
      </c>
      <c r="X214" s="343">
        <v>0</v>
      </c>
      <c r="Y214" s="343">
        <v>0</v>
      </c>
      <c r="Z214" s="343">
        <v>230</v>
      </c>
      <c r="AA214" s="343">
        <v>18.399999999999999</v>
      </c>
    </row>
    <row r="215" spans="9:27">
      <c r="I215" s="343">
        <v>20260130</v>
      </c>
      <c r="J215" s="343">
        <v>63417.75</v>
      </c>
      <c r="K215" s="343">
        <v>233</v>
      </c>
      <c r="L215" s="343">
        <v>542</v>
      </c>
      <c r="M215" s="384">
        <v>46052</v>
      </c>
      <c r="N215" s="343" t="s">
        <v>236</v>
      </c>
      <c r="O215" s="343" t="s">
        <v>128</v>
      </c>
      <c r="Q215" s="343" t="s">
        <v>338</v>
      </c>
      <c r="R215" s="343" t="s">
        <v>135</v>
      </c>
      <c r="S215" s="384">
        <v>46083</v>
      </c>
      <c r="T215" s="384">
        <v>46089</v>
      </c>
      <c r="U215" s="343" t="s">
        <v>343</v>
      </c>
      <c r="V215" s="343">
        <v>1</v>
      </c>
      <c r="W215" s="343">
        <v>840</v>
      </c>
      <c r="X215" s="343">
        <v>0</v>
      </c>
      <c r="Y215" s="343">
        <v>0</v>
      </c>
      <c r="Z215" s="343">
        <v>840</v>
      </c>
      <c r="AA215" s="343">
        <v>67.2</v>
      </c>
    </row>
    <row r="216" spans="9:27">
      <c r="I216" s="343">
        <v>20260206</v>
      </c>
      <c r="J216" s="343">
        <v>68670.5</v>
      </c>
      <c r="K216" s="343">
        <v>322</v>
      </c>
      <c r="L216" s="343">
        <v>644</v>
      </c>
      <c r="M216" s="384">
        <v>46059</v>
      </c>
      <c r="N216" s="343" t="s">
        <v>236</v>
      </c>
      <c r="O216" s="343" t="s">
        <v>129</v>
      </c>
      <c r="Q216" s="343" t="s">
        <v>338</v>
      </c>
      <c r="R216" s="343" t="s">
        <v>135</v>
      </c>
      <c r="S216" s="384">
        <v>46083</v>
      </c>
      <c r="T216" s="384">
        <v>46089</v>
      </c>
      <c r="U216" s="343" t="s">
        <v>106</v>
      </c>
      <c r="V216" s="343">
        <v>10</v>
      </c>
      <c r="W216" s="343">
        <v>1672.1</v>
      </c>
      <c r="X216" s="343">
        <v>0</v>
      </c>
      <c r="Y216" s="343">
        <v>0</v>
      </c>
      <c r="Z216" s="343">
        <v>1672.1</v>
      </c>
      <c r="AA216" s="343">
        <v>0</v>
      </c>
    </row>
    <row r="217" spans="9:27">
      <c r="I217" s="343">
        <v>20260213</v>
      </c>
      <c r="J217" s="343">
        <v>91695.5</v>
      </c>
      <c r="K217" s="343">
        <v>303</v>
      </c>
      <c r="L217" s="343">
        <v>707</v>
      </c>
      <c r="M217" s="384">
        <v>46066</v>
      </c>
      <c r="N217" s="343" t="s">
        <v>236</v>
      </c>
      <c r="O217" s="343" t="s">
        <v>130</v>
      </c>
      <c r="Q217" s="343" t="s">
        <v>338</v>
      </c>
      <c r="R217" s="343" t="s">
        <v>136</v>
      </c>
      <c r="S217" s="384">
        <v>46090</v>
      </c>
      <c r="T217" s="384">
        <v>46096</v>
      </c>
      <c r="U217" s="343" t="s">
        <v>343</v>
      </c>
      <c r="V217" s="343">
        <v>1</v>
      </c>
      <c r="W217" s="343">
        <v>59</v>
      </c>
      <c r="X217" s="343">
        <v>0</v>
      </c>
      <c r="Y217" s="343">
        <v>0</v>
      </c>
      <c r="Z217" s="343">
        <v>59</v>
      </c>
      <c r="AA217" s="343">
        <v>4.72</v>
      </c>
    </row>
    <row r="218" spans="9:27">
      <c r="I218" s="343">
        <v>20260220</v>
      </c>
      <c r="J218" s="343">
        <v>68756</v>
      </c>
      <c r="K218" s="343">
        <v>269</v>
      </c>
      <c r="L218" s="343">
        <v>619</v>
      </c>
      <c r="M218" s="384">
        <v>46073</v>
      </c>
      <c r="N218" s="343" t="s">
        <v>236</v>
      </c>
      <c r="O218" s="343" t="s">
        <v>131</v>
      </c>
      <c r="Q218" s="343" t="s">
        <v>338</v>
      </c>
      <c r="R218" s="343" t="s">
        <v>136</v>
      </c>
      <c r="S218" s="384">
        <v>46090</v>
      </c>
      <c r="T218" s="384">
        <v>46096</v>
      </c>
      <c r="U218" s="343" t="s">
        <v>106</v>
      </c>
      <c r="V218" s="343">
        <v>7</v>
      </c>
      <c r="W218" s="343">
        <v>1092.94</v>
      </c>
      <c r="X218" s="343">
        <v>0</v>
      </c>
      <c r="Y218" s="343">
        <v>0</v>
      </c>
      <c r="Z218" s="343">
        <v>1092.94</v>
      </c>
      <c r="AA218" s="343">
        <v>0</v>
      </c>
    </row>
    <row r="219" spans="9:27">
      <c r="I219" s="343">
        <v>20260227</v>
      </c>
      <c r="J219" s="343">
        <v>86609.26</v>
      </c>
      <c r="K219" s="343">
        <v>319</v>
      </c>
      <c r="L219" s="343">
        <v>721</v>
      </c>
      <c r="M219" s="384">
        <v>46080</v>
      </c>
      <c r="N219" s="343" t="s">
        <v>236</v>
      </c>
      <c r="O219" s="343" t="s">
        <v>134</v>
      </c>
      <c r="Q219" s="343" t="s">
        <v>338</v>
      </c>
      <c r="R219" s="343" t="s">
        <v>149</v>
      </c>
      <c r="S219" s="384">
        <v>46153</v>
      </c>
      <c r="T219" s="384">
        <v>46159</v>
      </c>
      <c r="U219" s="343" t="s">
        <v>279</v>
      </c>
      <c r="V219" s="343">
        <v>94</v>
      </c>
      <c r="W219" s="343">
        <v>940</v>
      </c>
      <c r="X219" s="343">
        <v>0</v>
      </c>
      <c r="Y219" s="343">
        <v>0</v>
      </c>
      <c r="Z219" s="343">
        <v>940</v>
      </c>
      <c r="AA219" s="343">
        <v>75.2</v>
      </c>
    </row>
    <row r="220" spans="9:27">
      <c r="I220" s="343">
        <v>20260306</v>
      </c>
      <c r="J220" s="343">
        <v>67049.5</v>
      </c>
      <c r="K220" s="343">
        <v>233</v>
      </c>
      <c r="L220" s="343">
        <v>540</v>
      </c>
      <c r="M220" s="384">
        <v>46087</v>
      </c>
      <c r="N220" s="343" t="s">
        <v>236</v>
      </c>
      <c r="O220" s="343" t="s">
        <v>135</v>
      </c>
      <c r="Q220" s="343" t="s">
        <v>338</v>
      </c>
      <c r="R220" s="343" t="s">
        <v>149</v>
      </c>
      <c r="S220" s="384">
        <v>46153</v>
      </c>
      <c r="T220" s="384">
        <v>46159</v>
      </c>
      <c r="U220" s="343" t="s">
        <v>343</v>
      </c>
      <c r="V220" s="343">
        <v>4</v>
      </c>
      <c r="W220" s="343">
        <v>1776.53</v>
      </c>
      <c r="X220" s="343">
        <v>0</v>
      </c>
      <c r="Y220" s="343">
        <v>0</v>
      </c>
      <c r="Z220" s="343">
        <v>1776.53</v>
      </c>
      <c r="AA220" s="343">
        <v>127.13</v>
      </c>
    </row>
    <row r="221" spans="9:27">
      <c r="I221" s="343">
        <v>20260313</v>
      </c>
      <c r="J221" s="343">
        <v>67182.350000000006</v>
      </c>
      <c r="K221" s="343">
        <v>249</v>
      </c>
      <c r="L221" s="343">
        <v>584</v>
      </c>
      <c r="M221" s="384">
        <v>46094</v>
      </c>
      <c r="N221" s="343" t="s">
        <v>236</v>
      </c>
      <c r="O221" s="343" t="s">
        <v>136</v>
      </c>
      <c r="Q221" s="343" t="s">
        <v>338</v>
      </c>
      <c r="R221" s="343" t="s">
        <v>149</v>
      </c>
      <c r="S221" s="384">
        <v>46153</v>
      </c>
      <c r="T221" s="384">
        <v>46159</v>
      </c>
      <c r="U221" s="343" t="s">
        <v>335</v>
      </c>
      <c r="V221" s="343">
        <v>0</v>
      </c>
      <c r="W221" s="343">
        <v>-149.04</v>
      </c>
      <c r="X221" s="343">
        <v>0</v>
      </c>
      <c r="Y221" s="343">
        <v>149.04</v>
      </c>
      <c r="Z221" s="343">
        <v>0</v>
      </c>
      <c r="AA221" s="343">
        <v>0</v>
      </c>
    </row>
    <row r="222" spans="9:27">
      <c r="I222" s="343">
        <v>20260320</v>
      </c>
      <c r="J222" s="343">
        <v>69716.5</v>
      </c>
      <c r="K222" s="343">
        <v>221</v>
      </c>
      <c r="L222" s="343">
        <v>548</v>
      </c>
      <c r="M222" s="384">
        <v>46101</v>
      </c>
      <c r="N222" s="343" t="s">
        <v>236</v>
      </c>
      <c r="O222" s="343" t="s">
        <v>137</v>
      </c>
      <c r="Q222" s="343" t="s">
        <v>338</v>
      </c>
      <c r="R222" s="343" t="s">
        <v>149</v>
      </c>
      <c r="S222" s="384">
        <v>46153</v>
      </c>
      <c r="T222" s="384">
        <v>46159</v>
      </c>
      <c r="U222" s="343" t="s">
        <v>106</v>
      </c>
      <c r="V222" s="343">
        <v>13</v>
      </c>
      <c r="W222" s="343">
        <v>1927.05</v>
      </c>
      <c r="X222" s="343">
        <v>0</v>
      </c>
      <c r="Y222" s="343">
        <v>0</v>
      </c>
      <c r="Z222" s="343">
        <v>1927.05</v>
      </c>
      <c r="AA222" s="343">
        <v>0</v>
      </c>
    </row>
    <row r="223" spans="9:27">
      <c r="I223" s="343">
        <v>20260327</v>
      </c>
      <c r="J223" s="343">
        <v>55502</v>
      </c>
      <c r="K223" s="343">
        <v>202</v>
      </c>
      <c r="L223" s="343">
        <v>525</v>
      </c>
      <c r="M223" s="384">
        <v>46108</v>
      </c>
      <c r="N223" s="343" t="s">
        <v>236</v>
      </c>
      <c r="O223" s="343" t="s">
        <v>138</v>
      </c>
      <c r="Q223" s="343" t="s">
        <v>338</v>
      </c>
      <c r="R223" s="343" t="s">
        <v>150</v>
      </c>
      <c r="S223" s="384">
        <v>46160</v>
      </c>
      <c r="T223" s="384">
        <v>46166</v>
      </c>
      <c r="U223" s="343" t="s">
        <v>277</v>
      </c>
      <c r="V223" s="343">
        <v>206</v>
      </c>
      <c r="W223" s="343">
        <v>34565</v>
      </c>
      <c r="X223" s="343">
        <v>0</v>
      </c>
      <c r="Y223" s="343">
        <v>0</v>
      </c>
      <c r="Z223" s="343">
        <v>34565</v>
      </c>
      <c r="AA223" s="343">
        <v>2765.2</v>
      </c>
    </row>
    <row r="224" spans="9:27">
      <c r="I224" s="343">
        <v>20260403</v>
      </c>
      <c r="J224" s="343">
        <v>72043.66</v>
      </c>
      <c r="K224" s="343">
        <v>234</v>
      </c>
      <c r="L224" s="343">
        <v>592</v>
      </c>
      <c r="M224" s="384">
        <v>46115</v>
      </c>
      <c r="N224" s="343" t="s">
        <v>236</v>
      </c>
      <c r="O224" s="343" t="s">
        <v>141</v>
      </c>
      <c r="Q224" s="343" t="s">
        <v>338</v>
      </c>
      <c r="R224" s="343" t="s">
        <v>150</v>
      </c>
      <c r="S224" s="384">
        <v>46160</v>
      </c>
      <c r="T224" s="384">
        <v>46166</v>
      </c>
      <c r="U224" s="343" t="s">
        <v>343</v>
      </c>
      <c r="V224" s="343">
        <v>1</v>
      </c>
      <c r="W224" s="343">
        <v>674</v>
      </c>
      <c r="X224" s="343">
        <v>0</v>
      </c>
      <c r="Y224" s="343">
        <v>0</v>
      </c>
      <c r="Z224" s="343">
        <v>674</v>
      </c>
      <c r="AA224" s="343">
        <v>53.92</v>
      </c>
    </row>
    <row r="225" spans="9:27">
      <c r="I225" s="343">
        <v>20260410</v>
      </c>
      <c r="J225" s="343">
        <v>71888.72</v>
      </c>
      <c r="K225" s="343">
        <v>251</v>
      </c>
      <c r="L225" s="343">
        <v>572</v>
      </c>
      <c r="M225" s="384">
        <v>46122</v>
      </c>
      <c r="N225" s="343" t="s">
        <v>236</v>
      </c>
      <c r="O225" s="343" t="s">
        <v>142</v>
      </c>
      <c r="Q225" s="343" t="s">
        <v>338</v>
      </c>
      <c r="R225" s="343" t="s">
        <v>150</v>
      </c>
      <c r="S225" s="384">
        <v>46160</v>
      </c>
      <c r="T225" s="384">
        <v>46166</v>
      </c>
      <c r="U225" s="343" t="s">
        <v>106</v>
      </c>
      <c r="V225" s="343">
        <v>14</v>
      </c>
      <c r="W225" s="343">
        <v>3118.24</v>
      </c>
      <c r="X225" s="343">
        <v>0</v>
      </c>
      <c r="Y225" s="343">
        <v>0</v>
      </c>
      <c r="Z225" s="343">
        <v>3118.24</v>
      </c>
      <c r="AA225" s="343">
        <v>0</v>
      </c>
    </row>
    <row r="226" spans="9:27">
      <c r="I226" s="343">
        <v>20260417</v>
      </c>
      <c r="J226" s="343">
        <v>56199.5</v>
      </c>
      <c r="K226" s="343">
        <v>220</v>
      </c>
      <c r="L226" s="343">
        <v>563</v>
      </c>
      <c r="M226" s="384">
        <v>46129</v>
      </c>
      <c r="N226" s="343" t="s">
        <v>236</v>
      </c>
      <c r="O226" s="343" t="s">
        <v>143</v>
      </c>
      <c r="Q226" s="343" t="s">
        <v>338</v>
      </c>
      <c r="R226" s="343" t="s">
        <v>153</v>
      </c>
      <c r="S226" s="384">
        <v>46167</v>
      </c>
      <c r="T226" s="384">
        <v>46173</v>
      </c>
      <c r="U226" s="343" t="s">
        <v>343</v>
      </c>
      <c r="V226" s="343">
        <v>9</v>
      </c>
      <c r="W226" s="343">
        <v>5847</v>
      </c>
      <c r="X226" s="343">
        <v>0</v>
      </c>
      <c r="Y226" s="343">
        <v>0</v>
      </c>
      <c r="Z226" s="343">
        <v>5847</v>
      </c>
      <c r="AA226" s="343">
        <v>455.26</v>
      </c>
    </row>
    <row r="227" spans="9:27">
      <c r="I227" s="343">
        <v>20260424</v>
      </c>
      <c r="J227" s="343">
        <v>66341.899999999994</v>
      </c>
      <c r="K227" s="343">
        <v>235</v>
      </c>
      <c r="L227" s="343">
        <v>593</v>
      </c>
      <c r="M227" s="384">
        <v>46136</v>
      </c>
      <c r="N227" s="343" t="s">
        <v>236</v>
      </c>
      <c r="O227" s="343" t="s">
        <v>144</v>
      </c>
      <c r="Q227" s="343" t="s">
        <v>338</v>
      </c>
      <c r="R227" s="343" t="s">
        <v>153</v>
      </c>
      <c r="S227" s="384">
        <v>46167</v>
      </c>
      <c r="T227" s="384">
        <v>46173</v>
      </c>
      <c r="U227" s="343" t="s">
        <v>106</v>
      </c>
      <c r="V227" s="343">
        <v>4</v>
      </c>
      <c r="W227" s="343">
        <v>1574.2</v>
      </c>
      <c r="X227" s="343">
        <v>0</v>
      </c>
      <c r="Y227" s="343">
        <v>0</v>
      </c>
      <c r="Z227" s="343">
        <v>1574.2</v>
      </c>
      <c r="AA227" s="343">
        <v>0</v>
      </c>
    </row>
    <row r="228" spans="9:27">
      <c r="I228" s="343">
        <v>20260501</v>
      </c>
      <c r="J228" s="343">
        <v>78138.25</v>
      </c>
      <c r="K228" s="343">
        <v>227</v>
      </c>
      <c r="L228" s="343">
        <v>609</v>
      </c>
      <c r="M228" s="384">
        <v>46143</v>
      </c>
      <c r="N228" s="343" t="s">
        <v>236</v>
      </c>
      <c r="O228" s="343" t="s">
        <v>147</v>
      </c>
      <c r="Q228" s="343" t="s">
        <v>338</v>
      </c>
      <c r="R228" s="343" t="s">
        <v>154</v>
      </c>
      <c r="S228" s="384">
        <v>46174</v>
      </c>
      <c r="T228" s="384">
        <v>46180</v>
      </c>
      <c r="U228" s="343" t="s">
        <v>279</v>
      </c>
      <c r="V228" s="343">
        <v>75</v>
      </c>
      <c r="W228" s="343">
        <v>750</v>
      </c>
      <c r="X228" s="343">
        <v>0</v>
      </c>
      <c r="Y228" s="343">
        <v>0</v>
      </c>
      <c r="Z228" s="343">
        <v>750</v>
      </c>
      <c r="AA228" s="343">
        <v>60</v>
      </c>
    </row>
    <row r="229" spans="9:27">
      <c r="I229" s="343">
        <v>20260508</v>
      </c>
      <c r="J229" s="343">
        <v>55252.5</v>
      </c>
      <c r="K229" s="343">
        <v>185</v>
      </c>
      <c r="L229" s="343">
        <v>484</v>
      </c>
      <c r="M229" s="384">
        <v>46150</v>
      </c>
      <c r="N229" s="343" t="s">
        <v>236</v>
      </c>
      <c r="O229" s="343" t="s">
        <v>148</v>
      </c>
      <c r="Q229" s="343" t="s">
        <v>338</v>
      </c>
      <c r="R229" s="343" t="s">
        <v>154</v>
      </c>
      <c r="S229" s="384">
        <v>46174</v>
      </c>
      <c r="T229" s="384">
        <v>46180</v>
      </c>
      <c r="U229" s="343" t="s">
        <v>343</v>
      </c>
      <c r="V229" s="343">
        <v>1</v>
      </c>
      <c r="W229" s="343">
        <v>743.5</v>
      </c>
      <c r="X229" s="343">
        <v>0</v>
      </c>
      <c r="Y229" s="343">
        <v>0</v>
      </c>
      <c r="Z229" s="343">
        <v>743.5</v>
      </c>
      <c r="AA229" s="343">
        <v>59.49</v>
      </c>
    </row>
    <row r="230" spans="9:27">
      <c r="I230" s="343">
        <v>20260515</v>
      </c>
      <c r="J230" s="343">
        <v>47228.25</v>
      </c>
      <c r="K230" s="343">
        <v>190</v>
      </c>
      <c r="L230" s="343">
        <v>464</v>
      </c>
      <c r="M230" s="384">
        <v>46157</v>
      </c>
      <c r="N230" s="343" t="s">
        <v>236</v>
      </c>
      <c r="O230" s="343" t="s">
        <v>149</v>
      </c>
      <c r="Q230" s="343" t="s">
        <v>338</v>
      </c>
      <c r="R230" s="343" t="s">
        <v>154</v>
      </c>
      <c r="S230" s="384">
        <v>46174</v>
      </c>
      <c r="T230" s="384">
        <v>46180</v>
      </c>
      <c r="U230" s="343" t="s">
        <v>106</v>
      </c>
      <c r="V230" s="343">
        <v>7</v>
      </c>
      <c r="W230" s="343">
        <v>809.59</v>
      </c>
      <c r="X230" s="343">
        <v>0</v>
      </c>
      <c r="Y230" s="343">
        <v>0</v>
      </c>
      <c r="Z230" s="343">
        <v>809.59</v>
      </c>
      <c r="AA230" s="343">
        <v>0</v>
      </c>
    </row>
    <row r="231" spans="9:27">
      <c r="I231" s="343">
        <v>20260522</v>
      </c>
      <c r="J231" s="343">
        <v>49627</v>
      </c>
      <c r="K231" s="343">
        <v>196</v>
      </c>
      <c r="L231" s="343">
        <v>484</v>
      </c>
      <c r="M231" s="384">
        <v>46164</v>
      </c>
      <c r="N231" s="343" t="s">
        <v>236</v>
      </c>
      <c r="O231" s="343" t="s">
        <v>150</v>
      </c>
      <c r="Q231" s="343" t="s">
        <v>338</v>
      </c>
      <c r="R231" s="343" t="s">
        <v>155</v>
      </c>
      <c r="S231" s="384">
        <v>46181</v>
      </c>
      <c r="T231" s="384">
        <v>46187</v>
      </c>
      <c r="U231" s="343" t="s">
        <v>279</v>
      </c>
      <c r="V231" s="343">
        <v>94</v>
      </c>
      <c r="W231" s="343">
        <v>690</v>
      </c>
      <c r="X231" s="343">
        <v>0</v>
      </c>
      <c r="Y231" s="343">
        <v>0</v>
      </c>
      <c r="Z231" s="343">
        <v>690</v>
      </c>
      <c r="AA231" s="343">
        <v>55.2</v>
      </c>
    </row>
    <row r="232" spans="9:27">
      <c r="I232" s="343">
        <v>20260529</v>
      </c>
      <c r="J232" s="343">
        <v>42798</v>
      </c>
      <c r="K232" s="343">
        <v>174</v>
      </c>
      <c r="L232" s="343">
        <v>412</v>
      </c>
      <c r="M232" s="384">
        <v>46171</v>
      </c>
      <c r="N232" s="343" t="s">
        <v>236</v>
      </c>
      <c r="O232" s="343" t="s">
        <v>153</v>
      </c>
      <c r="Q232" s="343" t="s">
        <v>338</v>
      </c>
      <c r="R232" s="343" t="s">
        <v>155</v>
      </c>
      <c r="S232" s="384">
        <v>46181</v>
      </c>
      <c r="T232" s="384">
        <v>46187</v>
      </c>
      <c r="U232" s="343" t="s">
        <v>343</v>
      </c>
      <c r="V232" s="343">
        <v>1</v>
      </c>
      <c r="W232" s="343">
        <v>80</v>
      </c>
      <c r="X232" s="343">
        <v>0</v>
      </c>
      <c r="Y232" s="343">
        <v>0</v>
      </c>
      <c r="Z232" s="343">
        <v>80</v>
      </c>
      <c r="AA232" s="343">
        <v>6.4</v>
      </c>
    </row>
    <row r="233" spans="9:27">
      <c r="I233" s="343">
        <v>20260605</v>
      </c>
      <c r="J233" s="343">
        <v>41335.25</v>
      </c>
      <c r="K233" s="343">
        <v>167</v>
      </c>
      <c r="L233" s="343">
        <v>405</v>
      </c>
      <c r="M233" s="384">
        <v>46178</v>
      </c>
      <c r="N233" s="343" t="s">
        <v>236</v>
      </c>
      <c r="O233" s="343" t="s">
        <v>154</v>
      </c>
      <c r="Q233" s="343" t="s">
        <v>338</v>
      </c>
      <c r="R233" s="343" t="s">
        <v>155</v>
      </c>
      <c r="S233" s="384">
        <v>46181</v>
      </c>
      <c r="T233" s="384">
        <v>46187</v>
      </c>
      <c r="U233" s="343" t="s">
        <v>335</v>
      </c>
      <c r="V233" s="343">
        <v>0</v>
      </c>
      <c r="W233" s="343">
        <v>-147.75</v>
      </c>
      <c r="X233" s="343">
        <v>0</v>
      </c>
      <c r="Y233" s="343">
        <v>147.75</v>
      </c>
      <c r="Z233" s="343">
        <v>0</v>
      </c>
      <c r="AA233" s="343">
        <v>0</v>
      </c>
    </row>
    <row r="234" spans="9:27">
      <c r="I234" s="343">
        <v>20260612</v>
      </c>
      <c r="J234" s="343">
        <v>37772.6</v>
      </c>
      <c r="K234" s="343">
        <v>148</v>
      </c>
      <c r="L234" s="343">
        <v>313</v>
      </c>
      <c r="M234" s="384">
        <v>46185</v>
      </c>
      <c r="N234" s="343" t="s">
        <v>236</v>
      </c>
      <c r="O234" s="343" t="s">
        <v>155</v>
      </c>
      <c r="Q234" s="343" t="s">
        <v>338</v>
      </c>
      <c r="R234" s="343" t="s">
        <v>155</v>
      </c>
      <c r="S234" s="384">
        <v>46181</v>
      </c>
      <c r="T234" s="384">
        <v>46187</v>
      </c>
      <c r="U234" s="343" t="s">
        <v>106</v>
      </c>
      <c r="V234" s="343">
        <v>9</v>
      </c>
      <c r="W234" s="343">
        <v>1526.43</v>
      </c>
      <c r="X234" s="343">
        <v>0</v>
      </c>
      <c r="Y234" s="343">
        <v>0</v>
      </c>
      <c r="Z234" s="343">
        <v>1526.43</v>
      </c>
      <c r="AA234" s="343">
        <v>0</v>
      </c>
    </row>
    <row r="235" spans="9:27">
      <c r="I235" s="343">
        <v>20260619</v>
      </c>
      <c r="J235" s="343">
        <v>27068</v>
      </c>
      <c r="K235" s="343">
        <v>108</v>
      </c>
      <c r="L235" s="343">
        <v>247</v>
      </c>
      <c r="M235" s="384">
        <v>46192</v>
      </c>
      <c r="N235" s="343" t="s">
        <v>236</v>
      </c>
      <c r="O235" s="343" t="s">
        <v>156</v>
      </c>
      <c r="Q235" s="343" t="s">
        <v>338</v>
      </c>
      <c r="R235" s="343" t="s">
        <v>156</v>
      </c>
      <c r="S235" s="384">
        <v>46188</v>
      </c>
      <c r="T235" s="384">
        <v>46194</v>
      </c>
      <c r="U235" s="343" t="s">
        <v>279</v>
      </c>
      <c r="V235" s="343">
        <v>72</v>
      </c>
      <c r="W235" s="343">
        <v>720</v>
      </c>
      <c r="X235" s="343">
        <v>0</v>
      </c>
      <c r="Y235" s="343">
        <v>0</v>
      </c>
      <c r="Z235" s="343">
        <v>720</v>
      </c>
      <c r="AA235" s="343">
        <v>57.6</v>
      </c>
    </row>
    <row r="236" spans="9:27">
      <c r="I236" s="343">
        <v>20260626</v>
      </c>
      <c r="J236" s="343">
        <v>55986.5</v>
      </c>
      <c r="K236" s="343">
        <v>183</v>
      </c>
      <c r="L236" s="343">
        <v>474</v>
      </c>
      <c r="M236" s="384">
        <v>46199</v>
      </c>
      <c r="N236" s="343" t="s">
        <v>236</v>
      </c>
      <c r="O236" s="343" t="s">
        <v>157</v>
      </c>
      <c r="Q236" s="343" t="s">
        <v>338</v>
      </c>
      <c r="R236" s="343" t="s">
        <v>156</v>
      </c>
      <c r="S236" s="384">
        <v>46188</v>
      </c>
      <c r="T236" s="384">
        <v>46194</v>
      </c>
      <c r="U236" s="343" t="s">
        <v>343</v>
      </c>
      <c r="V236" s="343">
        <v>1</v>
      </c>
      <c r="W236" s="343">
        <v>1400</v>
      </c>
      <c r="X236" s="343">
        <v>0</v>
      </c>
      <c r="Y236" s="343">
        <v>0</v>
      </c>
      <c r="Z236" s="343">
        <v>1400</v>
      </c>
      <c r="AA236" s="343">
        <v>112</v>
      </c>
    </row>
    <row r="237" spans="9:27">
      <c r="I237" s="343">
        <v>20260703</v>
      </c>
      <c r="J237" s="343">
        <v>37023.46</v>
      </c>
      <c r="K237" s="343">
        <v>108</v>
      </c>
      <c r="L237" s="343">
        <v>262</v>
      </c>
      <c r="M237" s="384">
        <v>46206</v>
      </c>
      <c r="N237" s="343" t="s">
        <v>236</v>
      </c>
      <c r="O237" s="343" t="s">
        <v>160</v>
      </c>
      <c r="Q237" s="343" t="s">
        <v>338</v>
      </c>
      <c r="R237" s="343" t="s">
        <v>156</v>
      </c>
      <c r="S237" s="384">
        <v>46188</v>
      </c>
      <c r="T237" s="384">
        <v>46194</v>
      </c>
      <c r="U237" s="343" t="s">
        <v>106</v>
      </c>
      <c r="V237" s="343">
        <v>3</v>
      </c>
      <c r="W237" s="343">
        <v>504.4</v>
      </c>
      <c r="X237" s="343">
        <v>0</v>
      </c>
      <c r="Y237" s="343">
        <v>0</v>
      </c>
      <c r="Z237" s="343">
        <v>504.4</v>
      </c>
      <c r="AA237" s="343">
        <v>0</v>
      </c>
    </row>
    <row r="238" spans="9:27">
      <c r="I238" s="343">
        <v>20260710</v>
      </c>
      <c r="J238" s="343">
        <v>60357.17</v>
      </c>
      <c r="K238" s="343">
        <v>207</v>
      </c>
      <c r="L238" s="343">
        <v>1192</v>
      </c>
      <c r="M238" s="384">
        <v>46213</v>
      </c>
      <c r="N238" s="343" t="s">
        <v>236</v>
      </c>
      <c r="O238" s="343" t="s">
        <v>161</v>
      </c>
      <c r="Q238" s="343" t="s">
        <v>338</v>
      </c>
      <c r="R238" s="343" t="s">
        <v>157</v>
      </c>
      <c r="S238" s="384">
        <v>46195</v>
      </c>
      <c r="T238" s="384">
        <v>46201</v>
      </c>
      <c r="U238" s="343" t="s">
        <v>279</v>
      </c>
      <c r="V238" s="343">
        <v>87</v>
      </c>
      <c r="W238" s="343">
        <v>870</v>
      </c>
      <c r="X238" s="343">
        <v>0</v>
      </c>
      <c r="Y238" s="343">
        <v>0</v>
      </c>
      <c r="Z238" s="343">
        <v>870</v>
      </c>
      <c r="AA238" s="343">
        <v>69.599999999999994</v>
      </c>
    </row>
    <row r="239" spans="9:27">
      <c r="I239" s="343">
        <v>20260717</v>
      </c>
      <c r="J239" s="343">
        <v>43590.25</v>
      </c>
      <c r="K239" s="343">
        <v>173</v>
      </c>
      <c r="L239" s="343">
        <v>423</v>
      </c>
      <c r="M239" s="384">
        <v>46220</v>
      </c>
      <c r="N239" s="343" t="s">
        <v>236</v>
      </c>
      <c r="O239" s="343" t="s">
        <v>162</v>
      </c>
      <c r="Q239" s="343" t="s">
        <v>338</v>
      </c>
      <c r="R239" s="343" t="s">
        <v>157</v>
      </c>
      <c r="S239" s="384">
        <v>46195</v>
      </c>
      <c r="T239" s="384">
        <v>46201</v>
      </c>
      <c r="U239" s="343" t="s">
        <v>277</v>
      </c>
      <c r="V239" s="343">
        <v>223</v>
      </c>
      <c r="W239" s="343">
        <v>39915</v>
      </c>
      <c r="X239" s="343">
        <v>0</v>
      </c>
      <c r="Y239" s="343">
        <v>0</v>
      </c>
      <c r="Z239" s="343">
        <v>39915</v>
      </c>
      <c r="AA239" s="343">
        <v>3193.2</v>
      </c>
    </row>
    <row r="240" spans="9:27">
      <c r="I240" s="343">
        <v>20260724</v>
      </c>
      <c r="J240" s="343">
        <v>53072.5</v>
      </c>
      <c r="K240" s="343">
        <v>177</v>
      </c>
      <c r="L240" s="343">
        <v>1446</v>
      </c>
      <c r="M240" s="384">
        <v>46227</v>
      </c>
      <c r="N240" s="343" t="s">
        <v>236</v>
      </c>
      <c r="O240" s="343" t="s">
        <v>163</v>
      </c>
      <c r="Q240" s="343" t="s">
        <v>338</v>
      </c>
      <c r="R240" s="343" t="s">
        <v>157</v>
      </c>
      <c r="S240" s="384">
        <v>46195</v>
      </c>
      <c r="T240" s="384">
        <v>46201</v>
      </c>
      <c r="U240" s="343" t="s">
        <v>106</v>
      </c>
      <c r="V240" s="343">
        <v>4</v>
      </c>
      <c r="W240" s="343">
        <v>838.24</v>
      </c>
      <c r="X240" s="343">
        <v>0</v>
      </c>
      <c r="Y240" s="343">
        <v>0</v>
      </c>
      <c r="Z240" s="343">
        <v>838.24</v>
      </c>
      <c r="AA240" s="343">
        <v>0</v>
      </c>
    </row>
    <row r="241" spans="9:27">
      <c r="I241" s="343">
        <v>20260731</v>
      </c>
      <c r="J241" s="343">
        <v>45022.25</v>
      </c>
      <c r="K241" s="343">
        <v>201</v>
      </c>
      <c r="L241" s="343">
        <v>1091</v>
      </c>
      <c r="M241" s="384">
        <v>46234</v>
      </c>
      <c r="N241" s="343" t="s">
        <v>236</v>
      </c>
      <c r="O241" s="343" t="s">
        <v>166</v>
      </c>
      <c r="Q241" s="343" t="s">
        <v>338</v>
      </c>
      <c r="R241" s="343" t="s">
        <v>160</v>
      </c>
      <c r="S241" s="384">
        <v>46202</v>
      </c>
      <c r="T241" s="384">
        <v>46208</v>
      </c>
      <c r="U241" s="343" t="s">
        <v>279</v>
      </c>
      <c r="V241" s="343">
        <v>48</v>
      </c>
      <c r="W241" s="343">
        <v>480</v>
      </c>
      <c r="X241" s="343">
        <v>0</v>
      </c>
      <c r="Y241" s="343">
        <v>0</v>
      </c>
      <c r="Z241" s="343">
        <v>480</v>
      </c>
      <c r="AA241" s="343">
        <v>38.4</v>
      </c>
    </row>
    <row r="242" spans="9:27">
      <c r="I242" s="343">
        <v>20260807</v>
      </c>
      <c r="J242" s="343">
        <v>52117.25</v>
      </c>
      <c r="K242" s="343">
        <v>221</v>
      </c>
      <c r="L242" s="343">
        <v>546</v>
      </c>
      <c r="M242" s="384">
        <v>46241</v>
      </c>
      <c r="N242" s="343" t="s">
        <v>236</v>
      </c>
      <c r="O242" s="343" t="s">
        <v>167</v>
      </c>
      <c r="Q242" s="343" t="s">
        <v>338</v>
      </c>
      <c r="R242" s="343" t="s">
        <v>160</v>
      </c>
      <c r="S242" s="384">
        <v>46202</v>
      </c>
      <c r="T242" s="384">
        <v>46208</v>
      </c>
      <c r="U242" s="343" t="s">
        <v>106</v>
      </c>
      <c r="V242" s="343">
        <v>4</v>
      </c>
      <c r="W242" s="343">
        <v>921.7</v>
      </c>
      <c r="X242" s="343">
        <v>0</v>
      </c>
      <c r="Y242" s="343">
        <v>0</v>
      </c>
      <c r="Z242" s="343">
        <v>921.7</v>
      </c>
      <c r="AA242" s="343">
        <v>0</v>
      </c>
    </row>
    <row r="243" spans="9:27">
      <c r="I243" s="343">
        <v>20260814</v>
      </c>
      <c r="J243" s="343">
        <v>47473.75</v>
      </c>
      <c r="K243" s="343">
        <v>218</v>
      </c>
      <c r="L243" s="343">
        <v>560</v>
      </c>
      <c r="M243" s="384">
        <v>46248</v>
      </c>
      <c r="N243" s="343" t="s">
        <v>236</v>
      </c>
      <c r="O243" s="343" t="s">
        <v>168</v>
      </c>
      <c r="Q243" s="343" t="s">
        <v>338</v>
      </c>
      <c r="R243" s="343" t="s">
        <v>161</v>
      </c>
      <c r="S243" s="384">
        <v>46209</v>
      </c>
      <c r="T243" s="384">
        <v>46215</v>
      </c>
      <c r="U243" s="343" t="s">
        <v>277</v>
      </c>
      <c r="V243" s="343">
        <v>146</v>
      </c>
      <c r="W243" s="343">
        <v>27870</v>
      </c>
      <c r="X243" s="343">
        <v>0</v>
      </c>
      <c r="Y243" s="343">
        <v>0</v>
      </c>
      <c r="Z243" s="343">
        <v>27870</v>
      </c>
      <c r="AA243" s="343">
        <v>2229.6</v>
      </c>
    </row>
    <row r="244" spans="9:27">
      <c r="I244" s="343">
        <v>20260821</v>
      </c>
      <c r="J244" s="343">
        <v>55220.5</v>
      </c>
      <c r="K244" s="343">
        <v>246</v>
      </c>
      <c r="L244" s="343">
        <v>592</v>
      </c>
      <c r="M244" s="384">
        <v>46255</v>
      </c>
      <c r="N244" s="343" t="s">
        <v>236</v>
      </c>
      <c r="O244" s="343" t="s">
        <v>101</v>
      </c>
      <c r="Q244" s="343" t="s">
        <v>338</v>
      </c>
      <c r="R244" s="343" t="s">
        <v>161</v>
      </c>
      <c r="S244" s="384">
        <v>46209</v>
      </c>
      <c r="T244" s="384">
        <v>46215</v>
      </c>
      <c r="U244" s="343" t="s">
        <v>343</v>
      </c>
      <c r="V244" s="343">
        <v>1</v>
      </c>
      <c r="W244" s="343">
        <v>80</v>
      </c>
      <c r="X244" s="343">
        <v>0</v>
      </c>
      <c r="Y244" s="343">
        <v>0</v>
      </c>
      <c r="Z244" s="343">
        <v>80</v>
      </c>
      <c r="AA244" s="343">
        <v>6.4</v>
      </c>
    </row>
    <row r="245" spans="9:27">
      <c r="I245" s="343">
        <v>20250208</v>
      </c>
      <c r="J245" s="343">
        <v>52158.25</v>
      </c>
      <c r="K245" s="343">
        <v>243</v>
      </c>
      <c r="L245" s="343">
        <v>537</v>
      </c>
      <c r="M245" s="384">
        <v>45696</v>
      </c>
      <c r="N245" s="343" t="s">
        <v>244</v>
      </c>
      <c r="O245" s="343" t="s">
        <v>282</v>
      </c>
      <c r="Q245" s="343" t="s">
        <v>338</v>
      </c>
      <c r="R245" s="343" t="s">
        <v>162</v>
      </c>
      <c r="S245" s="384">
        <v>46216</v>
      </c>
      <c r="T245" s="384">
        <v>46222</v>
      </c>
      <c r="U245" s="343" t="s">
        <v>279</v>
      </c>
      <c r="V245" s="343">
        <v>126</v>
      </c>
      <c r="W245" s="343">
        <v>1260</v>
      </c>
      <c r="X245" s="343">
        <v>0</v>
      </c>
      <c r="Y245" s="343">
        <v>0</v>
      </c>
      <c r="Z245" s="343">
        <v>1260</v>
      </c>
      <c r="AA245" s="343">
        <v>100.8</v>
      </c>
    </row>
    <row r="246" spans="9:27">
      <c r="I246" s="343">
        <v>20250215</v>
      </c>
      <c r="J246" s="343">
        <v>62245.45</v>
      </c>
      <c r="K246" s="343">
        <v>244</v>
      </c>
      <c r="L246" s="343">
        <v>563</v>
      </c>
      <c r="M246" s="384">
        <v>45703</v>
      </c>
      <c r="N246" s="343" t="s">
        <v>244</v>
      </c>
      <c r="O246" s="343" t="s">
        <v>284</v>
      </c>
      <c r="Q246" s="343" t="s">
        <v>338</v>
      </c>
      <c r="R246" s="343" t="s">
        <v>162</v>
      </c>
      <c r="S246" s="384">
        <v>46216</v>
      </c>
      <c r="T246" s="384">
        <v>46222</v>
      </c>
      <c r="U246" s="343" t="s">
        <v>343</v>
      </c>
      <c r="V246" s="343">
        <v>1</v>
      </c>
      <c r="W246" s="343">
        <v>117.78</v>
      </c>
      <c r="X246" s="343">
        <v>0</v>
      </c>
      <c r="Y246" s="343">
        <v>0</v>
      </c>
      <c r="Z246" s="343">
        <v>117.78</v>
      </c>
      <c r="AA246" s="343">
        <v>8.24</v>
      </c>
    </row>
    <row r="247" spans="9:27">
      <c r="I247" s="343">
        <v>20250222</v>
      </c>
      <c r="J247" s="343">
        <v>82547.759999999995</v>
      </c>
      <c r="K247" s="343">
        <v>269</v>
      </c>
      <c r="L247" s="343">
        <v>593</v>
      </c>
      <c r="M247" s="384">
        <v>45710</v>
      </c>
      <c r="N247" s="343" t="s">
        <v>244</v>
      </c>
      <c r="O247" s="343" t="s">
        <v>286</v>
      </c>
      <c r="Q247" s="343" t="s">
        <v>338</v>
      </c>
      <c r="R247" s="343" t="s">
        <v>162</v>
      </c>
      <c r="S247" s="384">
        <v>46216</v>
      </c>
      <c r="T247" s="384">
        <v>46222</v>
      </c>
      <c r="U247" s="343" t="s">
        <v>106</v>
      </c>
      <c r="V247" s="343">
        <v>7</v>
      </c>
      <c r="W247" s="343">
        <v>887.58</v>
      </c>
      <c r="X247" s="343">
        <v>0</v>
      </c>
      <c r="Y247" s="343">
        <v>0</v>
      </c>
      <c r="Z247" s="343">
        <v>887.58</v>
      </c>
      <c r="AA247" s="343">
        <v>0</v>
      </c>
    </row>
    <row r="248" spans="9:27">
      <c r="I248" s="343">
        <v>20250301</v>
      </c>
      <c r="J248" s="343">
        <v>76580.75</v>
      </c>
      <c r="K248" s="343">
        <v>270</v>
      </c>
      <c r="L248" s="343">
        <v>636</v>
      </c>
      <c r="M248" s="384">
        <v>45717</v>
      </c>
      <c r="N248" s="343" t="s">
        <v>244</v>
      </c>
      <c r="O248" s="343" t="s">
        <v>288</v>
      </c>
      <c r="Q248" s="343" t="s">
        <v>338</v>
      </c>
      <c r="R248" s="343" t="s">
        <v>163</v>
      </c>
      <c r="S248" s="384">
        <v>46223</v>
      </c>
      <c r="T248" s="384">
        <v>46229</v>
      </c>
      <c r="U248" s="343" t="s">
        <v>279</v>
      </c>
      <c r="V248" s="343">
        <v>89</v>
      </c>
      <c r="W248" s="343">
        <v>890</v>
      </c>
      <c r="X248" s="343">
        <v>0</v>
      </c>
      <c r="Y248" s="343">
        <v>0</v>
      </c>
      <c r="Z248" s="343">
        <v>890</v>
      </c>
      <c r="AA248" s="343">
        <v>71.2</v>
      </c>
    </row>
    <row r="249" spans="9:27">
      <c r="I249" s="343">
        <v>20250308</v>
      </c>
      <c r="J249" s="343">
        <v>94845.8</v>
      </c>
      <c r="K249" s="343">
        <v>408</v>
      </c>
      <c r="L249" s="343">
        <v>947</v>
      </c>
      <c r="M249" s="384">
        <v>45724</v>
      </c>
      <c r="N249" s="343" t="s">
        <v>244</v>
      </c>
      <c r="O249" s="343" t="s">
        <v>290</v>
      </c>
      <c r="Q249" s="343" t="s">
        <v>338</v>
      </c>
      <c r="R249" s="343" t="s">
        <v>163</v>
      </c>
      <c r="S249" s="384">
        <v>46223</v>
      </c>
      <c r="T249" s="384">
        <v>46229</v>
      </c>
      <c r="U249" s="343" t="s">
        <v>106</v>
      </c>
      <c r="V249" s="343">
        <v>1</v>
      </c>
      <c r="W249" s="343">
        <v>85.65</v>
      </c>
      <c r="X249" s="343">
        <v>0</v>
      </c>
      <c r="Y249" s="343">
        <v>0</v>
      </c>
      <c r="Z249" s="343">
        <v>85.65</v>
      </c>
      <c r="AA249" s="343">
        <v>0</v>
      </c>
    </row>
    <row r="250" spans="9:27">
      <c r="I250" s="343">
        <v>20250315</v>
      </c>
      <c r="J250" s="343">
        <v>86799.06</v>
      </c>
      <c r="K250" s="343">
        <v>342</v>
      </c>
      <c r="L250" s="343">
        <v>1574</v>
      </c>
      <c r="M250" s="384">
        <v>45731</v>
      </c>
      <c r="N250" s="343" t="s">
        <v>244</v>
      </c>
      <c r="O250" s="343" t="s">
        <v>292</v>
      </c>
      <c r="Q250" s="343" t="s">
        <v>338</v>
      </c>
      <c r="R250" s="343" t="s">
        <v>166</v>
      </c>
      <c r="S250" s="384">
        <v>46230</v>
      </c>
      <c r="T250" s="384">
        <v>46236</v>
      </c>
      <c r="U250" s="343" t="s">
        <v>279</v>
      </c>
      <c r="V250" s="343">
        <v>90</v>
      </c>
      <c r="W250" s="343">
        <v>900</v>
      </c>
      <c r="X250" s="343">
        <v>0</v>
      </c>
      <c r="Y250" s="343">
        <v>0</v>
      </c>
      <c r="Z250" s="343">
        <v>900</v>
      </c>
      <c r="AA250" s="343">
        <v>72</v>
      </c>
    </row>
    <row r="251" spans="9:27">
      <c r="I251" s="343">
        <v>20250322</v>
      </c>
      <c r="J251" s="343">
        <v>78853.5</v>
      </c>
      <c r="K251" s="343">
        <v>271</v>
      </c>
      <c r="L251" s="343">
        <v>685</v>
      </c>
      <c r="M251" s="384">
        <v>45738</v>
      </c>
      <c r="N251" s="343" t="s">
        <v>244</v>
      </c>
      <c r="O251" s="343" t="s">
        <v>294</v>
      </c>
      <c r="Q251" s="343" t="s">
        <v>338</v>
      </c>
      <c r="R251" s="343" t="s">
        <v>166</v>
      </c>
      <c r="S251" s="384">
        <v>46230</v>
      </c>
      <c r="T251" s="384">
        <v>46236</v>
      </c>
      <c r="U251" s="343" t="s">
        <v>343</v>
      </c>
      <c r="V251" s="343">
        <v>1</v>
      </c>
      <c r="W251" s="343">
        <v>59</v>
      </c>
      <c r="X251" s="343">
        <v>0</v>
      </c>
      <c r="Y251" s="343">
        <v>0</v>
      </c>
      <c r="Z251" s="343">
        <v>59</v>
      </c>
      <c r="AA251" s="343">
        <v>4.72</v>
      </c>
    </row>
    <row r="252" spans="9:27">
      <c r="I252" s="343">
        <v>20250329</v>
      </c>
      <c r="J252" s="343">
        <v>96013.2</v>
      </c>
      <c r="K252" s="343">
        <v>286</v>
      </c>
      <c r="L252" s="343">
        <v>670</v>
      </c>
      <c r="M252" s="384">
        <v>45745</v>
      </c>
      <c r="N252" s="343" t="s">
        <v>244</v>
      </c>
      <c r="O252" s="343" t="s">
        <v>295</v>
      </c>
      <c r="Q252" s="343" t="s">
        <v>338</v>
      </c>
      <c r="R252" s="343" t="s">
        <v>166</v>
      </c>
      <c r="S252" s="384">
        <v>46230</v>
      </c>
      <c r="T252" s="384">
        <v>46236</v>
      </c>
      <c r="U252" s="343" t="s">
        <v>106</v>
      </c>
      <c r="V252" s="343">
        <v>3</v>
      </c>
      <c r="W252" s="343">
        <v>646.59</v>
      </c>
      <c r="X252" s="343">
        <v>0</v>
      </c>
      <c r="Y252" s="343">
        <v>0</v>
      </c>
      <c r="Z252" s="343">
        <v>646.59</v>
      </c>
      <c r="AA252" s="343">
        <v>0</v>
      </c>
    </row>
    <row r="253" spans="9:27">
      <c r="I253" s="343">
        <v>20250405</v>
      </c>
      <c r="J253" s="343">
        <v>97817.25</v>
      </c>
      <c r="K253" s="343">
        <v>340</v>
      </c>
      <c r="L253" s="343">
        <v>819</v>
      </c>
      <c r="M253" s="384">
        <v>45752</v>
      </c>
      <c r="N253" s="343" t="s">
        <v>244</v>
      </c>
      <c r="O253" s="343" t="s">
        <v>296</v>
      </c>
      <c r="Q253" s="343" t="s">
        <v>338</v>
      </c>
      <c r="R253" s="343" t="s">
        <v>167</v>
      </c>
      <c r="S253" s="384">
        <v>46237</v>
      </c>
      <c r="T253" s="384">
        <v>46243</v>
      </c>
      <c r="U253" s="343" t="s">
        <v>279</v>
      </c>
      <c r="V253" s="343">
        <v>103</v>
      </c>
      <c r="W253" s="343">
        <v>1030</v>
      </c>
      <c r="X253" s="343">
        <v>0</v>
      </c>
      <c r="Y253" s="343">
        <v>0</v>
      </c>
      <c r="Z253" s="343">
        <v>1030</v>
      </c>
      <c r="AA253" s="343">
        <v>82.4</v>
      </c>
    </row>
    <row r="254" spans="9:27">
      <c r="I254" s="343">
        <v>20250412</v>
      </c>
      <c r="J254" s="343">
        <v>78410.58</v>
      </c>
      <c r="K254" s="343">
        <v>300</v>
      </c>
      <c r="L254" s="343">
        <v>677</v>
      </c>
      <c r="M254" s="384">
        <v>45759</v>
      </c>
      <c r="N254" s="343" t="s">
        <v>244</v>
      </c>
      <c r="O254" s="343" t="s">
        <v>297</v>
      </c>
      <c r="Q254" s="343" t="s">
        <v>338</v>
      </c>
      <c r="R254" s="343" t="s">
        <v>167</v>
      </c>
      <c r="S254" s="384">
        <v>46237</v>
      </c>
      <c r="T254" s="384">
        <v>46243</v>
      </c>
      <c r="U254" s="343" t="s">
        <v>343</v>
      </c>
      <c r="V254" s="343">
        <v>1</v>
      </c>
      <c r="W254" s="343">
        <v>555</v>
      </c>
      <c r="X254" s="343">
        <v>0</v>
      </c>
      <c r="Y254" s="343">
        <v>0</v>
      </c>
      <c r="Z254" s="343">
        <v>555</v>
      </c>
      <c r="AA254" s="343">
        <v>44.4</v>
      </c>
    </row>
    <row r="255" spans="9:27">
      <c r="I255" s="343">
        <v>20250419</v>
      </c>
      <c r="J255" s="343">
        <v>92338</v>
      </c>
      <c r="K255" s="343">
        <v>303</v>
      </c>
      <c r="L255" s="343">
        <v>757</v>
      </c>
      <c r="M255" s="384">
        <v>45766</v>
      </c>
      <c r="N255" s="343" t="s">
        <v>244</v>
      </c>
      <c r="O255" s="343" t="s">
        <v>298</v>
      </c>
      <c r="Q255" s="343" t="s">
        <v>338</v>
      </c>
      <c r="R255" s="343" t="s">
        <v>167</v>
      </c>
      <c r="S255" s="384">
        <v>46237</v>
      </c>
      <c r="T255" s="384">
        <v>46243</v>
      </c>
      <c r="U255" s="343" t="s">
        <v>106</v>
      </c>
      <c r="V255" s="343">
        <v>4</v>
      </c>
      <c r="W255" s="343">
        <v>682.69</v>
      </c>
      <c r="X255" s="343">
        <v>0</v>
      </c>
      <c r="Y255" s="343">
        <v>0</v>
      </c>
      <c r="Z255" s="343">
        <v>682.69</v>
      </c>
      <c r="AA255" s="343">
        <v>0</v>
      </c>
    </row>
    <row r="256" spans="9:27">
      <c r="I256" s="343">
        <v>20250426</v>
      </c>
      <c r="J256" s="343">
        <v>77195</v>
      </c>
      <c r="K256" s="343">
        <v>341</v>
      </c>
      <c r="L256" s="343">
        <v>703</v>
      </c>
      <c r="M256" s="384">
        <v>45773</v>
      </c>
      <c r="N256" s="343" t="s">
        <v>244</v>
      </c>
      <c r="O256" s="343" t="s">
        <v>299</v>
      </c>
      <c r="Q256" s="343" t="s">
        <v>338</v>
      </c>
      <c r="R256" s="343" t="s">
        <v>168</v>
      </c>
      <c r="S256" s="384">
        <v>46244</v>
      </c>
      <c r="T256" s="384">
        <v>46250</v>
      </c>
      <c r="U256" s="343" t="s">
        <v>106</v>
      </c>
      <c r="V256" s="343">
        <v>5</v>
      </c>
      <c r="W256" s="343">
        <v>434.28</v>
      </c>
      <c r="X256" s="343">
        <v>0</v>
      </c>
      <c r="Y256" s="343">
        <v>0</v>
      </c>
      <c r="Z256" s="343">
        <v>434.28</v>
      </c>
      <c r="AA256" s="343">
        <v>0</v>
      </c>
    </row>
    <row r="257" spans="9:27">
      <c r="I257" s="343">
        <v>20250503</v>
      </c>
      <c r="J257" s="343">
        <v>84194.25</v>
      </c>
      <c r="K257" s="343">
        <v>304</v>
      </c>
      <c r="L257" s="343">
        <v>658</v>
      </c>
      <c r="M257" s="384">
        <v>45780</v>
      </c>
      <c r="N257" s="343" t="s">
        <v>244</v>
      </c>
      <c r="O257" s="343" t="s">
        <v>300</v>
      </c>
      <c r="Q257" s="343" t="s">
        <v>170</v>
      </c>
      <c r="R257" s="343" t="s">
        <v>101</v>
      </c>
      <c r="S257" s="384">
        <v>46251</v>
      </c>
      <c r="T257" s="384">
        <v>46257</v>
      </c>
      <c r="U257" s="343" t="s">
        <v>106</v>
      </c>
      <c r="V257" s="343">
        <v>5</v>
      </c>
      <c r="W257" s="343">
        <v>722.86</v>
      </c>
      <c r="X257" s="343">
        <v>0</v>
      </c>
      <c r="Y257" s="343">
        <v>0</v>
      </c>
      <c r="Z257" s="343">
        <v>722.86</v>
      </c>
      <c r="AA257" s="343">
        <v>0</v>
      </c>
    </row>
    <row r="258" spans="9:27">
      <c r="I258" s="343">
        <v>20250510</v>
      </c>
      <c r="J258" s="343">
        <v>82109</v>
      </c>
      <c r="K258" s="343">
        <v>302</v>
      </c>
      <c r="L258" s="343">
        <v>727</v>
      </c>
      <c r="M258" s="384">
        <v>45787</v>
      </c>
      <c r="N258" s="343" t="s">
        <v>244</v>
      </c>
      <c r="O258" s="343" t="s">
        <v>301</v>
      </c>
    </row>
    <row r="259" spans="9:27">
      <c r="I259" s="343">
        <v>20250517</v>
      </c>
      <c r="J259" s="343">
        <v>84316.5</v>
      </c>
      <c r="K259" s="343">
        <v>310</v>
      </c>
      <c r="L259" s="343">
        <v>662</v>
      </c>
      <c r="M259" s="384">
        <v>45794</v>
      </c>
      <c r="N259" s="343" t="s">
        <v>244</v>
      </c>
      <c r="O259" s="343" t="s">
        <v>302</v>
      </c>
    </row>
    <row r="260" spans="9:27">
      <c r="I260" s="343">
        <v>20250524</v>
      </c>
      <c r="J260" s="343">
        <v>71907.75</v>
      </c>
      <c r="K260" s="343">
        <v>257</v>
      </c>
      <c r="L260" s="343">
        <v>584</v>
      </c>
      <c r="M260" s="384">
        <v>45801</v>
      </c>
      <c r="N260" s="343" t="s">
        <v>244</v>
      </c>
      <c r="O260" s="343" t="s">
        <v>303</v>
      </c>
    </row>
    <row r="261" spans="9:27">
      <c r="I261" s="343">
        <v>20250531</v>
      </c>
      <c r="J261" s="343">
        <v>78557.75</v>
      </c>
      <c r="K261" s="343">
        <v>288</v>
      </c>
      <c r="L261" s="343">
        <v>603</v>
      </c>
      <c r="M261" s="384">
        <v>45808</v>
      </c>
      <c r="N261" s="343" t="s">
        <v>244</v>
      </c>
      <c r="O261" s="343" t="s">
        <v>304</v>
      </c>
    </row>
    <row r="262" spans="9:27">
      <c r="I262" s="343">
        <v>20250607</v>
      </c>
      <c r="J262" s="343">
        <v>75096.75</v>
      </c>
      <c r="K262" s="343">
        <v>267</v>
      </c>
      <c r="L262" s="343">
        <v>571</v>
      </c>
      <c r="M262" s="384">
        <v>45815</v>
      </c>
      <c r="N262" s="343" t="s">
        <v>244</v>
      </c>
      <c r="O262" s="343" t="s">
        <v>305</v>
      </c>
    </row>
    <row r="263" spans="9:27">
      <c r="I263" s="343">
        <v>20250614</v>
      </c>
      <c r="J263" s="343">
        <v>75699</v>
      </c>
      <c r="K263" s="343">
        <v>292</v>
      </c>
      <c r="L263" s="343">
        <v>652</v>
      </c>
      <c r="M263" s="384">
        <v>45822</v>
      </c>
      <c r="N263" s="343" t="s">
        <v>244</v>
      </c>
      <c r="O263" s="343" t="s">
        <v>306</v>
      </c>
    </row>
    <row r="264" spans="9:27">
      <c r="I264" s="343">
        <v>20250621</v>
      </c>
      <c r="J264" s="343">
        <v>73450.5</v>
      </c>
      <c r="K264" s="343">
        <v>256</v>
      </c>
      <c r="L264" s="343">
        <v>586</v>
      </c>
      <c r="M264" s="384">
        <v>45829</v>
      </c>
      <c r="N264" s="343" t="s">
        <v>244</v>
      </c>
      <c r="O264" s="343" t="s">
        <v>307</v>
      </c>
    </row>
    <row r="265" spans="9:27">
      <c r="I265" s="343">
        <v>20250628</v>
      </c>
      <c r="J265" s="343">
        <v>61297.25</v>
      </c>
      <c r="K265" s="343">
        <v>254</v>
      </c>
      <c r="L265" s="343">
        <v>583</v>
      </c>
      <c r="M265" s="384">
        <v>45836</v>
      </c>
      <c r="N265" s="343" t="s">
        <v>244</v>
      </c>
      <c r="O265" s="343" t="s">
        <v>308</v>
      </c>
    </row>
    <row r="266" spans="9:27">
      <c r="I266" s="343">
        <v>20250705</v>
      </c>
      <c r="J266" s="343">
        <v>56799.01</v>
      </c>
      <c r="K266" s="343">
        <v>218</v>
      </c>
      <c r="L266" s="343">
        <v>491</v>
      </c>
      <c r="M266" s="384">
        <v>45843</v>
      </c>
      <c r="N266" s="343" t="s">
        <v>244</v>
      </c>
      <c r="O266" s="343" t="s">
        <v>309</v>
      </c>
    </row>
    <row r="267" spans="9:27">
      <c r="I267" s="343">
        <v>20250712</v>
      </c>
      <c r="J267" s="343">
        <v>67832.75</v>
      </c>
      <c r="K267" s="343">
        <v>228</v>
      </c>
      <c r="L267" s="343">
        <v>566</v>
      </c>
      <c r="M267" s="384">
        <v>45850</v>
      </c>
      <c r="N267" s="343" t="s">
        <v>244</v>
      </c>
      <c r="O267" s="343" t="s">
        <v>310</v>
      </c>
    </row>
    <row r="268" spans="9:27">
      <c r="I268" s="343">
        <v>20250719</v>
      </c>
      <c r="J268" s="343">
        <v>67640.25</v>
      </c>
      <c r="K268" s="343">
        <v>212</v>
      </c>
      <c r="L268" s="343">
        <v>532</v>
      </c>
      <c r="M268" s="384">
        <v>45857</v>
      </c>
      <c r="N268" s="343" t="s">
        <v>244</v>
      </c>
      <c r="O268" s="343" t="s">
        <v>311</v>
      </c>
    </row>
    <row r="269" spans="9:27">
      <c r="I269" s="343">
        <v>20250726</v>
      </c>
      <c r="J269" s="343">
        <v>58127.85</v>
      </c>
      <c r="K269" s="343">
        <v>210</v>
      </c>
      <c r="L269" s="343">
        <v>495</v>
      </c>
      <c r="M269" s="384">
        <v>45864</v>
      </c>
      <c r="N269" s="343" t="s">
        <v>244</v>
      </c>
      <c r="O269" s="343" t="s">
        <v>312</v>
      </c>
    </row>
    <row r="270" spans="9:27">
      <c r="I270" s="343">
        <v>20250802</v>
      </c>
      <c r="J270" s="343">
        <v>74931.899999999994</v>
      </c>
      <c r="K270" s="343">
        <v>250</v>
      </c>
      <c r="L270" s="343">
        <v>587</v>
      </c>
      <c r="M270" s="384">
        <v>45871</v>
      </c>
      <c r="N270" s="343" t="s">
        <v>244</v>
      </c>
      <c r="O270" s="343" t="s">
        <v>313</v>
      </c>
    </row>
    <row r="271" spans="9:27">
      <c r="I271" s="343">
        <v>20250809</v>
      </c>
      <c r="J271" s="343">
        <v>70696.08</v>
      </c>
      <c r="K271" s="343">
        <v>243</v>
      </c>
      <c r="L271" s="343">
        <v>581</v>
      </c>
      <c r="M271" s="384">
        <v>45878</v>
      </c>
      <c r="N271" s="343" t="s">
        <v>244</v>
      </c>
      <c r="O271" s="343" t="s">
        <v>314</v>
      </c>
    </row>
    <row r="272" spans="9:27">
      <c r="I272" s="343">
        <v>20250816</v>
      </c>
      <c r="J272" s="343">
        <v>81588.05</v>
      </c>
      <c r="K272" s="343">
        <v>265</v>
      </c>
      <c r="L272" s="343">
        <v>647</v>
      </c>
      <c r="M272" s="384">
        <v>45885</v>
      </c>
      <c r="N272" s="343" t="s">
        <v>244</v>
      </c>
      <c r="O272" s="343" t="s">
        <v>315</v>
      </c>
    </row>
    <row r="273" spans="9:15">
      <c r="I273" s="343">
        <v>20250823</v>
      </c>
      <c r="J273" s="343">
        <v>74872.25</v>
      </c>
      <c r="K273" s="343">
        <v>225</v>
      </c>
      <c r="L273" s="343">
        <v>593</v>
      </c>
      <c r="M273" s="384">
        <v>45892</v>
      </c>
      <c r="N273" s="343" t="s">
        <v>244</v>
      </c>
      <c r="O273" s="343" t="s">
        <v>316</v>
      </c>
    </row>
    <row r="274" spans="9:15">
      <c r="I274" s="343">
        <v>20250830</v>
      </c>
      <c r="J274" s="343">
        <v>84711.45</v>
      </c>
      <c r="K274" s="343">
        <v>280</v>
      </c>
      <c r="L274" s="343">
        <v>708</v>
      </c>
      <c r="M274" s="384">
        <v>45899</v>
      </c>
      <c r="N274" s="343" t="s">
        <v>244</v>
      </c>
      <c r="O274" s="343" t="s">
        <v>317</v>
      </c>
    </row>
    <row r="275" spans="9:15">
      <c r="I275" s="343">
        <v>20250906</v>
      </c>
      <c r="J275" s="343">
        <v>67967.3</v>
      </c>
      <c r="K275" s="343">
        <v>224</v>
      </c>
      <c r="L275" s="343">
        <v>563</v>
      </c>
      <c r="M275" s="384">
        <v>45906</v>
      </c>
      <c r="N275" s="343" t="s">
        <v>244</v>
      </c>
      <c r="O275" s="343" t="s">
        <v>318</v>
      </c>
    </row>
    <row r="276" spans="9:15">
      <c r="I276" s="343">
        <v>20250913</v>
      </c>
      <c r="J276" s="343">
        <v>64325</v>
      </c>
      <c r="K276" s="343">
        <v>212</v>
      </c>
      <c r="L276" s="343">
        <v>508</v>
      </c>
      <c r="M276" s="384">
        <v>45913</v>
      </c>
      <c r="N276" s="343" t="s">
        <v>244</v>
      </c>
      <c r="O276" s="343" t="s">
        <v>319</v>
      </c>
    </row>
    <row r="277" spans="9:15">
      <c r="I277" s="343">
        <v>20250920</v>
      </c>
      <c r="J277" s="343">
        <v>69886.75</v>
      </c>
      <c r="K277" s="343">
        <v>249</v>
      </c>
      <c r="L277" s="343">
        <v>602</v>
      </c>
      <c r="M277" s="384">
        <v>45920</v>
      </c>
      <c r="N277" s="343" t="s">
        <v>244</v>
      </c>
      <c r="O277" s="343" t="s">
        <v>320</v>
      </c>
    </row>
    <row r="278" spans="9:15">
      <c r="I278" s="343">
        <v>20250927</v>
      </c>
      <c r="J278" s="343">
        <v>76341.399999999994</v>
      </c>
      <c r="K278" s="343">
        <v>317</v>
      </c>
      <c r="L278" s="343">
        <v>680</v>
      </c>
      <c r="M278" s="384">
        <v>45927</v>
      </c>
      <c r="N278" s="343" t="s">
        <v>244</v>
      </c>
      <c r="O278" s="343" t="s">
        <v>321</v>
      </c>
    </row>
    <row r="279" spans="9:15">
      <c r="I279" s="343">
        <v>20251004</v>
      </c>
      <c r="J279" s="343">
        <v>66459.009999999995</v>
      </c>
      <c r="K279" s="343">
        <v>278</v>
      </c>
      <c r="L279" s="343">
        <v>589</v>
      </c>
      <c r="M279" s="384">
        <v>45934</v>
      </c>
      <c r="N279" s="343" t="s">
        <v>244</v>
      </c>
      <c r="O279" s="343" t="s">
        <v>322</v>
      </c>
    </row>
    <row r="280" spans="9:15">
      <c r="I280" s="343">
        <v>20251011</v>
      </c>
      <c r="J280" s="343">
        <v>83128.45</v>
      </c>
      <c r="K280" s="343">
        <v>282</v>
      </c>
      <c r="L280" s="343">
        <v>649</v>
      </c>
      <c r="M280" s="384">
        <v>45941</v>
      </c>
      <c r="N280" s="343" t="s">
        <v>244</v>
      </c>
      <c r="O280" s="343" t="s">
        <v>323</v>
      </c>
    </row>
    <row r="281" spans="9:15">
      <c r="I281" s="343">
        <v>20251018</v>
      </c>
      <c r="J281" s="343">
        <v>83571.649999999994</v>
      </c>
      <c r="K281" s="343">
        <v>304</v>
      </c>
      <c r="L281" s="343">
        <v>707</v>
      </c>
      <c r="M281" s="384">
        <v>45948</v>
      </c>
      <c r="N281" s="343" t="s">
        <v>244</v>
      </c>
      <c r="O281" s="343" t="s">
        <v>324</v>
      </c>
    </row>
    <row r="282" spans="9:15">
      <c r="I282" s="343">
        <v>20251025</v>
      </c>
      <c r="J282" s="343">
        <v>80006.5</v>
      </c>
      <c r="K282" s="343">
        <v>277</v>
      </c>
      <c r="L282" s="343">
        <v>672</v>
      </c>
      <c r="M282" s="384">
        <v>45955</v>
      </c>
      <c r="N282" s="343" t="s">
        <v>244</v>
      </c>
      <c r="O282" s="343" t="s">
        <v>325</v>
      </c>
    </row>
    <row r="283" spans="9:15">
      <c r="I283" s="343">
        <v>20251101</v>
      </c>
      <c r="J283" s="343">
        <v>71437</v>
      </c>
      <c r="K283" s="343">
        <v>255</v>
      </c>
      <c r="L283" s="343">
        <v>586</v>
      </c>
      <c r="M283" s="384">
        <v>45962</v>
      </c>
      <c r="N283" s="343" t="s">
        <v>244</v>
      </c>
      <c r="O283" s="343" t="s">
        <v>326</v>
      </c>
    </row>
    <row r="284" spans="9:15">
      <c r="I284" s="343">
        <v>20251108</v>
      </c>
      <c r="J284" s="343">
        <v>79875</v>
      </c>
      <c r="K284" s="343">
        <v>320</v>
      </c>
      <c r="L284" s="343">
        <v>744</v>
      </c>
      <c r="M284" s="384">
        <v>45969</v>
      </c>
      <c r="N284" s="343" t="s">
        <v>244</v>
      </c>
      <c r="O284" s="343" t="s">
        <v>327</v>
      </c>
    </row>
    <row r="285" spans="9:15">
      <c r="I285" s="343">
        <v>20251115</v>
      </c>
      <c r="J285" s="343">
        <v>79465.009999999995</v>
      </c>
      <c r="K285" s="343">
        <v>272</v>
      </c>
      <c r="L285" s="343">
        <v>776</v>
      </c>
      <c r="M285" s="384">
        <v>45976</v>
      </c>
      <c r="N285" s="343" t="s">
        <v>244</v>
      </c>
      <c r="O285" s="343" t="s">
        <v>328</v>
      </c>
    </row>
    <row r="286" spans="9:15">
      <c r="I286" s="343">
        <v>20251122</v>
      </c>
      <c r="J286" s="343">
        <v>79623.399999999994</v>
      </c>
      <c r="K286" s="343">
        <v>262</v>
      </c>
      <c r="L286" s="343">
        <v>636</v>
      </c>
      <c r="M286" s="384">
        <v>45983</v>
      </c>
      <c r="N286" s="343" t="s">
        <v>244</v>
      </c>
      <c r="O286" s="343" t="s">
        <v>329</v>
      </c>
    </row>
    <row r="287" spans="9:15">
      <c r="I287" s="343">
        <v>20251129</v>
      </c>
      <c r="J287" s="343">
        <v>65434.6</v>
      </c>
      <c r="K287" s="343">
        <v>211</v>
      </c>
      <c r="L287" s="343">
        <v>541</v>
      </c>
      <c r="M287" s="384">
        <v>45990</v>
      </c>
      <c r="N287" s="343" t="s">
        <v>244</v>
      </c>
      <c r="O287" s="343" t="s">
        <v>330</v>
      </c>
    </row>
    <row r="288" spans="9:15">
      <c r="I288" s="343">
        <v>20251206</v>
      </c>
      <c r="J288" s="343">
        <v>85965.25</v>
      </c>
      <c r="K288" s="343">
        <v>286</v>
      </c>
      <c r="L288" s="343">
        <v>651</v>
      </c>
      <c r="M288" s="384">
        <v>45997</v>
      </c>
      <c r="N288" s="343" t="s">
        <v>244</v>
      </c>
      <c r="O288" s="343" t="s">
        <v>331</v>
      </c>
    </row>
    <row r="289" spans="9:15">
      <c r="I289" s="343">
        <v>20251213</v>
      </c>
      <c r="J289" s="343">
        <v>86669.94</v>
      </c>
      <c r="K289" s="343">
        <v>249</v>
      </c>
      <c r="L289" s="343">
        <v>630</v>
      </c>
      <c r="M289" s="384">
        <v>46004</v>
      </c>
      <c r="N289" s="343" t="s">
        <v>244</v>
      </c>
      <c r="O289" s="343" t="s">
        <v>332</v>
      </c>
    </row>
    <row r="290" spans="9:15">
      <c r="I290" s="343">
        <v>20251220</v>
      </c>
      <c r="J290" s="343">
        <v>63619.66</v>
      </c>
      <c r="K290" s="343">
        <v>213</v>
      </c>
      <c r="L290" s="343">
        <v>511</v>
      </c>
      <c r="M290" s="384">
        <v>46011</v>
      </c>
      <c r="N290" s="343" t="s">
        <v>244</v>
      </c>
      <c r="O290" s="343" t="s">
        <v>333</v>
      </c>
    </row>
    <row r="291" spans="9:15">
      <c r="I291" s="343">
        <v>20251227</v>
      </c>
      <c r="J291" s="343">
        <v>73858</v>
      </c>
      <c r="K291" s="343">
        <v>210</v>
      </c>
      <c r="L291" s="343">
        <v>604</v>
      </c>
      <c r="M291" s="384">
        <v>46018</v>
      </c>
      <c r="N291" s="343" t="s">
        <v>244</v>
      </c>
      <c r="O291" s="343" t="s">
        <v>334</v>
      </c>
    </row>
    <row r="292" spans="9:15">
      <c r="I292" s="343">
        <v>20260103</v>
      </c>
      <c r="J292" s="343">
        <v>76669.5</v>
      </c>
      <c r="K292" s="343">
        <v>259</v>
      </c>
      <c r="L292" s="343">
        <v>659</v>
      </c>
      <c r="M292" s="384">
        <v>46025</v>
      </c>
      <c r="N292" s="343" t="s">
        <v>244</v>
      </c>
      <c r="O292" s="343" t="s">
        <v>122</v>
      </c>
    </row>
    <row r="293" spans="9:15">
      <c r="I293" s="343">
        <v>20260110</v>
      </c>
      <c r="J293" s="343">
        <v>77517.009999999995</v>
      </c>
      <c r="K293" s="343">
        <v>244</v>
      </c>
      <c r="L293" s="343">
        <v>606</v>
      </c>
      <c r="M293" s="384">
        <v>46032</v>
      </c>
      <c r="N293" s="343" t="s">
        <v>244</v>
      </c>
      <c r="O293" s="343" t="s">
        <v>123</v>
      </c>
    </row>
    <row r="294" spans="9:15">
      <c r="I294" s="343">
        <v>20260117</v>
      </c>
      <c r="J294" s="343">
        <v>81189.289999999994</v>
      </c>
      <c r="K294" s="343">
        <v>257</v>
      </c>
      <c r="L294" s="343">
        <v>664</v>
      </c>
      <c r="M294" s="384">
        <v>46039</v>
      </c>
      <c r="N294" s="343" t="s">
        <v>244</v>
      </c>
      <c r="O294" s="343" t="s">
        <v>124</v>
      </c>
    </row>
    <row r="295" spans="9:15">
      <c r="I295" s="343">
        <v>20260124</v>
      </c>
      <c r="J295" s="343">
        <v>80109</v>
      </c>
      <c r="K295" s="343">
        <v>280</v>
      </c>
      <c r="L295" s="343">
        <v>665</v>
      </c>
      <c r="M295" s="384">
        <v>46046</v>
      </c>
      <c r="N295" s="343" t="s">
        <v>244</v>
      </c>
      <c r="O295" s="343" t="s">
        <v>125</v>
      </c>
    </row>
    <row r="296" spans="9:15">
      <c r="I296" s="343">
        <v>20260131</v>
      </c>
      <c r="J296" s="343">
        <v>88648.41</v>
      </c>
      <c r="K296" s="343">
        <v>282</v>
      </c>
      <c r="L296" s="343">
        <v>701</v>
      </c>
      <c r="M296" s="384">
        <v>46053</v>
      </c>
      <c r="N296" s="343" t="s">
        <v>244</v>
      </c>
      <c r="O296" s="343" t="s">
        <v>128</v>
      </c>
    </row>
    <row r="297" spans="9:15">
      <c r="I297" s="343">
        <v>20260207</v>
      </c>
      <c r="J297" s="343">
        <v>76995.75</v>
      </c>
      <c r="K297" s="343">
        <v>273</v>
      </c>
      <c r="L297" s="343">
        <v>638</v>
      </c>
      <c r="M297" s="384">
        <v>46060</v>
      </c>
      <c r="N297" s="343" t="s">
        <v>244</v>
      </c>
      <c r="O297" s="343" t="s">
        <v>129</v>
      </c>
    </row>
    <row r="298" spans="9:15">
      <c r="I298" s="343">
        <v>20260214</v>
      </c>
      <c r="J298" s="343">
        <v>95635.5</v>
      </c>
      <c r="K298" s="343">
        <v>309</v>
      </c>
      <c r="L298" s="343">
        <v>713</v>
      </c>
      <c r="M298" s="384">
        <v>46067</v>
      </c>
      <c r="N298" s="343" t="s">
        <v>244</v>
      </c>
      <c r="O298" s="343" t="s">
        <v>130</v>
      </c>
    </row>
    <row r="299" spans="9:15">
      <c r="I299" s="343">
        <v>20260221</v>
      </c>
      <c r="J299" s="343">
        <v>82028.5</v>
      </c>
      <c r="K299" s="343">
        <v>290</v>
      </c>
      <c r="L299" s="343">
        <v>703</v>
      </c>
      <c r="M299" s="384">
        <v>46074</v>
      </c>
      <c r="N299" s="343" t="s">
        <v>244</v>
      </c>
      <c r="O299" s="343" t="s">
        <v>131</v>
      </c>
    </row>
    <row r="300" spans="9:15">
      <c r="I300" s="343">
        <v>20260228</v>
      </c>
      <c r="J300" s="343">
        <v>84419.25</v>
      </c>
      <c r="K300" s="343">
        <v>290</v>
      </c>
      <c r="L300" s="343">
        <v>713</v>
      </c>
      <c r="M300" s="384">
        <v>46081</v>
      </c>
      <c r="N300" s="343" t="s">
        <v>244</v>
      </c>
      <c r="O300" s="343" t="s">
        <v>134</v>
      </c>
    </row>
    <row r="301" spans="9:15">
      <c r="I301" s="343">
        <v>20260307</v>
      </c>
      <c r="J301" s="343">
        <v>73963.8</v>
      </c>
      <c r="K301" s="343">
        <v>299</v>
      </c>
      <c r="L301" s="343">
        <v>691</v>
      </c>
      <c r="M301" s="384">
        <v>46088</v>
      </c>
      <c r="N301" s="343" t="s">
        <v>244</v>
      </c>
      <c r="O301" s="343" t="s">
        <v>135</v>
      </c>
    </row>
    <row r="302" spans="9:15">
      <c r="I302" s="343">
        <v>20260314</v>
      </c>
      <c r="J302" s="343">
        <v>75884.5</v>
      </c>
      <c r="K302" s="343">
        <v>256</v>
      </c>
      <c r="L302" s="343">
        <v>696</v>
      </c>
      <c r="M302" s="384">
        <v>46095</v>
      </c>
      <c r="N302" s="343" t="s">
        <v>244</v>
      </c>
      <c r="O302" s="343" t="s">
        <v>136</v>
      </c>
    </row>
    <row r="303" spans="9:15">
      <c r="I303" s="343">
        <v>20260321</v>
      </c>
      <c r="J303" s="343">
        <v>80232.25</v>
      </c>
      <c r="K303" s="343">
        <v>241</v>
      </c>
      <c r="L303" s="343">
        <v>636</v>
      </c>
      <c r="M303" s="384">
        <v>46102</v>
      </c>
      <c r="N303" s="343" t="s">
        <v>244</v>
      </c>
      <c r="O303" s="343" t="s">
        <v>137</v>
      </c>
    </row>
    <row r="304" spans="9:15">
      <c r="I304" s="343">
        <v>20260328</v>
      </c>
      <c r="J304" s="343">
        <v>82922.7</v>
      </c>
      <c r="K304" s="343">
        <v>245</v>
      </c>
      <c r="L304" s="343">
        <v>654</v>
      </c>
      <c r="M304" s="384">
        <v>46109</v>
      </c>
      <c r="N304" s="343" t="s">
        <v>244</v>
      </c>
      <c r="O304" s="343" t="s">
        <v>138</v>
      </c>
    </row>
    <row r="305" spans="9:15">
      <c r="I305" s="343">
        <v>20260404</v>
      </c>
      <c r="J305" s="343">
        <v>81899.789999999994</v>
      </c>
      <c r="K305" s="343">
        <v>260</v>
      </c>
      <c r="L305" s="343">
        <v>748</v>
      </c>
      <c r="M305" s="384">
        <v>46116</v>
      </c>
      <c r="N305" s="343" t="s">
        <v>244</v>
      </c>
      <c r="O305" s="343" t="s">
        <v>141</v>
      </c>
    </row>
    <row r="306" spans="9:15">
      <c r="I306" s="343">
        <v>20260411</v>
      </c>
      <c r="J306" s="343">
        <v>76147.5</v>
      </c>
      <c r="K306" s="343">
        <v>244</v>
      </c>
      <c r="L306" s="343">
        <v>629</v>
      </c>
      <c r="M306" s="384">
        <v>46123</v>
      </c>
      <c r="N306" s="343" t="s">
        <v>244</v>
      </c>
      <c r="O306" s="343" t="s">
        <v>142</v>
      </c>
    </row>
    <row r="307" spans="9:15">
      <c r="I307" s="343">
        <v>20260418</v>
      </c>
      <c r="J307" s="343">
        <v>68416.800000000003</v>
      </c>
      <c r="K307" s="343">
        <v>264</v>
      </c>
      <c r="L307" s="343">
        <v>677</v>
      </c>
      <c r="M307" s="384">
        <v>46130</v>
      </c>
      <c r="N307" s="343" t="s">
        <v>244</v>
      </c>
      <c r="O307" s="343" t="s">
        <v>143</v>
      </c>
    </row>
    <row r="308" spans="9:15">
      <c r="I308" s="343">
        <v>20260425</v>
      </c>
      <c r="J308" s="343">
        <v>75128.25</v>
      </c>
      <c r="K308" s="343">
        <v>219</v>
      </c>
      <c r="L308" s="343">
        <v>569</v>
      </c>
      <c r="M308" s="384">
        <v>46137</v>
      </c>
      <c r="N308" s="343" t="s">
        <v>244</v>
      </c>
      <c r="O308" s="343" t="s">
        <v>144</v>
      </c>
    </row>
    <row r="309" spans="9:15">
      <c r="I309" s="343">
        <v>20260502</v>
      </c>
      <c r="J309" s="343">
        <v>89228.1</v>
      </c>
      <c r="K309" s="343">
        <v>256</v>
      </c>
      <c r="L309" s="343">
        <v>688</v>
      </c>
      <c r="M309" s="384">
        <v>46144</v>
      </c>
      <c r="N309" s="343" t="s">
        <v>244</v>
      </c>
      <c r="O309" s="343" t="s">
        <v>147</v>
      </c>
    </row>
    <row r="310" spans="9:15">
      <c r="I310" s="343">
        <v>20260509</v>
      </c>
      <c r="J310" s="343">
        <v>64460.75</v>
      </c>
      <c r="K310" s="343">
        <v>238</v>
      </c>
      <c r="L310" s="343">
        <v>612</v>
      </c>
      <c r="M310" s="384">
        <v>46151</v>
      </c>
      <c r="N310" s="343" t="s">
        <v>244</v>
      </c>
      <c r="O310" s="343" t="s">
        <v>148</v>
      </c>
    </row>
    <row r="311" spans="9:15">
      <c r="I311" s="343">
        <v>20260516</v>
      </c>
      <c r="J311" s="343">
        <v>55438.84</v>
      </c>
      <c r="K311" s="343">
        <v>181</v>
      </c>
      <c r="L311" s="343">
        <v>505</v>
      </c>
      <c r="M311" s="384">
        <v>46158</v>
      </c>
      <c r="N311" s="343" t="s">
        <v>244</v>
      </c>
      <c r="O311" s="343" t="s">
        <v>149</v>
      </c>
    </row>
    <row r="312" spans="9:15">
      <c r="I312" s="343">
        <v>20260523</v>
      </c>
      <c r="J312" s="343">
        <v>57628.5</v>
      </c>
      <c r="K312" s="343">
        <v>204</v>
      </c>
      <c r="L312" s="343">
        <v>528</v>
      </c>
      <c r="M312" s="384">
        <v>46165</v>
      </c>
      <c r="N312" s="343" t="s">
        <v>244</v>
      </c>
      <c r="O312" s="343" t="s">
        <v>150</v>
      </c>
    </row>
    <row r="313" spans="9:15">
      <c r="I313" s="343">
        <v>20260530</v>
      </c>
      <c r="J313" s="343">
        <v>65652.990000000005</v>
      </c>
      <c r="K313" s="343">
        <v>223</v>
      </c>
      <c r="L313" s="343">
        <v>602</v>
      </c>
      <c r="M313" s="384">
        <v>46172</v>
      </c>
      <c r="N313" s="343" t="s">
        <v>244</v>
      </c>
      <c r="O313" s="343" t="s">
        <v>153</v>
      </c>
    </row>
    <row r="314" spans="9:15">
      <c r="I314" s="343">
        <v>20260606</v>
      </c>
      <c r="J314" s="343">
        <v>49307.8</v>
      </c>
      <c r="K314" s="343">
        <v>194</v>
      </c>
      <c r="L314" s="343">
        <v>498</v>
      </c>
      <c r="M314" s="384">
        <v>46179</v>
      </c>
      <c r="N314" s="343" t="s">
        <v>244</v>
      </c>
      <c r="O314" s="343" t="s">
        <v>154</v>
      </c>
    </row>
    <row r="315" spans="9:15">
      <c r="I315" s="343">
        <v>20260613</v>
      </c>
      <c r="J315" s="343">
        <v>44082.18</v>
      </c>
      <c r="K315" s="343">
        <v>136</v>
      </c>
      <c r="L315" s="343">
        <v>350</v>
      </c>
      <c r="M315" s="384">
        <v>46186</v>
      </c>
      <c r="N315" s="343" t="s">
        <v>244</v>
      </c>
      <c r="O315" s="343" t="s">
        <v>155</v>
      </c>
    </row>
    <row r="316" spans="9:15">
      <c r="I316" s="343">
        <v>20260620</v>
      </c>
      <c r="J316" s="343">
        <v>46663.35</v>
      </c>
      <c r="K316" s="343">
        <v>158</v>
      </c>
      <c r="L316" s="343">
        <v>413</v>
      </c>
      <c r="M316" s="384">
        <v>46193</v>
      </c>
      <c r="N316" s="343" t="s">
        <v>244</v>
      </c>
      <c r="O316" s="343" t="s">
        <v>156</v>
      </c>
    </row>
    <row r="317" spans="9:15">
      <c r="I317" s="343">
        <v>20260627</v>
      </c>
      <c r="J317" s="343">
        <v>40065</v>
      </c>
      <c r="K317" s="343">
        <v>145</v>
      </c>
      <c r="L317" s="343">
        <v>371</v>
      </c>
      <c r="M317" s="384">
        <v>46200</v>
      </c>
      <c r="N317" s="343" t="s">
        <v>244</v>
      </c>
      <c r="O317" s="343" t="s">
        <v>157</v>
      </c>
    </row>
    <row r="318" spans="9:15">
      <c r="I318" s="343">
        <v>20260704</v>
      </c>
      <c r="J318" s="343">
        <v>20258.5</v>
      </c>
      <c r="K318" s="343">
        <v>70</v>
      </c>
      <c r="L318" s="343">
        <v>170</v>
      </c>
      <c r="M318" s="384">
        <v>46207</v>
      </c>
      <c r="N318" s="343" t="s">
        <v>244</v>
      </c>
      <c r="O318" s="343" t="s">
        <v>160</v>
      </c>
    </row>
    <row r="319" spans="9:15">
      <c r="I319" s="343">
        <v>20260711</v>
      </c>
      <c r="J319" s="343">
        <v>37920.25</v>
      </c>
      <c r="K319" s="343">
        <v>108</v>
      </c>
      <c r="L319" s="343">
        <v>276</v>
      </c>
      <c r="M319" s="384">
        <v>46214</v>
      </c>
      <c r="N319" s="343" t="s">
        <v>244</v>
      </c>
      <c r="O319" s="343" t="s">
        <v>161</v>
      </c>
    </row>
    <row r="320" spans="9:15">
      <c r="I320" s="343">
        <v>20260718</v>
      </c>
      <c r="J320" s="343">
        <v>55783.75</v>
      </c>
      <c r="K320" s="343">
        <v>170</v>
      </c>
      <c r="L320" s="343">
        <v>480</v>
      </c>
      <c r="M320" s="384">
        <v>46221</v>
      </c>
      <c r="N320" s="343" t="s">
        <v>244</v>
      </c>
      <c r="O320" s="343" t="s">
        <v>162</v>
      </c>
    </row>
    <row r="321" spans="9:15">
      <c r="I321" s="343">
        <v>20260725</v>
      </c>
      <c r="J321" s="343">
        <v>56804</v>
      </c>
      <c r="K321" s="343">
        <v>201</v>
      </c>
      <c r="L321" s="343">
        <v>534</v>
      </c>
      <c r="M321" s="384">
        <v>46228</v>
      </c>
      <c r="N321" s="343" t="s">
        <v>244</v>
      </c>
      <c r="O321" s="343" t="s">
        <v>163</v>
      </c>
    </row>
    <row r="322" spans="9:15">
      <c r="I322" s="343">
        <v>20260801</v>
      </c>
      <c r="J322" s="343">
        <v>58177.98</v>
      </c>
      <c r="K322" s="343">
        <v>247</v>
      </c>
      <c r="L322" s="343">
        <v>606</v>
      </c>
      <c r="M322" s="384">
        <v>46235</v>
      </c>
      <c r="N322" s="343" t="s">
        <v>244</v>
      </c>
      <c r="O322" s="343" t="s">
        <v>166</v>
      </c>
    </row>
    <row r="323" spans="9:15">
      <c r="I323" s="343">
        <v>20260808</v>
      </c>
      <c r="J323" s="343">
        <v>71333.600000000006</v>
      </c>
      <c r="K323" s="343">
        <v>239</v>
      </c>
      <c r="L323" s="343">
        <v>621</v>
      </c>
      <c r="M323" s="384">
        <v>46242</v>
      </c>
      <c r="N323" s="343" t="s">
        <v>244</v>
      </c>
      <c r="O323" s="343" t="s">
        <v>167</v>
      </c>
    </row>
    <row r="324" spans="9:15">
      <c r="I324" s="343">
        <v>20260815</v>
      </c>
      <c r="J324" s="343">
        <v>69622.75</v>
      </c>
      <c r="K324" s="343">
        <v>267</v>
      </c>
      <c r="L324" s="343">
        <v>665</v>
      </c>
      <c r="M324" s="384">
        <v>46249</v>
      </c>
      <c r="N324" s="343" t="s">
        <v>244</v>
      </c>
      <c r="O324" s="343" t="s">
        <v>168</v>
      </c>
    </row>
    <row r="325" spans="9:15">
      <c r="I325" s="343">
        <v>20260822</v>
      </c>
      <c r="J325" s="343">
        <v>65659.11</v>
      </c>
      <c r="K325" s="343">
        <v>253</v>
      </c>
      <c r="L325" s="343">
        <v>604</v>
      </c>
      <c r="M325" s="384">
        <v>46256</v>
      </c>
      <c r="N325" s="343" t="s">
        <v>244</v>
      </c>
      <c r="O325" s="343" t="s">
        <v>101</v>
      </c>
    </row>
    <row r="326" spans="9:15">
      <c r="I326" s="343">
        <v>20250204</v>
      </c>
      <c r="J326" s="343">
        <v>7628</v>
      </c>
      <c r="K326" s="343">
        <v>89</v>
      </c>
      <c r="L326" s="343">
        <v>1095</v>
      </c>
      <c r="M326" s="384">
        <v>45692</v>
      </c>
      <c r="N326" s="343" t="s">
        <v>233</v>
      </c>
      <c r="O326" s="343" t="s">
        <v>282</v>
      </c>
    </row>
    <row r="327" spans="9:15">
      <c r="I327" s="343">
        <v>20250211</v>
      </c>
      <c r="K327" s="343">
        <v>23</v>
      </c>
      <c r="L327" s="343">
        <v>23</v>
      </c>
      <c r="M327" s="384">
        <v>45699</v>
      </c>
      <c r="N327" s="343" t="s">
        <v>233</v>
      </c>
      <c r="O327" s="343" t="s">
        <v>284</v>
      </c>
    </row>
    <row r="328" spans="9:15">
      <c r="I328" s="343">
        <v>20250218</v>
      </c>
      <c r="J328" s="343">
        <v>-817</v>
      </c>
      <c r="K328" s="343">
        <v>13</v>
      </c>
      <c r="L328" s="343">
        <v>13</v>
      </c>
      <c r="M328" s="384">
        <v>45706</v>
      </c>
      <c r="N328" s="343" t="s">
        <v>233</v>
      </c>
      <c r="O328" s="343" t="s">
        <v>286</v>
      </c>
    </row>
    <row r="329" spans="9:15">
      <c r="I329" s="343">
        <v>20250225</v>
      </c>
      <c r="K329" s="343">
        <v>5</v>
      </c>
      <c r="L329" s="343">
        <v>5</v>
      </c>
      <c r="M329" s="384">
        <v>45713</v>
      </c>
      <c r="N329" s="343" t="s">
        <v>233</v>
      </c>
      <c r="O329" s="343" t="s">
        <v>288</v>
      </c>
    </row>
    <row r="330" spans="9:15">
      <c r="I330" s="343">
        <v>20250304</v>
      </c>
      <c r="J330" s="343">
        <v>-38.82</v>
      </c>
      <c r="M330" s="384">
        <v>45720</v>
      </c>
      <c r="N330" s="343" t="s">
        <v>233</v>
      </c>
      <c r="O330" s="343" t="s">
        <v>290</v>
      </c>
    </row>
    <row r="331" spans="9:15">
      <c r="I331" s="343">
        <v>20250318</v>
      </c>
      <c r="K331" s="343">
        <v>1</v>
      </c>
      <c r="L331" s="343">
        <v>1</v>
      </c>
      <c r="M331" s="384">
        <v>45734</v>
      </c>
      <c r="N331" s="343" t="s">
        <v>233</v>
      </c>
      <c r="O331" s="343" t="s">
        <v>294</v>
      </c>
    </row>
    <row r="332" spans="9:15">
      <c r="I332" s="343">
        <v>20250325</v>
      </c>
      <c r="J332" s="343">
        <v>-24</v>
      </c>
      <c r="K332" s="343">
        <v>1</v>
      </c>
      <c r="L332" s="343">
        <v>1</v>
      </c>
      <c r="M332" s="384">
        <v>45741</v>
      </c>
      <c r="N332" s="343" t="s">
        <v>233</v>
      </c>
      <c r="O332" s="343" t="s">
        <v>295</v>
      </c>
    </row>
    <row r="333" spans="9:15">
      <c r="I333" s="343">
        <v>20250408</v>
      </c>
      <c r="J333" s="343">
        <v>28502.880000000001</v>
      </c>
      <c r="K333" s="343">
        <v>97</v>
      </c>
      <c r="L333" s="343">
        <v>253</v>
      </c>
      <c r="M333" s="384">
        <v>45755</v>
      </c>
      <c r="N333" s="343" t="s">
        <v>233</v>
      </c>
      <c r="O333" s="343" t="s">
        <v>297</v>
      </c>
    </row>
    <row r="334" spans="9:15">
      <c r="I334" s="343">
        <v>20250415</v>
      </c>
      <c r="J334" s="343">
        <v>39902.25</v>
      </c>
      <c r="K334" s="343">
        <v>120</v>
      </c>
      <c r="L334" s="343">
        <v>299</v>
      </c>
      <c r="M334" s="384">
        <v>45762</v>
      </c>
      <c r="N334" s="343" t="s">
        <v>233</v>
      </c>
      <c r="O334" s="343" t="s">
        <v>298</v>
      </c>
    </row>
    <row r="335" spans="9:15">
      <c r="I335" s="343">
        <v>20250422</v>
      </c>
      <c r="J335" s="343">
        <v>39446</v>
      </c>
      <c r="K335" s="343">
        <v>113</v>
      </c>
      <c r="L335" s="343">
        <v>287</v>
      </c>
      <c r="M335" s="384">
        <v>45769</v>
      </c>
      <c r="N335" s="343" t="s">
        <v>233</v>
      </c>
      <c r="O335" s="343" t="s">
        <v>299</v>
      </c>
    </row>
    <row r="336" spans="9:15">
      <c r="I336" s="343">
        <v>20250506</v>
      </c>
      <c r="J336" s="343">
        <v>29241.75</v>
      </c>
      <c r="K336" s="343">
        <v>101</v>
      </c>
      <c r="L336" s="343">
        <v>247</v>
      </c>
      <c r="M336" s="384">
        <v>45783</v>
      </c>
      <c r="N336" s="343" t="s">
        <v>233</v>
      </c>
      <c r="O336" s="343" t="s">
        <v>301</v>
      </c>
    </row>
    <row r="337" spans="9:15">
      <c r="I337" s="343">
        <v>20250513</v>
      </c>
      <c r="J337" s="343">
        <v>38544.199999999997</v>
      </c>
      <c r="K337" s="343">
        <v>151</v>
      </c>
      <c r="L337" s="343">
        <v>308</v>
      </c>
      <c r="M337" s="384">
        <v>45790</v>
      </c>
      <c r="N337" s="343" t="s">
        <v>233</v>
      </c>
      <c r="O337" s="343" t="s">
        <v>302</v>
      </c>
    </row>
    <row r="338" spans="9:15">
      <c r="I338" s="343">
        <v>20250520</v>
      </c>
      <c r="J338" s="343">
        <v>47034.9</v>
      </c>
      <c r="K338" s="343">
        <v>157</v>
      </c>
      <c r="L338" s="343">
        <v>379</v>
      </c>
      <c r="M338" s="384">
        <v>45797</v>
      </c>
      <c r="N338" s="343" t="s">
        <v>233</v>
      </c>
      <c r="O338" s="343" t="s">
        <v>303</v>
      </c>
    </row>
    <row r="339" spans="9:15">
      <c r="I339" s="343">
        <v>20250527</v>
      </c>
      <c r="J339" s="343">
        <v>30932.63</v>
      </c>
      <c r="K339" s="343">
        <v>79</v>
      </c>
      <c r="L339" s="343">
        <v>195</v>
      </c>
      <c r="M339" s="384">
        <v>45804</v>
      </c>
      <c r="N339" s="343" t="s">
        <v>233</v>
      </c>
      <c r="O339" s="343" t="s">
        <v>304</v>
      </c>
    </row>
    <row r="340" spans="9:15">
      <c r="I340" s="343">
        <v>20250603</v>
      </c>
      <c r="J340" s="343">
        <v>28139.3</v>
      </c>
      <c r="K340" s="343">
        <v>68</v>
      </c>
      <c r="L340" s="343">
        <v>216</v>
      </c>
      <c r="M340" s="384">
        <v>45811</v>
      </c>
      <c r="N340" s="343" t="s">
        <v>233</v>
      </c>
      <c r="O340" s="343" t="s">
        <v>305</v>
      </c>
    </row>
    <row r="341" spans="9:15">
      <c r="I341" s="343">
        <v>20250610</v>
      </c>
      <c r="J341" s="343">
        <v>23884.25</v>
      </c>
      <c r="K341" s="343">
        <v>75</v>
      </c>
      <c r="L341" s="343">
        <v>182</v>
      </c>
      <c r="M341" s="384">
        <v>45818</v>
      </c>
      <c r="N341" s="343" t="s">
        <v>233</v>
      </c>
      <c r="O341" s="343" t="s">
        <v>306</v>
      </c>
    </row>
    <row r="342" spans="9:15">
      <c r="I342" s="343">
        <v>20250617</v>
      </c>
      <c r="J342" s="343">
        <v>28551.7</v>
      </c>
      <c r="K342" s="343">
        <v>84</v>
      </c>
      <c r="L342" s="343">
        <v>221</v>
      </c>
      <c r="M342" s="384">
        <v>45825</v>
      </c>
      <c r="N342" s="343" t="s">
        <v>233</v>
      </c>
      <c r="O342" s="343" t="s">
        <v>307</v>
      </c>
    </row>
    <row r="343" spans="9:15">
      <c r="I343" s="343">
        <v>20250624</v>
      </c>
      <c r="J343" s="343">
        <v>23330.75</v>
      </c>
      <c r="K343" s="343">
        <v>82</v>
      </c>
      <c r="L343" s="343">
        <v>187</v>
      </c>
      <c r="M343" s="384">
        <v>45832</v>
      </c>
      <c r="N343" s="343" t="s">
        <v>233</v>
      </c>
      <c r="O343" s="343" t="s">
        <v>308</v>
      </c>
    </row>
    <row r="344" spans="9:15">
      <c r="I344" s="343">
        <v>20250701</v>
      </c>
      <c r="J344" s="343">
        <v>32874.35</v>
      </c>
      <c r="K344" s="343">
        <v>75</v>
      </c>
      <c r="L344" s="343">
        <v>237</v>
      </c>
      <c r="M344" s="384">
        <v>45839</v>
      </c>
      <c r="N344" s="343" t="s">
        <v>233</v>
      </c>
      <c r="O344" s="343" t="s">
        <v>309</v>
      </c>
    </row>
    <row r="345" spans="9:15">
      <c r="I345" s="343">
        <v>20250708</v>
      </c>
      <c r="J345" s="343">
        <v>22381.25</v>
      </c>
      <c r="K345" s="343">
        <v>75</v>
      </c>
      <c r="L345" s="343">
        <v>175</v>
      </c>
      <c r="M345" s="384">
        <v>45846</v>
      </c>
      <c r="N345" s="343" t="s">
        <v>233</v>
      </c>
      <c r="O345" s="343" t="s">
        <v>310</v>
      </c>
    </row>
    <row r="346" spans="9:15">
      <c r="I346" s="343">
        <v>20250715</v>
      </c>
      <c r="J346" s="343">
        <v>21268</v>
      </c>
      <c r="K346" s="343">
        <v>76</v>
      </c>
      <c r="L346" s="343">
        <v>170</v>
      </c>
      <c r="M346" s="384">
        <v>45853</v>
      </c>
      <c r="N346" s="343" t="s">
        <v>233</v>
      </c>
      <c r="O346" s="343" t="s">
        <v>311</v>
      </c>
    </row>
    <row r="347" spans="9:15">
      <c r="I347" s="343">
        <v>20250722</v>
      </c>
      <c r="J347" s="343">
        <v>26458.94</v>
      </c>
      <c r="K347" s="343">
        <v>75</v>
      </c>
      <c r="L347" s="343">
        <v>191</v>
      </c>
      <c r="M347" s="384">
        <v>45860</v>
      </c>
      <c r="N347" s="343" t="s">
        <v>233</v>
      </c>
      <c r="O347" s="343" t="s">
        <v>312</v>
      </c>
    </row>
    <row r="348" spans="9:15">
      <c r="I348" s="343">
        <v>20250729</v>
      </c>
      <c r="J348" s="343">
        <v>22935.75</v>
      </c>
      <c r="K348" s="343">
        <v>77</v>
      </c>
      <c r="L348" s="343">
        <v>199</v>
      </c>
      <c r="M348" s="384">
        <v>45867</v>
      </c>
      <c r="N348" s="343" t="s">
        <v>233</v>
      </c>
      <c r="O348" s="343" t="s">
        <v>313</v>
      </c>
    </row>
    <row r="349" spans="9:15">
      <c r="I349" s="343">
        <v>20250805</v>
      </c>
      <c r="J349" s="343">
        <v>33741.75</v>
      </c>
      <c r="K349" s="343">
        <v>102</v>
      </c>
      <c r="L349" s="343">
        <v>277</v>
      </c>
      <c r="M349" s="384">
        <v>45874</v>
      </c>
      <c r="N349" s="343" t="s">
        <v>233</v>
      </c>
      <c r="O349" s="343" t="s">
        <v>314</v>
      </c>
    </row>
    <row r="350" spans="9:15">
      <c r="I350" s="343">
        <v>20250812</v>
      </c>
      <c r="J350" s="343">
        <v>29946.25</v>
      </c>
      <c r="K350" s="343">
        <v>131</v>
      </c>
      <c r="L350" s="343">
        <v>267</v>
      </c>
      <c r="M350" s="384">
        <v>45881</v>
      </c>
      <c r="N350" s="343" t="s">
        <v>233</v>
      </c>
      <c r="O350" s="343" t="s">
        <v>315</v>
      </c>
    </row>
    <row r="351" spans="9:15">
      <c r="I351" s="343">
        <v>20250819</v>
      </c>
      <c r="J351" s="343">
        <v>22272</v>
      </c>
      <c r="K351" s="343">
        <v>79</v>
      </c>
      <c r="L351" s="343">
        <v>194</v>
      </c>
      <c r="M351" s="384">
        <v>45888</v>
      </c>
      <c r="N351" s="343" t="s">
        <v>233</v>
      </c>
      <c r="O351" s="343" t="s">
        <v>316</v>
      </c>
    </row>
    <row r="352" spans="9:15">
      <c r="I352" s="343">
        <v>20250826</v>
      </c>
      <c r="J352" s="343">
        <v>23607.65</v>
      </c>
      <c r="K352" s="343">
        <v>85</v>
      </c>
      <c r="L352" s="343">
        <v>248</v>
      </c>
      <c r="M352" s="384">
        <v>45895</v>
      </c>
      <c r="N352" s="343" t="s">
        <v>233</v>
      </c>
      <c r="O352" s="343" t="s">
        <v>317</v>
      </c>
    </row>
    <row r="353" spans="9:15">
      <c r="I353" s="343">
        <v>20250902</v>
      </c>
      <c r="J353" s="343">
        <v>20453.259999999998</v>
      </c>
      <c r="K353" s="343">
        <v>72</v>
      </c>
      <c r="L353" s="343">
        <v>162</v>
      </c>
      <c r="M353" s="384">
        <v>45902</v>
      </c>
      <c r="N353" s="343" t="s">
        <v>233</v>
      </c>
      <c r="O353" s="343" t="s">
        <v>318</v>
      </c>
    </row>
    <row r="354" spans="9:15">
      <c r="I354" s="343">
        <v>20250909</v>
      </c>
      <c r="J354" s="343">
        <v>20307.25</v>
      </c>
      <c r="K354" s="343">
        <v>64</v>
      </c>
      <c r="L354" s="343">
        <v>160</v>
      </c>
      <c r="M354" s="384">
        <v>45909</v>
      </c>
      <c r="N354" s="343" t="s">
        <v>233</v>
      </c>
      <c r="O354" s="343" t="s">
        <v>319</v>
      </c>
    </row>
    <row r="355" spans="9:15">
      <c r="I355" s="343">
        <v>20250916</v>
      </c>
      <c r="J355" s="343">
        <v>29220.5</v>
      </c>
      <c r="K355" s="343">
        <v>88</v>
      </c>
      <c r="L355" s="343">
        <v>218</v>
      </c>
      <c r="M355" s="384">
        <v>45916</v>
      </c>
      <c r="N355" s="343" t="s">
        <v>233</v>
      </c>
      <c r="O355" s="343" t="s">
        <v>320</v>
      </c>
    </row>
    <row r="356" spans="9:15">
      <c r="I356" s="343">
        <v>20250923</v>
      </c>
      <c r="J356" s="343">
        <v>34121.300000000003</v>
      </c>
      <c r="K356" s="343">
        <v>98</v>
      </c>
      <c r="L356" s="343">
        <v>246</v>
      </c>
      <c r="M356" s="384">
        <v>45923</v>
      </c>
      <c r="N356" s="343" t="s">
        <v>233</v>
      </c>
      <c r="O356" s="343" t="s">
        <v>321</v>
      </c>
    </row>
    <row r="357" spans="9:15">
      <c r="I357" s="343">
        <v>20250930</v>
      </c>
      <c r="J357" s="343">
        <v>38670.35</v>
      </c>
      <c r="K357" s="343">
        <v>126</v>
      </c>
      <c r="L357" s="343">
        <v>292</v>
      </c>
      <c r="M357" s="384">
        <v>45930</v>
      </c>
      <c r="N357" s="343" t="s">
        <v>233</v>
      </c>
      <c r="O357" s="343" t="s">
        <v>322</v>
      </c>
    </row>
    <row r="358" spans="9:15">
      <c r="I358" s="343">
        <v>20251007</v>
      </c>
      <c r="J358" s="343">
        <v>25591.119999999999</v>
      </c>
      <c r="K358" s="343">
        <v>80</v>
      </c>
      <c r="L358" s="343">
        <v>190</v>
      </c>
      <c r="M358" s="384">
        <v>45937</v>
      </c>
      <c r="N358" s="343" t="s">
        <v>233</v>
      </c>
      <c r="O358" s="343" t="s">
        <v>323</v>
      </c>
    </row>
    <row r="359" spans="9:15">
      <c r="I359" s="343">
        <v>20251014</v>
      </c>
      <c r="J359" s="343">
        <v>21999</v>
      </c>
      <c r="K359" s="343">
        <v>92</v>
      </c>
      <c r="L359" s="343">
        <v>175</v>
      </c>
      <c r="M359" s="384">
        <v>45944</v>
      </c>
      <c r="N359" s="343" t="s">
        <v>233</v>
      </c>
      <c r="O359" s="343" t="s">
        <v>324</v>
      </c>
    </row>
    <row r="360" spans="9:15">
      <c r="I360" s="343">
        <v>20251021</v>
      </c>
      <c r="J360" s="343">
        <v>40538.25</v>
      </c>
      <c r="K360" s="343">
        <v>102</v>
      </c>
      <c r="L360" s="343">
        <v>264</v>
      </c>
      <c r="M360" s="384">
        <v>45951</v>
      </c>
      <c r="N360" s="343" t="s">
        <v>233</v>
      </c>
      <c r="O360" s="343" t="s">
        <v>325</v>
      </c>
    </row>
    <row r="361" spans="9:15">
      <c r="I361" s="343">
        <v>20251028</v>
      </c>
      <c r="J361" s="343">
        <v>33551.160000000003</v>
      </c>
      <c r="K361" s="343">
        <v>92</v>
      </c>
      <c r="L361" s="343">
        <v>287</v>
      </c>
      <c r="M361" s="384">
        <v>45958</v>
      </c>
      <c r="N361" s="343" t="s">
        <v>233</v>
      </c>
      <c r="O361" s="343" t="s">
        <v>326</v>
      </c>
    </row>
    <row r="362" spans="9:15">
      <c r="I362" s="343">
        <v>20251104</v>
      </c>
      <c r="J362" s="343">
        <v>30438.95</v>
      </c>
      <c r="K362" s="343">
        <v>84</v>
      </c>
      <c r="L362" s="343">
        <v>188</v>
      </c>
      <c r="M362" s="384">
        <v>45965</v>
      </c>
      <c r="N362" s="343" t="s">
        <v>233</v>
      </c>
      <c r="O362" s="343" t="s">
        <v>327</v>
      </c>
    </row>
    <row r="363" spans="9:15">
      <c r="I363" s="343">
        <v>20251111</v>
      </c>
      <c r="J363" s="343">
        <v>58922.39</v>
      </c>
      <c r="K363" s="343">
        <v>117</v>
      </c>
      <c r="L363" s="343">
        <v>439</v>
      </c>
      <c r="M363" s="384">
        <v>45972</v>
      </c>
      <c r="N363" s="343" t="s">
        <v>233</v>
      </c>
      <c r="O363" s="343" t="s">
        <v>328</v>
      </c>
    </row>
    <row r="364" spans="9:15">
      <c r="I364" s="343">
        <v>20251118</v>
      </c>
      <c r="J364" s="343">
        <v>47393</v>
      </c>
      <c r="K364" s="343">
        <v>105</v>
      </c>
      <c r="L364" s="343">
        <v>288</v>
      </c>
      <c r="M364" s="384">
        <v>45979</v>
      </c>
      <c r="N364" s="343" t="s">
        <v>233</v>
      </c>
      <c r="O364" s="343" t="s">
        <v>329</v>
      </c>
    </row>
    <row r="365" spans="9:15">
      <c r="I365" s="343">
        <v>20251125</v>
      </c>
      <c r="J365" s="343">
        <v>32710.25</v>
      </c>
      <c r="K365" s="343">
        <v>94</v>
      </c>
      <c r="L365" s="343">
        <v>233</v>
      </c>
      <c r="M365" s="384">
        <v>45986</v>
      </c>
      <c r="N365" s="343" t="s">
        <v>233</v>
      </c>
      <c r="O365" s="343" t="s">
        <v>330</v>
      </c>
    </row>
    <row r="366" spans="9:15">
      <c r="I366" s="343">
        <v>20251202</v>
      </c>
      <c r="J366" s="343">
        <v>35389.699999999997</v>
      </c>
      <c r="K366" s="343">
        <v>91</v>
      </c>
      <c r="L366" s="343">
        <v>226</v>
      </c>
      <c r="M366" s="384">
        <v>45993</v>
      </c>
      <c r="N366" s="343" t="s">
        <v>233</v>
      </c>
      <c r="O366" s="343" t="s">
        <v>331</v>
      </c>
    </row>
    <row r="367" spans="9:15">
      <c r="I367" s="343">
        <v>20251209</v>
      </c>
      <c r="J367" s="343">
        <v>31349.35</v>
      </c>
      <c r="K367" s="343">
        <v>80</v>
      </c>
      <c r="L367" s="343">
        <v>236</v>
      </c>
      <c r="M367" s="384">
        <v>46000</v>
      </c>
      <c r="N367" s="343" t="s">
        <v>233</v>
      </c>
      <c r="O367" s="343" t="s">
        <v>332</v>
      </c>
    </row>
    <row r="368" spans="9:15">
      <c r="I368" s="343">
        <v>20251216</v>
      </c>
      <c r="J368" s="343">
        <v>39990.6</v>
      </c>
      <c r="K368" s="343">
        <v>122</v>
      </c>
      <c r="L368" s="343">
        <v>304</v>
      </c>
      <c r="M368" s="384">
        <v>46007</v>
      </c>
      <c r="N368" s="343" t="s">
        <v>233</v>
      </c>
      <c r="O368" s="343" t="s">
        <v>333</v>
      </c>
    </row>
    <row r="369" spans="9:15">
      <c r="I369" s="343">
        <v>20251223</v>
      </c>
      <c r="J369" s="343">
        <v>42127.61</v>
      </c>
      <c r="K369" s="343">
        <v>112</v>
      </c>
      <c r="L369" s="343">
        <v>304</v>
      </c>
      <c r="M369" s="384">
        <v>46014</v>
      </c>
      <c r="N369" s="343" t="s">
        <v>233</v>
      </c>
      <c r="O369" s="343" t="s">
        <v>334</v>
      </c>
    </row>
    <row r="370" spans="9:15">
      <c r="I370" s="343">
        <v>20251230</v>
      </c>
      <c r="J370" s="343">
        <v>87200.55</v>
      </c>
      <c r="K370" s="343">
        <v>246</v>
      </c>
      <c r="L370" s="343">
        <v>622</v>
      </c>
      <c r="M370" s="384">
        <v>46021</v>
      </c>
      <c r="N370" s="343" t="s">
        <v>233</v>
      </c>
      <c r="O370" s="343" t="s">
        <v>122</v>
      </c>
    </row>
    <row r="371" spans="9:15">
      <c r="I371" s="343">
        <v>20260106</v>
      </c>
      <c r="J371" s="343">
        <v>25947.75</v>
      </c>
      <c r="K371" s="343">
        <v>121</v>
      </c>
      <c r="L371" s="343">
        <v>247</v>
      </c>
      <c r="M371" s="384">
        <v>46028</v>
      </c>
      <c r="N371" s="343" t="s">
        <v>233</v>
      </c>
      <c r="O371" s="343" t="s">
        <v>123</v>
      </c>
    </row>
    <row r="372" spans="9:15">
      <c r="I372" s="343">
        <v>20260113</v>
      </c>
      <c r="J372" s="343">
        <v>34658.75</v>
      </c>
      <c r="K372" s="343">
        <v>85</v>
      </c>
      <c r="L372" s="343">
        <v>212</v>
      </c>
      <c r="M372" s="384">
        <v>46035</v>
      </c>
      <c r="N372" s="343" t="s">
        <v>233</v>
      </c>
      <c r="O372" s="343" t="s">
        <v>124</v>
      </c>
    </row>
    <row r="373" spans="9:15">
      <c r="I373" s="343">
        <v>20260120</v>
      </c>
      <c r="J373" s="343">
        <v>49958.1</v>
      </c>
      <c r="K373" s="343">
        <v>96</v>
      </c>
      <c r="L373" s="343">
        <v>275</v>
      </c>
      <c r="M373" s="384">
        <v>46042</v>
      </c>
      <c r="N373" s="343" t="s">
        <v>233</v>
      </c>
      <c r="O373" s="343" t="s">
        <v>125</v>
      </c>
    </row>
    <row r="374" spans="9:15">
      <c r="I374" s="343">
        <v>20260127</v>
      </c>
      <c r="J374" s="343">
        <v>59723.69</v>
      </c>
      <c r="K374" s="343">
        <v>120</v>
      </c>
      <c r="L374" s="343">
        <v>374</v>
      </c>
      <c r="M374" s="384">
        <v>46049</v>
      </c>
      <c r="N374" s="343" t="s">
        <v>233</v>
      </c>
      <c r="O374" s="343" t="s">
        <v>128</v>
      </c>
    </row>
    <row r="375" spans="9:15">
      <c r="I375" s="343">
        <v>20260203</v>
      </c>
      <c r="J375" s="343">
        <v>58830.75</v>
      </c>
      <c r="K375" s="343">
        <v>8</v>
      </c>
      <c r="L375" s="343">
        <v>105</v>
      </c>
      <c r="M375" s="384">
        <v>46056</v>
      </c>
      <c r="N375" s="343" t="s">
        <v>233</v>
      </c>
      <c r="O375" s="343" t="s">
        <v>129</v>
      </c>
    </row>
    <row r="376" spans="9:15">
      <c r="I376" s="343">
        <v>20260210</v>
      </c>
      <c r="J376" s="343">
        <v>32553.5</v>
      </c>
      <c r="K376" s="343">
        <v>113</v>
      </c>
      <c r="L376" s="343">
        <v>266</v>
      </c>
      <c r="M376" s="384">
        <v>46063</v>
      </c>
      <c r="N376" s="343" t="s">
        <v>233</v>
      </c>
      <c r="O376" s="343" t="s">
        <v>130</v>
      </c>
    </row>
    <row r="377" spans="9:15">
      <c r="I377" s="343">
        <v>20260217</v>
      </c>
      <c r="J377" s="343">
        <v>45537.81</v>
      </c>
      <c r="K377" s="343">
        <v>106</v>
      </c>
      <c r="L377" s="343">
        <v>318</v>
      </c>
      <c r="M377" s="384">
        <v>46070</v>
      </c>
      <c r="N377" s="343" t="s">
        <v>233</v>
      </c>
      <c r="O377" s="343" t="s">
        <v>131</v>
      </c>
    </row>
    <row r="378" spans="9:15">
      <c r="I378" s="343">
        <v>20260224</v>
      </c>
      <c r="J378" s="343">
        <v>56156.95</v>
      </c>
      <c r="K378" s="343">
        <v>127</v>
      </c>
      <c r="L378" s="343">
        <v>312</v>
      </c>
      <c r="M378" s="384">
        <v>46077</v>
      </c>
      <c r="N378" s="343" t="s">
        <v>233</v>
      </c>
      <c r="O378" s="343" t="s">
        <v>134</v>
      </c>
    </row>
    <row r="379" spans="9:15">
      <c r="I379" s="343">
        <v>20260303</v>
      </c>
      <c r="J379" s="343">
        <v>25532.5</v>
      </c>
      <c r="K379" s="343">
        <v>92</v>
      </c>
      <c r="L379" s="343">
        <v>207</v>
      </c>
      <c r="M379" s="384">
        <v>46084</v>
      </c>
      <c r="N379" s="343" t="s">
        <v>233</v>
      </c>
      <c r="O379" s="343" t="s">
        <v>135</v>
      </c>
    </row>
    <row r="380" spans="9:15">
      <c r="I380" s="343">
        <v>20260310</v>
      </c>
      <c r="J380" s="343">
        <v>29199.5</v>
      </c>
      <c r="K380" s="343">
        <v>94</v>
      </c>
      <c r="L380" s="343">
        <v>229</v>
      </c>
      <c r="M380" s="384">
        <v>46091</v>
      </c>
      <c r="N380" s="343" t="s">
        <v>233</v>
      </c>
      <c r="O380" s="343" t="s">
        <v>136</v>
      </c>
    </row>
    <row r="381" spans="9:15">
      <c r="I381" s="343">
        <v>20260317</v>
      </c>
      <c r="J381" s="343">
        <v>40</v>
      </c>
      <c r="K381" s="343">
        <v>1</v>
      </c>
      <c r="L381" s="343">
        <v>1</v>
      </c>
      <c r="M381" s="384">
        <v>46098</v>
      </c>
      <c r="N381" s="343" t="s">
        <v>233</v>
      </c>
      <c r="O381" s="343" t="s">
        <v>137</v>
      </c>
    </row>
    <row r="382" spans="9:15">
      <c r="I382" s="343">
        <v>20260324</v>
      </c>
      <c r="J382" s="343">
        <v>32182</v>
      </c>
      <c r="K382" s="343">
        <v>93</v>
      </c>
      <c r="L382" s="343">
        <v>230</v>
      </c>
      <c r="M382" s="384">
        <v>46105</v>
      </c>
      <c r="N382" s="343" t="s">
        <v>233</v>
      </c>
      <c r="O382" s="343" t="s">
        <v>138</v>
      </c>
    </row>
    <row r="383" spans="9:15">
      <c r="I383" s="343">
        <v>20260331</v>
      </c>
      <c r="J383" s="343">
        <v>35468.5</v>
      </c>
      <c r="K383" s="343">
        <v>105</v>
      </c>
      <c r="L383" s="343">
        <v>289</v>
      </c>
      <c r="M383" s="384">
        <v>46112</v>
      </c>
      <c r="N383" s="343" t="s">
        <v>233</v>
      </c>
      <c r="O383" s="343" t="s">
        <v>141</v>
      </c>
    </row>
    <row r="384" spans="9:15">
      <c r="I384" s="343">
        <v>20260407</v>
      </c>
      <c r="J384" s="343">
        <v>19628.400000000001</v>
      </c>
      <c r="K384" s="343">
        <v>74</v>
      </c>
      <c r="L384" s="343">
        <v>173</v>
      </c>
      <c r="M384" s="384">
        <v>46119</v>
      </c>
      <c r="N384" s="343" t="s">
        <v>233</v>
      </c>
      <c r="O384" s="343" t="s">
        <v>142</v>
      </c>
    </row>
    <row r="385" spans="9:15">
      <c r="I385" s="343">
        <v>20260414</v>
      </c>
      <c r="J385" s="343">
        <v>24145.75</v>
      </c>
      <c r="K385" s="343">
        <v>88</v>
      </c>
      <c r="L385" s="343">
        <v>196</v>
      </c>
      <c r="M385" s="384">
        <v>46126</v>
      </c>
      <c r="N385" s="343" t="s">
        <v>233</v>
      </c>
      <c r="O385" s="343" t="s">
        <v>143</v>
      </c>
    </row>
    <row r="386" spans="9:15">
      <c r="I386" s="343">
        <v>20260421</v>
      </c>
      <c r="J386" s="343">
        <v>33445.300000000003</v>
      </c>
      <c r="K386" s="343">
        <v>104</v>
      </c>
      <c r="L386" s="343">
        <v>273</v>
      </c>
      <c r="M386" s="384">
        <v>46133</v>
      </c>
      <c r="N386" s="343" t="s">
        <v>233</v>
      </c>
      <c r="O386" s="343" t="s">
        <v>144</v>
      </c>
    </row>
    <row r="387" spans="9:15">
      <c r="I387" s="343">
        <v>20260428</v>
      </c>
      <c r="J387" s="343">
        <v>22750</v>
      </c>
      <c r="K387" s="343">
        <v>84</v>
      </c>
      <c r="L387" s="343">
        <v>221</v>
      </c>
      <c r="M387" s="384">
        <v>46140</v>
      </c>
      <c r="N387" s="343" t="s">
        <v>233</v>
      </c>
      <c r="O387" s="343" t="s">
        <v>147</v>
      </c>
    </row>
    <row r="388" spans="9:15">
      <c r="I388" s="343">
        <v>20260505</v>
      </c>
      <c r="J388" s="343">
        <v>36490.6</v>
      </c>
      <c r="K388" s="343">
        <v>98</v>
      </c>
      <c r="L388" s="343">
        <v>287</v>
      </c>
      <c r="M388" s="384">
        <v>46147</v>
      </c>
      <c r="N388" s="343" t="s">
        <v>233</v>
      </c>
      <c r="O388" s="343" t="s">
        <v>148</v>
      </c>
    </row>
    <row r="389" spans="9:15">
      <c r="I389" s="343">
        <v>20260512</v>
      </c>
      <c r="J389" s="343">
        <v>17904</v>
      </c>
      <c r="K389" s="343">
        <v>64</v>
      </c>
      <c r="L389" s="343">
        <v>159</v>
      </c>
      <c r="M389" s="384">
        <v>46154</v>
      </c>
      <c r="N389" s="343" t="s">
        <v>233</v>
      </c>
      <c r="O389" s="343" t="s">
        <v>149</v>
      </c>
    </row>
    <row r="390" spans="9:15">
      <c r="I390" s="343">
        <v>20260519</v>
      </c>
      <c r="J390" s="343">
        <v>26402.5</v>
      </c>
      <c r="K390" s="343">
        <v>63</v>
      </c>
      <c r="L390" s="343">
        <v>197</v>
      </c>
      <c r="M390" s="384">
        <v>46161</v>
      </c>
      <c r="N390" s="343" t="s">
        <v>233</v>
      </c>
      <c r="O390" s="343" t="s">
        <v>150</v>
      </c>
    </row>
    <row r="391" spans="9:15">
      <c r="I391" s="343">
        <v>20260526</v>
      </c>
      <c r="J391" s="343">
        <v>21986</v>
      </c>
      <c r="K391" s="343">
        <v>87</v>
      </c>
      <c r="L391" s="343">
        <v>224</v>
      </c>
      <c r="M391" s="384">
        <v>46168</v>
      </c>
      <c r="N391" s="343" t="s">
        <v>233</v>
      </c>
      <c r="O391" s="343" t="s">
        <v>153</v>
      </c>
    </row>
    <row r="392" spans="9:15">
      <c r="I392" s="343">
        <v>20260602</v>
      </c>
      <c r="J392" s="343">
        <v>25807.29</v>
      </c>
      <c r="K392" s="343">
        <v>81</v>
      </c>
      <c r="L392" s="343">
        <v>240</v>
      </c>
      <c r="M392" s="384">
        <v>46175</v>
      </c>
      <c r="N392" s="343" t="s">
        <v>233</v>
      </c>
      <c r="O392" s="343" t="s">
        <v>154</v>
      </c>
    </row>
    <row r="393" spans="9:15">
      <c r="I393" s="343">
        <v>20260609</v>
      </c>
      <c r="J393" s="343">
        <v>13142</v>
      </c>
      <c r="K393" s="343">
        <v>59</v>
      </c>
      <c r="L393" s="343">
        <v>129</v>
      </c>
      <c r="M393" s="384">
        <v>46182</v>
      </c>
      <c r="N393" s="343" t="s">
        <v>233</v>
      </c>
      <c r="O393" s="343" t="s">
        <v>155</v>
      </c>
    </row>
    <row r="394" spans="9:15">
      <c r="I394" s="343">
        <v>20260616</v>
      </c>
      <c r="J394" s="343">
        <v>17991.39</v>
      </c>
      <c r="K394" s="343">
        <v>72</v>
      </c>
      <c r="L394" s="343">
        <v>168</v>
      </c>
      <c r="M394" s="384">
        <v>46189</v>
      </c>
      <c r="N394" s="343" t="s">
        <v>233</v>
      </c>
      <c r="O394" s="343" t="s">
        <v>156</v>
      </c>
    </row>
    <row r="395" spans="9:15">
      <c r="I395" s="343">
        <v>20260623</v>
      </c>
      <c r="J395" s="343">
        <v>35260.25</v>
      </c>
      <c r="K395" s="343">
        <v>91</v>
      </c>
      <c r="L395" s="343">
        <v>280</v>
      </c>
      <c r="M395" s="384">
        <v>46196</v>
      </c>
      <c r="N395" s="343" t="s">
        <v>233</v>
      </c>
      <c r="O395" s="343" t="s">
        <v>157</v>
      </c>
    </row>
    <row r="396" spans="9:15">
      <c r="I396" s="343">
        <v>20260630</v>
      </c>
      <c r="J396" s="343">
        <v>26304</v>
      </c>
      <c r="K396" s="343">
        <v>66</v>
      </c>
      <c r="L396" s="343">
        <v>189</v>
      </c>
      <c r="M396" s="384">
        <v>46203</v>
      </c>
      <c r="N396" s="343" t="s">
        <v>233</v>
      </c>
      <c r="O396" s="343" t="s">
        <v>160</v>
      </c>
    </row>
    <row r="397" spans="9:15">
      <c r="I397" s="343">
        <v>20260707</v>
      </c>
      <c r="J397" s="343">
        <v>18480.5</v>
      </c>
      <c r="K397" s="343">
        <v>79</v>
      </c>
      <c r="L397" s="343">
        <v>186</v>
      </c>
      <c r="M397" s="384">
        <v>46210</v>
      </c>
      <c r="N397" s="343" t="s">
        <v>233</v>
      </c>
      <c r="O397" s="343" t="s">
        <v>161</v>
      </c>
    </row>
    <row r="398" spans="9:15">
      <c r="I398" s="343">
        <v>20260714</v>
      </c>
      <c r="J398" s="343">
        <v>23090.16</v>
      </c>
      <c r="K398" s="343">
        <v>103</v>
      </c>
      <c r="L398" s="343">
        <v>265</v>
      </c>
      <c r="M398" s="384">
        <v>46217</v>
      </c>
      <c r="N398" s="343" t="s">
        <v>233</v>
      </c>
      <c r="O398" s="343" t="s">
        <v>162</v>
      </c>
    </row>
    <row r="399" spans="9:15">
      <c r="I399" s="343">
        <v>20260721</v>
      </c>
      <c r="J399" s="343">
        <v>18716.5</v>
      </c>
      <c r="K399" s="343">
        <v>62</v>
      </c>
      <c r="L399" s="343">
        <v>172</v>
      </c>
      <c r="M399" s="384">
        <v>46224</v>
      </c>
      <c r="N399" s="343" t="s">
        <v>233</v>
      </c>
      <c r="O399" s="343" t="s">
        <v>163</v>
      </c>
    </row>
    <row r="400" spans="9:15">
      <c r="I400" s="343">
        <v>20260728</v>
      </c>
      <c r="J400" s="343">
        <v>14556</v>
      </c>
      <c r="K400" s="343">
        <v>55</v>
      </c>
      <c r="L400" s="343">
        <v>136</v>
      </c>
      <c r="M400" s="384">
        <v>46231</v>
      </c>
      <c r="N400" s="343" t="s">
        <v>233</v>
      </c>
      <c r="O400" s="343" t="s">
        <v>166</v>
      </c>
    </row>
    <row r="401" spans="9:15">
      <c r="I401" s="343">
        <v>20260804</v>
      </c>
      <c r="J401" s="343">
        <v>16053.25</v>
      </c>
      <c r="K401" s="343">
        <v>56</v>
      </c>
      <c r="L401" s="343">
        <v>161</v>
      </c>
      <c r="M401" s="384">
        <v>46238</v>
      </c>
      <c r="N401" s="343" t="s">
        <v>233</v>
      </c>
      <c r="O401" s="343" t="s">
        <v>167</v>
      </c>
    </row>
    <row r="402" spans="9:15">
      <c r="I402" s="343">
        <v>20260811</v>
      </c>
      <c r="J402" s="343">
        <v>25452.15</v>
      </c>
      <c r="K402" s="343">
        <v>74</v>
      </c>
      <c r="L402" s="343">
        <v>240</v>
      </c>
      <c r="M402" s="384">
        <v>46245</v>
      </c>
      <c r="N402" s="343" t="s">
        <v>233</v>
      </c>
      <c r="O402" s="343" t="s">
        <v>168</v>
      </c>
    </row>
    <row r="403" spans="9:15">
      <c r="I403" s="343">
        <v>20260818</v>
      </c>
      <c r="J403" s="343">
        <v>25661.5</v>
      </c>
      <c r="K403" s="343">
        <v>92</v>
      </c>
      <c r="L403" s="343">
        <v>237</v>
      </c>
      <c r="M403" s="384">
        <v>46252</v>
      </c>
      <c r="N403" s="343" t="s">
        <v>233</v>
      </c>
      <c r="O403" s="343" t="s">
        <v>101</v>
      </c>
    </row>
    <row r="404" spans="9:15">
      <c r="I404" s="343">
        <v>20250209</v>
      </c>
      <c r="J404" s="343">
        <v>12817</v>
      </c>
      <c r="K404" s="343">
        <v>65</v>
      </c>
      <c r="L404" s="343">
        <v>132</v>
      </c>
      <c r="M404" s="384">
        <v>45697</v>
      </c>
      <c r="N404" s="343" t="s">
        <v>245</v>
      </c>
      <c r="O404" s="343" t="s">
        <v>282</v>
      </c>
    </row>
    <row r="405" spans="9:15">
      <c r="I405" s="343">
        <v>20250216</v>
      </c>
      <c r="J405" s="343">
        <v>48364.5</v>
      </c>
      <c r="K405" s="343">
        <v>174</v>
      </c>
      <c r="L405" s="343">
        <v>439</v>
      </c>
      <c r="M405" s="384">
        <v>45704</v>
      </c>
      <c r="N405" s="343" t="s">
        <v>245</v>
      </c>
      <c r="O405" s="343" t="s">
        <v>284</v>
      </c>
    </row>
    <row r="406" spans="9:15">
      <c r="I406" s="343">
        <v>20250223</v>
      </c>
      <c r="J406" s="343">
        <v>33103</v>
      </c>
      <c r="K406" s="343">
        <v>130</v>
      </c>
      <c r="L406" s="343">
        <v>307</v>
      </c>
      <c r="M406" s="384">
        <v>45711</v>
      </c>
      <c r="N406" s="343" t="s">
        <v>245</v>
      </c>
      <c r="O406" s="343" t="s">
        <v>286</v>
      </c>
    </row>
    <row r="407" spans="9:15">
      <c r="I407" s="343">
        <v>20250302</v>
      </c>
      <c r="J407" s="343">
        <v>33756</v>
      </c>
      <c r="K407" s="343">
        <v>121</v>
      </c>
      <c r="L407" s="343">
        <v>281</v>
      </c>
      <c r="M407" s="384">
        <v>45718</v>
      </c>
      <c r="N407" s="343" t="s">
        <v>245</v>
      </c>
      <c r="O407" s="343" t="s">
        <v>288</v>
      </c>
    </row>
    <row r="408" spans="9:15">
      <c r="I408" s="343">
        <v>20250309</v>
      </c>
      <c r="J408" s="343">
        <v>32598.25</v>
      </c>
      <c r="K408" s="343">
        <v>118</v>
      </c>
      <c r="L408" s="343">
        <v>278</v>
      </c>
      <c r="M408" s="384">
        <v>45725</v>
      </c>
      <c r="N408" s="343" t="s">
        <v>245</v>
      </c>
      <c r="O408" s="343" t="s">
        <v>290</v>
      </c>
    </row>
    <row r="409" spans="9:15">
      <c r="I409" s="343">
        <v>20250316</v>
      </c>
      <c r="J409" s="343">
        <v>37570</v>
      </c>
      <c r="K409" s="343">
        <v>130</v>
      </c>
      <c r="L409" s="343">
        <v>342</v>
      </c>
      <c r="M409" s="384">
        <v>45732</v>
      </c>
      <c r="N409" s="343" t="s">
        <v>245</v>
      </c>
      <c r="O409" s="343" t="s">
        <v>292</v>
      </c>
    </row>
    <row r="410" spans="9:15">
      <c r="I410" s="343">
        <v>20250323</v>
      </c>
      <c r="J410" s="343">
        <v>47552.5</v>
      </c>
      <c r="K410" s="343">
        <v>146</v>
      </c>
      <c r="L410" s="343">
        <v>360</v>
      </c>
      <c r="M410" s="384">
        <v>45739</v>
      </c>
      <c r="N410" s="343" t="s">
        <v>245</v>
      </c>
      <c r="O410" s="343" t="s">
        <v>294</v>
      </c>
    </row>
    <row r="411" spans="9:15">
      <c r="I411" s="343">
        <v>20250330</v>
      </c>
      <c r="J411" s="343">
        <v>24714</v>
      </c>
      <c r="K411" s="343">
        <v>85</v>
      </c>
      <c r="L411" s="343">
        <v>226</v>
      </c>
      <c r="M411" s="384">
        <v>45746</v>
      </c>
      <c r="N411" s="343" t="s">
        <v>245</v>
      </c>
      <c r="O411" s="343" t="s">
        <v>295</v>
      </c>
    </row>
    <row r="412" spans="9:15">
      <c r="I412" s="343">
        <v>20250406</v>
      </c>
      <c r="J412" s="343">
        <v>28977.66</v>
      </c>
      <c r="K412" s="343">
        <v>124</v>
      </c>
      <c r="L412" s="343">
        <v>287</v>
      </c>
      <c r="M412" s="384">
        <v>45753</v>
      </c>
      <c r="N412" s="343" t="s">
        <v>245</v>
      </c>
      <c r="O412" s="343" t="s">
        <v>296</v>
      </c>
    </row>
    <row r="413" spans="9:15">
      <c r="I413" s="343">
        <v>20250413</v>
      </c>
      <c r="J413" s="343">
        <v>26120</v>
      </c>
      <c r="K413" s="343">
        <v>88</v>
      </c>
      <c r="L413" s="343">
        <v>208</v>
      </c>
      <c r="M413" s="384">
        <v>45760</v>
      </c>
      <c r="N413" s="343" t="s">
        <v>245</v>
      </c>
      <c r="O413" s="343" t="s">
        <v>297</v>
      </c>
    </row>
    <row r="414" spans="9:15">
      <c r="I414" s="343">
        <v>20250420</v>
      </c>
      <c r="J414" s="343">
        <v>33534</v>
      </c>
      <c r="K414" s="343">
        <v>95</v>
      </c>
      <c r="L414" s="343">
        <v>233</v>
      </c>
      <c r="M414" s="384">
        <v>45767</v>
      </c>
      <c r="N414" s="343" t="s">
        <v>245</v>
      </c>
      <c r="O414" s="343" t="s">
        <v>298</v>
      </c>
    </row>
    <row r="415" spans="9:15">
      <c r="I415" s="343">
        <v>20250504</v>
      </c>
      <c r="J415" s="343">
        <v>42431</v>
      </c>
      <c r="K415" s="343">
        <v>123</v>
      </c>
      <c r="L415" s="343">
        <v>312</v>
      </c>
      <c r="M415" s="384">
        <v>45781</v>
      </c>
      <c r="N415" s="343" t="s">
        <v>245</v>
      </c>
      <c r="O415" s="343" t="s">
        <v>300</v>
      </c>
    </row>
    <row r="416" spans="9:15">
      <c r="I416" s="343">
        <v>20250511</v>
      </c>
      <c r="J416" s="343">
        <v>51336.5</v>
      </c>
      <c r="K416" s="343">
        <v>144</v>
      </c>
      <c r="L416" s="343">
        <v>405</v>
      </c>
      <c r="M416" s="384">
        <v>45788</v>
      </c>
      <c r="N416" s="343" t="s">
        <v>245</v>
      </c>
      <c r="O416" s="343" t="s">
        <v>301</v>
      </c>
    </row>
    <row r="417" spans="9:15">
      <c r="I417" s="343">
        <v>20250525</v>
      </c>
      <c r="J417" s="343">
        <v>51788.25</v>
      </c>
      <c r="K417" s="343">
        <v>175</v>
      </c>
      <c r="L417" s="343">
        <v>403</v>
      </c>
      <c r="M417" s="384">
        <v>45802</v>
      </c>
      <c r="N417" s="343" t="s">
        <v>245</v>
      </c>
      <c r="O417" s="343" t="s">
        <v>303</v>
      </c>
    </row>
    <row r="418" spans="9:15">
      <c r="I418" s="343">
        <v>20250608</v>
      </c>
      <c r="J418" s="343">
        <v>24078.25</v>
      </c>
      <c r="K418" s="343">
        <v>78</v>
      </c>
      <c r="L418" s="343">
        <v>197</v>
      </c>
      <c r="M418" s="384">
        <v>45816</v>
      </c>
      <c r="N418" s="343" t="s">
        <v>245</v>
      </c>
      <c r="O418" s="343" t="s">
        <v>305</v>
      </c>
    </row>
    <row r="419" spans="9:15">
      <c r="I419" s="343">
        <v>20250615</v>
      </c>
      <c r="J419" s="343">
        <v>30050.5</v>
      </c>
      <c r="K419" s="343">
        <v>80</v>
      </c>
      <c r="L419" s="343">
        <v>230</v>
      </c>
      <c r="M419" s="384">
        <v>45823</v>
      </c>
      <c r="N419" s="343" t="s">
        <v>245</v>
      </c>
      <c r="O419" s="343" t="s">
        <v>306</v>
      </c>
    </row>
    <row r="420" spans="9:15">
      <c r="I420" s="343">
        <v>20250622</v>
      </c>
      <c r="J420" s="343">
        <v>21352.35</v>
      </c>
      <c r="K420" s="343">
        <v>71</v>
      </c>
      <c r="L420" s="343">
        <v>187</v>
      </c>
      <c r="M420" s="384">
        <v>45830</v>
      </c>
      <c r="N420" s="343" t="s">
        <v>245</v>
      </c>
      <c r="O420" s="343" t="s">
        <v>307</v>
      </c>
    </row>
    <row r="421" spans="9:15">
      <c r="I421" s="343">
        <v>20250629</v>
      </c>
      <c r="J421" s="343">
        <v>17995.5</v>
      </c>
      <c r="K421" s="343">
        <v>61</v>
      </c>
      <c r="L421" s="343">
        <v>153</v>
      </c>
      <c r="M421" s="384">
        <v>45837</v>
      </c>
      <c r="N421" s="343" t="s">
        <v>245</v>
      </c>
      <c r="O421" s="343" t="s">
        <v>308</v>
      </c>
    </row>
    <row r="422" spans="9:15">
      <c r="I422" s="343">
        <v>20250706</v>
      </c>
      <c r="J422" s="343">
        <v>14672.25</v>
      </c>
      <c r="K422" s="343">
        <v>50</v>
      </c>
      <c r="L422" s="343">
        <v>114</v>
      </c>
      <c r="M422" s="384">
        <v>45844</v>
      </c>
      <c r="N422" s="343" t="s">
        <v>245</v>
      </c>
      <c r="O422" s="343" t="s">
        <v>309</v>
      </c>
    </row>
    <row r="423" spans="9:15">
      <c r="I423" s="343">
        <v>20250713</v>
      </c>
      <c r="J423" s="343">
        <v>17778</v>
      </c>
      <c r="K423" s="343">
        <v>58</v>
      </c>
      <c r="L423" s="343">
        <v>147</v>
      </c>
      <c r="M423" s="384">
        <v>45851</v>
      </c>
      <c r="N423" s="343" t="s">
        <v>245</v>
      </c>
      <c r="O423" s="343" t="s">
        <v>310</v>
      </c>
    </row>
    <row r="424" spans="9:15">
      <c r="I424" s="343">
        <v>20250720</v>
      </c>
      <c r="J424" s="343">
        <v>21647.5</v>
      </c>
      <c r="K424" s="343">
        <v>76</v>
      </c>
      <c r="L424" s="343">
        <v>178</v>
      </c>
      <c r="M424" s="384">
        <v>45858</v>
      </c>
      <c r="N424" s="343" t="s">
        <v>245</v>
      </c>
      <c r="O424" s="343" t="s">
        <v>311</v>
      </c>
    </row>
    <row r="425" spans="9:15">
      <c r="I425" s="343">
        <v>20250727</v>
      </c>
      <c r="J425" s="343">
        <v>19448.75</v>
      </c>
      <c r="K425" s="343">
        <v>56</v>
      </c>
      <c r="L425" s="343">
        <v>156</v>
      </c>
      <c r="M425" s="384">
        <v>45865</v>
      </c>
      <c r="N425" s="343" t="s">
        <v>245</v>
      </c>
      <c r="O425" s="343" t="s">
        <v>312</v>
      </c>
    </row>
    <row r="426" spans="9:15">
      <c r="I426" s="343">
        <v>20250803</v>
      </c>
      <c r="J426" s="343">
        <v>18639.5</v>
      </c>
      <c r="K426" s="343">
        <v>55</v>
      </c>
      <c r="L426" s="343">
        <v>152</v>
      </c>
      <c r="M426" s="384">
        <v>45872</v>
      </c>
      <c r="N426" s="343" t="s">
        <v>245</v>
      </c>
      <c r="O426" s="343" t="s">
        <v>313</v>
      </c>
    </row>
    <row r="427" spans="9:15">
      <c r="I427" s="343">
        <v>20250810</v>
      </c>
      <c r="J427" s="343">
        <v>20462.5</v>
      </c>
      <c r="K427" s="343">
        <v>68</v>
      </c>
      <c r="L427" s="343">
        <v>173</v>
      </c>
      <c r="M427" s="384">
        <v>45879</v>
      </c>
      <c r="N427" s="343" t="s">
        <v>245</v>
      </c>
      <c r="O427" s="343" t="s">
        <v>314</v>
      </c>
    </row>
    <row r="428" spans="9:15">
      <c r="I428" s="343">
        <v>20250817</v>
      </c>
      <c r="J428" s="343">
        <v>30047.5</v>
      </c>
      <c r="K428" s="343">
        <v>112</v>
      </c>
      <c r="L428" s="343">
        <v>302</v>
      </c>
      <c r="M428" s="384">
        <v>45886</v>
      </c>
      <c r="N428" s="343" t="s">
        <v>245</v>
      </c>
      <c r="O428" s="343" t="s">
        <v>315</v>
      </c>
    </row>
    <row r="429" spans="9:15">
      <c r="I429" s="343">
        <v>20250824</v>
      </c>
      <c r="J429" s="343">
        <v>26665.19</v>
      </c>
      <c r="K429" s="343">
        <v>86</v>
      </c>
      <c r="L429" s="343">
        <v>216</v>
      </c>
      <c r="M429" s="384">
        <v>45893</v>
      </c>
      <c r="N429" s="343" t="s">
        <v>245</v>
      </c>
      <c r="O429" s="343" t="s">
        <v>316</v>
      </c>
    </row>
    <row r="430" spans="9:15">
      <c r="I430" s="343">
        <v>20250831</v>
      </c>
      <c r="J430" s="343">
        <v>46232.25</v>
      </c>
      <c r="K430" s="343">
        <v>138</v>
      </c>
      <c r="L430" s="343">
        <v>345</v>
      </c>
      <c r="M430" s="384">
        <v>45900</v>
      </c>
      <c r="N430" s="343" t="s">
        <v>245</v>
      </c>
      <c r="O430" s="343" t="s">
        <v>317</v>
      </c>
    </row>
    <row r="431" spans="9:15">
      <c r="I431" s="343">
        <v>20250907</v>
      </c>
      <c r="J431" s="343">
        <v>22986</v>
      </c>
      <c r="K431" s="343">
        <v>84</v>
      </c>
      <c r="L431" s="343">
        <v>206</v>
      </c>
      <c r="M431" s="384">
        <v>45907</v>
      </c>
      <c r="N431" s="343" t="s">
        <v>245</v>
      </c>
      <c r="O431" s="343" t="s">
        <v>318</v>
      </c>
    </row>
    <row r="432" spans="9:15">
      <c r="I432" s="343">
        <v>20250914</v>
      </c>
      <c r="J432" s="343">
        <v>21732.25</v>
      </c>
      <c r="K432" s="343">
        <v>62</v>
      </c>
      <c r="L432" s="343">
        <v>148</v>
      </c>
      <c r="M432" s="384">
        <v>45914</v>
      </c>
      <c r="N432" s="343" t="s">
        <v>245</v>
      </c>
      <c r="O432" s="343" t="s">
        <v>319</v>
      </c>
    </row>
    <row r="433" spans="9:15">
      <c r="I433" s="343">
        <v>20250921</v>
      </c>
      <c r="J433" s="343">
        <v>22581.75</v>
      </c>
      <c r="K433" s="343">
        <v>92</v>
      </c>
      <c r="L433" s="343">
        <v>185</v>
      </c>
      <c r="M433" s="384">
        <v>45921</v>
      </c>
      <c r="N433" s="343" t="s">
        <v>245</v>
      </c>
      <c r="O433" s="343" t="s">
        <v>320</v>
      </c>
    </row>
    <row r="434" spans="9:15">
      <c r="I434" s="343">
        <v>20250928</v>
      </c>
      <c r="J434" s="343">
        <v>21093</v>
      </c>
      <c r="K434" s="343">
        <v>84</v>
      </c>
      <c r="L434" s="343">
        <v>209</v>
      </c>
      <c r="M434" s="384">
        <v>45928</v>
      </c>
      <c r="N434" s="343" t="s">
        <v>245</v>
      </c>
      <c r="O434" s="343" t="s">
        <v>321</v>
      </c>
    </row>
    <row r="435" spans="9:15">
      <c r="I435" s="343">
        <v>20251005</v>
      </c>
      <c r="J435" s="343">
        <v>16394.75</v>
      </c>
      <c r="K435" s="343">
        <v>76</v>
      </c>
      <c r="L435" s="343">
        <v>144</v>
      </c>
      <c r="M435" s="384">
        <v>45935</v>
      </c>
      <c r="N435" s="343" t="s">
        <v>245</v>
      </c>
      <c r="O435" s="343" t="s">
        <v>322</v>
      </c>
    </row>
    <row r="436" spans="9:15">
      <c r="I436" s="343">
        <v>20251012</v>
      </c>
      <c r="J436" s="343">
        <v>22937.75</v>
      </c>
      <c r="K436" s="343">
        <v>67</v>
      </c>
      <c r="L436" s="343">
        <v>170</v>
      </c>
      <c r="M436" s="384">
        <v>45942</v>
      </c>
      <c r="N436" s="343" t="s">
        <v>245</v>
      </c>
      <c r="O436" s="343" t="s">
        <v>323</v>
      </c>
    </row>
    <row r="437" spans="9:15">
      <c r="I437" s="343">
        <v>20251019</v>
      </c>
      <c r="J437" s="343">
        <v>15408</v>
      </c>
      <c r="K437" s="343">
        <v>58</v>
      </c>
      <c r="L437" s="343">
        <v>125</v>
      </c>
      <c r="M437" s="384">
        <v>45949</v>
      </c>
      <c r="N437" s="343" t="s">
        <v>245</v>
      </c>
      <c r="O437" s="343" t="s">
        <v>324</v>
      </c>
    </row>
    <row r="438" spans="9:15">
      <c r="I438" s="343">
        <v>20251026</v>
      </c>
      <c r="J438" s="343">
        <v>25096.75</v>
      </c>
      <c r="K438" s="343">
        <v>86</v>
      </c>
      <c r="L438" s="343">
        <v>210</v>
      </c>
      <c r="M438" s="384">
        <v>45956</v>
      </c>
      <c r="N438" s="343" t="s">
        <v>245</v>
      </c>
      <c r="O438" s="343" t="s">
        <v>325</v>
      </c>
    </row>
    <row r="439" spans="9:15">
      <c r="I439" s="343">
        <v>20251102</v>
      </c>
      <c r="J439" s="343">
        <v>25097.25</v>
      </c>
      <c r="K439" s="343">
        <v>63</v>
      </c>
      <c r="L439" s="343">
        <v>152</v>
      </c>
      <c r="M439" s="384">
        <v>45963</v>
      </c>
      <c r="N439" s="343" t="s">
        <v>245</v>
      </c>
      <c r="O439" s="343" t="s">
        <v>326</v>
      </c>
    </row>
    <row r="440" spans="9:15">
      <c r="I440" s="343">
        <v>20251109</v>
      </c>
      <c r="J440" s="343">
        <v>26131.5</v>
      </c>
      <c r="K440" s="343">
        <v>74</v>
      </c>
      <c r="L440" s="343">
        <v>174</v>
      </c>
      <c r="M440" s="384">
        <v>45970</v>
      </c>
      <c r="N440" s="343" t="s">
        <v>245</v>
      </c>
      <c r="O440" s="343" t="s">
        <v>327</v>
      </c>
    </row>
    <row r="441" spans="9:15">
      <c r="I441" s="343">
        <v>20251116</v>
      </c>
      <c r="J441" s="343">
        <v>34465</v>
      </c>
      <c r="K441" s="343">
        <v>99</v>
      </c>
      <c r="L441" s="343">
        <v>255</v>
      </c>
      <c r="M441" s="384">
        <v>45977</v>
      </c>
      <c r="N441" s="343" t="s">
        <v>245</v>
      </c>
      <c r="O441" s="343" t="s">
        <v>328</v>
      </c>
    </row>
    <row r="442" spans="9:15">
      <c r="I442" s="343">
        <v>20251123</v>
      </c>
      <c r="J442" s="343">
        <v>28834.5</v>
      </c>
      <c r="K442" s="343">
        <v>84</v>
      </c>
      <c r="L442" s="343">
        <v>243</v>
      </c>
      <c r="M442" s="384">
        <v>45984</v>
      </c>
      <c r="N442" s="343" t="s">
        <v>245</v>
      </c>
      <c r="O442" s="343" t="s">
        <v>329</v>
      </c>
    </row>
    <row r="443" spans="9:15">
      <c r="I443" s="343">
        <v>20251130</v>
      </c>
      <c r="J443" s="343">
        <v>18138.25</v>
      </c>
      <c r="K443" s="343">
        <v>62</v>
      </c>
      <c r="L443" s="343">
        <v>151</v>
      </c>
      <c r="M443" s="384">
        <v>45991</v>
      </c>
      <c r="N443" s="343" t="s">
        <v>245</v>
      </c>
      <c r="O443" s="343" t="s">
        <v>330</v>
      </c>
    </row>
    <row r="444" spans="9:15">
      <c r="I444" s="343">
        <v>20251207</v>
      </c>
      <c r="J444" s="343">
        <v>35555.300000000003</v>
      </c>
      <c r="K444" s="343">
        <v>106</v>
      </c>
      <c r="L444" s="343">
        <v>264</v>
      </c>
      <c r="M444" s="384">
        <v>45998</v>
      </c>
      <c r="N444" s="343" t="s">
        <v>245</v>
      </c>
      <c r="O444" s="343" t="s">
        <v>331</v>
      </c>
    </row>
    <row r="445" spans="9:15">
      <c r="I445" s="343">
        <v>20251214</v>
      </c>
      <c r="J445" s="343">
        <v>22530.25</v>
      </c>
      <c r="K445" s="343">
        <v>80</v>
      </c>
      <c r="L445" s="343">
        <v>196</v>
      </c>
      <c r="M445" s="384">
        <v>46005</v>
      </c>
      <c r="N445" s="343" t="s">
        <v>245</v>
      </c>
      <c r="O445" s="343" t="s">
        <v>332</v>
      </c>
    </row>
    <row r="446" spans="9:15">
      <c r="I446" s="343">
        <v>20251221</v>
      </c>
      <c r="J446" s="343">
        <v>25337</v>
      </c>
      <c r="K446" s="343">
        <v>79</v>
      </c>
      <c r="L446" s="343">
        <v>188</v>
      </c>
      <c r="M446" s="384">
        <v>46012</v>
      </c>
      <c r="N446" s="343" t="s">
        <v>245</v>
      </c>
      <c r="O446" s="343" t="s">
        <v>333</v>
      </c>
    </row>
    <row r="447" spans="9:15">
      <c r="I447" s="343">
        <v>20251228</v>
      </c>
      <c r="J447" s="343">
        <v>57914.65</v>
      </c>
      <c r="K447" s="343">
        <v>166</v>
      </c>
      <c r="L447" s="343">
        <v>467</v>
      </c>
      <c r="M447" s="384">
        <v>46019</v>
      </c>
      <c r="N447" s="343" t="s">
        <v>245</v>
      </c>
      <c r="O447" s="343" t="s">
        <v>334</v>
      </c>
    </row>
    <row r="448" spans="9:15">
      <c r="I448" s="343">
        <v>20260104</v>
      </c>
      <c r="J448" s="343">
        <v>39641.25</v>
      </c>
      <c r="K448" s="343">
        <v>94</v>
      </c>
      <c r="L448" s="343">
        <v>266</v>
      </c>
      <c r="M448" s="384">
        <v>46026</v>
      </c>
      <c r="N448" s="343" t="s">
        <v>245</v>
      </c>
      <c r="O448" s="343" t="s">
        <v>122</v>
      </c>
    </row>
    <row r="449" spans="9:15">
      <c r="I449" s="343">
        <v>20260111</v>
      </c>
      <c r="J449" s="343">
        <v>17892.25</v>
      </c>
      <c r="K449" s="343">
        <v>73</v>
      </c>
      <c r="L449" s="343">
        <v>150</v>
      </c>
      <c r="M449" s="384">
        <v>46033</v>
      </c>
      <c r="N449" s="343" t="s">
        <v>245</v>
      </c>
      <c r="O449" s="343" t="s">
        <v>123</v>
      </c>
    </row>
    <row r="450" spans="9:15">
      <c r="I450" s="343">
        <v>20260118</v>
      </c>
      <c r="J450" s="343">
        <v>45637.75</v>
      </c>
      <c r="K450" s="343">
        <v>134</v>
      </c>
      <c r="L450" s="343">
        <v>356</v>
      </c>
      <c r="M450" s="384">
        <v>46040</v>
      </c>
      <c r="N450" s="343" t="s">
        <v>245</v>
      </c>
      <c r="O450" s="343" t="s">
        <v>124</v>
      </c>
    </row>
    <row r="451" spans="9:15">
      <c r="I451" s="343">
        <v>20260125</v>
      </c>
      <c r="J451" s="343">
        <v>30089</v>
      </c>
      <c r="K451" s="343">
        <v>87</v>
      </c>
      <c r="L451" s="343">
        <v>223</v>
      </c>
      <c r="M451" s="384">
        <v>46047</v>
      </c>
      <c r="N451" s="343" t="s">
        <v>245</v>
      </c>
      <c r="O451" s="343" t="s">
        <v>125</v>
      </c>
    </row>
    <row r="452" spans="9:15">
      <c r="I452" s="343">
        <v>20260201</v>
      </c>
      <c r="J452" s="343">
        <v>34488.25</v>
      </c>
      <c r="K452" s="343">
        <v>82</v>
      </c>
      <c r="L452" s="343">
        <v>218</v>
      </c>
      <c r="M452" s="384">
        <v>46054</v>
      </c>
      <c r="N452" s="343" t="s">
        <v>245</v>
      </c>
      <c r="O452" s="343" t="s">
        <v>128</v>
      </c>
    </row>
    <row r="453" spans="9:15">
      <c r="I453" s="343">
        <v>20260208</v>
      </c>
      <c r="J453" s="343">
        <v>10292.5</v>
      </c>
      <c r="K453" s="343">
        <v>40</v>
      </c>
      <c r="L453" s="343">
        <v>80</v>
      </c>
      <c r="M453" s="384">
        <v>46061</v>
      </c>
      <c r="N453" s="343" t="s">
        <v>245</v>
      </c>
      <c r="O453" s="343" t="s">
        <v>129</v>
      </c>
    </row>
    <row r="454" spans="9:15">
      <c r="I454" s="343">
        <v>20260215</v>
      </c>
      <c r="J454" s="343">
        <v>55114.75</v>
      </c>
      <c r="K454" s="343">
        <v>156</v>
      </c>
      <c r="L454" s="343">
        <v>398</v>
      </c>
      <c r="M454" s="384">
        <v>46068</v>
      </c>
      <c r="N454" s="343" t="s">
        <v>245</v>
      </c>
      <c r="O454" s="343" t="s">
        <v>130</v>
      </c>
    </row>
    <row r="455" spans="9:15">
      <c r="I455" s="343">
        <v>20260222</v>
      </c>
      <c r="J455" s="343">
        <v>34657.25</v>
      </c>
      <c r="K455" s="343">
        <v>99</v>
      </c>
      <c r="L455" s="343">
        <v>219</v>
      </c>
      <c r="M455" s="384">
        <v>46075</v>
      </c>
      <c r="N455" s="343" t="s">
        <v>245</v>
      </c>
      <c r="O455" s="343" t="s">
        <v>131</v>
      </c>
    </row>
    <row r="456" spans="9:15">
      <c r="I456" s="343">
        <v>20260301</v>
      </c>
      <c r="J456" s="343">
        <v>30007.5</v>
      </c>
      <c r="K456" s="343">
        <v>103</v>
      </c>
      <c r="L456" s="343">
        <v>216</v>
      </c>
      <c r="M456" s="384">
        <v>46082</v>
      </c>
      <c r="N456" s="343" t="s">
        <v>245</v>
      </c>
      <c r="O456" s="343" t="s">
        <v>134</v>
      </c>
    </row>
    <row r="457" spans="9:15">
      <c r="I457" s="343">
        <v>20260308</v>
      </c>
      <c r="J457" s="343">
        <v>34663.25</v>
      </c>
      <c r="K457" s="343">
        <v>99</v>
      </c>
      <c r="L457" s="343">
        <v>258</v>
      </c>
      <c r="M457" s="384">
        <v>46089</v>
      </c>
      <c r="N457" s="343" t="s">
        <v>245</v>
      </c>
      <c r="O457" s="343" t="s">
        <v>135</v>
      </c>
    </row>
    <row r="458" spans="9:15">
      <c r="I458" s="343">
        <v>20260315</v>
      </c>
      <c r="J458" s="343">
        <v>24384.5</v>
      </c>
      <c r="K458" s="343">
        <v>71</v>
      </c>
      <c r="L458" s="343">
        <v>181</v>
      </c>
      <c r="M458" s="384">
        <v>46096</v>
      </c>
      <c r="N458" s="343" t="s">
        <v>245</v>
      </c>
      <c r="O458" s="343" t="s">
        <v>136</v>
      </c>
    </row>
    <row r="459" spans="9:15">
      <c r="I459" s="343">
        <v>20260322</v>
      </c>
      <c r="J459" s="343">
        <v>22966</v>
      </c>
      <c r="K459" s="343">
        <v>70</v>
      </c>
      <c r="L459" s="343">
        <v>178</v>
      </c>
      <c r="M459" s="384">
        <v>46103</v>
      </c>
      <c r="N459" s="343" t="s">
        <v>245</v>
      </c>
      <c r="O459" s="343" t="s">
        <v>137</v>
      </c>
    </row>
    <row r="460" spans="9:15">
      <c r="I460" s="343">
        <v>20260329</v>
      </c>
      <c r="J460" s="343">
        <v>26449.75</v>
      </c>
      <c r="K460" s="343">
        <v>71</v>
      </c>
      <c r="L460" s="343">
        <v>183</v>
      </c>
      <c r="M460" s="384">
        <v>46110</v>
      </c>
      <c r="N460" s="343" t="s">
        <v>245</v>
      </c>
      <c r="O460" s="343" t="s">
        <v>138</v>
      </c>
    </row>
    <row r="461" spans="9:15">
      <c r="I461" s="343">
        <v>20260405</v>
      </c>
      <c r="J461" s="343">
        <v>23714.5</v>
      </c>
      <c r="K461" s="343">
        <v>74</v>
      </c>
      <c r="L461" s="343">
        <v>197</v>
      </c>
      <c r="M461" s="384">
        <v>46117</v>
      </c>
      <c r="N461" s="343" t="s">
        <v>245</v>
      </c>
      <c r="O461" s="343" t="s">
        <v>141</v>
      </c>
    </row>
    <row r="462" spans="9:15">
      <c r="I462" s="343">
        <v>20260412</v>
      </c>
      <c r="J462" s="343">
        <v>17020.75</v>
      </c>
      <c r="K462" s="343">
        <v>60</v>
      </c>
      <c r="L462" s="343">
        <v>151</v>
      </c>
      <c r="M462" s="384">
        <v>46124</v>
      </c>
      <c r="N462" s="343" t="s">
        <v>245</v>
      </c>
      <c r="O462" s="343" t="s">
        <v>142</v>
      </c>
    </row>
    <row r="463" spans="9:15">
      <c r="I463" s="343">
        <v>20260419</v>
      </c>
      <c r="J463" s="343">
        <v>20744</v>
      </c>
      <c r="K463" s="343">
        <v>62</v>
      </c>
      <c r="L463" s="343">
        <v>163</v>
      </c>
      <c r="M463" s="384">
        <v>46131</v>
      </c>
      <c r="N463" s="343" t="s">
        <v>245</v>
      </c>
      <c r="O463" s="343" t="s">
        <v>143</v>
      </c>
    </row>
    <row r="464" spans="9:15">
      <c r="I464" s="343">
        <v>20260426</v>
      </c>
      <c r="J464" s="343">
        <v>22109.74</v>
      </c>
      <c r="K464" s="343">
        <v>79</v>
      </c>
      <c r="L464" s="343">
        <v>190</v>
      </c>
      <c r="M464" s="384">
        <v>46138</v>
      </c>
      <c r="N464" s="343" t="s">
        <v>245</v>
      </c>
      <c r="O464" s="343" t="s">
        <v>144</v>
      </c>
    </row>
    <row r="465" spans="9:15">
      <c r="I465" s="343">
        <v>20260503</v>
      </c>
      <c r="J465" s="343">
        <v>30563.5</v>
      </c>
      <c r="K465" s="343">
        <v>114</v>
      </c>
      <c r="L465" s="343">
        <v>279</v>
      </c>
      <c r="M465" s="384">
        <v>46145</v>
      </c>
      <c r="N465" s="343" t="s">
        <v>245</v>
      </c>
      <c r="O465" s="343" t="s">
        <v>147</v>
      </c>
    </row>
    <row r="466" spans="9:15">
      <c r="I466" s="343">
        <v>20260510</v>
      </c>
      <c r="J466" s="343">
        <v>31654</v>
      </c>
      <c r="K466" s="343">
        <v>128</v>
      </c>
      <c r="L466" s="343">
        <v>363</v>
      </c>
      <c r="M466" s="384">
        <v>46152</v>
      </c>
      <c r="N466" s="343" t="s">
        <v>245</v>
      </c>
      <c r="O466" s="343" t="s">
        <v>148</v>
      </c>
    </row>
    <row r="467" spans="9:15">
      <c r="I467" s="343">
        <v>20260517</v>
      </c>
      <c r="J467" s="343">
        <v>14276.5</v>
      </c>
      <c r="K467" s="343">
        <v>59</v>
      </c>
      <c r="L467" s="343">
        <v>148</v>
      </c>
      <c r="M467" s="384">
        <v>46159</v>
      </c>
      <c r="N467" s="343" t="s">
        <v>245</v>
      </c>
      <c r="O467" s="343" t="s">
        <v>149</v>
      </c>
    </row>
    <row r="468" spans="9:15">
      <c r="I468" s="343">
        <v>20260524</v>
      </c>
      <c r="J468" s="343">
        <v>37849.25</v>
      </c>
      <c r="K468" s="343">
        <v>147</v>
      </c>
      <c r="L468" s="343">
        <v>374</v>
      </c>
      <c r="M468" s="384">
        <v>46166</v>
      </c>
      <c r="N468" s="343" t="s">
        <v>245</v>
      </c>
      <c r="O468" s="343" t="s">
        <v>150</v>
      </c>
    </row>
    <row r="469" spans="9:15">
      <c r="I469" s="343">
        <v>20260531</v>
      </c>
      <c r="J469" s="343">
        <v>20669.45</v>
      </c>
      <c r="K469" s="343">
        <v>44</v>
      </c>
      <c r="L469" s="343">
        <v>113</v>
      </c>
      <c r="M469" s="384">
        <v>46173</v>
      </c>
      <c r="N469" s="343" t="s">
        <v>245</v>
      </c>
      <c r="O469" s="343" t="s">
        <v>153</v>
      </c>
    </row>
    <row r="470" spans="9:15">
      <c r="I470" s="343">
        <v>20260607</v>
      </c>
      <c r="J470" s="343">
        <v>11926.5</v>
      </c>
      <c r="K470" s="343">
        <v>39</v>
      </c>
      <c r="L470" s="343">
        <v>104</v>
      </c>
      <c r="M470" s="384">
        <v>46180</v>
      </c>
      <c r="N470" s="343" t="s">
        <v>245</v>
      </c>
      <c r="O470" s="343" t="s">
        <v>154</v>
      </c>
    </row>
    <row r="471" spans="9:15">
      <c r="I471" s="343">
        <v>20260614</v>
      </c>
      <c r="J471" s="343">
        <v>13761</v>
      </c>
      <c r="K471" s="343">
        <v>59</v>
      </c>
      <c r="L471" s="343">
        <v>140</v>
      </c>
      <c r="M471" s="384">
        <v>46187</v>
      </c>
      <c r="N471" s="343" t="s">
        <v>245</v>
      </c>
      <c r="O471" s="343" t="s">
        <v>155</v>
      </c>
    </row>
    <row r="472" spans="9:15">
      <c r="I472" s="343">
        <v>20260621</v>
      </c>
      <c r="J472" s="343">
        <v>17992.75</v>
      </c>
      <c r="K472" s="343">
        <v>54</v>
      </c>
      <c r="L472" s="343">
        <v>157</v>
      </c>
      <c r="M472" s="384">
        <v>46194</v>
      </c>
      <c r="N472" s="343" t="s">
        <v>245</v>
      </c>
      <c r="O472" s="343" t="s">
        <v>156</v>
      </c>
    </row>
    <row r="473" spans="9:15">
      <c r="I473" s="343">
        <v>20260628</v>
      </c>
      <c r="J473" s="343">
        <v>19798.25</v>
      </c>
      <c r="K473" s="343">
        <v>60</v>
      </c>
      <c r="L473" s="343">
        <v>163</v>
      </c>
      <c r="M473" s="384">
        <v>46201</v>
      </c>
      <c r="N473" s="343" t="s">
        <v>245</v>
      </c>
      <c r="O473" s="343" t="s">
        <v>157</v>
      </c>
    </row>
    <row r="474" spans="9:15">
      <c r="I474" s="343">
        <v>20260705</v>
      </c>
      <c r="J474" s="343">
        <v>15381</v>
      </c>
      <c r="K474" s="343">
        <v>55</v>
      </c>
      <c r="L474" s="343">
        <v>154</v>
      </c>
      <c r="M474" s="384">
        <v>46208</v>
      </c>
      <c r="N474" s="343" t="s">
        <v>245</v>
      </c>
      <c r="O474" s="343" t="s">
        <v>160</v>
      </c>
    </row>
    <row r="475" spans="9:15">
      <c r="I475" s="343">
        <v>20260712</v>
      </c>
      <c r="J475" s="343">
        <v>24625.75</v>
      </c>
      <c r="K475" s="343">
        <v>76</v>
      </c>
      <c r="L475" s="343">
        <v>211</v>
      </c>
      <c r="M475" s="384">
        <v>46215</v>
      </c>
      <c r="N475" s="343" t="s">
        <v>245</v>
      </c>
      <c r="O475" s="343" t="s">
        <v>161</v>
      </c>
    </row>
    <row r="476" spans="9:15">
      <c r="I476" s="343">
        <v>20260719</v>
      </c>
      <c r="J476" s="343">
        <v>11345</v>
      </c>
      <c r="K476" s="343">
        <v>45</v>
      </c>
      <c r="L476" s="343">
        <v>117</v>
      </c>
      <c r="M476" s="384">
        <v>46222</v>
      </c>
      <c r="N476" s="343" t="s">
        <v>245</v>
      </c>
      <c r="O476" s="343" t="s">
        <v>162</v>
      </c>
    </row>
    <row r="477" spans="9:15">
      <c r="I477" s="343">
        <v>20260726</v>
      </c>
      <c r="J477" s="343">
        <v>19845</v>
      </c>
      <c r="K477" s="343">
        <v>43</v>
      </c>
      <c r="L477" s="343">
        <v>100</v>
      </c>
      <c r="M477" s="384">
        <v>46229</v>
      </c>
      <c r="N477" s="343" t="s">
        <v>245</v>
      </c>
      <c r="O477" s="343" t="s">
        <v>163</v>
      </c>
    </row>
    <row r="478" spans="9:15">
      <c r="I478" s="343">
        <v>20260802</v>
      </c>
      <c r="J478" s="343">
        <v>15942</v>
      </c>
      <c r="K478" s="343">
        <v>57</v>
      </c>
      <c r="L478" s="343">
        <v>152</v>
      </c>
      <c r="M478" s="384">
        <v>46236</v>
      </c>
      <c r="N478" s="343" t="s">
        <v>245</v>
      </c>
      <c r="O478" s="343" t="s">
        <v>166</v>
      </c>
    </row>
    <row r="479" spans="9:15">
      <c r="I479" s="343">
        <v>20260809</v>
      </c>
      <c r="J479" s="343">
        <v>15984</v>
      </c>
      <c r="K479" s="343">
        <v>77</v>
      </c>
      <c r="L479" s="343">
        <v>191</v>
      </c>
      <c r="M479" s="384">
        <v>46243</v>
      </c>
      <c r="N479" s="343" t="s">
        <v>245</v>
      </c>
      <c r="O479" s="343" t="s">
        <v>167</v>
      </c>
    </row>
    <row r="480" spans="9:15">
      <c r="I480" s="343">
        <v>20260816</v>
      </c>
      <c r="J480" s="343">
        <v>27545.75</v>
      </c>
      <c r="K480" s="343">
        <v>101</v>
      </c>
      <c r="L480" s="343">
        <v>262</v>
      </c>
      <c r="M480" s="384">
        <v>46250</v>
      </c>
      <c r="N480" s="343" t="s">
        <v>245</v>
      </c>
      <c r="O480" s="343" t="s">
        <v>168</v>
      </c>
    </row>
    <row r="481" spans="9:15">
      <c r="I481" s="343">
        <v>20260823</v>
      </c>
      <c r="J481" s="343">
        <v>20063.25</v>
      </c>
      <c r="K481" s="343">
        <v>76</v>
      </c>
      <c r="L481" s="343">
        <v>201</v>
      </c>
      <c r="M481" s="384">
        <v>46257</v>
      </c>
      <c r="N481" s="343" t="s">
        <v>245</v>
      </c>
      <c r="O481" s="343" t="s">
        <v>101</v>
      </c>
    </row>
    <row r="482" spans="9:15">
      <c r="I482" s="343">
        <v>20250203</v>
      </c>
      <c r="J482" s="343">
        <v>51</v>
      </c>
      <c r="K482" s="343">
        <v>54</v>
      </c>
      <c r="L482" s="343">
        <v>154</v>
      </c>
      <c r="M482" s="384">
        <v>45691</v>
      </c>
      <c r="N482" s="343" t="s">
        <v>232</v>
      </c>
      <c r="O482" s="343" t="s">
        <v>282</v>
      </c>
    </row>
    <row r="483" spans="9:15">
      <c r="I483" s="343">
        <v>20250303</v>
      </c>
      <c r="K483" s="343">
        <v>2</v>
      </c>
      <c r="L483" s="343">
        <v>2</v>
      </c>
      <c r="M483" s="384">
        <v>45719</v>
      </c>
      <c r="N483" s="343" t="s">
        <v>232</v>
      </c>
      <c r="O483" s="343" t="s">
        <v>290</v>
      </c>
    </row>
    <row r="484" spans="9:15">
      <c r="I484" s="343">
        <v>20250310</v>
      </c>
      <c r="K484" s="343">
        <v>3</v>
      </c>
      <c r="L484" s="343">
        <v>3</v>
      </c>
      <c r="M484" s="384">
        <v>45726</v>
      </c>
      <c r="N484" s="343" t="s">
        <v>232</v>
      </c>
      <c r="O484" s="343" t="s">
        <v>292</v>
      </c>
    </row>
    <row r="485" spans="9:15">
      <c r="I485" s="343">
        <v>20250331</v>
      </c>
      <c r="K485" s="343">
        <v>1</v>
      </c>
      <c r="L485" s="343">
        <v>1</v>
      </c>
      <c r="M485" s="384">
        <v>45747</v>
      </c>
      <c r="N485" s="343" t="s">
        <v>232</v>
      </c>
      <c r="O485" s="343" t="s">
        <v>296</v>
      </c>
    </row>
    <row r="486" spans="9:15">
      <c r="I486" s="343">
        <v>20250407</v>
      </c>
      <c r="J486" s="343">
        <v>45053.75</v>
      </c>
      <c r="K486" s="343">
        <v>95</v>
      </c>
      <c r="L486" s="343">
        <v>250</v>
      </c>
      <c r="M486" s="384">
        <v>45754</v>
      </c>
      <c r="N486" s="343" t="s">
        <v>232</v>
      </c>
      <c r="O486" s="343" t="s">
        <v>297</v>
      </c>
    </row>
    <row r="487" spans="9:15">
      <c r="I487" s="343">
        <v>20250414</v>
      </c>
      <c r="J487" s="343">
        <v>34238.5</v>
      </c>
      <c r="K487" s="343">
        <v>105</v>
      </c>
      <c r="L487" s="343">
        <v>288</v>
      </c>
      <c r="M487" s="384">
        <v>45761</v>
      </c>
      <c r="N487" s="343" t="s">
        <v>232</v>
      </c>
      <c r="O487" s="343" t="s">
        <v>298</v>
      </c>
    </row>
    <row r="488" spans="9:15">
      <c r="I488" s="343">
        <v>20250421</v>
      </c>
      <c r="J488" s="343">
        <v>23407</v>
      </c>
      <c r="K488" s="343">
        <v>85</v>
      </c>
      <c r="L488" s="343">
        <v>198</v>
      </c>
      <c r="M488" s="384">
        <v>45768</v>
      </c>
      <c r="N488" s="343" t="s">
        <v>232</v>
      </c>
      <c r="O488" s="343" t="s">
        <v>299</v>
      </c>
    </row>
    <row r="489" spans="9:15">
      <c r="I489" s="343">
        <v>20250428</v>
      </c>
      <c r="J489" s="343">
        <v>28167.25</v>
      </c>
      <c r="K489" s="343">
        <v>96</v>
      </c>
      <c r="L489" s="343">
        <v>232</v>
      </c>
      <c r="M489" s="384">
        <v>45775</v>
      </c>
      <c r="N489" s="343" t="s">
        <v>232</v>
      </c>
      <c r="O489" s="343" t="s">
        <v>300</v>
      </c>
    </row>
    <row r="490" spans="9:15">
      <c r="I490" s="343">
        <v>20250505</v>
      </c>
      <c r="J490" s="343">
        <v>26914.7</v>
      </c>
      <c r="K490" s="343">
        <v>92</v>
      </c>
      <c r="L490" s="343">
        <v>220</v>
      </c>
      <c r="M490" s="384">
        <v>45782</v>
      </c>
      <c r="N490" s="343" t="s">
        <v>232</v>
      </c>
      <c r="O490" s="343" t="s">
        <v>301</v>
      </c>
    </row>
    <row r="491" spans="9:15">
      <c r="I491" s="343">
        <v>20250512</v>
      </c>
      <c r="K491" s="343">
        <v>1</v>
      </c>
      <c r="L491" s="343">
        <v>1</v>
      </c>
      <c r="M491" s="384">
        <v>45789</v>
      </c>
      <c r="N491" s="343" t="s">
        <v>232</v>
      </c>
      <c r="O491" s="343" t="s">
        <v>302</v>
      </c>
    </row>
    <row r="492" spans="9:15">
      <c r="I492" s="343">
        <v>20250519</v>
      </c>
      <c r="J492" s="343">
        <v>-97.05</v>
      </c>
      <c r="K492" s="343">
        <v>1</v>
      </c>
      <c r="L492" s="343">
        <v>1</v>
      </c>
      <c r="M492" s="384">
        <v>45796</v>
      </c>
      <c r="N492" s="343" t="s">
        <v>232</v>
      </c>
      <c r="O492" s="343" t="s">
        <v>303</v>
      </c>
    </row>
    <row r="493" spans="9:15">
      <c r="I493" s="343">
        <v>20250526</v>
      </c>
      <c r="J493" s="343">
        <v>22552.5</v>
      </c>
      <c r="K493" s="343">
        <v>69</v>
      </c>
      <c r="L493" s="343">
        <v>157</v>
      </c>
      <c r="M493" s="384">
        <v>45803</v>
      </c>
      <c r="N493" s="343" t="s">
        <v>232</v>
      </c>
      <c r="O493" s="343" t="s">
        <v>304</v>
      </c>
    </row>
    <row r="494" spans="9:15">
      <c r="I494" s="343">
        <v>20250602</v>
      </c>
      <c r="J494" s="343">
        <v>32387.5</v>
      </c>
      <c r="K494" s="343">
        <v>67</v>
      </c>
      <c r="L494" s="343">
        <v>176</v>
      </c>
      <c r="M494" s="384">
        <v>45810</v>
      </c>
      <c r="N494" s="343" t="s">
        <v>232</v>
      </c>
      <c r="O494" s="343" t="s">
        <v>305</v>
      </c>
    </row>
    <row r="495" spans="9:15">
      <c r="I495" s="343">
        <v>20250609</v>
      </c>
      <c r="J495" s="343">
        <v>27376.25</v>
      </c>
      <c r="K495" s="343">
        <v>87</v>
      </c>
      <c r="L495" s="343">
        <v>995</v>
      </c>
      <c r="M495" s="384">
        <v>45817</v>
      </c>
      <c r="N495" s="343" t="s">
        <v>232</v>
      </c>
      <c r="O495" s="343" t="s">
        <v>306</v>
      </c>
    </row>
    <row r="496" spans="9:15">
      <c r="I496" s="343">
        <v>20250616</v>
      </c>
      <c r="J496" s="343">
        <v>24902.6</v>
      </c>
      <c r="K496" s="343">
        <v>66</v>
      </c>
      <c r="L496" s="343">
        <v>155</v>
      </c>
      <c r="M496" s="384">
        <v>45824</v>
      </c>
      <c r="N496" s="343" t="s">
        <v>232</v>
      </c>
      <c r="O496" s="343" t="s">
        <v>307</v>
      </c>
    </row>
    <row r="497" spans="9:15">
      <c r="I497" s="343">
        <v>20250623</v>
      </c>
      <c r="J497" s="343">
        <v>20903</v>
      </c>
      <c r="K497" s="343">
        <v>77</v>
      </c>
      <c r="L497" s="343">
        <v>170</v>
      </c>
      <c r="M497" s="384">
        <v>45831</v>
      </c>
      <c r="N497" s="343" t="s">
        <v>232</v>
      </c>
      <c r="O497" s="343" t="s">
        <v>308</v>
      </c>
    </row>
    <row r="498" spans="9:15">
      <c r="I498" s="343">
        <v>20250630</v>
      </c>
      <c r="J498" s="343">
        <v>26648.75</v>
      </c>
      <c r="K498" s="343">
        <v>74</v>
      </c>
      <c r="L498" s="343">
        <v>184</v>
      </c>
      <c r="M498" s="384">
        <v>45838</v>
      </c>
      <c r="N498" s="343" t="s">
        <v>232</v>
      </c>
      <c r="O498" s="343" t="s">
        <v>309</v>
      </c>
    </row>
    <row r="499" spans="9:15">
      <c r="I499" s="343">
        <v>20250707</v>
      </c>
      <c r="J499" s="343">
        <v>17582</v>
      </c>
      <c r="K499" s="343">
        <v>65</v>
      </c>
      <c r="L499" s="343">
        <v>163</v>
      </c>
      <c r="M499" s="384">
        <v>45845</v>
      </c>
      <c r="N499" s="343" t="s">
        <v>232</v>
      </c>
      <c r="O499" s="343" t="s">
        <v>310</v>
      </c>
    </row>
    <row r="500" spans="9:15">
      <c r="I500" s="343">
        <v>20250714</v>
      </c>
      <c r="J500" s="343">
        <v>30643.75</v>
      </c>
      <c r="K500" s="343">
        <v>83</v>
      </c>
      <c r="L500" s="343">
        <v>208</v>
      </c>
      <c r="M500" s="384">
        <v>45852</v>
      </c>
      <c r="N500" s="343" t="s">
        <v>232</v>
      </c>
      <c r="O500" s="343" t="s">
        <v>311</v>
      </c>
    </row>
    <row r="501" spans="9:15">
      <c r="I501" s="343">
        <v>20250721</v>
      </c>
      <c r="J501" s="343">
        <v>29137</v>
      </c>
      <c r="K501" s="343">
        <v>73</v>
      </c>
      <c r="L501" s="343">
        <v>209</v>
      </c>
      <c r="M501" s="384">
        <v>45859</v>
      </c>
      <c r="N501" s="343" t="s">
        <v>232</v>
      </c>
      <c r="O501" s="343" t="s">
        <v>312</v>
      </c>
    </row>
    <row r="502" spans="9:15">
      <c r="I502" s="343">
        <v>20250728</v>
      </c>
      <c r="J502" s="343">
        <v>26029.49</v>
      </c>
      <c r="K502" s="343">
        <v>70</v>
      </c>
      <c r="L502" s="343">
        <v>231</v>
      </c>
      <c r="M502" s="384">
        <v>45866</v>
      </c>
      <c r="N502" s="343" t="s">
        <v>232</v>
      </c>
      <c r="O502" s="343" t="s">
        <v>313</v>
      </c>
    </row>
    <row r="503" spans="9:15">
      <c r="I503" s="343">
        <v>20250804</v>
      </c>
      <c r="J503" s="343">
        <v>18742</v>
      </c>
      <c r="K503" s="343">
        <v>81</v>
      </c>
      <c r="L503" s="343">
        <v>180</v>
      </c>
      <c r="M503" s="384">
        <v>45873</v>
      </c>
      <c r="N503" s="343" t="s">
        <v>232</v>
      </c>
      <c r="O503" s="343" t="s">
        <v>314</v>
      </c>
    </row>
    <row r="504" spans="9:15">
      <c r="I504" s="343">
        <v>20250811</v>
      </c>
      <c r="J504" s="343">
        <v>20866.25</v>
      </c>
      <c r="K504" s="343">
        <v>66</v>
      </c>
      <c r="L504" s="343">
        <v>191</v>
      </c>
      <c r="M504" s="384">
        <v>45880</v>
      </c>
      <c r="N504" s="343" t="s">
        <v>232</v>
      </c>
      <c r="O504" s="343" t="s">
        <v>315</v>
      </c>
    </row>
    <row r="505" spans="9:15">
      <c r="I505" s="343">
        <v>20250818</v>
      </c>
      <c r="J505" s="343">
        <v>18777.5</v>
      </c>
      <c r="K505" s="343">
        <v>71</v>
      </c>
      <c r="L505" s="343">
        <v>168</v>
      </c>
      <c r="M505" s="384">
        <v>45887</v>
      </c>
      <c r="N505" s="343" t="s">
        <v>232</v>
      </c>
      <c r="O505" s="343" t="s">
        <v>316</v>
      </c>
    </row>
    <row r="506" spans="9:15">
      <c r="I506" s="343">
        <v>20250825</v>
      </c>
      <c r="J506" s="343">
        <v>20756.5</v>
      </c>
      <c r="K506" s="343">
        <v>68</v>
      </c>
      <c r="L506" s="343">
        <v>174</v>
      </c>
      <c r="M506" s="384">
        <v>45894</v>
      </c>
      <c r="N506" s="343" t="s">
        <v>232</v>
      </c>
      <c r="O506" s="343" t="s">
        <v>317</v>
      </c>
    </row>
    <row r="507" spans="9:15">
      <c r="I507" s="343">
        <v>20250901</v>
      </c>
      <c r="J507" s="343">
        <v>22259.5</v>
      </c>
      <c r="K507" s="343">
        <v>77</v>
      </c>
      <c r="L507" s="343">
        <v>180</v>
      </c>
      <c r="M507" s="384">
        <v>45901</v>
      </c>
      <c r="N507" s="343" t="s">
        <v>232</v>
      </c>
      <c r="O507" s="343" t="s">
        <v>318</v>
      </c>
    </row>
    <row r="508" spans="9:15">
      <c r="I508" s="343">
        <v>20250908</v>
      </c>
      <c r="J508" s="343">
        <v>17716.759999999998</v>
      </c>
      <c r="K508" s="343">
        <v>71</v>
      </c>
      <c r="L508" s="343">
        <v>141</v>
      </c>
      <c r="M508" s="384">
        <v>45908</v>
      </c>
      <c r="N508" s="343" t="s">
        <v>232</v>
      </c>
      <c r="O508" s="343" t="s">
        <v>319</v>
      </c>
    </row>
    <row r="509" spans="9:15">
      <c r="I509" s="343">
        <v>20250915</v>
      </c>
      <c r="J509" s="343">
        <v>27232.45</v>
      </c>
      <c r="K509" s="343">
        <v>60</v>
      </c>
      <c r="L509" s="343">
        <v>162</v>
      </c>
      <c r="M509" s="384">
        <v>45915</v>
      </c>
      <c r="N509" s="343" t="s">
        <v>232</v>
      </c>
      <c r="O509" s="343" t="s">
        <v>320</v>
      </c>
    </row>
    <row r="510" spans="9:15">
      <c r="I510" s="343">
        <v>20250922</v>
      </c>
      <c r="J510" s="343">
        <v>20439.5</v>
      </c>
      <c r="K510" s="343">
        <v>64</v>
      </c>
      <c r="L510" s="343">
        <v>133</v>
      </c>
      <c r="M510" s="384">
        <v>45922</v>
      </c>
      <c r="N510" s="343" t="s">
        <v>232</v>
      </c>
      <c r="O510" s="343" t="s">
        <v>321</v>
      </c>
    </row>
    <row r="511" spans="9:15">
      <c r="I511" s="343">
        <v>20250929</v>
      </c>
      <c r="J511" s="343">
        <v>22338.75</v>
      </c>
      <c r="K511" s="343">
        <v>66</v>
      </c>
      <c r="L511" s="343">
        <v>157</v>
      </c>
      <c r="M511" s="384">
        <v>45929</v>
      </c>
      <c r="N511" s="343" t="s">
        <v>232</v>
      </c>
      <c r="O511" s="343" t="s">
        <v>322</v>
      </c>
    </row>
    <row r="512" spans="9:15">
      <c r="I512" s="343">
        <v>20251006</v>
      </c>
      <c r="J512" s="343">
        <v>15667.25</v>
      </c>
      <c r="K512" s="343">
        <v>53</v>
      </c>
      <c r="L512" s="343">
        <v>115</v>
      </c>
      <c r="M512" s="384">
        <v>45936</v>
      </c>
      <c r="N512" s="343" t="s">
        <v>232</v>
      </c>
      <c r="O512" s="343" t="s">
        <v>323</v>
      </c>
    </row>
    <row r="513" spans="9:15">
      <c r="I513" s="343">
        <v>20251013</v>
      </c>
      <c r="J513" s="343">
        <v>21026.75</v>
      </c>
      <c r="K513" s="343">
        <v>67</v>
      </c>
      <c r="L513" s="343">
        <v>158</v>
      </c>
      <c r="M513" s="384">
        <v>45943</v>
      </c>
      <c r="N513" s="343" t="s">
        <v>232</v>
      </c>
      <c r="O513" s="343" t="s">
        <v>324</v>
      </c>
    </row>
    <row r="514" spans="9:15">
      <c r="I514" s="343">
        <v>20251020</v>
      </c>
      <c r="J514" s="343">
        <v>27158.25</v>
      </c>
      <c r="K514" s="343">
        <v>69</v>
      </c>
      <c r="L514" s="343">
        <v>181</v>
      </c>
      <c r="M514" s="384">
        <v>45950</v>
      </c>
      <c r="N514" s="343" t="s">
        <v>232</v>
      </c>
      <c r="O514" s="343" t="s">
        <v>325</v>
      </c>
    </row>
    <row r="515" spans="9:15">
      <c r="I515" s="343">
        <v>20251027</v>
      </c>
      <c r="J515" s="343">
        <v>22588.75</v>
      </c>
      <c r="K515" s="343">
        <v>73</v>
      </c>
      <c r="L515" s="343">
        <v>177</v>
      </c>
      <c r="M515" s="384">
        <v>45957</v>
      </c>
      <c r="N515" s="343" t="s">
        <v>232</v>
      </c>
      <c r="O515" s="343" t="s">
        <v>326</v>
      </c>
    </row>
    <row r="516" spans="9:15">
      <c r="I516" s="343">
        <v>20251103</v>
      </c>
      <c r="J516" s="343">
        <v>26911</v>
      </c>
      <c r="K516" s="343">
        <v>74</v>
      </c>
      <c r="L516" s="343">
        <v>178</v>
      </c>
      <c r="M516" s="384">
        <v>45964</v>
      </c>
      <c r="N516" s="343" t="s">
        <v>232</v>
      </c>
      <c r="O516" s="343" t="s">
        <v>327</v>
      </c>
    </row>
    <row r="517" spans="9:15">
      <c r="I517" s="343">
        <v>20251110</v>
      </c>
      <c r="J517" s="343">
        <v>35161.25</v>
      </c>
      <c r="K517" s="343">
        <v>96</v>
      </c>
      <c r="L517" s="343">
        <v>290</v>
      </c>
      <c r="M517" s="384">
        <v>45971</v>
      </c>
      <c r="N517" s="343" t="s">
        <v>232</v>
      </c>
      <c r="O517" s="343" t="s">
        <v>328</v>
      </c>
    </row>
    <row r="518" spans="9:15">
      <c r="I518" s="343">
        <v>20251117</v>
      </c>
      <c r="J518" s="343">
        <v>24398.36</v>
      </c>
      <c r="K518" s="343">
        <v>80</v>
      </c>
      <c r="L518" s="343">
        <v>192</v>
      </c>
      <c r="M518" s="384">
        <v>45978</v>
      </c>
      <c r="N518" s="343" t="s">
        <v>232</v>
      </c>
      <c r="O518" s="343" t="s">
        <v>329</v>
      </c>
    </row>
    <row r="519" spans="9:15">
      <c r="I519" s="343">
        <v>20251124</v>
      </c>
      <c r="J519" s="343">
        <v>24047.25</v>
      </c>
      <c r="K519" s="343">
        <v>60</v>
      </c>
      <c r="L519" s="343">
        <v>151</v>
      </c>
      <c r="M519" s="384">
        <v>45985</v>
      </c>
      <c r="N519" s="343" t="s">
        <v>232</v>
      </c>
      <c r="O519" s="343" t="s">
        <v>330</v>
      </c>
    </row>
    <row r="520" spans="9:15">
      <c r="I520" s="343">
        <v>20251201</v>
      </c>
      <c r="J520" s="343">
        <v>45207.55</v>
      </c>
      <c r="K520" s="343">
        <v>133</v>
      </c>
      <c r="L520" s="343">
        <v>393</v>
      </c>
      <c r="M520" s="384">
        <v>45992</v>
      </c>
      <c r="N520" s="343" t="s">
        <v>232</v>
      </c>
      <c r="O520" s="343" t="s">
        <v>331</v>
      </c>
    </row>
    <row r="521" spans="9:15">
      <c r="I521" s="343">
        <v>20251208</v>
      </c>
      <c r="J521" s="343">
        <v>33681.25</v>
      </c>
      <c r="K521" s="343">
        <v>78</v>
      </c>
      <c r="L521" s="343">
        <v>199</v>
      </c>
      <c r="M521" s="384">
        <v>45999</v>
      </c>
      <c r="N521" s="343" t="s">
        <v>232</v>
      </c>
      <c r="O521" s="343" t="s">
        <v>332</v>
      </c>
    </row>
    <row r="522" spans="9:15">
      <c r="I522" s="343">
        <v>20251215</v>
      </c>
      <c r="J522" s="343">
        <v>27759.5</v>
      </c>
      <c r="K522" s="343">
        <v>66</v>
      </c>
      <c r="L522" s="343">
        <v>222</v>
      </c>
      <c r="M522" s="384">
        <v>46006</v>
      </c>
      <c r="N522" s="343" t="s">
        <v>232</v>
      </c>
      <c r="O522" s="343" t="s">
        <v>333</v>
      </c>
    </row>
    <row r="523" spans="9:15">
      <c r="I523" s="343">
        <v>20251222</v>
      </c>
      <c r="J523" s="343">
        <v>41853.550000000003</v>
      </c>
      <c r="K523" s="343">
        <v>110</v>
      </c>
      <c r="L523" s="343">
        <v>303</v>
      </c>
      <c r="M523" s="384">
        <v>46013</v>
      </c>
      <c r="N523" s="343" t="s">
        <v>232</v>
      </c>
      <c r="O523" s="343" t="s">
        <v>334</v>
      </c>
    </row>
    <row r="524" spans="9:15">
      <c r="I524" s="343">
        <v>20251229</v>
      </c>
      <c r="J524" s="343">
        <v>56473.5</v>
      </c>
      <c r="K524" s="343">
        <v>167</v>
      </c>
      <c r="L524" s="343">
        <v>444</v>
      </c>
      <c r="M524" s="384">
        <v>46020</v>
      </c>
      <c r="N524" s="343" t="s">
        <v>232</v>
      </c>
      <c r="O524" s="343" t="s">
        <v>122</v>
      </c>
    </row>
    <row r="525" spans="9:15">
      <c r="I525" s="343">
        <v>20260105</v>
      </c>
      <c r="J525" s="343">
        <v>43155.89</v>
      </c>
      <c r="K525" s="343">
        <v>92</v>
      </c>
      <c r="L525" s="343">
        <v>264</v>
      </c>
      <c r="M525" s="384">
        <v>46027</v>
      </c>
      <c r="N525" s="343" t="s">
        <v>232</v>
      </c>
      <c r="O525" s="343" t="s">
        <v>123</v>
      </c>
    </row>
    <row r="526" spans="9:15">
      <c r="I526" s="343">
        <v>20260112</v>
      </c>
      <c r="J526" s="343">
        <v>22524.5</v>
      </c>
      <c r="K526" s="343">
        <v>72</v>
      </c>
      <c r="L526" s="343">
        <v>153</v>
      </c>
      <c r="M526" s="384">
        <v>46034</v>
      </c>
      <c r="N526" s="343" t="s">
        <v>232</v>
      </c>
      <c r="O526" s="343" t="s">
        <v>124</v>
      </c>
    </row>
    <row r="527" spans="9:15">
      <c r="I527" s="343">
        <v>20260119</v>
      </c>
      <c r="J527" s="343">
        <v>16322.25</v>
      </c>
      <c r="K527" s="343">
        <v>57</v>
      </c>
      <c r="L527" s="343">
        <v>133</v>
      </c>
      <c r="M527" s="384">
        <v>46041</v>
      </c>
      <c r="N527" s="343" t="s">
        <v>232</v>
      </c>
      <c r="O527" s="343" t="s">
        <v>125</v>
      </c>
    </row>
    <row r="528" spans="9:15">
      <c r="I528" s="343">
        <v>20260126</v>
      </c>
      <c r="J528" s="343">
        <v>57551.54</v>
      </c>
      <c r="K528" s="343">
        <v>106</v>
      </c>
      <c r="L528" s="343">
        <v>341</v>
      </c>
      <c r="M528" s="384">
        <v>46048</v>
      </c>
      <c r="N528" s="343" t="s">
        <v>232</v>
      </c>
      <c r="O528" s="343" t="s">
        <v>128</v>
      </c>
    </row>
    <row r="529" spans="9:15">
      <c r="I529" s="343">
        <v>20260202</v>
      </c>
      <c r="J529" s="343">
        <v>29887.75</v>
      </c>
      <c r="K529" s="343">
        <v>70</v>
      </c>
      <c r="L529" s="343">
        <v>194</v>
      </c>
      <c r="M529" s="384">
        <v>46055</v>
      </c>
      <c r="N529" s="343" t="s">
        <v>232</v>
      </c>
      <c r="O529" s="343" t="s">
        <v>129</v>
      </c>
    </row>
    <row r="530" spans="9:15">
      <c r="I530" s="343">
        <v>20260209</v>
      </c>
      <c r="J530" s="343">
        <v>57210.44</v>
      </c>
      <c r="K530" s="343">
        <v>138</v>
      </c>
      <c r="L530" s="343">
        <v>522</v>
      </c>
      <c r="M530" s="384">
        <v>46062</v>
      </c>
      <c r="N530" s="343" t="s">
        <v>232</v>
      </c>
      <c r="O530" s="343" t="s">
        <v>130</v>
      </c>
    </row>
    <row r="531" spans="9:15">
      <c r="I531" s="343">
        <v>20260216</v>
      </c>
      <c r="J531" s="343">
        <v>34780.25</v>
      </c>
      <c r="K531" s="343">
        <v>112</v>
      </c>
      <c r="L531" s="343">
        <v>343</v>
      </c>
      <c r="M531" s="384">
        <v>46069</v>
      </c>
      <c r="N531" s="343" t="s">
        <v>232</v>
      </c>
      <c r="O531" s="343" t="s">
        <v>131</v>
      </c>
    </row>
    <row r="532" spans="9:15">
      <c r="I532" s="343">
        <v>20260223</v>
      </c>
      <c r="J532" s="343">
        <v>33035.25</v>
      </c>
      <c r="K532" s="343">
        <v>119</v>
      </c>
      <c r="L532" s="343">
        <v>255</v>
      </c>
      <c r="M532" s="384">
        <v>46076</v>
      </c>
      <c r="N532" s="343" t="s">
        <v>232</v>
      </c>
      <c r="O532" s="343" t="s">
        <v>134</v>
      </c>
    </row>
    <row r="533" spans="9:15">
      <c r="I533" s="343">
        <v>20260302</v>
      </c>
      <c r="J533" s="343">
        <v>39216.35</v>
      </c>
      <c r="K533" s="343">
        <v>122</v>
      </c>
      <c r="L533" s="343">
        <v>311</v>
      </c>
      <c r="M533" s="384">
        <v>46083</v>
      </c>
      <c r="N533" s="343" t="s">
        <v>232</v>
      </c>
      <c r="O533" s="343" t="s">
        <v>135</v>
      </c>
    </row>
    <row r="534" spans="9:15">
      <c r="I534" s="343">
        <v>20260309</v>
      </c>
      <c r="J534" s="343">
        <v>28911.5</v>
      </c>
      <c r="K534" s="343">
        <v>81</v>
      </c>
      <c r="L534" s="343">
        <v>221</v>
      </c>
      <c r="M534" s="384">
        <v>46090</v>
      </c>
      <c r="N534" s="343" t="s">
        <v>232</v>
      </c>
      <c r="O534" s="343" t="s">
        <v>136</v>
      </c>
    </row>
    <row r="535" spans="9:15">
      <c r="I535" s="343">
        <v>20260316</v>
      </c>
      <c r="J535" s="343">
        <v>30414.75</v>
      </c>
      <c r="K535" s="343">
        <v>105</v>
      </c>
      <c r="L535" s="343">
        <v>223</v>
      </c>
      <c r="M535" s="384">
        <v>46097</v>
      </c>
      <c r="N535" s="343" t="s">
        <v>232</v>
      </c>
      <c r="O535" s="343" t="s">
        <v>137</v>
      </c>
    </row>
    <row r="536" spans="9:15">
      <c r="I536" s="343">
        <v>20260323</v>
      </c>
      <c r="J536" s="343">
        <v>27893.5</v>
      </c>
      <c r="K536" s="343">
        <v>82</v>
      </c>
      <c r="L536" s="343">
        <v>201</v>
      </c>
      <c r="M536" s="384">
        <v>46104</v>
      </c>
      <c r="N536" s="343" t="s">
        <v>232</v>
      </c>
      <c r="O536" s="343" t="s">
        <v>138</v>
      </c>
    </row>
    <row r="537" spans="9:15">
      <c r="I537" s="343">
        <v>20260330</v>
      </c>
      <c r="J537" s="343">
        <v>39721.75</v>
      </c>
      <c r="K537" s="343">
        <v>108</v>
      </c>
      <c r="L537" s="343">
        <v>304</v>
      </c>
      <c r="M537" s="384">
        <v>46111</v>
      </c>
      <c r="N537" s="343" t="s">
        <v>232</v>
      </c>
      <c r="O537" s="343" t="s">
        <v>141</v>
      </c>
    </row>
    <row r="538" spans="9:15">
      <c r="I538" s="343">
        <v>20260406</v>
      </c>
      <c r="J538" s="343">
        <v>23920.39</v>
      </c>
      <c r="K538" s="343">
        <v>89</v>
      </c>
      <c r="L538" s="343">
        <v>215</v>
      </c>
      <c r="M538" s="384">
        <v>46118</v>
      </c>
      <c r="N538" s="343" t="s">
        <v>232</v>
      </c>
      <c r="O538" s="343" t="s">
        <v>142</v>
      </c>
    </row>
    <row r="539" spans="9:15">
      <c r="I539" s="343">
        <v>20260413</v>
      </c>
      <c r="J539" s="343">
        <v>28474</v>
      </c>
      <c r="K539" s="343">
        <v>87</v>
      </c>
      <c r="L539" s="343">
        <v>229</v>
      </c>
      <c r="M539" s="384">
        <v>46125</v>
      </c>
      <c r="N539" s="343" t="s">
        <v>232</v>
      </c>
      <c r="O539" s="343" t="s">
        <v>143</v>
      </c>
    </row>
    <row r="540" spans="9:15">
      <c r="I540" s="343">
        <v>20260420</v>
      </c>
      <c r="J540" s="343">
        <v>26926.75</v>
      </c>
      <c r="K540" s="343">
        <v>90</v>
      </c>
      <c r="L540" s="343">
        <v>231</v>
      </c>
      <c r="M540" s="384">
        <v>46132</v>
      </c>
      <c r="N540" s="343" t="s">
        <v>232</v>
      </c>
      <c r="O540" s="343" t="s">
        <v>144</v>
      </c>
    </row>
    <row r="541" spans="9:15">
      <c r="I541" s="343">
        <v>20260427</v>
      </c>
      <c r="J541" s="343">
        <v>36365.65</v>
      </c>
      <c r="K541" s="343">
        <v>98</v>
      </c>
      <c r="L541" s="343">
        <v>263</v>
      </c>
      <c r="M541" s="384">
        <v>46139</v>
      </c>
      <c r="N541" s="343" t="s">
        <v>232</v>
      </c>
      <c r="O541" s="343" t="s">
        <v>147</v>
      </c>
    </row>
    <row r="542" spans="9:15">
      <c r="I542" s="343">
        <v>20260504</v>
      </c>
      <c r="J542" s="343">
        <v>35358</v>
      </c>
      <c r="K542" s="343">
        <v>112</v>
      </c>
      <c r="L542" s="343">
        <v>314</v>
      </c>
      <c r="M542" s="384">
        <v>46146</v>
      </c>
      <c r="N542" s="343" t="s">
        <v>232</v>
      </c>
      <c r="O542" s="343" t="s">
        <v>148</v>
      </c>
    </row>
    <row r="543" spans="9:15">
      <c r="I543" s="343">
        <v>20260511</v>
      </c>
      <c r="J543" s="343">
        <v>22458.75</v>
      </c>
      <c r="K543" s="343">
        <v>66</v>
      </c>
      <c r="L543" s="343">
        <v>212</v>
      </c>
      <c r="M543" s="384">
        <v>46153</v>
      </c>
      <c r="N543" s="343" t="s">
        <v>232</v>
      </c>
      <c r="O543" s="343" t="s">
        <v>149</v>
      </c>
    </row>
    <row r="544" spans="9:15">
      <c r="I544" s="343">
        <v>20260518</v>
      </c>
      <c r="J544" s="343">
        <v>21286.75</v>
      </c>
      <c r="K544" s="343">
        <v>77</v>
      </c>
      <c r="L544" s="343">
        <v>198</v>
      </c>
      <c r="M544" s="384">
        <v>46160</v>
      </c>
      <c r="N544" s="343" t="s">
        <v>232</v>
      </c>
      <c r="O544" s="343" t="s">
        <v>150</v>
      </c>
    </row>
    <row r="545" spans="9:15">
      <c r="I545" s="343">
        <v>20260525</v>
      </c>
      <c r="J545" s="343">
        <v>20479.25</v>
      </c>
      <c r="K545" s="343">
        <v>78</v>
      </c>
      <c r="L545" s="343">
        <v>200</v>
      </c>
      <c r="M545" s="384">
        <v>46167</v>
      </c>
      <c r="N545" s="343" t="s">
        <v>232</v>
      </c>
      <c r="O545" s="343" t="s">
        <v>153</v>
      </c>
    </row>
    <row r="546" spans="9:15">
      <c r="I546" s="343">
        <v>20260601</v>
      </c>
      <c r="J546" s="343">
        <v>20692</v>
      </c>
      <c r="K546" s="343">
        <v>74</v>
      </c>
      <c r="L546" s="343">
        <v>182</v>
      </c>
      <c r="M546" s="384">
        <v>46174</v>
      </c>
      <c r="N546" s="343" t="s">
        <v>232</v>
      </c>
      <c r="O546" s="343" t="s">
        <v>154</v>
      </c>
    </row>
    <row r="547" spans="9:15">
      <c r="I547" s="343">
        <v>20260608</v>
      </c>
      <c r="J547" s="343">
        <v>21665.55</v>
      </c>
      <c r="K547" s="343">
        <v>56</v>
      </c>
      <c r="L547" s="343">
        <v>192</v>
      </c>
      <c r="M547" s="384">
        <v>46181</v>
      </c>
      <c r="N547" s="343" t="s">
        <v>232</v>
      </c>
      <c r="O547" s="343" t="s">
        <v>155</v>
      </c>
    </row>
    <row r="548" spans="9:15">
      <c r="I548" s="343">
        <v>20260615</v>
      </c>
      <c r="J548" s="343">
        <v>11947</v>
      </c>
      <c r="K548" s="343">
        <v>42</v>
      </c>
      <c r="L548" s="343">
        <v>92</v>
      </c>
      <c r="M548" s="384">
        <v>46188</v>
      </c>
      <c r="N548" s="343" t="s">
        <v>232</v>
      </c>
      <c r="O548" s="343" t="s">
        <v>156</v>
      </c>
    </row>
    <row r="549" spans="9:15">
      <c r="I549" s="343">
        <v>20260622</v>
      </c>
      <c r="J549" s="343">
        <v>18622.5</v>
      </c>
      <c r="K549" s="343">
        <v>59</v>
      </c>
      <c r="L549" s="343">
        <v>161</v>
      </c>
      <c r="M549" s="384">
        <v>46195</v>
      </c>
      <c r="N549" s="343" t="s">
        <v>232</v>
      </c>
      <c r="O549" s="343" t="s">
        <v>157</v>
      </c>
    </row>
    <row r="550" spans="9:15">
      <c r="I550" s="343">
        <v>20260629</v>
      </c>
      <c r="J550" s="343">
        <v>22094.5</v>
      </c>
      <c r="K550" s="343">
        <v>73</v>
      </c>
      <c r="L550" s="343">
        <v>204</v>
      </c>
      <c r="M550" s="384">
        <v>46202</v>
      </c>
      <c r="N550" s="343" t="s">
        <v>232</v>
      </c>
      <c r="O550" s="343" t="s">
        <v>160</v>
      </c>
    </row>
    <row r="551" spans="9:15">
      <c r="I551" s="343">
        <v>20260706</v>
      </c>
      <c r="J551" s="343">
        <v>11470.75</v>
      </c>
      <c r="K551" s="343">
        <v>40</v>
      </c>
      <c r="L551" s="343">
        <v>96</v>
      </c>
      <c r="M551" s="384">
        <v>46209</v>
      </c>
      <c r="N551" s="343" t="s">
        <v>232</v>
      </c>
      <c r="O551" s="343" t="s">
        <v>161</v>
      </c>
    </row>
    <row r="552" spans="9:15">
      <c r="I552" s="343">
        <v>20260713</v>
      </c>
      <c r="J552" s="343">
        <v>21288.5</v>
      </c>
      <c r="K552" s="343">
        <v>59</v>
      </c>
      <c r="L552" s="343">
        <v>169</v>
      </c>
      <c r="M552" s="384">
        <v>46216</v>
      </c>
      <c r="N552" s="343" t="s">
        <v>232</v>
      </c>
      <c r="O552" s="343" t="s">
        <v>162</v>
      </c>
    </row>
    <row r="553" spans="9:15">
      <c r="I553" s="343">
        <v>20260720</v>
      </c>
      <c r="J553" s="343">
        <v>19188.150000000001</v>
      </c>
      <c r="K553" s="343">
        <v>56</v>
      </c>
      <c r="L553" s="343">
        <v>134</v>
      </c>
      <c r="M553" s="384">
        <v>46223</v>
      </c>
      <c r="N553" s="343" t="s">
        <v>232</v>
      </c>
      <c r="O553" s="343" t="s">
        <v>163</v>
      </c>
    </row>
    <row r="554" spans="9:15">
      <c r="I554" s="343">
        <v>20260727</v>
      </c>
      <c r="J554" s="343">
        <v>11401.5</v>
      </c>
      <c r="K554" s="343">
        <v>47</v>
      </c>
      <c r="L554" s="343">
        <v>111</v>
      </c>
      <c r="M554" s="384">
        <v>46230</v>
      </c>
      <c r="N554" s="343" t="s">
        <v>232</v>
      </c>
      <c r="O554" s="343" t="s">
        <v>166</v>
      </c>
    </row>
    <row r="555" spans="9:15">
      <c r="I555" s="343">
        <v>20260803</v>
      </c>
      <c r="J555" s="343">
        <v>11544.5</v>
      </c>
      <c r="K555" s="343">
        <v>46</v>
      </c>
      <c r="L555" s="343">
        <v>122</v>
      </c>
      <c r="M555" s="384">
        <v>46237</v>
      </c>
      <c r="N555" s="343" t="s">
        <v>232</v>
      </c>
      <c r="O555" s="343" t="s">
        <v>167</v>
      </c>
    </row>
    <row r="556" spans="9:15">
      <c r="I556" s="343">
        <v>20260810</v>
      </c>
      <c r="J556" s="343">
        <v>27283.65</v>
      </c>
      <c r="K556" s="343">
        <v>101</v>
      </c>
      <c r="L556" s="343">
        <v>265</v>
      </c>
      <c r="M556" s="384">
        <v>46244</v>
      </c>
      <c r="N556" s="343" t="s">
        <v>232</v>
      </c>
      <c r="O556" s="343" t="s">
        <v>168</v>
      </c>
    </row>
    <row r="557" spans="9:15">
      <c r="I557" s="343">
        <v>20260817</v>
      </c>
      <c r="J557" s="343">
        <v>13094.75</v>
      </c>
      <c r="K557" s="343">
        <v>60</v>
      </c>
      <c r="L557" s="343">
        <v>131</v>
      </c>
      <c r="M557" s="384">
        <v>46251</v>
      </c>
      <c r="N557" s="343" t="s">
        <v>232</v>
      </c>
      <c r="O557" s="343" t="s">
        <v>101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26E0-20B6-47B2-881E-D8C9C10C44CD}">
  <dimension ref="A1:AA263"/>
  <sheetViews>
    <sheetView topLeftCell="A50" workbookViewId="0">
      <selection activeCell="S58" sqref="S58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9.140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8.28515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7.7109375" style="343" bestFit="1" customWidth="1"/>
    <col min="18" max="18" width="8.140625" style="343" bestFit="1" customWidth="1"/>
    <col min="19" max="19" width="9.85546875" style="343" bestFit="1" customWidth="1"/>
    <col min="20" max="20" width="9.140625" style="343" bestFit="1" customWidth="1"/>
    <col min="21" max="21" width="17.85546875" style="343" bestFit="1" customWidth="1"/>
    <col min="22" max="22" width="8" style="343" bestFit="1" customWidth="1"/>
    <col min="23" max="23" width="9.140625" style="343" bestFit="1" customWidth="1"/>
    <col min="24" max="24" width="14.5703125" style="343" bestFit="1" customWidth="1"/>
    <col min="25" max="25" width="13.42578125" style="343" bestFit="1" customWidth="1"/>
    <col min="26" max="26" width="10.28515625" style="343" bestFit="1" customWidth="1"/>
    <col min="27" max="27" width="10.85546875" style="343" bestFit="1" customWidth="1"/>
    <col min="28" max="16384" width="9.140625" style="343"/>
  </cols>
  <sheetData>
    <row r="1" spans="1:27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102</v>
      </c>
      <c r="R1" s="343" t="s">
        <v>100</v>
      </c>
      <c r="S1" s="343" t="s">
        <v>112</v>
      </c>
      <c r="T1" s="343" t="s">
        <v>113</v>
      </c>
      <c r="U1" s="343" t="s">
        <v>266</v>
      </c>
      <c r="V1" s="343" t="s">
        <v>267</v>
      </c>
      <c r="W1" s="343" t="s">
        <v>116</v>
      </c>
      <c r="X1" s="343" t="s">
        <v>268</v>
      </c>
      <c r="Y1" s="343" t="s">
        <v>269</v>
      </c>
      <c r="Z1" s="343" t="s">
        <v>270</v>
      </c>
      <c r="AA1" s="343" t="s">
        <v>271</v>
      </c>
    </row>
    <row r="2" spans="1:27">
      <c r="A2" s="343">
        <v>20251229</v>
      </c>
      <c r="C2" s="343">
        <v>1</v>
      </c>
      <c r="D2" s="343">
        <v>1</v>
      </c>
      <c r="E2" s="384">
        <v>46020</v>
      </c>
      <c r="F2" s="343" t="s">
        <v>232</v>
      </c>
      <c r="G2" s="343" t="s">
        <v>122</v>
      </c>
      <c r="I2" s="343">
        <v>20260117</v>
      </c>
      <c r="J2" s="343">
        <v>7464.2</v>
      </c>
      <c r="K2" s="343">
        <v>39</v>
      </c>
      <c r="L2" s="343">
        <v>109</v>
      </c>
      <c r="M2" s="384">
        <v>46039</v>
      </c>
      <c r="N2" s="343" t="s">
        <v>244</v>
      </c>
      <c r="O2" s="343" t="s">
        <v>124</v>
      </c>
      <c r="Q2" s="343" t="s">
        <v>338</v>
      </c>
      <c r="R2" s="343" t="s">
        <v>122</v>
      </c>
      <c r="S2" s="384">
        <v>46020</v>
      </c>
      <c r="T2" s="384">
        <v>46026</v>
      </c>
    </row>
    <row r="3" spans="1:27">
      <c r="A3" s="343">
        <v>20251230</v>
      </c>
      <c r="C3" s="343">
        <v>4</v>
      </c>
      <c r="D3" s="343">
        <v>4</v>
      </c>
      <c r="E3" s="384">
        <v>46021</v>
      </c>
      <c r="F3" s="343" t="s">
        <v>233</v>
      </c>
      <c r="G3" s="343" t="s">
        <v>122</v>
      </c>
      <c r="I3" s="343">
        <v>20260118</v>
      </c>
      <c r="J3" s="343">
        <v>16380.9</v>
      </c>
      <c r="K3" s="343">
        <v>73</v>
      </c>
      <c r="L3" s="343">
        <v>229</v>
      </c>
      <c r="M3" s="384">
        <v>46040</v>
      </c>
      <c r="N3" s="343" t="s">
        <v>245</v>
      </c>
      <c r="O3" s="343" t="s">
        <v>124</v>
      </c>
      <c r="Q3" s="343" t="s">
        <v>338</v>
      </c>
      <c r="R3" s="343" t="s">
        <v>122</v>
      </c>
      <c r="S3" s="384">
        <v>46020</v>
      </c>
      <c r="T3" s="384">
        <v>46026</v>
      </c>
    </row>
    <row r="4" spans="1:27">
      <c r="A4" s="343">
        <v>20251231</v>
      </c>
      <c r="B4" s="343">
        <v>115689</v>
      </c>
      <c r="C4" s="343">
        <v>156</v>
      </c>
      <c r="D4" s="343">
        <v>540</v>
      </c>
      <c r="E4" s="384">
        <v>46022</v>
      </c>
      <c r="F4" s="343" t="s">
        <v>234</v>
      </c>
      <c r="G4" s="343" t="s">
        <v>122</v>
      </c>
      <c r="I4" s="343">
        <v>20260124</v>
      </c>
      <c r="J4" s="343">
        <v>7110.71</v>
      </c>
      <c r="K4" s="343">
        <v>29</v>
      </c>
      <c r="L4" s="343">
        <v>81</v>
      </c>
      <c r="M4" s="384">
        <v>46046</v>
      </c>
      <c r="N4" s="343" t="s">
        <v>244</v>
      </c>
      <c r="O4" s="343" t="s">
        <v>125</v>
      </c>
      <c r="Q4" s="343" t="s">
        <v>338</v>
      </c>
      <c r="R4" s="343" t="s">
        <v>122</v>
      </c>
      <c r="S4" s="384">
        <v>46020</v>
      </c>
      <c r="T4" s="384">
        <v>46026</v>
      </c>
    </row>
    <row r="5" spans="1:27">
      <c r="A5" s="343">
        <v>20260101</v>
      </c>
      <c r="B5" s="343">
        <v>22869.99</v>
      </c>
      <c r="C5" s="343">
        <v>69</v>
      </c>
      <c r="D5" s="343">
        <v>222</v>
      </c>
      <c r="E5" s="384">
        <v>46023</v>
      </c>
      <c r="F5" s="343" t="s">
        <v>235</v>
      </c>
      <c r="G5" s="343" t="s">
        <v>122</v>
      </c>
      <c r="I5" s="343">
        <v>20260125</v>
      </c>
      <c r="J5" s="343">
        <v>12250.01</v>
      </c>
      <c r="K5" s="343">
        <v>46</v>
      </c>
      <c r="L5" s="343">
        <v>149</v>
      </c>
      <c r="M5" s="384">
        <v>46047</v>
      </c>
      <c r="N5" s="343" t="s">
        <v>245</v>
      </c>
      <c r="O5" s="343" t="s">
        <v>125</v>
      </c>
      <c r="Q5" s="343" t="s">
        <v>338</v>
      </c>
      <c r="R5" s="343" t="s">
        <v>122</v>
      </c>
      <c r="S5" s="384">
        <v>46020</v>
      </c>
      <c r="T5" s="384">
        <v>46026</v>
      </c>
    </row>
    <row r="6" spans="1:27">
      <c r="A6" s="343">
        <v>20260102</v>
      </c>
      <c r="B6" s="343">
        <v>38647.99</v>
      </c>
      <c r="C6" s="343">
        <v>130</v>
      </c>
      <c r="D6" s="343">
        <v>370</v>
      </c>
      <c r="E6" s="384">
        <v>46024</v>
      </c>
      <c r="F6" s="343" t="s">
        <v>236</v>
      </c>
      <c r="G6" s="343" t="s">
        <v>122</v>
      </c>
      <c r="I6" s="343">
        <v>20260131</v>
      </c>
      <c r="J6" s="343">
        <v>23310.52</v>
      </c>
      <c r="K6" s="343">
        <v>125</v>
      </c>
      <c r="L6" s="343">
        <v>353</v>
      </c>
      <c r="M6" s="384">
        <v>46053</v>
      </c>
      <c r="N6" s="343" t="s">
        <v>244</v>
      </c>
      <c r="O6" s="343" t="s">
        <v>128</v>
      </c>
      <c r="Q6" s="343" t="s">
        <v>338</v>
      </c>
      <c r="R6" s="343" t="s">
        <v>122</v>
      </c>
      <c r="S6" s="384">
        <v>46020</v>
      </c>
      <c r="T6" s="384">
        <v>46026</v>
      </c>
    </row>
    <row r="7" spans="1:27">
      <c r="A7" s="343">
        <v>20260103</v>
      </c>
      <c r="B7" s="343">
        <v>61204.18</v>
      </c>
      <c r="C7" s="343">
        <v>258</v>
      </c>
      <c r="D7" s="343">
        <v>699</v>
      </c>
      <c r="E7" s="384">
        <v>46025</v>
      </c>
      <c r="F7" s="343" t="s">
        <v>244</v>
      </c>
      <c r="G7" s="343" t="s">
        <v>122</v>
      </c>
      <c r="I7" s="343">
        <v>20260201</v>
      </c>
      <c r="J7" s="343">
        <v>34713.29</v>
      </c>
      <c r="K7" s="343">
        <v>147</v>
      </c>
      <c r="L7" s="343">
        <v>410</v>
      </c>
      <c r="M7" s="384">
        <v>46054</v>
      </c>
      <c r="N7" s="343" t="s">
        <v>245</v>
      </c>
      <c r="O7" s="343" t="s">
        <v>128</v>
      </c>
      <c r="Q7" s="343" t="s">
        <v>338</v>
      </c>
      <c r="R7" s="343" t="s">
        <v>122</v>
      </c>
      <c r="S7" s="384">
        <v>46020</v>
      </c>
      <c r="T7" s="384">
        <v>46026</v>
      </c>
    </row>
    <row r="8" spans="1:27">
      <c r="A8" s="343">
        <v>20260104</v>
      </c>
      <c r="B8" s="343">
        <v>19925.650000000001</v>
      </c>
      <c r="C8" s="343">
        <v>79</v>
      </c>
      <c r="D8" s="343">
        <v>212</v>
      </c>
      <c r="E8" s="384">
        <v>46026</v>
      </c>
      <c r="F8" s="343" t="s">
        <v>245</v>
      </c>
      <c r="G8" s="343" t="s">
        <v>122</v>
      </c>
      <c r="I8" s="343">
        <v>20260207</v>
      </c>
      <c r="J8" s="343">
        <v>18015.11</v>
      </c>
      <c r="K8" s="343">
        <v>73</v>
      </c>
      <c r="L8" s="343">
        <v>250</v>
      </c>
      <c r="M8" s="384">
        <v>46060</v>
      </c>
      <c r="N8" s="343" t="s">
        <v>244</v>
      </c>
      <c r="O8" s="343" t="s">
        <v>129</v>
      </c>
      <c r="Q8" s="343" t="s">
        <v>338</v>
      </c>
      <c r="R8" s="343" t="s">
        <v>122</v>
      </c>
      <c r="S8" s="384">
        <v>46020</v>
      </c>
      <c r="T8" s="384">
        <v>46026</v>
      </c>
    </row>
    <row r="9" spans="1:27">
      <c r="A9" s="343">
        <v>20260105</v>
      </c>
      <c r="B9" s="343">
        <v>1</v>
      </c>
      <c r="C9" s="343">
        <v>3</v>
      </c>
      <c r="D9" s="343">
        <v>3</v>
      </c>
      <c r="E9" s="384">
        <v>46027</v>
      </c>
      <c r="F9" s="343" t="s">
        <v>232</v>
      </c>
      <c r="G9" s="343" t="s">
        <v>123</v>
      </c>
      <c r="I9" s="343">
        <v>20260208</v>
      </c>
      <c r="J9" s="343">
        <v>24240</v>
      </c>
      <c r="K9" s="343">
        <v>102</v>
      </c>
      <c r="L9" s="343">
        <v>344</v>
      </c>
      <c r="M9" s="384">
        <v>46061</v>
      </c>
      <c r="N9" s="343" t="s">
        <v>245</v>
      </c>
      <c r="O9" s="343" t="s">
        <v>129</v>
      </c>
      <c r="Q9" s="343" t="s">
        <v>338</v>
      </c>
      <c r="R9" s="343" t="s">
        <v>122</v>
      </c>
      <c r="S9" s="384">
        <v>46020</v>
      </c>
      <c r="T9" s="384">
        <v>46026</v>
      </c>
    </row>
    <row r="10" spans="1:27">
      <c r="A10" s="343">
        <v>20260107</v>
      </c>
      <c r="B10" s="343">
        <v>21766.3</v>
      </c>
      <c r="C10" s="343">
        <v>93</v>
      </c>
      <c r="D10" s="343">
        <v>261</v>
      </c>
      <c r="E10" s="384">
        <v>46029</v>
      </c>
      <c r="F10" s="343" t="s">
        <v>234</v>
      </c>
      <c r="G10" s="343" t="s">
        <v>123</v>
      </c>
      <c r="I10" s="343">
        <v>20260214</v>
      </c>
      <c r="J10" s="343">
        <v>27332.57</v>
      </c>
      <c r="K10" s="343">
        <v>111</v>
      </c>
      <c r="L10" s="343">
        <v>593</v>
      </c>
      <c r="M10" s="384">
        <v>46067</v>
      </c>
      <c r="N10" s="343" t="s">
        <v>244</v>
      </c>
      <c r="O10" s="343" t="s">
        <v>130</v>
      </c>
      <c r="Q10" s="343" t="s">
        <v>338</v>
      </c>
      <c r="R10" s="343" t="s">
        <v>123</v>
      </c>
      <c r="S10" s="384">
        <v>46027</v>
      </c>
      <c r="T10" s="384">
        <v>46033</v>
      </c>
    </row>
    <row r="11" spans="1:27">
      <c r="A11" s="343">
        <v>20260108</v>
      </c>
      <c r="B11" s="343">
        <v>39881.31</v>
      </c>
      <c r="C11" s="343">
        <v>93</v>
      </c>
      <c r="D11" s="343">
        <v>324</v>
      </c>
      <c r="E11" s="384">
        <v>46030</v>
      </c>
      <c r="F11" s="343" t="s">
        <v>235</v>
      </c>
      <c r="G11" s="343" t="s">
        <v>123</v>
      </c>
      <c r="I11" s="343">
        <v>20260215</v>
      </c>
      <c r="J11" s="343">
        <v>31217.1</v>
      </c>
      <c r="K11" s="343">
        <v>138</v>
      </c>
      <c r="L11" s="343">
        <v>422</v>
      </c>
      <c r="M11" s="384">
        <v>46068</v>
      </c>
      <c r="N11" s="343" t="s">
        <v>245</v>
      </c>
      <c r="O11" s="343" t="s">
        <v>130</v>
      </c>
      <c r="Q11" s="343" t="s">
        <v>338</v>
      </c>
      <c r="R11" s="343" t="s">
        <v>123</v>
      </c>
      <c r="S11" s="384">
        <v>46027</v>
      </c>
      <c r="T11" s="384">
        <v>46033</v>
      </c>
    </row>
    <row r="12" spans="1:27">
      <c r="A12" s="343">
        <v>20260109</v>
      </c>
      <c r="B12" s="343">
        <v>48914.3</v>
      </c>
      <c r="C12" s="343">
        <v>202</v>
      </c>
      <c r="D12" s="343">
        <v>1260</v>
      </c>
      <c r="E12" s="384">
        <v>46031</v>
      </c>
      <c r="F12" s="343" t="s">
        <v>236</v>
      </c>
      <c r="G12" s="343" t="s">
        <v>123</v>
      </c>
      <c r="I12" s="343">
        <v>20260221</v>
      </c>
      <c r="J12" s="343">
        <v>24586.23</v>
      </c>
      <c r="K12" s="343">
        <v>106</v>
      </c>
      <c r="L12" s="343">
        <v>324</v>
      </c>
      <c r="M12" s="384">
        <v>46074</v>
      </c>
      <c r="N12" s="343" t="s">
        <v>244</v>
      </c>
      <c r="O12" s="343" t="s">
        <v>131</v>
      </c>
      <c r="Q12" s="343" t="s">
        <v>338</v>
      </c>
      <c r="R12" s="343" t="s">
        <v>123</v>
      </c>
      <c r="S12" s="384">
        <v>46027</v>
      </c>
      <c r="T12" s="384">
        <v>46033</v>
      </c>
    </row>
    <row r="13" spans="1:27">
      <c r="A13" s="343">
        <v>20260110</v>
      </c>
      <c r="B13" s="343">
        <v>67040.06</v>
      </c>
      <c r="C13" s="343">
        <v>244</v>
      </c>
      <c r="D13" s="343">
        <v>634</v>
      </c>
      <c r="E13" s="384">
        <v>46032</v>
      </c>
      <c r="F13" s="343" t="s">
        <v>244</v>
      </c>
      <c r="G13" s="343" t="s">
        <v>123</v>
      </c>
      <c r="I13" s="343">
        <v>20260222</v>
      </c>
      <c r="J13" s="343">
        <v>31880.6</v>
      </c>
      <c r="K13" s="343">
        <v>123</v>
      </c>
      <c r="L13" s="343">
        <v>432</v>
      </c>
      <c r="M13" s="384">
        <v>46075</v>
      </c>
      <c r="N13" s="343" t="s">
        <v>245</v>
      </c>
      <c r="O13" s="343" t="s">
        <v>131</v>
      </c>
      <c r="Q13" s="343" t="s">
        <v>338</v>
      </c>
      <c r="R13" s="343" t="s">
        <v>123</v>
      </c>
      <c r="S13" s="384">
        <v>46027</v>
      </c>
      <c r="T13" s="384">
        <v>46033</v>
      </c>
    </row>
    <row r="14" spans="1:27">
      <c r="A14" s="343">
        <v>20260111</v>
      </c>
      <c r="B14" s="343">
        <v>21034.39</v>
      </c>
      <c r="C14" s="343">
        <v>84</v>
      </c>
      <c r="D14" s="343">
        <v>252</v>
      </c>
      <c r="E14" s="384">
        <v>46033</v>
      </c>
      <c r="F14" s="343" t="s">
        <v>245</v>
      </c>
      <c r="G14" s="343" t="s">
        <v>123</v>
      </c>
      <c r="I14" s="343">
        <v>20260228</v>
      </c>
      <c r="J14" s="343">
        <v>20997.19</v>
      </c>
      <c r="K14" s="343">
        <v>92</v>
      </c>
      <c r="L14" s="343">
        <v>310</v>
      </c>
      <c r="M14" s="384">
        <v>46081</v>
      </c>
      <c r="N14" s="343" t="s">
        <v>244</v>
      </c>
      <c r="O14" s="343" t="s">
        <v>134</v>
      </c>
      <c r="Q14" s="343" t="s">
        <v>338</v>
      </c>
      <c r="R14" s="343" t="s">
        <v>123</v>
      </c>
      <c r="S14" s="384">
        <v>46027</v>
      </c>
      <c r="T14" s="384">
        <v>46033</v>
      </c>
    </row>
    <row r="15" spans="1:27">
      <c r="A15" s="343">
        <v>20260113</v>
      </c>
      <c r="C15" s="343">
        <v>3</v>
      </c>
      <c r="D15" s="343">
        <v>3</v>
      </c>
      <c r="E15" s="384">
        <v>46035</v>
      </c>
      <c r="F15" s="343" t="s">
        <v>233</v>
      </c>
      <c r="G15" s="343" t="s">
        <v>124</v>
      </c>
      <c r="I15" s="343">
        <v>20260301</v>
      </c>
      <c r="J15" s="343">
        <v>32851.56</v>
      </c>
      <c r="K15" s="343">
        <v>130</v>
      </c>
      <c r="L15" s="343">
        <v>441</v>
      </c>
      <c r="M15" s="384">
        <v>46082</v>
      </c>
      <c r="N15" s="343" t="s">
        <v>245</v>
      </c>
      <c r="O15" s="343" t="s">
        <v>134</v>
      </c>
      <c r="Q15" s="343" t="s">
        <v>338</v>
      </c>
      <c r="R15" s="343" t="s">
        <v>123</v>
      </c>
      <c r="S15" s="384">
        <v>46027</v>
      </c>
      <c r="T15" s="384">
        <v>46033</v>
      </c>
    </row>
    <row r="16" spans="1:27">
      <c r="A16" s="343">
        <v>20260114</v>
      </c>
      <c r="B16" s="343">
        <v>26849.55</v>
      </c>
      <c r="C16" s="343">
        <v>118</v>
      </c>
      <c r="D16" s="343">
        <v>296</v>
      </c>
      <c r="E16" s="384">
        <v>46036</v>
      </c>
      <c r="F16" s="343" t="s">
        <v>234</v>
      </c>
      <c r="G16" s="343" t="s">
        <v>124</v>
      </c>
      <c r="I16" s="343">
        <v>20260307</v>
      </c>
      <c r="J16" s="343">
        <v>18371</v>
      </c>
      <c r="K16" s="343">
        <v>65</v>
      </c>
      <c r="L16" s="343">
        <v>236</v>
      </c>
      <c r="M16" s="384">
        <v>46088</v>
      </c>
      <c r="N16" s="343" t="s">
        <v>244</v>
      </c>
      <c r="O16" s="343" t="s">
        <v>135</v>
      </c>
      <c r="Q16" s="343" t="s">
        <v>338</v>
      </c>
      <c r="R16" s="343" t="s">
        <v>123</v>
      </c>
      <c r="S16" s="384">
        <v>46027</v>
      </c>
      <c r="T16" s="384">
        <v>46033</v>
      </c>
    </row>
    <row r="17" spans="1:20">
      <c r="A17" s="343">
        <v>20260115</v>
      </c>
      <c r="B17" s="343">
        <v>38242.980000000003</v>
      </c>
      <c r="C17" s="343">
        <v>111</v>
      </c>
      <c r="D17" s="343">
        <v>312</v>
      </c>
      <c r="E17" s="384">
        <v>46037</v>
      </c>
      <c r="F17" s="343" t="s">
        <v>235</v>
      </c>
      <c r="G17" s="343" t="s">
        <v>124</v>
      </c>
      <c r="I17" s="343">
        <v>20260308</v>
      </c>
      <c r="J17" s="343">
        <v>25342.62</v>
      </c>
      <c r="K17" s="343">
        <v>115</v>
      </c>
      <c r="L17" s="343">
        <v>370</v>
      </c>
      <c r="M17" s="384">
        <v>46089</v>
      </c>
      <c r="N17" s="343" t="s">
        <v>245</v>
      </c>
      <c r="O17" s="343" t="s">
        <v>135</v>
      </c>
      <c r="Q17" s="343" t="s">
        <v>338</v>
      </c>
      <c r="R17" s="343" t="s">
        <v>124</v>
      </c>
      <c r="S17" s="384">
        <v>46034</v>
      </c>
      <c r="T17" s="384">
        <v>46040</v>
      </c>
    </row>
    <row r="18" spans="1:20">
      <c r="A18" s="343">
        <v>20260116</v>
      </c>
      <c r="B18" s="343">
        <v>55757.27</v>
      </c>
      <c r="C18" s="343">
        <v>223</v>
      </c>
      <c r="D18" s="343">
        <v>622</v>
      </c>
      <c r="E18" s="384">
        <v>46038</v>
      </c>
      <c r="F18" s="343" t="s">
        <v>236</v>
      </c>
      <c r="G18" s="343" t="s">
        <v>124</v>
      </c>
      <c r="I18" s="343">
        <v>20260314</v>
      </c>
      <c r="J18" s="343">
        <v>20333.099999999999</v>
      </c>
      <c r="K18" s="343">
        <v>86</v>
      </c>
      <c r="L18" s="343">
        <v>291</v>
      </c>
      <c r="M18" s="384">
        <v>46095</v>
      </c>
      <c r="N18" s="343" t="s">
        <v>244</v>
      </c>
      <c r="O18" s="343" t="s">
        <v>136</v>
      </c>
      <c r="Q18" s="343" t="s">
        <v>338</v>
      </c>
      <c r="R18" s="343" t="s">
        <v>124</v>
      </c>
      <c r="S18" s="384">
        <v>46034</v>
      </c>
      <c r="T18" s="384">
        <v>46040</v>
      </c>
    </row>
    <row r="19" spans="1:20">
      <c r="A19" s="343">
        <v>20260117</v>
      </c>
      <c r="B19" s="343">
        <v>62245.36</v>
      </c>
      <c r="C19" s="343">
        <v>250</v>
      </c>
      <c r="D19" s="343">
        <v>634</v>
      </c>
      <c r="E19" s="384">
        <v>46039</v>
      </c>
      <c r="F19" s="343" t="s">
        <v>244</v>
      </c>
      <c r="G19" s="343" t="s">
        <v>124</v>
      </c>
      <c r="I19" s="343">
        <v>20260315</v>
      </c>
      <c r="J19" s="343">
        <v>25676.23</v>
      </c>
      <c r="K19" s="343">
        <v>101</v>
      </c>
      <c r="L19" s="343">
        <v>362</v>
      </c>
      <c r="M19" s="384">
        <v>46096</v>
      </c>
      <c r="N19" s="343" t="s">
        <v>245</v>
      </c>
      <c r="O19" s="343" t="s">
        <v>136</v>
      </c>
      <c r="Q19" s="343" t="s">
        <v>338</v>
      </c>
      <c r="R19" s="343" t="s">
        <v>124</v>
      </c>
      <c r="S19" s="384">
        <v>46034</v>
      </c>
      <c r="T19" s="384">
        <v>46040</v>
      </c>
    </row>
    <row r="20" spans="1:20">
      <c r="A20" s="343">
        <v>20260118</v>
      </c>
      <c r="B20" s="343">
        <v>29384.36</v>
      </c>
      <c r="C20" s="343">
        <v>118</v>
      </c>
      <c r="D20" s="343">
        <v>569</v>
      </c>
      <c r="E20" s="384">
        <v>46040</v>
      </c>
      <c r="F20" s="343" t="s">
        <v>245</v>
      </c>
      <c r="G20" s="343" t="s">
        <v>124</v>
      </c>
      <c r="I20" s="343">
        <v>20260321</v>
      </c>
      <c r="J20" s="343">
        <v>18318.62</v>
      </c>
      <c r="K20" s="343">
        <v>66</v>
      </c>
      <c r="L20" s="343">
        <v>239</v>
      </c>
      <c r="M20" s="384">
        <v>46102</v>
      </c>
      <c r="N20" s="343" t="s">
        <v>244</v>
      </c>
      <c r="O20" s="343" t="s">
        <v>137</v>
      </c>
      <c r="Q20" s="343" t="s">
        <v>338</v>
      </c>
      <c r="R20" s="343" t="s">
        <v>124</v>
      </c>
      <c r="S20" s="384">
        <v>46034</v>
      </c>
      <c r="T20" s="384">
        <v>46040</v>
      </c>
    </row>
    <row r="21" spans="1:20">
      <c r="A21" s="343">
        <v>20260119</v>
      </c>
      <c r="C21" s="343">
        <v>1</v>
      </c>
      <c r="D21" s="343">
        <v>1</v>
      </c>
      <c r="E21" s="384">
        <v>46041</v>
      </c>
      <c r="F21" s="343" t="s">
        <v>232</v>
      </c>
      <c r="G21" s="343" t="s">
        <v>125</v>
      </c>
      <c r="I21" s="343">
        <v>20260322</v>
      </c>
      <c r="J21" s="343">
        <v>29155.1</v>
      </c>
      <c r="K21" s="343">
        <v>105</v>
      </c>
      <c r="L21" s="343">
        <v>428</v>
      </c>
      <c r="M21" s="384">
        <v>46103</v>
      </c>
      <c r="N21" s="343" t="s">
        <v>245</v>
      </c>
      <c r="O21" s="343" t="s">
        <v>137</v>
      </c>
      <c r="Q21" s="343" t="s">
        <v>338</v>
      </c>
      <c r="R21" s="343" t="s">
        <v>124</v>
      </c>
      <c r="S21" s="384">
        <v>46034</v>
      </c>
      <c r="T21" s="384">
        <v>46040</v>
      </c>
    </row>
    <row r="22" spans="1:20">
      <c r="A22" s="343">
        <v>20260120</v>
      </c>
      <c r="C22" s="343">
        <v>23</v>
      </c>
      <c r="D22" s="343">
        <v>23</v>
      </c>
      <c r="E22" s="384">
        <v>46042</v>
      </c>
      <c r="F22" s="343" t="s">
        <v>233</v>
      </c>
      <c r="G22" s="343" t="s">
        <v>125</v>
      </c>
      <c r="I22" s="343">
        <v>20260328</v>
      </c>
      <c r="J22" s="343">
        <v>21488.61</v>
      </c>
      <c r="K22" s="343">
        <v>70</v>
      </c>
      <c r="L22" s="343">
        <v>261</v>
      </c>
      <c r="M22" s="384">
        <v>46109</v>
      </c>
      <c r="N22" s="343" t="s">
        <v>244</v>
      </c>
      <c r="O22" s="343" t="s">
        <v>138</v>
      </c>
      <c r="Q22" s="343" t="s">
        <v>338</v>
      </c>
      <c r="R22" s="343" t="s">
        <v>124</v>
      </c>
      <c r="S22" s="384">
        <v>46034</v>
      </c>
      <c r="T22" s="384">
        <v>46040</v>
      </c>
    </row>
    <row r="23" spans="1:20">
      <c r="A23" s="343">
        <v>20260121</v>
      </c>
      <c r="B23" s="343">
        <v>31009.85</v>
      </c>
      <c r="C23" s="343">
        <v>85</v>
      </c>
      <c r="D23" s="343">
        <v>239</v>
      </c>
      <c r="E23" s="384">
        <v>46043</v>
      </c>
      <c r="F23" s="343" t="s">
        <v>234</v>
      </c>
      <c r="G23" s="343" t="s">
        <v>125</v>
      </c>
      <c r="I23" s="343">
        <v>20260329</v>
      </c>
      <c r="J23" s="343">
        <v>23323.75</v>
      </c>
      <c r="K23" s="343">
        <v>91</v>
      </c>
      <c r="L23" s="343">
        <v>273</v>
      </c>
      <c r="M23" s="384">
        <v>46110</v>
      </c>
      <c r="N23" s="343" t="s">
        <v>245</v>
      </c>
      <c r="O23" s="343" t="s">
        <v>138</v>
      </c>
      <c r="Q23" s="343" t="s">
        <v>338</v>
      </c>
      <c r="R23" s="343" t="s">
        <v>124</v>
      </c>
      <c r="S23" s="384">
        <v>46034</v>
      </c>
      <c r="T23" s="384">
        <v>46040</v>
      </c>
    </row>
    <row r="24" spans="1:20">
      <c r="A24" s="343">
        <v>20260122</v>
      </c>
      <c r="B24" s="343">
        <v>31961.09</v>
      </c>
      <c r="C24" s="343">
        <v>97</v>
      </c>
      <c r="D24" s="343">
        <v>271</v>
      </c>
      <c r="E24" s="384">
        <v>46044</v>
      </c>
      <c r="F24" s="343" t="s">
        <v>235</v>
      </c>
      <c r="G24" s="343" t="s">
        <v>125</v>
      </c>
      <c r="I24" s="343">
        <v>20260404</v>
      </c>
      <c r="J24" s="343">
        <v>22649.5</v>
      </c>
      <c r="K24" s="343">
        <v>93</v>
      </c>
      <c r="L24" s="343">
        <v>331</v>
      </c>
      <c r="M24" s="384">
        <v>46116</v>
      </c>
      <c r="N24" s="343" t="s">
        <v>244</v>
      </c>
      <c r="O24" s="343" t="s">
        <v>141</v>
      </c>
      <c r="Q24" s="343" t="s">
        <v>338</v>
      </c>
      <c r="R24" s="343" t="s">
        <v>124</v>
      </c>
      <c r="S24" s="384">
        <v>46034</v>
      </c>
      <c r="T24" s="384">
        <v>46040</v>
      </c>
    </row>
    <row r="25" spans="1:20">
      <c r="A25" s="343">
        <v>20260123</v>
      </c>
      <c r="B25" s="343">
        <v>57573.41</v>
      </c>
      <c r="C25" s="343">
        <v>203</v>
      </c>
      <c r="D25" s="343">
        <v>555</v>
      </c>
      <c r="E25" s="384">
        <v>46045</v>
      </c>
      <c r="F25" s="343" t="s">
        <v>236</v>
      </c>
      <c r="G25" s="343" t="s">
        <v>125</v>
      </c>
      <c r="I25" s="343">
        <v>20260405</v>
      </c>
      <c r="J25" s="343">
        <v>41717.379999999997</v>
      </c>
      <c r="K25" s="343">
        <v>119</v>
      </c>
      <c r="L25" s="343">
        <v>484</v>
      </c>
      <c r="M25" s="384">
        <v>46117</v>
      </c>
      <c r="N25" s="343" t="s">
        <v>245</v>
      </c>
      <c r="O25" s="343" t="s">
        <v>141</v>
      </c>
      <c r="Q25" s="343" t="s">
        <v>338</v>
      </c>
      <c r="R25" s="343" t="s">
        <v>125</v>
      </c>
      <c r="S25" s="384">
        <v>46041</v>
      </c>
      <c r="T25" s="384">
        <v>46047</v>
      </c>
    </row>
    <row r="26" spans="1:20">
      <c r="A26" s="343">
        <v>20260124</v>
      </c>
      <c r="B26" s="343">
        <v>62312.44</v>
      </c>
      <c r="C26" s="343">
        <v>220</v>
      </c>
      <c r="D26" s="343">
        <v>601</v>
      </c>
      <c r="E26" s="384">
        <v>46046</v>
      </c>
      <c r="F26" s="343" t="s">
        <v>244</v>
      </c>
      <c r="G26" s="343" t="s">
        <v>125</v>
      </c>
      <c r="I26" s="343">
        <v>20260406</v>
      </c>
      <c r="J26" s="343">
        <v>-1303.4000000000001</v>
      </c>
      <c r="M26" s="384">
        <v>46118</v>
      </c>
      <c r="N26" s="343" t="s">
        <v>232</v>
      </c>
      <c r="O26" s="343" t="s">
        <v>142</v>
      </c>
      <c r="Q26" s="343" t="s">
        <v>338</v>
      </c>
      <c r="R26" s="343" t="s">
        <v>125</v>
      </c>
      <c r="S26" s="384">
        <v>46041</v>
      </c>
      <c r="T26" s="384">
        <v>46047</v>
      </c>
    </row>
    <row r="27" spans="1:20">
      <c r="A27" s="343">
        <v>20260125</v>
      </c>
      <c r="B27" s="343">
        <v>26657.81</v>
      </c>
      <c r="C27" s="343">
        <v>86</v>
      </c>
      <c r="D27" s="343">
        <v>259</v>
      </c>
      <c r="E27" s="384">
        <v>46047</v>
      </c>
      <c r="F27" s="343" t="s">
        <v>245</v>
      </c>
      <c r="G27" s="343" t="s">
        <v>125</v>
      </c>
      <c r="I27" s="343">
        <v>20260411</v>
      </c>
      <c r="J27" s="343">
        <v>15034.48</v>
      </c>
      <c r="K27" s="343">
        <v>56</v>
      </c>
      <c r="L27" s="343">
        <v>178</v>
      </c>
      <c r="M27" s="384">
        <v>46123</v>
      </c>
      <c r="N27" s="343" t="s">
        <v>244</v>
      </c>
      <c r="O27" s="343" t="s">
        <v>142</v>
      </c>
      <c r="Q27" s="343" t="s">
        <v>338</v>
      </c>
      <c r="R27" s="343" t="s">
        <v>125</v>
      </c>
      <c r="S27" s="384">
        <v>46041</v>
      </c>
      <c r="T27" s="384">
        <v>46047</v>
      </c>
    </row>
    <row r="28" spans="1:20">
      <c r="A28" s="343">
        <v>20260126</v>
      </c>
      <c r="B28" s="343">
        <v>12600</v>
      </c>
      <c r="C28" s="343">
        <v>1</v>
      </c>
      <c r="D28" s="343">
        <v>10</v>
      </c>
      <c r="E28" s="384">
        <v>46048</v>
      </c>
      <c r="F28" s="343" t="s">
        <v>232</v>
      </c>
      <c r="G28" s="343" t="s">
        <v>128</v>
      </c>
      <c r="I28" s="343">
        <v>20260412</v>
      </c>
      <c r="J28" s="343">
        <v>27194.5</v>
      </c>
      <c r="K28" s="343">
        <v>119</v>
      </c>
      <c r="L28" s="343">
        <v>408</v>
      </c>
      <c r="M28" s="384">
        <v>46124</v>
      </c>
      <c r="N28" s="343" t="s">
        <v>245</v>
      </c>
      <c r="O28" s="343" t="s">
        <v>142</v>
      </c>
      <c r="Q28" s="343" t="s">
        <v>338</v>
      </c>
      <c r="R28" s="343" t="s">
        <v>125</v>
      </c>
      <c r="S28" s="384">
        <v>46041</v>
      </c>
      <c r="T28" s="384">
        <v>46047</v>
      </c>
    </row>
    <row r="29" spans="1:20">
      <c r="A29" s="343">
        <v>20260127</v>
      </c>
      <c r="C29" s="343">
        <v>6</v>
      </c>
      <c r="D29" s="343">
        <v>6</v>
      </c>
      <c r="E29" s="384">
        <v>46049</v>
      </c>
      <c r="F29" s="343" t="s">
        <v>233</v>
      </c>
      <c r="G29" s="343" t="s">
        <v>128</v>
      </c>
      <c r="I29" s="343">
        <v>20260418</v>
      </c>
      <c r="J29" s="343">
        <v>21709.040000000001</v>
      </c>
      <c r="K29" s="343">
        <v>72</v>
      </c>
      <c r="L29" s="343">
        <v>235</v>
      </c>
      <c r="M29" s="384">
        <v>46130</v>
      </c>
      <c r="N29" s="343" t="s">
        <v>244</v>
      </c>
      <c r="O29" s="343" t="s">
        <v>143</v>
      </c>
      <c r="Q29" s="343" t="s">
        <v>338</v>
      </c>
      <c r="R29" s="343" t="s">
        <v>125</v>
      </c>
      <c r="S29" s="384">
        <v>46041</v>
      </c>
      <c r="T29" s="384">
        <v>46047</v>
      </c>
    </row>
    <row r="30" spans="1:20">
      <c r="A30" s="343">
        <v>20260128</v>
      </c>
      <c r="B30" s="343">
        <v>32997.25</v>
      </c>
      <c r="C30" s="343">
        <v>148</v>
      </c>
      <c r="D30" s="343">
        <v>511</v>
      </c>
      <c r="E30" s="384">
        <v>46050</v>
      </c>
      <c r="F30" s="343" t="s">
        <v>234</v>
      </c>
      <c r="G30" s="343" t="s">
        <v>128</v>
      </c>
      <c r="I30" s="343">
        <v>20260419</v>
      </c>
      <c r="J30" s="343">
        <v>33952</v>
      </c>
      <c r="K30" s="343">
        <v>127</v>
      </c>
      <c r="L30" s="343">
        <v>481</v>
      </c>
      <c r="M30" s="384">
        <v>46131</v>
      </c>
      <c r="N30" s="343" t="s">
        <v>245</v>
      </c>
      <c r="O30" s="343" t="s">
        <v>143</v>
      </c>
      <c r="Q30" s="343" t="s">
        <v>338</v>
      </c>
      <c r="R30" s="343" t="s">
        <v>125</v>
      </c>
      <c r="S30" s="384">
        <v>46041</v>
      </c>
      <c r="T30" s="384">
        <v>46047</v>
      </c>
    </row>
    <row r="31" spans="1:20">
      <c r="A31" s="343">
        <v>20260129</v>
      </c>
      <c r="B31" s="343">
        <v>32302.16</v>
      </c>
      <c r="C31" s="343">
        <v>121</v>
      </c>
      <c r="D31" s="343">
        <v>322</v>
      </c>
      <c r="E31" s="384">
        <v>46051</v>
      </c>
      <c r="F31" s="343" t="s">
        <v>235</v>
      </c>
      <c r="G31" s="343" t="s">
        <v>128</v>
      </c>
      <c r="I31" s="343">
        <v>20260425</v>
      </c>
      <c r="J31" s="343">
        <v>24012.3</v>
      </c>
      <c r="K31" s="343">
        <v>73</v>
      </c>
      <c r="L31" s="343">
        <v>294</v>
      </c>
      <c r="M31" s="384">
        <v>46137</v>
      </c>
      <c r="N31" s="343" t="s">
        <v>244</v>
      </c>
      <c r="O31" s="343" t="s">
        <v>144</v>
      </c>
      <c r="Q31" s="343" t="s">
        <v>338</v>
      </c>
      <c r="R31" s="343" t="s">
        <v>125</v>
      </c>
      <c r="S31" s="384">
        <v>46041</v>
      </c>
      <c r="T31" s="384">
        <v>46047</v>
      </c>
    </row>
    <row r="32" spans="1:20">
      <c r="A32" s="343">
        <v>20260130</v>
      </c>
      <c r="B32" s="343">
        <v>58504.26</v>
      </c>
      <c r="C32" s="343">
        <v>204</v>
      </c>
      <c r="D32" s="343">
        <v>542</v>
      </c>
      <c r="E32" s="384">
        <v>46052</v>
      </c>
      <c r="F32" s="343" t="s">
        <v>236</v>
      </c>
      <c r="G32" s="343" t="s">
        <v>128</v>
      </c>
      <c r="I32" s="343">
        <v>20260426</v>
      </c>
      <c r="J32" s="343">
        <v>31131.47</v>
      </c>
      <c r="K32" s="343">
        <v>110</v>
      </c>
      <c r="L32" s="343">
        <v>410</v>
      </c>
      <c r="M32" s="384">
        <v>46138</v>
      </c>
      <c r="N32" s="343" t="s">
        <v>245</v>
      </c>
      <c r="O32" s="343" t="s">
        <v>144</v>
      </c>
      <c r="Q32" s="343" t="s">
        <v>338</v>
      </c>
      <c r="R32" s="343" t="s">
        <v>128</v>
      </c>
      <c r="S32" s="384">
        <v>46048</v>
      </c>
      <c r="T32" s="384">
        <v>46054</v>
      </c>
    </row>
    <row r="33" spans="1:20">
      <c r="A33" s="343">
        <v>20260131</v>
      </c>
      <c r="B33" s="343">
        <v>61231.7</v>
      </c>
      <c r="C33" s="343">
        <v>169</v>
      </c>
      <c r="D33" s="343">
        <v>489</v>
      </c>
      <c r="E33" s="384">
        <v>46053</v>
      </c>
      <c r="F33" s="343" t="s">
        <v>244</v>
      </c>
      <c r="G33" s="343" t="s">
        <v>128</v>
      </c>
      <c r="I33" s="343">
        <v>20260502</v>
      </c>
      <c r="J33" s="343">
        <v>20318.93</v>
      </c>
      <c r="K33" s="343">
        <v>80</v>
      </c>
      <c r="L33" s="343">
        <v>279</v>
      </c>
      <c r="M33" s="384">
        <v>46144</v>
      </c>
      <c r="N33" s="343" t="s">
        <v>244</v>
      </c>
      <c r="O33" s="343" t="s">
        <v>147</v>
      </c>
      <c r="Q33" s="343" t="s">
        <v>338</v>
      </c>
      <c r="R33" s="343" t="s">
        <v>128</v>
      </c>
      <c r="S33" s="384">
        <v>46048</v>
      </c>
      <c r="T33" s="384">
        <v>46054</v>
      </c>
    </row>
    <row r="34" spans="1:20">
      <c r="A34" s="343">
        <v>20260201</v>
      </c>
      <c r="B34" s="343">
        <v>16149.95</v>
      </c>
      <c r="C34" s="343">
        <v>58</v>
      </c>
      <c r="D34" s="343">
        <v>173</v>
      </c>
      <c r="E34" s="384">
        <v>46054</v>
      </c>
      <c r="F34" s="343" t="s">
        <v>245</v>
      </c>
      <c r="G34" s="343" t="s">
        <v>128</v>
      </c>
      <c r="I34" s="343">
        <v>20260503</v>
      </c>
      <c r="J34" s="343">
        <v>19121.5</v>
      </c>
      <c r="K34" s="343">
        <v>67</v>
      </c>
      <c r="L34" s="343">
        <v>261</v>
      </c>
      <c r="M34" s="384">
        <v>46145</v>
      </c>
      <c r="N34" s="343" t="s">
        <v>245</v>
      </c>
      <c r="O34" s="343" t="s">
        <v>147</v>
      </c>
      <c r="Q34" s="343" t="s">
        <v>338</v>
      </c>
      <c r="R34" s="343" t="s">
        <v>128</v>
      </c>
      <c r="S34" s="384">
        <v>46048</v>
      </c>
      <c r="T34" s="384">
        <v>46054</v>
      </c>
    </row>
    <row r="35" spans="1:20">
      <c r="A35" s="343">
        <v>20260202</v>
      </c>
      <c r="B35" s="343">
        <v>-1163.75</v>
      </c>
      <c r="C35" s="343">
        <v>2</v>
      </c>
      <c r="D35" s="343">
        <v>2</v>
      </c>
      <c r="E35" s="384">
        <v>46055</v>
      </c>
      <c r="F35" s="343" t="s">
        <v>232</v>
      </c>
      <c r="G35" s="343" t="s">
        <v>129</v>
      </c>
      <c r="I35" s="343">
        <v>20260509</v>
      </c>
      <c r="J35" s="343">
        <v>35858.86</v>
      </c>
      <c r="K35" s="343">
        <v>88</v>
      </c>
      <c r="L35" s="343">
        <v>450</v>
      </c>
      <c r="M35" s="384">
        <v>46151</v>
      </c>
      <c r="N35" s="343" t="s">
        <v>244</v>
      </c>
      <c r="O35" s="343" t="s">
        <v>148</v>
      </c>
      <c r="Q35" s="343" t="s">
        <v>338</v>
      </c>
      <c r="R35" s="343" t="s">
        <v>128</v>
      </c>
      <c r="S35" s="384">
        <v>46048</v>
      </c>
      <c r="T35" s="384">
        <v>46054</v>
      </c>
    </row>
    <row r="36" spans="1:20">
      <c r="A36" s="343">
        <v>20260203</v>
      </c>
      <c r="B36" s="343">
        <v>24413.55</v>
      </c>
      <c r="C36" s="343">
        <v>1</v>
      </c>
      <c r="D36" s="343">
        <v>41</v>
      </c>
      <c r="E36" s="384">
        <v>46056</v>
      </c>
      <c r="F36" s="343" t="s">
        <v>233</v>
      </c>
      <c r="G36" s="343" t="s">
        <v>129</v>
      </c>
      <c r="I36" s="343">
        <v>20260510</v>
      </c>
      <c r="J36" s="343">
        <v>44057.85</v>
      </c>
      <c r="K36" s="343">
        <v>148</v>
      </c>
      <c r="L36" s="343">
        <v>539</v>
      </c>
      <c r="M36" s="384">
        <v>46152</v>
      </c>
      <c r="N36" s="343" t="s">
        <v>245</v>
      </c>
      <c r="O36" s="343" t="s">
        <v>148</v>
      </c>
      <c r="Q36" s="343" t="s">
        <v>338</v>
      </c>
      <c r="R36" s="343" t="s">
        <v>128</v>
      </c>
      <c r="S36" s="384">
        <v>46048</v>
      </c>
      <c r="T36" s="384">
        <v>46054</v>
      </c>
    </row>
    <row r="37" spans="1:20">
      <c r="A37" s="343">
        <v>20260204</v>
      </c>
      <c r="B37" s="343">
        <v>29913.46</v>
      </c>
      <c r="C37" s="343">
        <v>118</v>
      </c>
      <c r="D37" s="343">
        <v>332</v>
      </c>
      <c r="E37" s="384">
        <v>46057</v>
      </c>
      <c r="F37" s="343" t="s">
        <v>234</v>
      </c>
      <c r="G37" s="343" t="s">
        <v>129</v>
      </c>
      <c r="I37" s="343">
        <v>20260516</v>
      </c>
      <c r="J37" s="343">
        <v>28548.639999999999</v>
      </c>
      <c r="K37" s="343">
        <v>67</v>
      </c>
      <c r="L37" s="343">
        <v>304</v>
      </c>
      <c r="M37" s="384">
        <v>46158</v>
      </c>
      <c r="N37" s="343" t="s">
        <v>244</v>
      </c>
      <c r="O37" s="343" t="s">
        <v>149</v>
      </c>
      <c r="Q37" s="343" t="s">
        <v>338</v>
      </c>
      <c r="R37" s="343" t="s">
        <v>128</v>
      </c>
      <c r="S37" s="384">
        <v>46048</v>
      </c>
      <c r="T37" s="384">
        <v>46054</v>
      </c>
    </row>
    <row r="38" spans="1:20">
      <c r="A38" s="343">
        <v>20260205</v>
      </c>
      <c r="B38" s="343">
        <v>37266</v>
      </c>
      <c r="C38" s="343">
        <v>127</v>
      </c>
      <c r="D38" s="343">
        <v>321</v>
      </c>
      <c r="E38" s="384">
        <v>46058</v>
      </c>
      <c r="F38" s="343" t="s">
        <v>235</v>
      </c>
      <c r="G38" s="343" t="s">
        <v>129</v>
      </c>
      <c r="I38" s="343">
        <v>20260517</v>
      </c>
      <c r="J38" s="343">
        <v>26142.75</v>
      </c>
      <c r="K38" s="343">
        <v>102</v>
      </c>
      <c r="L38" s="343">
        <v>366</v>
      </c>
      <c r="M38" s="384">
        <v>46159</v>
      </c>
      <c r="N38" s="343" t="s">
        <v>245</v>
      </c>
      <c r="O38" s="343" t="s">
        <v>149</v>
      </c>
      <c r="Q38" s="343" t="s">
        <v>338</v>
      </c>
      <c r="R38" s="343" t="s">
        <v>128</v>
      </c>
      <c r="S38" s="384">
        <v>46048</v>
      </c>
      <c r="T38" s="384">
        <v>46054</v>
      </c>
    </row>
    <row r="39" spans="1:20">
      <c r="A39" s="343">
        <v>20260206</v>
      </c>
      <c r="B39" s="343">
        <v>58779.89</v>
      </c>
      <c r="C39" s="343">
        <v>219</v>
      </c>
      <c r="D39" s="343">
        <v>574</v>
      </c>
      <c r="E39" s="384">
        <v>46059</v>
      </c>
      <c r="F39" s="343" t="s">
        <v>236</v>
      </c>
      <c r="G39" s="343" t="s">
        <v>129</v>
      </c>
      <c r="I39" s="343">
        <v>20260523</v>
      </c>
      <c r="J39" s="343">
        <v>10853</v>
      </c>
      <c r="K39" s="343">
        <v>50</v>
      </c>
      <c r="L39" s="343">
        <v>145</v>
      </c>
      <c r="M39" s="384">
        <v>46165</v>
      </c>
      <c r="N39" s="343" t="s">
        <v>244</v>
      </c>
      <c r="O39" s="343" t="s">
        <v>150</v>
      </c>
      <c r="Q39" s="343" t="s">
        <v>338</v>
      </c>
      <c r="R39" s="343" t="s">
        <v>128</v>
      </c>
      <c r="S39" s="384">
        <v>46048</v>
      </c>
      <c r="T39" s="384">
        <v>46054</v>
      </c>
    </row>
    <row r="40" spans="1:20">
      <c r="A40" s="343">
        <v>20260207</v>
      </c>
      <c r="B40" s="343">
        <v>67976.070000000007</v>
      </c>
      <c r="C40" s="343">
        <v>238</v>
      </c>
      <c r="D40" s="343">
        <v>776</v>
      </c>
      <c r="E40" s="384">
        <v>46060</v>
      </c>
      <c r="F40" s="343" t="s">
        <v>244</v>
      </c>
      <c r="G40" s="343" t="s">
        <v>129</v>
      </c>
      <c r="I40" s="343">
        <v>20260524</v>
      </c>
      <c r="J40" s="343">
        <v>21999.200000000001</v>
      </c>
      <c r="K40" s="343">
        <v>97</v>
      </c>
      <c r="L40" s="343">
        <v>347</v>
      </c>
      <c r="M40" s="384">
        <v>46166</v>
      </c>
      <c r="N40" s="343" t="s">
        <v>245</v>
      </c>
      <c r="O40" s="343" t="s">
        <v>150</v>
      </c>
      <c r="Q40" s="343" t="s">
        <v>338</v>
      </c>
      <c r="R40" s="343" t="s">
        <v>129</v>
      </c>
      <c r="S40" s="384">
        <v>46055</v>
      </c>
      <c r="T40" s="384">
        <v>46061</v>
      </c>
    </row>
    <row r="41" spans="1:20">
      <c r="A41" s="343">
        <v>20260208</v>
      </c>
      <c r="B41" s="343">
        <v>11373.29</v>
      </c>
      <c r="C41" s="343">
        <v>38</v>
      </c>
      <c r="D41" s="343">
        <v>109</v>
      </c>
      <c r="E41" s="384">
        <v>46061</v>
      </c>
      <c r="F41" s="343" t="s">
        <v>245</v>
      </c>
      <c r="G41" s="343" t="s">
        <v>129</v>
      </c>
      <c r="I41" s="343">
        <v>20260530</v>
      </c>
      <c r="J41" s="343">
        <v>22711.13</v>
      </c>
      <c r="K41" s="343">
        <v>60</v>
      </c>
      <c r="L41" s="343">
        <v>277</v>
      </c>
      <c r="M41" s="384">
        <v>46172</v>
      </c>
      <c r="N41" s="343" t="s">
        <v>244</v>
      </c>
      <c r="O41" s="343" t="s">
        <v>153</v>
      </c>
      <c r="Q41" s="343" t="s">
        <v>338</v>
      </c>
      <c r="R41" s="343" t="s">
        <v>129</v>
      </c>
      <c r="S41" s="384">
        <v>46055</v>
      </c>
      <c r="T41" s="384">
        <v>46061</v>
      </c>
    </row>
    <row r="42" spans="1:20">
      <c r="A42" s="343">
        <v>20260209</v>
      </c>
      <c r="C42" s="343">
        <v>1</v>
      </c>
      <c r="D42" s="343">
        <v>1</v>
      </c>
      <c r="E42" s="384">
        <v>46062</v>
      </c>
      <c r="F42" s="343" t="s">
        <v>232</v>
      </c>
      <c r="G42" s="343" t="s">
        <v>130</v>
      </c>
      <c r="I42" s="343">
        <v>20260531</v>
      </c>
      <c r="J42" s="343">
        <v>27617.22</v>
      </c>
      <c r="K42" s="343">
        <v>105</v>
      </c>
      <c r="L42" s="343">
        <v>333</v>
      </c>
      <c r="M42" s="384">
        <v>46173</v>
      </c>
      <c r="N42" s="343" t="s">
        <v>245</v>
      </c>
      <c r="O42" s="343" t="s">
        <v>153</v>
      </c>
      <c r="Q42" s="343" t="s">
        <v>338</v>
      </c>
      <c r="R42" s="343" t="s">
        <v>129</v>
      </c>
      <c r="S42" s="384">
        <v>46055</v>
      </c>
      <c r="T42" s="384">
        <v>46061</v>
      </c>
    </row>
    <row r="43" spans="1:20">
      <c r="A43" s="343">
        <v>20260210</v>
      </c>
      <c r="C43" s="343">
        <v>2</v>
      </c>
      <c r="D43" s="343">
        <v>2</v>
      </c>
      <c r="E43" s="384">
        <v>46063</v>
      </c>
      <c r="F43" s="343" t="s">
        <v>233</v>
      </c>
      <c r="G43" s="343" t="s">
        <v>130</v>
      </c>
      <c r="I43" s="343">
        <v>20260606</v>
      </c>
      <c r="J43" s="343">
        <v>16672.04</v>
      </c>
      <c r="K43" s="343">
        <v>60</v>
      </c>
      <c r="L43" s="343">
        <v>204</v>
      </c>
      <c r="M43" s="384">
        <v>46179</v>
      </c>
      <c r="N43" s="343" t="s">
        <v>244</v>
      </c>
      <c r="O43" s="343" t="s">
        <v>154</v>
      </c>
      <c r="Q43" s="343" t="s">
        <v>338</v>
      </c>
      <c r="R43" s="343" t="s">
        <v>129</v>
      </c>
      <c r="S43" s="384">
        <v>46055</v>
      </c>
      <c r="T43" s="384">
        <v>46061</v>
      </c>
    </row>
    <row r="44" spans="1:20">
      <c r="A44" s="343">
        <v>20260211</v>
      </c>
      <c r="B44" s="343">
        <v>25948.69</v>
      </c>
      <c r="C44" s="343">
        <v>95</v>
      </c>
      <c r="D44" s="343">
        <v>301</v>
      </c>
      <c r="E44" s="384">
        <v>46064</v>
      </c>
      <c r="F44" s="343" t="s">
        <v>234</v>
      </c>
      <c r="G44" s="343" t="s">
        <v>130</v>
      </c>
      <c r="I44" s="343">
        <v>20260607</v>
      </c>
      <c r="J44" s="343">
        <v>21047.89</v>
      </c>
      <c r="K44" s="343">
        <v>80</v>
      </c>
      <c r="L44" s="343">
        <v>258</v>
      </c>
      <c r="M44" s="384">
        <v>46180</v>
      </c>
      <c r="N44" s="343" t="s">
        <v>245</v>
      </c>
      <c r="O44" s="343" t="s">
        <v>154</v>
      </c>
      <c r="Q44" s="343" t="s">
        <v>338</v>
      </c>
      <c r="R44" s="343" t="s">
        <v>129</v>
      </c>
      <c r="S44" s="384">
        <v>46055</v>
      </c>
      <c r="T44" s="384">
        <v>46061</v>
      </c>
    </row>
    <row r="45" spans="1:20">
      <c r="A45" s="343">
        <v>20260212</v>
      </c>
      <c r="B45" s="343">
        <v>36728.35</v>
      </c>
      <c r="C45" s="343">
        <v>137</v>
      </c>
      <c r="D45" s="343">
        <v>388</v>
      </c>
      <c r="E45" s="384">
        <v>46065</v>
      </c>
      <c r="F45" s="343" t="s">
        <v>235</v>
      </c>
      <c r="G45" s="343" t="s">
        <v>130</v>
      </c>
      <c r="I45" s="343">
        <v>20260613</v>
      </c>
      <c r="J45" s="343">
        <v>10577.22</v>
      </c>
      <c r="K45" s="343">
        <v>45</v>
      </c>
      <c r="L45" s="343">
        <v>167</v>
      </c>
      <c r="M45" s="384">
        <v>46186</v>
      </c>
      <c r="N45" s="343" t="s">
        <v>244</v>
      </c>
      <c r="O45" s="343" t="s">
        <v>155</v>
      </c>
      <c r="Q45" s="343" t="s">
        <v>338</v>
      </c>
      <c r="R45" s="343" t="s">
        <v>129</v>
      </c>
      <c r="S45" s="384">
        <v>46055</v>
      </c>
      <c r="T45" s="384">
        <v>46061</v>
      </c>
    </row>
    <row r="46" spans="1:20">
      <c r="A46" s="343">
        <v>20260213</v>
      </c>
      <c r="B46" s="343">
        <v>61456.4</v>
      </c>
      <c r="C46" s="343">
        <v>182</v>
      </c>
      <c r="D46" s="343">
        <v>513</v>
      </c>
      <c r="E46" s="384">
        <v>46066</v>
      </c>
      <c r="F46" s="343" t="s">
        <v>236</v>
      </c>
      <c r="G46" s="343" t="s">
        <v>130</v>
      </c>
      <c r="I46" s="343">
        <v>20260614</v>
      </c>
      <c r="J46" s="343">
        <v>25807.5</v>
      </c>
      <c r="K46" s="343">
        <v>77</v>
      </c>
      <c r="L46" s="343">
        <v>1184</v>
      </c>
      <c r="M46" s="384">
        <v>46187</v>
      </c>
      <c r="N46" s="343" t="s">
        <v>245</v>
      </c>
      <c r="O46" s="343" t="s">
        <v>155</v>
      </c>
      <c r="Q46" s="343" t="s">
        <v>338</v>
      </c>
      <c r="R46" s="343" t="s">
        <v>129</v>
      </c>
      <c r="S46" s="384">
        <v>46055</v>
      </c>
      <c r="T46" s="384">
        <v>46061</v>
      </c>
    </row>
    <row r="47" spans="1:20">
      <c r="A47" s="343">
        <v>20260214</v>
      </c>
      <c r="B47" s="343">
        <v>80630.710000000006</v>
      </c>
      <c r="C47" s="343">
        <v>263</v>
      </c>
      <c r="D47" s="343">
        <v>670</v>
      </c>
      <c r="E47" s="384">
        <v>46067</v>
      </c>
      <c r="F47" s="343" t="s">
        <v>244</v>
      </c>
      <c r="G47" s="343" t="s">
        <v>130</v>
      </c>
      <c r="I47" s="343">
        <v>20260620</v>
      </c>
      <c r="J47" s="343">
        <v>11467</v>
      </c>
      <c r="K47" s="343">
        <v>52</v>
      </c>
      <c r="L47" s="343">
        <v>164</v>
      </c>
      <c r="M47" s="384">
        <v>46193</v>
      </c>
      <c r="N47" s="343" t="s">
        <v>244</v>
      </c>
      <c r="O47" s="343" t="s">
        <v>156</v>
      </c>
      <c r="Q47" s="343" t="s">
        <v>338</v>
      </c>
      <c r="R47" s="343" t="s">
        <v>129</v>
      </c>
      <c r="S47" s="384">
        <v>46055</v>
      </c>
      <c r="T47" s="384">
        <v>46061</v>
      </c>
    </row>
    <row r="48" spans="1:20">
      <c r="A48" s="343">
        <v>20260215</v>
      </c>
      <c r="B48" s="343">
        <v>34307.67</v>
      </c>
      <c r="C48" s="343">
        <v>127</v>
      </c>
      <c r="D48" s="343">
        <v>405</v>
      </c>
      <c r="E48" s="384">
        <v>46068</v>
      </c>
      <c r="F48" s="343" t="s">
        <v>245</v>
      </c>
      <c r="G48" s="343" t="s">
        <v>130</v>
      </c>
      <c r="I48" s="343">
        <v>20260621</v>
      </c>
      <c r="J48" s="343">
        <v>27758.5</v>
      </c>
      <c r="K48" s="343">
        <v>82</v>
      </c>
      <c r="L48" s="343">
        <v>300</v>
      </c>
      <c r="M48" s="384">
        <v>46194</v>
      </c>
      <c r="N48" s="343" t="s">
        <v>245</v>
      </c>
      <c r="O48" s="343" t="s">
        <v>156</v>
      </c>
      <c r="Q48" s="343" t="s">
        <v>338</v>
      </c>
      <c r="R48" s="343" t="s">
        <v>129</v>
      </c>
      <c r="S48" s="384">
        <v>46055</v>
      </c>
      <c r="T48" s="384">
        <v>46061</v>
      </c>
    </row>
    <row r="49" spans="1:20">
      <c r="A49" s="343">
        <v>20260218</v>
      </c>
      <c r="B49" s="343">
        <v>27770.720000000001</v>
      </c>
      <c r="C49" s="343">
        <v>120</v>
      </c>
      <c r="D49" s="343">
        <v>351</v>
      </c>
      <c r="E49" s="384">
        <v>46071</v>
      </c>
      <c r="F49" s="343" t="s">
        <v>234</v>
      </c>
      <c r="G49" s="343" t="s">
        <v>131</v>
      </c>
      <c r="I49" s="343">
        <v>20260627</v>
      </c>
      <c r="J49" s="343">
        <v>10377.31</v>
      </c>
      <c r="K49" s="343">
        <v>41</v>
      </c>
      <c r="L49" s="343">
        <v>142</v>
      </c>
      <c r="M49" s="384">
        <v>46200</v>
      </c>
      <c r="N49" s="343" t="s">
        <v>244</v>
      </c>
      <c r="O49" s="343" t="s">
        <v>157</v>
      </c>
      <c r="Q49" s="343" t="s">
        <v>338</v>
      </c>
      <c r="R49" s="343" t="s">
        <v>130</v>
      </c>
      <c r="S49" s="384">
        <v>46062</v>
      </c>
      <c r="T49" s="384">
        <v>46068</v>
      </c>
    </row>
    <row r="50" spans="1:20">
      <c r="A50" s="343">
        <v>20260219</v>
      </c>
      <c r="B50" s="343">
        <v>30992.27</v>
      </c>
      <c r="C50" s="343">
        <v>129</v>
      </c>
      <c r="D50" s="343">
        <v>357</v>
      </c>
      <c r="E50" s="384">
        <v>46072</v>
      </c>
      <c r="F50" s="343" t="s">
        <v>235</v>
      </c>
      <c r="G50" s="343" t="s">
        <v>131</v>
      </c>
      <c r="I50" s="343">
        <v>20260628</v>
      </c>
      <c r="J50" s="343">
        <v>20995.06</v>
      </c>
      <c r="K50" s="343">
        <v>70</v>
      </c>
      <c r="L50" s="343">
        <v>254</v>
      </c>
      <c r="M50" s="384">
        <v>46201</v>
      </c>
      <c r="N50" s="343" t="s">
        <v>245</v>
      </c>
      <c r="O50" s="343" t="s">
        <v>157</v>
      </c>
      <c r="Q50" s="343" t="s">
        <v>338</v>
      </c>
      <c r="R50" s="343" t="s">
        <v>130</v>
      </c>
      <c r="S50" s="384">
        <v>46062</v>
      </c>
      <c r="T50" s="384">
        <v>46068</v>
      </c>
    </row>
    <row r="51" spans="1:20">
      <c r="A51" s="343">
        <v>20260220</v>
      </c>
      <c r="B51" s="343">
        <v>47381.78</v>
      </c>
      <c r="C51" s="343">
        <v>186</v>
      </c>
      <c r="D51" s="343">
        <v>500</v>
      </c>
      <c r="E51" s="384">
        <v>46073</v>
      </c>
      <c r="F51" s="343" t="s">
        <v>236</v>
      </c>
      <c r="G51" s="343" t="s">
        <v>131</v>
      </c>
      <c r="I51" s="343">
        <v>20260704</v>
      </c>
      <c r="J51" s="343">
        <v>5966.76</v>
      </c>
      <c r="K51" s="343">
        <v>30</v>
      </c>
      <c r="L51" s="343">
        <v>88</v>
      </c>
      <c r="M51" s="384">
        <v>46207</v>
      </c>
      <c r="N51" s="343" t="s">
        <v>244</v>
      </c>
      <c r="O51" s="343" t="s">
        <v>160</v>
      </c>
      <c r="Q51" s="343" t="s">
        <v>338</v>
      </c>
      <c r="R51" s="343" t="s">
        <v>130</v>
      </c>
      <c r="S51" s="384">
        <v>46062</v>
      </c>
      <c r="T51" s="384">
        <v>46068</v>
      </c>
    </row>
    <row r="52" spans="1:20">
      <c r="A52" s="343">
        <v>20260221</v>
      </c>
      <c r="B52" s="343">
        <v>59304.76</v>
      </c>
      <c r="C52" s="343">
        <v>233</v>
      </c>
      <c r="D52" s="343">
        <v>625</v>
      </c>
      <c r="E52" s="384">
        <v>46074</v>
      </c>
      <c r="F52" s="343" t="s">
        <v>244</v>
      </c>
      <c r="G52" s="343" t="s">
        <v>131</v>
      </c>
      <c r="I52" s="343">
        <v>20260705</v>
      </c>
      <c r="J52" s="343">
        <v>11367.36</v>
      </c>
      <c r="K52" s="343">
        <v>48</v>
      </c>
      <c r="L52" s="343">
        <v>154</v>
      </c>
      <c r="M52" s="384">
        <v>46208</v>
      </c>
      <c r="N52" s="343" t="s">
        <v>245</v>
      </c>
      <c r="O52" s="343" t="s">
        <v>160</v>
      </c>
      <c r="Q52" s="343" t="s">
        <v>338</v>
      </c>
      <c r="R52" s="343" t="s">
        <v>130</v>
      </c>
      <c r="S52" s="384">
        <v>46062</v>
      </c>
      <c r="T52" s="384">
        <v>46068</v>
      </c>
    </row>
    <row r="53" spans="1:20">
      <c r="A53" s="343">
        <v>20260222</v>
      </c>
      <c r="B53" s="343">
        <v>18468.62</v>
      </c>
      <c r="C53" s="343">
        <v>70</v>
      </c>
      <c r="D53" s="343">
        <v>185</v>
      </c>
      <c r="E53" s="384">
        <v>46075</v>
      </c>
      <c r="F53" s="343" t="s">
        <v>245</v>
      </c>
      <c r="G53" s="343" t="s">
        <v>131</v>
      </c>
      <c r="I53" s="343">
        <v>20260711</v>
      </c>
      <c r="J53" s="343">
        <v>9248.25</v>
      </c>
      <c r="K53" s="343">
        <v>41</v>
      </c>
      <c r="L53" s="343">
        <v>121</v>
      </c>
      <c r="M53" s="384">
        <v>46214</v>
      </c>
      <c r="N53" s="343" t="s">
        <v>244</v>
      </c>
      <c r="O53" s="343" t="s">
        <v>161</v>
      </c>
      <c r="Q53" s="343" t="s">
        <v>338</v>
      </c>
      <c r="R53" s="343" t="s">
        <v>130</v>
      </c>
      <c r="S53" s="384">
        <v>46062</v>
      </c>
      <c r="T53" s="384">
        <v>46068</v>
      </c>
    </row>
    <row r="54" spans="1:20">
      <c r="A54" s="343">
        <v>20260224</v>
      </c>
      <c r="B54" s="343">
        <v>131.63</v>
      </c>
      <c r="C54" s="343">
        <v>3</v>
      </c>
      <c r="D54" s="343">
        <v>3</v>
      </c>
      <c r="E54" s="384">
        <v>46077</v>
      </c>
      <c r="F54" s="343" t="s">
        <v>233</v>
      </c>
      <c r="G54" s="343" t="s">
        <v>134</v>
      </c>
      <c r="I54" s="343">
        <v>20260712</v>
      </c>
      <c r="J54" s="343">
        <v>18776.78</v>
      </c>
      <c r="K54" s="343">
        <v>74</v>
      </c>
      <c r="L54" s="343">
        <v>259</v>
      </c>
      <c r="M54" s="384">
        <v>46215</v>
      </c>
      <c r="N54" s="343" t="s">
        <v>245</v>
      </c>
      <c r="O54" s="343" t="s">
        <v>161</v>
      </c>
      <c r="Q54" s="343" t="s">
        <v>338</v>
      </c>
      <c r="R54" s="343" t="s">
        <v>130</v>
      </c>
      <c r="S54" s="384">
        <v>46062</v>
      </c>
      <c r="T54" s="384">
        <v>46068</v>
      </c>
    </row>
    <row r="55" spans="1:20">
      <c r="A55" s="343">
        <v>20260225</v>
      </c>
      <c r="B55" s="343">
        <v>21727.79</v>
      </c>
      <c r="C55" s="343">
        <v>87</v>
      </c>
      <c r="D55" s="343">
        <v>324</v>
      </c>
      <c r="E55" s="384">
        <v>46078</v>
      </c>
      <c r="F55" s="343" t="s">
        <v>234</v>
      </c>
      <c r="G55" s="343" t="s">
        <v>134</v>
      </c>
      <c r="I55" s="343">
        <v>20260718</v>
      </c>
      <c r="J55" s="343">
        <v>13559</v>
      </c>
      <c r="K55" s="343">
        <v>44</v>
      </c>
      <c r="L55" s="343">
        <v>155</v>
      </c>
      <c r="M55" s="384">
        <v>46221</v>
      </c>
      <c r="N55" s="343" t="s">
        <v>244</v>
      </c>
      <c r="O55" s="343" t="s">
        <v>162</v>
      </c>
      <c r="Q55" s="343" t="s">
        <v>338</v>
      </c>
      <c r="R55" s="343" t="s">
        <v>130</v>
      </c>
      <c r="S55" s="384">
        <v>46062</v>
      </c>
      <c r="T55" s="384">
        <v>46068</v>
      </c>
    </row>
    <row r="56" spans="1:20">
      <c r="A56" s="343">
        <v>20260226</v>
      </c>
      <c r="B56" s="343">
        <v>54235.79</v>
      </c>
      <c r="C56" s="343">
        <v>112</v>
      </c>
      <c r="D56" s="343">
        <v>480</v>
      </c>
      <c r="E56" s="384">
        <v>46079</v>
      </c>
      <c r="F56" s="343" t="s">
        <v>235</v>
      </c>
      <c r="G56" s="343" t="s">
        <v>134</v>
      </c>
      <c r="I56" s="343">
        <v>20260719</v>
      </c>
      <c r="J56" s="343">
        <v>11119.02</v>
      </c>
      <c r="K56" s="343">
        <v>45</v>
      </c>
      <c r="L56" s="343">
        <v>165</v>
      </c>
      <c r="M56" s="384">
        <v>46222</v>
      </c>
      <c r="N56" s="343" t="s">
        <v>245</v>
      </c>
      <c r="O56" s="343" t="s">
        <v>162</v>
      </c>
      <c r="Q56" s="343" t="s">
        <v>338</v>
      </c>
      <c r="R56" s="343" t="s">
        <v>130</v>
      </c>
      <c r="S56" s="384">
        <v>46062</v>
      </c>
      <c r="T56" s="384">
        <v>46068</v>
      </c>
    </row>
    <row r="57" spans="1:20">
      <c r="A57" s="343">
        <v>20260227</v>
      </c>
      <c r="B57" s="343">
        <v>59691.56</v>
      </c>
      <c r="C57" s="343">
        <v>227</v>
      </c>
      <c r="D57" s="343">
        <v>609</v>
      </c>
      <c r="E57" s="384">
        <v>46080</v>
      </c>
      <c r="F57" s="343" t="s">
        <v>236</v>
      </c>
      <c r="G57" s="343" t="s">
        <v>134</v>
      </c>
      <c r="I57" s="343">
        <v>20260720</v>
      </c>
      <c r="J57" s="343">
        <v>-63.5</v>
      </c>
      <c r="M57" s="384">
        <v>46223</v>
      </c>
      <c r="N57" s="343" t="s">
        <v>232</v>
      </c>
      <c r="O57" s="343" t="s">
        <v>163</v>
      </c>
      <c r="Q57" s="343" t="s">
        <v>338</v>
      </c>
      <c r="R57" s="343" t="s">
        <v>131</v>
      </c>
      <c r="S57" s="384">
        <v>46069</v>
      </c>
      <c r="T57" s="384">
        <v>46075</v>
      </c>
    </row>
    <row r="58" spans="1:20">
      <c r="A58" s="343">
        <v>20260228</v>
      </c>
      <c r="B58" s="343">
        <v>62346.65</v>
      </c>
      <c r="C58" s="343">
        <v>204</v>
      </c>
      <c r="D58" s="343">
        <v>535</v>
      </c>
      <c r="E58" s="384">
        <v>46081</v>
      </c>
      <c r="F58" s="343" t="s">
        <v>244</v>
      </c>
      <c r="G58" s="343" t="s">
        <v>134</v>
      </c>
      <c r="I58" s="343">
        <v>20260725</v>
      </c>
      <c r="J58" s="343">
        <v>11953.5</v>
      </c>
      <c r="K58" s="343">
        <v>50</v>
      </c>
      <c r="L58" s="343">
        <v>171</v>
      </c>
      <c r="M58" s="384">
        <v>46228</v>
      </c>
      <c r="N58" s="343" t="s">
        <v>244</v>
      </c>
      <c r="O58" s="343" t="s">
        <v>163</v>
      </c>
      <c r="Q58" s="343" t="s">
        <v>338</v>
      </c>
      <c r="R58" s="343" t="s">
        <v>131</v>
      </c>
      <c r="S58" s="384">
        <v>46069</v>
      </c>
      <c r="T58" s="384">
        <v>46075</v>
      </c>
    </row>
    <row r="59" spans="1:20">
      <c r="A59" s="343">
        <v>20260301</v>
      </c>
      <c r="B59" s="343">
        <v>20130.34</v>
      </c>
      <c r="C59" s="343">
        <v>72</v>
      </c>
      <c r="D59" s="343">
        <v>832</v>
      </c>
      <c r="E59" s="384">
        <v>46082</v>
      </c>
      <c r="F59" s="343" t="s">
        <v>245</v>
      </c>
      <c r="G59" s="343" t="s">
        <v>134</v>
      </c>
      <c r="I59" s="343">
        <v>20260726</v>
      </c>
      <c r="J59" s="343">
        <v>19463.91</v>
      </c>
      <c r="K59" s="343">
        <v>74</v>
      </c>
      <c r="L59" s="343">
        <v>268</v>
      </c>
      <c r="M59" s="384">
        <v>46229</v>
      </c>
      <c r="N59" s="343" t="s">
        <v>245</v>
      </c>
      <c r="O59" s="343" t="s">
        <v>163</v>
      </c>
      <c r="Q59" s="343" t="s">
        <v>338</v>
      </c>
      <c r="R59" s="343" t="s">
        <v>131</v>
      </c>
      <c r="S59" s="384">
        <v>46069</v>
      </c>
      <c r="T59" s="384">
        <v>46075</v>
      </c>
    </row>
    <row r="60" spans="1:20">
      <c r="A60" s="343">
        <v>20260302</v>
      </c>
      <c r="C60" s="343">
        <v>6</v>
      </c>
      <c r="D60" s="343">
        <v>6</v>
      </c>
      <c r="E60" s="384">
        <v>46083</v>
      </c>
      <c r="F60" s="343" t="s">
        <v>232</v>
      </c>
      <c r="G60" s="343" t="s">
        <v>135</v>
      </c>
      <c r="I60" s="343">
        <v>20260801</v>
      </c>
      <c r="J60" s="343">
        <v>12580.5</v>
      </c>
      <c r="K60" s="343">
        <v>48</v>
      </c>
      <c r="L60" s="343">
        <v>174</v>
      </c>
      <c r="M60" s="384">
        <v>46235</v>
      </c>
      <c r="N60" s="343" t="s">
        <v>244</v>
      </c>
      <c r="O60" s="343" t="s">
        <v>166</v>
      </c>
      <c r="Q60" s="343" t="s">
        <v>338</v>
      </c>
      <c r="R60" s="343" t="s">
        <v>131</v>
      </c>
      <c r="S60" s="384">
        <v>46069</v>
      </c>
      <c r="T60" s="384">
        <v>46075</v>
      </c>
    </row>
    <row r="61" spans="1:20">
      <c r="A61" s="343">
        <v>20260303</v>
      </c>
      <c r="C61" s="343">
        <v>2</v>
      </c>
      <c r="D61" s="343">
        <v>2</v>
      </c>
      <c r="E61" s="384">
        <v>46084</v>
      </c>
      <c r="F61" s="343" t="s">
        <v>233</v>
      </c>
      <c r="G61" s="343" t="s">
        <v>135</v>
      </c>
      <c r="I61" s="343">
        <v>20260802</v>
      </c>
      <c r="J61" s="343">
        <v>13326.37</v>
      </c>
      <c r="K61" s="343">
        <v>61</v>
      </c>
      <c r="L61" s="343">
        <v>196</v>
      </c>
      <c r="M61" s="384">
        <v>46236</v>
      </c>
      <c r="N61" s="343" t="s">
        <v>245</v>
      </c>
      <c r="O61" s="343" t="s">
        <v>166</v>
      </c>
      <c r="Q61" s="343" t="s">
        <v>338</v>
      </c>
      <c r="R61" s="343" t="s">
        <v>131</v>
      </c>
      <c r="S61" s="384">
        <v>46069</v>
      </c>
      <c r="T61" s="384">
        <v>46075</v>
      </c>
    </row>
    <row r="62" spans="1:20">
      <c r="A62" s="343">
        <v>20260304</v>
      </c>
      <c r="B62" s="343">
        <v>20939.8</v>
      </c>
      <c r="C62" s="343">
        <v>83</v>
      </c>
      <c r="D62" s="343">
        <v>225</v>
      </c>
      <c r="E62" s="384">
        <v>46085</v>
      </c>
      <c r="F62" s="343" t="s">
        <v>234</v>
      </c>
      <c r="G62" s="343" t="s">
        <v>135</v>
      </c>
      <c r="I62" s="343">
        <v>20260808</v>
      </c>
      <c r="J62" s="343">
        <v>15071.98</v>
      </c>
      <c r="K62" s="343">
        <v>45</v>
      </c>
      <c r="L62" s="343">
        <v>154</v>
      </c>
      <c r="M62" s="384">
        <v>46242</v>
      </c>
      <c r="N62" s="343" t="s">
        <v>244</v>
      </c>
      <c r="O62" s="343" t="s">
        <v>167</v>
      </c>
      <c r="Q62" s="343" t="s">
        <v>338</v>
      </c>
      <c r="R62" s="343" t="s">
        <v>131</v>
      </c>
      <c r="S62" s="384">
        <v>46069</v>
      </c>
      <c r="T62" s="384">
        <v>46075</v>
      </c>
    </row>
    <row r="63" spans="1:20">
      <c r="A63" s="343">
        <v>20260305</v>
      </c>
      <c r="B63" s="343">
        <v>42490.76</v>
      </c>
      <c r="C63" s="343">
        <v>112</v>
      </c>
      <c r="D63" s="343">
        <v>343</v>
      </c>
      <c r="E63" s="384">
        <v>46086</v>
      </c>
      <c r="F63" s="343" t="s">
        <v>235</v>
      </c>
      <c r="G63" s="343" t="s">
        <v>135</v>
      </c>
      <c r="I63" s="343">
        <v>20260809</v>
      </c>
      <c r="J63" s="343">
        <v>25670.58</v>
      </c>
      <c r="K63" s="343">
        <v>85</v>
      </c>
      <c r="L63" s="343">
        <v>296</v>
      </c>
      <c r="M63" s="384">
        <v>46243</v>
      </c>
      <c r="N63" s="343" t="s">
        <v>245</v>
      </c>
      <c r="O63" s="343" t="s">
        <v>167</v>
      </c>
      <c r="Q63" s="343" t="s">
        <v>338</v>
      </c>
      <c r="R63" s="343" t="s">
        <v>131</v>
      </c>
      <c r="S63" s="384">
        <v>46069</v>
      </c>
      <c r="T63" s="384">
        <v>46075</v>
      </c>
    </row>
    <row r="64" spans="1:20">
      <c r="A64" s="343">
        <v>20260306</v>
      </c>
      <c r="B64" s="343">
        <v>65253.74</v>
      </c>
      <c r="C64" s="343">
        <v>227</v>
      </c>
      <c r="D64" s="343">
        <v>607</v>
      </c>
      <c r="E64" s="384">
        <v>46087</v>
      </c>
      <c r="F64" s="343" t="s">
        <v>236</v>
      </c>
      <c r="G64" s="343" t="s">
        <v>135</v>
      </c>
      <c r="I64" s="343">
        <v>20260815</v>
      </c>
      <c r="J64" s="343">
        <v>12268.95</v>
      </c>
      <c r="K64" s="343">
        <v>38</v>
      </c>
      <c r="L64" s="343">
        <v>132</v>
      </c>
      <c r="M64" s="384">
        <v>46249</v>
      </c>
      <c r="N64" s="343" t="s">
        <v>244</v>
      </c>
      <c r="O64" s="343" t="s">
        <v>168</v>
      </c>
      <c r="Q64" s="343" t="s">
        <v>338</v>
      </c>
      <c r="R64" s="343" t="s">
        <v>131</v>
      </c>
      <c r="S64" s="384">
        <v>46069</v>
      </c>
      <c r="T64" s="384">
        <v>46075</v>
      </c>
    </row>
    <row r="65" spans="1:20">
      <c r="A65" s="343">
        <v>20260307</v>
      </c>
      <c r="B65" s="343">
        <v>57337.37</v>
      </c>
      <c r="C65" s="343">
        <v>211</v>
      </c>
      <c r="D65" s="343">
        <v>564</v>
      </c>
      <c r="E65" s="384">
        <v>46088</v>
      </c>
      <c r="F65" s="343" t="s">
        <v>244</v>
      </c>
      <c r="G65" s="343" t="s">
        <v>135</v>
      </c>
      <c r="I65" s="343">
        <v>20260816</v>
      </c>
      <c r="J65" s="343">
        <v>20274.37</v>
      </c>
      <c r="K65" s="343">
        <v>74</v>
      </c>
      <c r="L65" s="343">
        <v>248</v>
      </c>
      <c r="M65" s="384">
        <v>46250</v>
      </c>
      <c r="N65" s="343" t="s">
        <v>245</v>
      </c>
      <c r="O65" s="343" t="s">
        <v>168</v>
      </c>
      <c r="Q65" s="343" t="s">
        <v>338</v>
      </c>
      <c r="R65" s="343" t="s">
        <v>131</v>
      </c>
      <c r="S65" s="384">
        <v>46069</v>
      </c>
      <c r="T65" s="384">
        <v>46075</v>
      </c>
    </row>
    <row r="66" spans="1:20">
      <c r="A66" s="343">
        <v>20260308</v>
      </c>
      <c r="B66" s="343">
        <v>22512.37</v>
      </c>
      <c r="C66" s="343">
        <v>73</v>
      </c>
      <c r="D66" s="343">
        <v>226</v>
      </c>
      <c r="E66" s="384">
        <v>46089</v>
      </c>
      <c r="F66" s="343" t="s">
        <v>245</v>
      </c>
      <c r="G66" s="343" t="s">
        <v>135</v>
      </c>
      <c r="I66" s="343">
        <v>20260822</v>
      </c>
      <c r="J66" s="343">
        <v>12172.5</v>
      </c>
      <c r="K66" s="343">
        <v>40</v>
      </c>
      <c r="L66" s="343">
        <v>128</v>
      </c>
      <c r="M66" s="384">
        <v>46256</v>
      </c>
      <c r="N66" s="343" t="s">
        <v>244</v>
      </c>
      <c r="O66" s="343" t="s">
        <v>101</v>
      </c>
      <c r="Q66" s="343" t="s">
        <v>338</v>
      </c>
      <c r="R66" s="343" t="s">
        <v>131</v>
      </c>
      <c r="S66" s="384">
        <v>46069</v>
      </c>
      <c r="T66" s="384">
        <v>46075</v>
      </c>
    </row>
    <row r="67" spans="1:20">
      <c r="A67" s="343">
        <v>20260309</v>
      </c>
      <c r="C67" s="343">
        <v>2</v>
      </c>
      <c r="D67" s="343">
        <v>2</v>
      </c>
      <c r="E67" s="384">
        <v>46090</v>
      </c>
      <c r="F67" s="343" t="s">
        <v>232</v>
      </c>
      <c r="G67" s="343" t="s">
        <v>136</v>
      </c>
      <c r="I67" s="343">
        <v>20260823</v>
      </c>
      <c r="J67" s="343">
        <v>19414.7</v>
      </c>
      <c r="K67" s="343">
        <v>67</v>
      </c>
      <c r="L67" s="343">
        <v>248</v>
      </c>
      <c r="M67" s="384">
        <v>46257</v>
      </c>
      <c r="N67" s="343" t="s">
        <v>245</v>
      </c>
      <c r="O67" s="343" t="s">
        <v>101</v>
      </c>
      <c r="Q67" s="343" t="s">
        <v>338</v>
      </c>
      <c r="R67" s="343" t="s">
        <v>134</v>
      </c>
      <c r="S67" s="384">
        <v>46076</v>
      </c>
      <c r="T67" s="384">
        <v>46082</v>
      </c>
    </row>
    <row r="68" spans="1:20">
      <c r="A68" s="343">
        <v>20260310</v>
      </c>
      <c r="C68" s="343">
        <v>1</v>
      </c>
      <c r="D68" s="343">
        <v>1</v>
      </c>
      <c r="E68" s="384">
        <v>46091</v>
      </c>
      <c r="F68" s="343" t="s">
        <v>233</v>
      </c>
      <c r="G68" s="343" t="s">
        <v>136</v>
      </c>
      <c r="Q68" s="343" t="s">
        <v>338</v>
      </c>
      <c r="R68" s="343" t="s">
        <v>134</v>
      </c>
      <c r="S68" s="384">
        <v>46076</v>
      </c>
      <c r="T68" s="384">
        <v>46082</v>
      </c>
    </row>
    <row r="69" spans="1:20">
      <c r="A69" s="343">
        <v>20260311</v>
      </c>
      <c r="B69" s="343">
        <v>32829.9</v>
      </c>
      <c r="C69" s="343">
        <v>99</v>
      </c>
      <c r="D69" s="343">
        <v>305</v>
      </c>
      <c r="E69" s="384">
        <v>46092</v>
      </c>
      <c r="F69" s="343" t="s">
        <v>234</v>
      </c>
      <c r="G69" s="343" t="s">
        <v>136</v>
      </c>
      <c r="Q69" s="343" t="s">
        <v>338</v>
      </c>
      <c r="R69" s="343" t="s">
        <v>134</v>
      </c>
      <c r="S69" s="384">
        <v>46076</v>
      </c>
      <c r="T69" s="384">
        <v>46082</v>
      </c>
    </row>
    <row r="70" spans="1:20">
      <c r="A70" s="343">
        <v>20260312</v>
      </c>
      <c r="B70" s="343">
        <v>34970.06</v>
      </c>
      <c r="C70" s="343">
        <v>102</v>
      </c>
      <c r="D70" s="343">
        <v>341</v>
      </c>
      <c r="E70" s="384">
        <v>46093</v>
      </c>
      <c r="F70" s="343" t="s">
        <v>235</v>
      </c>
      <c r="G70" s="343" t="s">
        <v>136</v>
      </c>
      <c r="Q70" s="343" t="s">
        <v>338</v>
      </c>
      <c r="R70" s="343" t="s">
        <v>134</v>
      </c>
      <c r="S70" s="384">
        <v>46076</v>
      </c>
      <c r="T70" s="384">
        <v>46082</v>
      </c>
    </row>
    <row r="71" spans="1:20">
      <c r="A71" s="343">
        <v>20260313</v>
      </c>
      <c r="B71" s="343">
        <v>48431.38</v>
      </c>
      <c r="C71" s="343">
        <v>193</v>
      </c>
      <c r="D71" s="343">
        <v>524</v>
      </c>
      <c r="E71" s="384">
        <v>46094</v>
      </c>
      <c r="F71" s="343" t="s">
        <v>236</v>
      </c>
      <c r="G71" s="343" t="s">
        <v>136</v>
      </c>
      <c r="Q71" s="343" t="s">
        <v>338</v>
      </c>
      <c r="R71" s="343" t="s">
        <v>134</v>
      </c>
      <c r="S71" s="384">
        <v>46076</v>
      </c>
      <c r="T71" s="384">
        <v>46082</v>
      </c>
    </row>
    <row r="72" spans="1:20">
      <c r="A72" s="343">
        <v>20260314</v>
      </c>
      <c r="B72" s="343">
        <v>56900.88</v>
      </c>
      <c r="C72" s="343">
        <v>210</v>
      </c>
      <c r="D72" s="343">
        <v>573</v>
      </c>
      <c r="E72" s="384">
        <v>46095</v>
      </c>
      <c r="F72" s="343" t="s">
        <v>244</v>
      </c>
      <c r="G72" s="343" t="s">
        <v>136</v>
      </c>
      <c r="Q72" s="343" t="s">
        <v>338</v>
      </c>
      <c r="R72" s="343" t="s">
        <v>134</v>
      </c>
      <c r="S72" s="384">
        <v>46076</v>
      </c>
      <c r="T72" s="384">
        <v>46082</v>
      </c>
    </row>
    <row r="73" spans="1:20">
      <c r="A73" s="343">
        <v>20260315</v>
      </c>
      <c r="B73" s="343">
        <v>20694.48</v>
      </c>
      <c r="C73" s="343">
        <v>66</v>
      </c>
      <c r="D73" s="343">
        <v>204</v>
      </c>
      <c r="E73" s="384">
        <v>46096</v>
      </c>
      <c r="F73" s="343" t="s">
        <v>245</v>
      </c>
      <c r="G73" s="343" t="s">
        <v>136</v>
      </c>
      <c r="Q73" s="343" t="s">
        <v>338</v>
      </c>
      <c r="R73" s="343" t="s">
        <v>134</v>
      </c>
      <c r="S73" s="384">
        <v>46076</v>
      </c>
      <c r="T73" s="384">
        <v>46082</v>
      </c>
    </row>
    <row r="74" spans="1:20">
      <c r="A74" s="343">
        <v>20260316</v>
      </c>
      <c r="C74" s="343">
        <v>1</v>
      </c>
      <c r="D74" s="343">
        <v>1</v>
      </c>
      <c r="E74" s="384">
        <v>46097</v>
      </c>
      <c r="F74" s="343" t="s">
        <v>232</v>
      </c>
      <c r="G74" s="343" t="s">
        <v>137</v>
      </c>
      <c r="Q74" s="343" t="s">
        <v>338</v>
      </c>
      <c r="R74" s="343" t="s">
        <v>134</v>
      </c>
      <c r="S74" s="384">
        <v>46076</v>
      </c>
      <c r="T74" s="384">
        <v>46082</v>
      </c>
    </row>
    <row r="75" spans="1:20">
      <c r="A75" s="343">
        <v>20260317</v>
      </c>
      <c r="C75" s="343">
        <v>6</v>
      </c>
      <c r="D75" s="343">
        <v>6</v>
      </c>
      <c r="E75" s="384">
        <v>46098</v>
      </c>
      <c r="F75" s="343" t="s">
        <v>233</v>
      </c>
      <c r="G75" s="343" t="s">
        <v>137</v>
      </c>
      <c r="Q75" s="343" t="s">
        <v>338</v>
      </c>
      <c r="R75" s="343" t="s">
        <v>134</v>
      </c>
      <c r="S75" s="384">
        <v>46076</v>
      </c>
      <c r="T75" s="384">
        <v>46082</v>
      </c>
    </row>
    <row r="76" spans="1:20">
      <c r="A76" s="343">
        <v>20260318</v>
      </c>
      <c r="B76" s="343">
        <v>31195.78</v>
      </c>
      <c r="C76" s="343">
        <v>87</v>
      </c>
      <c r="D76" s="343">
        <v>304</v>
      </c>
      <c r="E76" s="384">
        <v>46099</v>
      </c>
      <c r="F76" s="343" t="s">
        <v>234</v>
      </c>
      <c r="G76" s="343" t="s">
        <v>137</v>
      </c>
      <c r="Q76" s="343" t="s">
        <v>338</v>
      </c>
      <c r="R76" s="343" t="s">
        <v>135</v>
      </c>
      <c r="S76" s="384">
        <v>46083</v>
      </c>
      <c r="T76" s="384">
        <v>46089</v>
      </c>
    </row>
    <row r="77" spans="1:20">
      <c r="A77" s="343">
        <v>20260319</v>
      </c>
      <c r="B77" s="343">
        <v>33694.769999999997</v>
      </c>
      <c r="C77" s="343">
        <v>111</v>
      </c>
      <c r="D77" s="343">
        <v>359</v>
      </c>
      <c r="E77" s="384">
        <v>46100</v>
      </c>
      <c r="F77" s="343" t="s">
        <v>235</v>
      </c>
      <c r="G77" s="343" t="s">
        <v>137</v>
      </c>
      <c r="Q77" s="343" t="s">
        <v>338</v>
      </c>
      <c r="R77" s="343" t="s">
        <v>135</v>
      </c>
      <c r="S77" s="384">
        <v>46083</v>
      </c>
      <c r="T77" s="384">
        <v>46089</v>
      </c>
    </row>
    <row r="78" spans="1:20">
      <c r="A78" s="343">
        <v>20260320</v>
      </c>
      <c r="B78" s="343">
        <v>52216.73</v>
      </c>
      <c r="C78" s="343">
        <v>170</v>
      </c>
      <c r="D78" s="343">
        <v>485</v>
      </c>
      <c r="E78" s="384">
        <v>46101</v>
      </c>
      <c r="F78" s="343" t="s">
        <v>236</v>
      </c>
      <c r="G78" s="343" t="s">
        <v>137</v>
      </c>
      <c r="Q78" s="343" t="s">
        <v>338</v>
      </c>
      <c r="R78" s="343" t="s">
        <v>135</v>
      </c>
      <c r="S78" s="384">
        <v>46083</v>
      </c>
      <c r="T78" s="384">
        <v>46089</v>
      </c>
    </row>
    <row r="79" spans="1:20">
      <c r="A79" s="343">
        <v>20260321</v>
      </c>
      <c r="B79" s="343">
        <v>61413.38</v>
      </c>
      <c r="C79" s="343">
        <v>224</v>
      </c>
      <c r="D79" s="343">
        <v>591</v>
      </c>
      <c r="E79" s="384">
        <v>46102</v>
      </c>
      <c r="F79" s="343" t="s">
        <v>244</v>
      </c>
      <c r="G79" s="343" t="s">
        <v>137</v>
      </c>
      <c r="Q79" s="343" t="s">
        <v>338</v>
      </c>
      <c r="R79" s="343" t="s">
        <v>135</v>
      </c>
      <c r="S79" s="384">
        <v>46083</v>
      </c>
      <c r="T79" s="384">
        <v>46089</v>
      </c>
    </row>
    <row r="80" spans="1:20">
      <c r="A80" s="343">
        <v>20260322</v>
      </c>
      <c r="B80" s="343">
        <v>23005.54</v>
      </c>
      <c r="C80" s="343">
        <v>65</v>
      </c>
      <c r="D80" s="343">
        <v>212</v>
      </c>
      <c r="E80" s="384">
        <v>46103</v>
      </c>
      <c r="F80" s="343" t="s">
        <v>245</v>
      </c>
      <c r="G80" s="343" t="s">
        <v>137</v>
      </c>
      <c r="Q80" s="343" t="s">
        <v>338</v>
      </c>
      <c r="R80" s="343" t="s">
        <v>135</v>
      </c>
      <c r="S80" s="384">
        <v>46083</v>
      </c>
      <c r="T80" s="384">
        <v>46089</v>
      </c>
    </row>
    <row r="81" spans="1:20">
      <c r="A81" s="343">
        <v>20260323</v>
      </c>
      <c r="C81" s="343">
        <v>4</v>
      </c>
      <c r="D81" s="343">
        <v>4</v>
      </c>
      <c r="E81" s="384">
        <v>46104</v>
      </c>
      <c r="F81" s="343" t="s">
        <v>232</v>
      </c>
      <c r="G81" s="343" t="s">
        <v>138</v>
      </c>
      <c r="Q81" s="343" t="s">
        <v>338</v>
      </c>
      <c r="R81" s="343" t="s">
        <v>135</v>
      </c>
      <c r="S81" s="384">
        <v>46083</v>
      </c>
      <c r="T81" s="384">
        <v>46089</v>
      </c>
    </row>
    <row r="82" spans="1:20">
      <c r="A82" s="343">
        <v>20260325</v>
      </c>
      <c r="B82" s="343">
        <v>22505.78</v>
      </c>
      <c r="C82" s="343">
        <v>68</v>
      </c>
      <c r="D82" s="343">
        <v>238</v>
      </c>
      <c r="E82" s="384">
        <v>46106</v>
      </c>
      <c r="F82" s="343" t="s">
        <v>234</v>
      </c>
      <c r="G82" s="343" t="s">
        <v>138</v>
      </c>
      <c r="Q82" s="343" t="s">
        <v>338</v>
      </c>
      <c r="R82" s="343" t="s">
        <v>135</v>
      </c>
      <c r="S82" s="384">
        <v>46083</v>
      </c>
      <c r="T82" s="384">
        <v>46089</v>
      </c>
    </row>
    <row r="83" spans="1:20">
      <c r="A83" s="343">
        <v>20260326</v>
      </c>
      <c r="B83" s="343">
        <v>29421.34</v>
      </c>
      <c r="C83" s="343">
        <v>137</v>
      </c>
      <c r="D83" s="343">
        <v>304</v>
      </c>
      <c r="E83" s="384">
        <v>46107</v>
      </c>
      <c r="F83" s="343" t="s">
        <v>235</v>
      </c>
      <c r="G83" s="343" t="s">
        <v>138</v>
      </c>
      <c r="Q83" s="343" t="s">
        <v>338</v>
      </c>
      <c r="R83" s="343" t="s">
        <v>135</v>
      </c>
      <c r="S83" s="384">
        <v>46083</v>
      </c>
      <c r="T83" s="384">
        <v>46089</v>
      </c>
    </row>
    <row r="84" spans="1:20">
      <c r="A84" s="343">
        <v>20260327</v>
      </c>
      <c r="B84" s="343">
        <v>55311.96</v>
      </c>
      <c r="C84" s="343">
        <v>196</v>
      </c>
      <c r="D84" s="343">
        <v>541</v>
      </c>
      <c r="E84" s="384">
        <v>46108</v>
      </c>
      <c r="F84" s="343" t="s">
        <v>236</v>
      </c>
      <c r="G84" s="343" t="s">
        <v>138</v>
      </c>
      <c r="Q84" s="343" t="s">
        <v>338</v>
      </c>
      <c r="R84" s="343" t="s">
        <v>135</v>
      </c>
      <c r="S84" s="384">
        <v>46083</v>
      </c>
      <c r="T84" s="384">
        <v>46089</v>
      </c>
    </row>
    <row r="85" spans="1:20">
      <c r="A85" s="343">
        <v>20260328</v>
      </c>
      <c r="B85" s="343">
        <v>61518.82</v>
      </c>
      <c r="C85" s="343">
        <v>178</v>
      </c>
      <c r="D85" s="343">
        <v>560</v>
      </c>
      <c r="E85" s="384">
        <v>46109</v>
      </c>
      <c r="F85" s="343" t="s">
        <v>244</v>
      </c>
      <c r="G85" s="343" t="s">
        <v>138</v>
      </c>
      <c r="Q85" s="343" t="s">
        <v>338</v>
      </c>
      <c r="R85" s="343" t="s">
        <v>136</v>
      </c>
      <c r="S85" s="384">
        <v>46090</v>
      </c>
      <c r="T85" s="384">
        <v>46096</v>
      </c>
    </row>
    <row r="86" spans="1:20">
      <c r="A86" s="343">
        <v>20260329</v>
      </c>
      <c r="B86" s="343">
        <v>21214.85</v>
      </c>
      <c r="C86" s="343">
        <v>73</v>
      </c>
      <c r="D86" s="343">
        <v>191</v>
      </c>
      <c r="E86" s="384">
        <v>46110</v>
      </c>
      <c r="F86" s="343" t="s">
        <v>245</v>
      </c>
      <c r="G86" s="343" t="s">
        <v>138</v>
      </c>
      <c r="Q86" s="343" t="s">
        <v>338</v>
      </c>
      <c r="R86" s="343" t="s">
        <v>136</v>
      </c>
      <c r="S86" s="384">
        <v>46090</v>
      </c>
      <c r="T86" s="384">
        <v>46096</v>
      </c>
    </row>
    <row r="87" spans="1:20">
      <c r="A87" s="343">
        <v>20260330</v>
      </c>
      <c r="C87" s="343">
        <v>4</v>
      </c>
      <c r="D87" s="343">
        <v>4</v>
      </c>
      <c r="E87" s="384">
        <v>46111</v>
      </c>
      <c r="F87" s="343" t="s">
        <v>232</v>
      </c>
      <c r="G87" s="343" t="s">
        <v>141</v>
      </c>
      <c r="Q87" s="343" t="s">
        <v>338</v>
      </c>
      <c r="R87" s="343" t="s">
        <v>136</v>
      </c>
      <c r="S87" s="384">
        <v>46090</v>
      </c>
      <c r="T87" s="384">
        <v>46096</v>
      </c>
    </row>
    <row r="88" spans="1:20">
      <c r="A88" s="343">
        <v>20260331</v>
      </c>
      <c r="C88" s="343">
        <v>5</v>
      </c>
      <c r="D88" s="343">
        <v>5</v>
      </c>
      <c r="E88" s="384">
        <v>46112</v>
      </c>
      <c r="F88" s="343" t="s">
        <v>233</v>
      </c>
      <c r="G88" s="343" t="s">
        <v>141</v>
      </c>
      <c r="Q88" s="343" t="s">
        <v>338</v>
      </c>
      <c r="R88" s="343" t="s">
        <v>136</v>
      </c>
      <c r="S88" s="384">
        <v>46090</v>
      </c>
      <c r="T88" s="384">
        <v>46096</v>
      </c>
    </row>
    <row r="89" spans="1:20">
      <c r="A89" s="343">
        <v>20260401</v>
      </c>
      <c r="B89" s="343">
        <v>20037.11</v>
      </c>
      <c r="C89" s="343">
        <v>94</v>
      </c>
      <c r="D89" s="343">
        <v>296</v>
      </c>
      <c r="E89" s="384">
        <v>46113</v>
      </c>
      <c r="F89" s="343" t="s">
        <v>234</v>
      </c>
      <c r="G89" s="343" t="s">
        <v>141</v>
      </c>
      <c r="Q89" s="343" t="s">
        <v>338</v>
      </c>
      <c r="R89" s="343" t="s">
        <v>136</v>
      </c>
      <c r="S89" s="384">
        <v>46090</v>
      </c>
      <c r="T89" s="384">
        <v>46096</v>
      </c>
    </row>
    <row r="90" spans="1:20">
      <c r="A90" s="343">
        <v>20260402</v>
      </c>
      <c r="B90" s="343">
        <v>24884.46</v>
      </c>
      <c r="C90" s="343">
        <v>86</v>
      </c>
      <c r="D90" s="343">
        <v>229</v>
      </c>
      <c r="E90" s="384">
        <v>46114</v>
      </c>
      <c r="F90" s="343" t="s">
        <v>235</v>
      </c>
      <c r="G90" s="343" t="s">
        <v>141</v>
      </c>
      <c r="Q90" s="343" t="s">
        <v>338</v>
      </c>
      <c r="R90" s="343" t="s">
        <v>136</v>
      </c>
      <c r="S90" s="384">
        <v>46090</v>
      </c>
      <c r="T90" s="384">
        <v>46096</v>
      </c>
    </row>
    <row r="91" spans="1:20">
      <c r="A91" s="343">
        <v>20260403</v>
      </c>
      <c r="B91" s="343">
        <v>45661.87</v>
      </c>
      <c r="C91" s="343">
        <v>163</v>
      </c>
      <c r="D91" s="343">
        <v>427</v>
      </c>
      <c r="E91" s="384">
        <v>46115</v>
      </c>
      <c r="F91" s="343" t="s">
        <v>236</v>
      </c>
      <c r="G91" s="343" t="s">
        <v>141</v>
      </c>
      <c r="Q91" s="343" t="s">
        <v>338</v>
      </c>
      <c r="R91" s="343" t="s">
        <v>136</v>
      </c>
      <c r="S91" s="384">
        <v>46090</v>
      </c>
      <c r="T91" s="384">
        <v>46096</v>
      </c>
    </row>
    <row r="92" spans="1:20">
      <c r="A92" s="343">
        <v>20260404</v>
      </c>
      <c r="B92" s="343">
        <v>47163.34</v>
      </c>
      <c r="C92" s="343">
        <v>163</v>
      </c>
      <c r="D92" s="343">
        <v>452</v>
      </c>
      <c r="E92" s="384">
        <v>46116</v>
      </c>
      <c r="F92" s="343" t="s">
        <v>244</v>
      </c>
      <c r="G92" s="343" t="s">
        <v>141</v>
      </c>
      <c r="Q92" s="343" t="s">
        <v>338</v>
      </c>
      <c r="R92" s="343" t="s">
        <v>137</v>
      </c>
      <c r="S92" s="384">
        <v>46097</v>
      </c>
      <c r="T92" s="384">
        <v>46103</v>
      </c>
    </row>
    <row r="93" spans="1:20">
      <c r="A93" s="343">
        <v>20260405</v>
      </c>
      <c r="B93" s="343">
        <v>22836.25</v>
      </c>
      <c r="C93" s="343">
        <v>80</v>
      </c>
      <c r="D93" s="343">
        <v>220</v>
      </c>
      <c r="E93" s="384">
        <v>46117</v>
      </c>
      <c r="F93" s="343" t="s">
        <v>245</v>
      </c>
      <c r="G93" s="343" t="s">
        <v>141</v>
      </c>
      <c r="Q93" s="343" t="s">
        <v>338</v>
      </c>
      <c r="R93" s="343" t="s">
        <v>137</v>
      </c>
      <c r="S93" s="384">
        <v>46097</v>
      </c>
      <c r="T93" s="384">
        <v>46103</v>
      </c>
    </row>
    <row r="94" spans="1:20">
      <c r="A94" s="343">
        <v>20260408</v>
      </c>
      <c r="B94" s="343">
        <v>17601.3</v>
      </c>
      <c r="C94" s="343">
        <v>64</v>
      </c>
      <c r="D94" s="343">
        <v>185</v>
      </c>
      <c r="E94" s="384">
        <v>46120</v>
      </c>
      <c r="F94" s="343" t="s">
        <v>234</v>
      </c>
      <c r="G94" s="343" t="s">
        <v>142</v>
      </c>
      <c r="Q94" s="343" t="s">
        <v>338</v>
      </c>
      <c r="R94" s="343" t="s">
        <v>137</v>
      </c>
      <c r="S94" s="384">
        <v>46097</v>
      </c>
      <c r="T94" s="384">
        <v>46103</v>
      </c>
    </row>
    <row r="95" spans="1:20">
      <c r="A95" s="343">
        <v>20260409</v>
      </c>
      <c r="B95" s="343">
        <v>30124.92</v>
      </c>
      <c r="C95" s="343">
        <v>109</v>
      </c>
      <c r="D95" s="343">
        <v>328</v>
      </c>
      <c r="E95" s="384">
        <v>46121</v>
      </c>
      <c r="F95" s="343" t="s">
        <v>235</v>
      </c>
      <c r="G95" s="343" t="s">
        <v>142</v>
      </c>
      <c r="Q95" s="343" t="s">
        <v>338</v>
      </c>
      <c r="R95" s="343" t="s">
        <v>137</v>
      </c>
      <c r="S95" s="384">
        <v>46097</v>
      </c>
      <c r="T95" s="384">
        <v>46103</v>
      </c>
    </row>
    <row r="96" spans="1:20">
      <c r="A96" s="343">
        <v>20260410</v>
      </c>
      <c r="B96" s="343">
        <v>54555.69</v>
      </c>
      <c r="C96" s="343">
        <v>186</v>
      </c>
      <c r="D96" s="343">
        <v>555</v>
      </c>
      <c r="E96" s="384">
        <v>46122</v>
      </c>
      <c r="F96" s="343" t="s">
        <v>236</v>
      </c>
      <c r="G96" s="343" t="s">
        <v>142</v>
      </c>
      <c r="Q96" s="343" t="s">
        <v>338</v>
      </c>
      <c r="R96" s="343" t="s">
        <v>137</v>
      </c>
      <c r="S96" s="384">
        <v>46097</v>
      </c>
      <c r="T96" s="384">
        <v>46103</v>
      </c>
    </row>
    <row r="97" spans="1:20">
      <c r="A97" s="343">
        <v>20260411</v>
      </c>
      <c r="B97" s="343">
        <v>56672.88</v>
      </c>
      <c r="C97" s="343">
        <v>198</v>
      </c>
      <c r="D97" s="343">
        <v>603</v>
      </c>
      <c r="E97" s="384">
        <v>46123</v>
      </c>
      <c r="F97" s="343" t="s">
        <v>244</v>
      </c>
      <c r="G97" s="343" t="s">
        <v>142</v>
      </c>
      <c r="Q97" s="343" t="s">
        <v>338</v>
      </c>
      <c r="R97" s="343" t="s">
        <v>137</v>
      </c>
      <c r="S97" s="384">
        <v>46097</v>
      </c>
      <c r="T97" s="384">
        <v>46103</v>
      </c>
    </row>
    <row r="98" spans="1:20">
      <c r="A98" s="343">
        <v>20260412</v>
      </c>
      <c r="B98" s="343">
        <v>16996.990000000002</v>
      </c>
      <c r="C98" s="343">
        <v>63</v>
      </c>
      <c r="D98" s="343">
        <v>174</v>
      </c>
      <c r="E98" s="384">
        <v>46124</v>
      </c>
      <c r="F98" s="343" t="s">
        <v>245</v>
      </c>
      <c r="G98" s="343" t="s">
        <v>142</v>
      </c>
      <c r="Q98" s="343" t="s">
        <v>338</v>
      </c>
      <c r="R98" s="343" t="s">
        <v>137</v>
      </c>
      <c r="S98" s="384">
        <v>46097</v>
      </c>
      <c r="T98" s="384">
        <v>46103</v>
      </c>
    </row>
    <row r="99" spans="1:20">
      <c r="A99" s="343">
        <v>20260413</v>
      </c>
      <c r="B99" s="343">
        <v>10197.82</v>
      </c>
      <c r="C99" s="343">
        <v>40</v>
      </c>
      <c r="D99" s="343">
        <v>99</v>
      </c>
      <c r="E99" s="384">
        <v>46125</v>
      </c>
      <c r="F99" s="343" t="s">
        <v>232</v>
      </c>
      <c r="G99" s="343" t="s">
        <v>143</v>
      </c>
      <c r="Q99" s="343" t="s">
        <v>338</v>
      </c>
      <c r="R99" s="343" t="s">
        <v>137</v>
      </c>
      <c r="S99" s="384">
        <v>46097</v>
      </c>
      <c r="T99" s="384">
        <v>46103</v>
      </c>
    </row>
    <row r="100" spans="1:20">
      <c r="A100" s="343">
        <v>20260414</v>
      </c>
      <c r="B100" s="343">
        <v>12446.36</v>
      </c>
      <c r="C100" s="343">
        <v>44</v>
      </c>
      <c r="D100" s="343">
        <v>130</v>
      </c>
      <c r="E100" s="384">
        <v>46126</v>
      </c>
      <c r="F100" s="343" t="s">
        <v>233</v>
      </c>
      <c r="G100" s="343" t="s">
        <v>143</v>
      </c>
      <c r="Q100" s="343" t="s">
        <v>338</v>
      </c>
      <c r="R100" s="343" t="s">
        <v>138</v>
      </c>
      <c r="S100" s="384">
        <v>46104</v>
      </c>
      <c r="T100" s="384">
        <v>46110</v>
      </c>
    </row>
    <row r="101" spans="1:20">
      <c r="A101" s="343">
        <v>20260415</v>
      </c>
      <c r="B101" s="343">
        <v>14132.98</v>
      </c>
      <c r="C101" s="343">
        <v>55</v>
      </c>
      <c r="D101" s="343">
        <v>141</v>
      </c>
      <c r="E101" s="384">
        <v>46127</v>
      </c>
      <c r="F101" s="343" t="s">
        <v>234</v>
      </c>
      <c r="G101" s="343" t="s">
        <v>143</v>
      </c>
      <c r="Q101" s="343" t="s">
        <v>338</v>
      </c>
      <c r="R101" s="343" t="s">
        <v>138</v>
      </c>
      <c r="S101" s="384">
        <v>46104</v>
      </c>
      <c r="T101" s="384">
        <v>46110</v>
      </c>
    </row>
    <row r="102" spans="1:20">
      <c r="A102" s="343">
        <v>20260416</v>
      </c>
      <c r="B102" s="343">
        <v>33015.47</v>
      </c>
      <c r="C102" s="343">
        <v>104</v>
      </c>
      <c r="D102" s="343">
        <v>295</v>
      </c>
      <c r="E102" s="384">
        <v>46128</v>
      </c>
      <c r="F102" s="343" t="s">
        <v>235</v>
      </c>
      <c r="G102" s="343" t="s">
        <v>143</v>
      </c>
      <c r="Q102" s="343" t="s">
        <v>338</v>
      </c>
      <c r="R102" s="343" t="s">
        <v>138</v>
      </c>
      <c r="S102" s="384">
        <v>46104</v>
      </c>
      <c r="T102" s="384">
        <v>46110</v>
      </c>
    </row>
    <row r="103" spans="1:20">
      <c r="A103" s="343">
        <v>20260417</v>
      </c>
      <c r="B103" s="343">
        <v>46596.38</v>
      </c>
      <c r="C103" s="343">
        <v>176</v>
      </c>
      <c r="D103" s="343">
        <v>479</v>
      </c>
      <c r="E103" s="384">
        <v>46129</v>
      </c>
      <c r="F103" s="343" t="s">
        <v>236</v>
      </c>
      <c r="G103" s="343" t="s">
        <v>143</v>
      </c>
      <c r="Q103" s="343" t="s">
        <v>338</v>
      </c>
      <c r="R103" s="343" t="s">
        <v>138</v>
      </c>
      <c r="S103" s="384">
        <v>46104</v>
      </c>
      <c r="T103" s="384">
        <v>46110</v>
      </c>
    </row>
    <row r="104" spans="1:20">
      <c r="A104" s="343">
        <v>20260418</v>
      </c>
      <c r="B104" s="343">
        <v>43556.71</v>
      </c>
      <c r="C104" s="343">
        <v>164</v>
      </c>
      <c r="D104" s="343">
        <v>455</v>
      </c>
      <c r="E104" s="384">
        <v>46130</v>
      </c>
      <c r="F104" s="343" t="s">
        <v>244</v>
      </c>
      <c r="G104" s="343" t="s">
        <v>143</v>
      </c>
      <c r="Q104" s="343" t="s">
        <v>338</v>
      </c>
      <c r="R104" s="343" t="s">
        <v>138</v>
      </c>
      <c r="S104" s="384">
        <v>46104</v>
      </c>
      <c r="T104" s="384">
        <v>46110</v>
      </c>
    </row>
    <row r="105" spans="1:20">
      <c r="A105" s="343">
        <v>20260419</v>
      </c>
      <c r="B105" s="343">
        <v>16432.32</v>
      </c>
      <c r="C105" s="343">
        <v>72</v>
      </c>
      <c r="D105" s="343">
        <v>194</v>
      </c>
      <c r="E105" s="384">
        <v>46131</v>
      </c>
      <c r="F105" s="343" t="s">
        <v>245</v>
      </c>
      <c r="G105" s="343" t="s">
        <v>143</v>
      </c>
      <c r="Q105" s="343" t="s">
        <v>338</v>
      </c>
      <c r="R105" s="343" t="s">
        <v>138</v>
      </c>
      <c r="S105" s="384">
        <v>46104</v>
      </c>
      <c r="T105" s="384">
        <v>46110</v>
      </c>
    </row>
    <row r="106" spans="1:20">
      <c r="A106" s="343">
        <v>20260420</v>
      </c>
      <c r="B106" s="343">
        <v>10356.94</v>
      </c>
      <c r="C106" s="343">
        <v>46</v>
      </c>
      <c r="D106" s="343">
        <v>93</v>
      </c>
      <c r="E106" s="384">
        <v>46132</v>
      </c>
      <c r="F106" s="343" t="s">
        <v>232</v>
      </c>
      <c r="G106" s="343" t="s">
        <v>144</v>
      </c>
      <c r="Q106" s="343" t="s">
        <v>338</v>
      </c>
      <c r="R106" s="343" t="s">
        <v>138</v>
      </c>
      <c r="S106" s="384">
        <v>46104</v>
      </c>
      <c r="T106" s="384">
        <v>46110</v>
      </c>
    </row>
    <row r="107" spans="1:20">
      <c r="A107" s="343">
        <v>20260421</v>
      </c>
      <c r="B107" s="343">
        <v>14382.44</v>
      </c>
      <c r="C107" s="343">
        <v>49</v>
      </c>
      <c r="D107" s="343">
        <v>123</v>
      </c>
      <c r="E107" s="384">
        <v>46133</v>
      </c>
      <c r="F107" s="343" t="s">
        <v>233</v>
      </c>
      <c r="G107" s="343" t="s">
        <v>144</v>
      </c>
      <c r="Q107" s="343" t="s">
        <v>338</v>
      </c>
      <c r="R107" s="343" t="s">
        <v>138</v>
      </c>
      <c r="S107" s="384">
        <v>46104</v>
      </c>
      <c r="T107" s="384">
        <v>46110</v>
      </c>
    </row>
    <row r="108" spans="1:20">
      <c r="A108" s="343">
        <v>20260422</v>
      </c>
      <c r="B108" s="343">
        <v>26737.17</v>
      </c>
      <c r="C108" s="343">
        <v>67</v>
      </c>
      <c r="D108" s="343">
        <v>247</v>
      </c>
      <c r="E108" s="384">
        <v>46134</v>
      </c>
      <c r="F108" s="343" t="s">
        <v>234</v>
      </c>
      <c r="G108" s="343" t="s">
        <v>144</v>
      </c>
      <c r="Q108" s="343" t="s">
        <v>338</v>
      </c>
      <c r="R108" s="343" t="s">
        <v>141</v>
      </c>
      <c r="S108" s="384">
        <v>46111</v>
      </c>
      <c r="T108" s="384">
        <v>46117</v>
      </c>
    </row>
    <row r="109" spans="1:20">
      <c r="A109" s="343">
        <v>20260423</v>
      </c>
      <c r="B109" s="343">
        <v>20772.93</v>
      </c>
      <c r="C109" s="343">
        <v>90</v>
      </c>
      <c r="D109" s="343">
        <v>280</v>
      </c>
      <c r="E109" s="384">
        <v>46135</v>
      </c>
      <c r="F109" s="343" t="s">
        <v>235</v>
      </c>
      <c r="G109" s="343" t="s">
        <v>144</v>
      </c>
      <c r="Q109" s="343" t="s">
        <v>338</v>
      </c>
      <c r="R109" s="343" t="s">
        <v>141</v>
      </c>
      <c r="S109" s="384">
        <v>46111</v>
      </c>
      <c r="T109" s="384">
        <v>46117</v>
      </c>
    </row>
    <row r="110" spans="1:20">
      <c r="A110" s="343">
        <v>20260424</v>
      </c>
      <c r="B110" s="343">
        <v>53984.79</v>
      </c>
      <c r="C110" s="343">
        <v>183</v>
      </c>
      <c r="D110" s="343">
        <v>617</v>
      </c>
      <c r="E110" s="384">
        <v>46136</v>
      </c>
      <c r="F110" s="343" t="s">
        <v>236</v>
      </c>
      <c r="G110" s="343" t="s">
        <v>144</v>
      </c>
      <c r="Q110" s="343" t="s">
        <v>338</v>
      </c>
      <c r="R110" s="343" t="s">
        <v>141</v>
      </c>
      <c r="S110" s="384">
        <v>46111</v>
      </c>
      <c r="T110" s="384">
        <v>46117</v>
      </c>
    </row>
    <row r="111" spans="1:20">
      <c r="A111" s="343">
        <v>20260425</v>
      </c>
      <c r="B111" s="343">
        <v>51410.9</v>
      </c>
      <c r="C111" s="343">
        <v>195</v>
      </c>
      <c r="D111" s="343">
        <v>546</v>
      </c>
      <c r="E111" s="384">
        <v>46137</v>
      </c>
      <c r="F111" s="343" t="s">
        <v>244</v>
      </c>
      <c r="G111" s="343" t="s">
        <v>144</v>
      </c>
      <c r="Q111" s="343" t="s">
        <v>338</v>
      </c>
      <c r="R111" s="343" t="s">
        <v>141</v>
      </c>
      <c r="S111" s="384">
        <v>46111</v>
      </c>
      <c r="T111" s="384">
        <v>46117</v>
      </c>
    </row>
    <row r="112" spans="1:20">
      <c r="A112" s="343">
        <v>20260426</v>
      </c>
      <c r="B112" s="343">
        <v>13743.26</v>
      </c>
      <c r="C112" s="343">
        <v>58</v>
      </c>
      <c r="D112" s="343">
        <v>145</v>
      </c>
      <c r="E112" s="384">
        <v>46138</v>
      </c>
      <c r="F112" s="343" t="s">
        <v>245</v>
      </c>
      <c r="G112" s="343" t="s">
        <v>144</v>
      </c>
      <c r="Q112" s="343" t="s">
        <v>338</v>
      </c>
      <c r="R112" s="343" t="s">
        <v>141</v>
      </c>
      <c r="S112" s="384">
        <v>46111</v>
      </c>
      <c r="T112" s="384">
        <v>46117</v>
      </c>
    </row>
    <row r="113" spans="1:20">
      <c r="A113" s="343">
        <v>20260427</v>
      </c>
      <c r="B113" s="343">
        <v>16614.77</v>
      </c>
      <c r="C113" s="343">
        <v>60</v>
      </c>
      <c r="D113" s="343">
        <v>209</v>
      </c>
      <c r="E113" s="384">
        <v>46139</v>
      </c>
      <c r="F113" s="343" t="s">
        <v>232</v>
      </c>
      <c r="G113" s="343" t="s">
        <v>147</v>
      </c>
      <c r="Q113" s="343" t="s">
        <v>338</v>
      </c>
      <c r="R113" s="343" t="s">
        <v>141</v>
      </c>
      <c r="S113" s="384">
        <v>46111</v>
      </c>
      <c r="T113" s="384">
        <v>46117</v>
      </c>
    </row>
    <row r="114" spans="1:20">
      <c r="A114" s="343">
        <v>20260428</v>
      </c>
      <c r="B114" s="343">
        <v>15909.47</v>
      </c>
      <c r="C114" s="343">
        <v>84</v>
      </c>
      <c r="D114" s="343">
        <v>205</v>
      </c>
      <c r="E114" s="384">
        <v>46140</v>
      </c>
      <c r="F114" s="343" t="s">
        <v>233</v>
      </c>
      <c r="G114" s="343" t="s">
        <v>147</v>
      </c>
      <c r="Q114" s="343" t="s">
        <v>338</v>
      </c>
      <c r="R114" s="343" t="s">
        <v>141</v>
      </c>
      <c r="S114" s="384">
        <v>46111</v>
      </c>
      <c r="T114" s="384">
        <v>46117</v>
      </c>
    </row>
    <row r="115" spans="1:20">
      <c r="A115" s="343">
        <v>20260429</v>
      </c>
      <c r="B115" s="343">
        <v>22232.57</v>
      </c>
      <c r="C115" s="343">
        <v>82</v>
      </c>
      <c r="D115" s="343">
        <v>280</v>
      </c>
      <c r="E115" s="384">
        <v>46141</v>
      </c>
      <c r="F115" s="343" t="s">
        <v>234</v>
      </c>
      <c r="G115" s="343" t="s">
        <v>147</v>
      </c>
      <c r="Q115" s="343" t="s">
        <v>338</v>
      </c>
      <c r="R115" s="343" t="s">
        <v>142</v>
      </c>
      <c r="S115" s="384">
        <v>46118</v>
      </c>
      <c r="T115" s="384">
        <v>46124</v>
      </c>
    </row>
    <row r="116" spans="1:20">
      <c r="A116" s="343">
        <v>20260430</v>
      </c>
      <c r="B116" s="343">
        <v>46650.77</v>
      </c>
      <c r="C116" s="343">
        <v>102</v>
      </c>
      <c r="D116" s="343">
        <v>267</v>
      </c>
      <c r="E116" s="384">
        <v>46142</v>
      </c>
      <c r="F116" s="343" t="s">
        <v>235</v>
      </c>
      <c r="G116" s="343" t="s">
        <v>147</v>
      </c>
      <c r="Q116" s="343" t="s">
        <v>338</v>
      </c>
      <c r="R116" s="343" t="s">
        <v>142</v>
      </c>
      <c r="S116" s="384">
        <v>46118</v>
      </c>
      <c r="T116" s="384">
        <v>46124</v>
      </c>
    </row>
    <row r="117" spans="1:20">
      <c r="A117" s="343">
        <v>20260501</v>
      </c>
      <c r="B117" s="343">
        <v>55038.66</v>
      </c>
      <c r="C117" s="343">
        <v>194</v>
      </c>
      <c r="D117" s="343">
        <v>509</v>
      </c>
      <c r="E117" s="384">
        <v>46143</v>
      </c>
      <c r="F117" s="343" t="s">
        <v>236</v>
      </c>
      <c r="G117" s="343" t="s">
        <v>147</v>
      </c>
      <c r="Q117" s="343" t="s">
        <v>338</v>
      </c>
      <c r="R117" s="343" t="s">
        <v>142</v>
      </c>
      <c r="S117" s="384">
        <v>46118</v>
      </c>
      <c r="T117" s="384">
        <v>46124</v>
      </c>
    </row>
    <row r="118" spans="1:20">
      <c r="A118" s="343">
        <v>20260502</v>
      </c>
      <c r="B118" s="343">
        <v>61834.47</v>
      </c>
      <c r="C118" s="343">
        <v>205</v>
      </c>
      <c r="D118" s="343">
        <v>622</v>
      </c>
      <c r="E118" s="384">
        <v>46144</v>
      </c>
      <c r="F118" s="343" t="s">
        <v>244</v>
      </c>
      <c r="G118" s="343" t="s">
        <v>147</v>
      </c>
      <c r="Q118" s="343" t="s">
        <v>338</v>
      </c>
      <c r="R118" s="343" t="s">
        <v>142</v>
      </c>
      <c r="S118" s="384">
        <v>46118</v>
      </c>
      <c r="T118" s="384">
        <v>46124</v>
      </c>
    </row>
    <row r="119" spans="1:20">
      <c r="A119" s="343">
        <v>20260503</v>
      </c>
      <c r="B119" s="343">
        <v>28180.44</v>
      </c>
      <c r="C119" s="343">
        <v>53</v>
      </c>
      <c r="D119" s="343">
        <v>223</v>
      </c>
      <c r="E119" s="384">
        <v>46145</v>
      </c>
      <c r="F119" s="343" t="s">
        <v>245</v>
      </c>
      <c r="G119" s="343" t="s">
        <v>147</v>
      </c>
      <c r="Q119" s="343" t="s">
        <v>338</v>
      </c>
      <c r="R119" s="343" t="s">
        <v>142</v>
      </c>
      <c r="S119" s="384">
        <v>46118</v>
      </c>
      <c r="T119" s="384">
        <v>46124</v>
      </c>
    </row>
    <row r="120" spans="1:20">
      <c r="A120" s="343">
        <v>20260504</v>
      </c>
      <c r="B120" s="343">
        <v>9541.4699999999993</v>
      </c>
      <c r="C120" s="343">
        <v>37</v>
      </c>
      <c r="D120" s="343">
        <v>101</v>
      </c>
      <c r="E120" s="384">
        <v>46146</v>
      </c>
      <c r="F120" s="343" t="s">
        <v>232</v>
      </c>
      <c r="G120" s="343" t="s">
        <v>148</v>
      </c>
      <c r="Q120" s="343" t="s">
        <v>338</v>
      </c>
      <c r="R120" s="343" t="s">
        <v>142</v>
      </c>
      <c r="S120" s="384">
        <v>46118</v>
      </c>
      <c r="T120" s="384">
        <v>46124</v>
      </c>
    </row>
    <row r="121" spans="1:20">
      <c r="A121" s="343">
        <v>20260505</v>
      </c>
      <c r="B121" s="343">
        <v>14445.08</v>
      </c>
      <c r="C121" s="343">
        <v>39</v>
      </c>
      <c r="D121" s="343">
        <v>111</v>
      </c>
      <c r="E121" s="384">
        <v>46147</v>
      </c>
      <c r="F121" s="343" t="s">
        <v>233</v>
      </c>
      <c r="G121" s="343" t="s">
        <v>148</v>
      </c>
      <c r="Q121" s="343" t="s">
        <v>338</v>
      </c>
      <c r="R121" s="343" t="s">
        <v>142</v>
      </c>
      <c r="S121" s="384">
        <v>46118</v>
      </c>
      <c r="T121" s="384">
        <v>46124</v>
      </c>
    </row>
    <row r="122" spans="1:20">
      <c r="A122" s="343">
        <v>20260506</v>
      </c>
      <c r="B122" s="343">
        <v>25685.97</v>
      </c>
      <c r="C122" s="343">
        <v>85</v>
      </c>
      <c r="D122" s="343">
        <v>261</v>
      </c>
      <c r="E122" s="384">
        <v>46148</v>
      </c>
      <c r="F122" s="343" t="s">
        <v>234</v>
      </c>
      <c r="G122" s="343" t="s">
        <v>148</v>
      </c>
      <c r="Q122" s="343" t="s">
        <v>338</v>
      </c>
      <c r="R122" s="343" t="s">
        <v>142</v>
      </c>
      <c r="S122" s="384">
        <v>46118</v>
      </c>
      <c r="T122" s="384">
        <v>46124</v>
      </c>
    </row>
    <row r="123" spans="1:20">
      <c r="A123" s="343">
        <v>20260507</v>
      </c>
      <c r="B123" s="343">
        <v>51419.6</v>
      </c>
      <c r="C123" s="343">
        <v>133</v>
      </c>
      <c r="D123" s="343">
        <v>469</v>
      </c>
      <c r="E123" s="384">
        <v>46149</v>
      </c>
      <c r="F123" s="343" t="s">
        <v>235</v>
      </c>
      <c r="G123" s="343" t="s">
        <v>148</v>
      </c>
      <c r="Q123" s="343" t="s">
        <v>338</v>
      </c>
      <c r="R123" s="343" t="s">
        <v>142</v>
      </c>
      <c r="S123" s="384">
        <v>46118</v>
      </c>
      <c r="T123" s="384">
        <v>46124</v>
      </c>
    </row>
    <row r="124" spans="1:20">
      <c r="A124" s="343">
        <v>20260508</v>
      </c>
      <c r="B124" s="343">
        <v>64515.12</v>
      </c>
      <c r="C124" s="343">
        <v>244</v>
      </c>
      <c r="D124" s="343">
        <v>656</v>
      </c>
      <c r="E124" s="384">
        <v>46150</v>
      </c>
      <c r="F124" s="343" t="s">
        <v>236</v>
      </c>
      <c r="G124" s="343" t="s">
        <v>148</v>
      </c>
      <c r="Q124" s="343" t="s">
        <v>338</v>
      </c>
      <c r="R124" s="343" t="s">
        <v>143</v>
      </c>
      <c r="S124" s="384">
        <v>46125</v>
      </c>
      <c r="T124" s="384">
        <v>46131</v>
      </c>
    </row>
    <row r="125" spans="1:20">
      <c r="A125" s="343">
        <v>20260509</v>
      </c>
      <c r="B125" s="343">
        <v>47873</v>
      </c>
      <c r="C125" s="343">
        <v>181</v>
      </c>
      <c r="D125" s="343">
        <v>546</v>
      </c>
      <c r="E125" s="384">
        <v>46151</v>
      </c>
      <c r="F125" s="343" t="s">
        <v>244</v>
      </c>
      <c r="G125" s="343" t="s">
        <v>148</v>
      </c>
      <c r="Q125" s="343" t="s">
        <v>338</v>
      </c>
      <c r="R125" s="343" t="s">
        <v>143</v>
      </c>
      <c r="S125" s="384">
        <v>46125</v>
      </c>
      <c r="T125" s="384">
        <v>46131</v>
      </c>
    </row>
    <row r="126" spans="1:20">
      <c r="A126" s="343">
        <v>20260510</v>
      </c>
      <c r="B126" s="343">
        <v>34809.51</v>
      </c>
      <c r="C126" s="343">
        <v>119</v>
      </c>
      <c r="D126" s="343">
        <v>390</v>
      </c>
      <c r="E126" s="384">
        <v>46152</v>
      </c>
      <c r="F126" s="343" t="s">
        <v>245</v>
      </c>
      <c r="G126" s="343" t="s">
        <v>148</v>
      </c>
      <c r="Q126" s="343" t="s">
        <v>338</v>
      </c>
      <c r="R126" s="343" t="s">
        <v>143</v>
      </c>
      <c r="S126" s="384">
        <v>46125</v>
      </c>
      <c r="T126" s="384">
        <v>46131</v>
      </c>
    </row>
    <row r="127" spans="1:20">
      <c r="A127" s="343">
        <v>20260511</v>
      </c>
      <c r="B127" s="343">
        <v>15083.17</v>
      </c>
      <c r="C127" s="343">
        <v>50</v>
      </c>
      <c r="D127" s="343">
        <v>160</v>
      </c>
      <c r="E127" s="384">
        <v>46153</v>
      </c>
      <c r="F127" s="343" t="s">
        <v>232</v>
      </c>
      <c r="G127" s="343" t="s">
        <v>149</v>
      </c>
      <c r="Q127" s="343" t="s">
        <v>338</v>
      </c>
      <c r="R127" s="343" t="s">
        <v>143</v>
      </c>
      <c r="S127" s="384">
        <v>46125</v>
      </c>
      <c r="T127" s="384">
        <v>46131</v>
      </c>
    </row>
    <row r="128" spans="1:20">
      <c r="A128" s="343">
        <v>20260512</v>
      </c>
      <c r="B128" s="343">
        <v>12824.23</v>
      </c>
      <c r="C128" s="343">
        <v>51</v>
      </c>
      <c r="D128" s="343">
        <v>174</v>
      </c>
      <c r="E128" s="384">
        <v>46154</v>
      </c>
      <c r="F128" s="343" t="s">
        <v>233</v>
      </c>
      <c r="G128" s="343" t="s">
        <v>149</v>
      </c>
      <c r="Q128" s="343" t="s">
        <v>338</v>
      </c>
      <c r="R128" s="343" t="s">
        <v>143</v>
      </c>
      <c r="S128" s="384">
        <v>46125</v>
      </c>
      <c r="T128" s="384">
        <v>46131</v>
      </c>
    </row>
    <row r="129" spans="1:20">
      <c r="A129" s="343">
        <v>20260513</v>
      </c>
      <c r="B129" s="343">
        <v>21323.35</v>
      </c>
      <c r="C129" s="343">
        <v>129</v>
      </c>
      <c r="D129" s="343">
        <v>299</v>
      </c>
      <c r="E129" s="384">
        <v>46155</v>
      </c>
      <c r="F129" s="343" t="s">
        <v>234</v>
      </c>
      <c r="G129" s="343" t="s">
        <v>149</v>
      </c>
      <c r="Q129" s="343" t="s">
        <v>338</v>
      </c>
      <c r="R129" s="343" t="s">
        <v>143</v>
      </c>
      <c r="S129" s="384">
        <v>46125</v>
      </c>
      <c r="T129" s="384">
        <v>46131</v>
      </c>
    </row>
    <row r="130" spans="1:20">
      <c r="A130" s="343">
        <v>20260514</v>
      </c>
      <c r="B130" s="343">
        <v>26297.49</v>
      </c>
      <c r="C130" s="343">
        <v>86</v>
      </c>
      <c r="D130" s="343">
        <v>239</v>
      </c>
      <c r="E130" s="384">
        <v>46156</v>
      </c>
      <c r="F130" s="343" t="s">
        <v>235</v>
      </c>
      <c r="G130" s="343" t="s">
        <v>149</v>
      </c>
      <c r="Q130" s="343" t="s">
        <v>338</v>
      </c>
      <c r="R130" s="343" t="s">
        <v>143</v>
      </c>
      <c r="S130" s="384">
        <v>46125</v>
      </c>
      <c r="T130" s="384">
        <v>46131</v>
      </c>
    </row>
    <row r="131" spans="1:20">
      <c r="A131" s="343">
        <v>20260515</v>
      </c>
      <c r="B131" s="343">
        <v>37955.769999999997</v>
      </c>
      <c r="C131" s="343">
        <v>160</v>
      </c>
      <c r="D131" s="343">
        <v>418</v>
      </c>
      <c r="E131" s="384">
        <v>46157</v>
      </c>
      <c r="F131" s="343" t="s">
        <v>236</v>
      </c>
      <c r="G131" s="343" t="s">
        <v>149</v>
      </c>
      <c r="Q131" s="343" t="s">
        <v>338</v>
      </c>
      <c r="R131" s="343" t="s">
        <v>143</v>
      </c>
      <c r="S131" s="384">
        <v>46125</v>
      </c>
      <c r="T131" s="384">
        <v>46131</v>
      </c>
    </row>
    <row r="132" spans="1:20">
      <c r="A132" s="343">
        <v>20260516</v>
      </c>
      <c r="B132" s="343">
        <v>38412.33</v>
      </c>
      <c r="C132" s="343">
        <v>137</v>
      </c>
      <c r="D132" s="343">
        <v>387</v>
      </c>
      <c r="E132" s="384">
        <v>46158</v>
      </c>
      <c r="F132" s="343" t="s">
        <v>244</v>
      </c>
      <c r="G132" s="343" t="s">
        <v>149</v>
      </c>
      <c r="Q132" s="343" t="s">
        <v>338</v>
      </c>
      <c r="R132" s="343" t="s">
        <v>144</v>
      </c>
      <c r="S132" s="384">
        <v>46132</v>
      </c>
      <c r="T132" s="384">
        <v>46138</v>
      </c>
    </row>
    <row r="133" spans="1:20">
      <c r="A133" s="343">
        <v>20260517</v>
      </c>
      <c r="B133" s="343">
        <v>11760.37</v>
      </c>
      <c r="C133" s="343">
        <v>49</v>
      </c>
      <c r="D133" s="343">
        <v>122</v>
      </c>
      <c r="E133" s="384">
        <v>46159</v>
      </c>
      <c r="F133" s="343" t="s">
        <v>245</v>
      </c>
      <c r="G133" s="343" t="s">
        <v>149</v>
      </c>
      <c r="Q133" s="343" t="s">
        <v>338</v>
      </c>
      <c r="R133" s="343" t="s">
        <v>144</v>
      </c>
      <c r="S133" s="384">
        <v>46132</v>
      </c>
      <c r="T133" s="384">
        <v>46138</v>
      </c>
    </row>
    <row r="134" spans="1:20">
      <c r="A134" s="343">
        <v>20260518</v>
      </c>
      <c r="B134" s="343">
        <v>7765.69</v>
      </c>
      <c r="C134" s="343">
        <v>32</v>
      </c>
      <c r="D134" s="343">
        <v>81</v>
      </c>
      <c r="E134" s="384">
        <v>46160</v>
      </c>
      <c r="F134" s="343" t="s">
        <v>232</v>
      </c>
      <c r="G134" s="343" t="s">
        <v>150</v>
      </c>
      <c r="Q134" s="343" t="s">
        <v>338</v>
      </c>
      <c r="R134" s="343" t="s">
        <v>144</v>
      </c>
      <c r="S134" s="384">
        <v>46132</v>
      </c>
      <c r="T134" s="384">
        <v>46138</v>
      </c>
    </row>
    <row r="135" spans="1:20">
      <c r="A135" s="343">
        <v>20260519</v>
      </c>
      <c r="B135" s="343">
        <v>21521.5</v>
      </c>
      <c r="C135" s="343">
        <v>48</v>
      </c>
      <c r="D135" s="343">
        <v>176</v>
      </c>
      <c r="E135" s="384">
        <v>46161</v>
      </c>
      <c r="F135" s="343" t="s">
        <v>233</v>
      </c>
      <c r="G135" s="343" t="s">
        <v>150</v>
      </c>
      <c r="Q135" s="343" t="s">
        <v>338</v>
      </c>
      <c r="R135" s="343" t="s">
        <v>144</v>
      </c>
      <c r="S135" s="384">
        <v>46132</v>
      </c>
      <c r="T135" s="384">
        <v>46138</v>
      </c>
    </row>
    <row r="136" spans="1:20">
      <c r="A136" s="343">
        <v>20260520</v>
      </c>
      <c r="B136" s="343">
        <v>18178.48</v>
      </c>
      <c r="C136" s="343">
        <v>55</v>
      </c>
      <c r="D136" s="343">
        <v>189</v>
      </c>
      <c r="E136" s="384">
        <v>46162</v>
      </c>
      <c r="F136" s="343" t="s">
        <v>234</v>
      </c>
      <c r="G136" s="343" t="s">
        <v>150</v>
      </c>
      <c r="Q136" s="343" t="s">
        <v>338</v>
      </c>
      <c r="R136" s="343" t="s">
        <v>144</v>
      </c>
      <c r="S136" s="384">
        <v>46132</v>
      </c>
      <c r="T136" s="384">
        <v>46138</v>
      </c>
    </row>
    <row r="137" spans="1:20">
      <c r="A137" s="343">
        <v>20260521</v>
      </c>
      <c r="B137" s="343">
        <v>31652.65</v>
      </c>
      <c r="C137" s="343">
        <v>85</v>
      </c>
      <c r="D137" s="343">
        <v>262</v>
      </c>
      <c r="E137" s="384">
        <v>46163</v>
      </c>
      <c r="F137" s="343" t="s">
        <v>235</v>
      </c>
      <c r="G137" s="343" t="s">
        <v>150</v>
      </c>
      <c r="Q137" s="343" t="s">
        <v>338</v>
      </c>
      <c r="R137" s="343" t="s">
        <v>144</v>
      </c>
      <c r="S137" s="384">
        <v>46132</v>
      </c>
      <c r="T137" s="384">
        <v>46138</v>
      </c>
    </row>
    <row r="138" spans="1:20">
      <c r="A138" s="343">
        <v>20260522</v>
      </c>
      <c r="B138" s="343">
        <v>34090.5</v>
      </c>
      <c r="C138" s="343">
        <v>133</v>
      </c>
      <c r="D138" s="343">
        <v>382</v>
      </c>
      <c r="E138" s="384">
        <v>46164</v>
      </c>
      <c r="F138" s="343" t="s">
        <v>236</v>
      </c>
      <c r="G138" s="343" t="s">
        <v>150</v>
      </c>
      <c r="Q138" s="343" t="s">
        <v>338</v>
      </c>
      <c r="R138" s="343" t="s">
        <v>144</v>
      </c>
      <c r="S138" s="384">
        <v>46132</v>
      </c>
      <c r="T138" s="384">
        <v>46138</v>
      </c>
    </row>
    <row r="139" spans="1:20">
      <c r="A139" s="343">
        <v>20260523</v>
      </c>
      <c r="B139" s="343">
        <v>39948.300000000003</v>
      </c>
      <c r="C139" s="343">
        <v>137</v>
      </c>
      <c r="D139" s="343">
        <v>418</v>
      </c>
      <c r="E139" s="384">
        <v>46165</v>
      </c>
      <c r="F139" s="343" t="s">
        <v>244</v>
      </c>
      <c r="G139" s="343" t="s">
        <v>150</v>
      </c>
      <c r="Q139" s="343" t="s">
        <v>338</v>
      </c>
      <c r="R139" s="343" t="s">
        <v>147</v>
      </c>
      <c r="S139" s="384">
        <v>46139</v>
      </c>
      <c r="T139" s="384">
        <v>46145</v>
      </c>
    </row>
    <row r="140" spans="1:20">
      <c r="A140" s="343">
        <v>20260524</v>
      </c>
      <c r="B140" s="343">
        <v>27330.19</v>
      </c>
      <c r="C140" s="343">
        <v>106</v>
      </c>
      <c r="D140" s="343">
        <v>263</v>
      </c>
      <c r="E140" s="384">
        <v>46166</v>
      </c>
      <c r="F140" s="343" t="s">
        <v>245</v>
      </c>
      <c r="G140" s="343" t="s">
        <v>150</v>
      </c>
      <c r="Q140" s="343" t="s">
        <v>338</v>
      </c>
      <c r="R140" s="343" t="s">
        <v>147</v>
      </c>
      <c r="S140" s="384">
        <v>46139</v>
      </c>
      <c r="T140" s="384">
        <v>46145</v>
      </c>
    </row>
    <row r="141" spans="1:20">
      <c r="A141" s="343">
        <v>20260525</v>
      </c>
      <c r="B141" s="343">
        <v>9399.86</v>
      </c>
      <c r="C141" s="343">
        <v>37</v>
      </c>
      <c r="D141" s="343">
        <v>108</v>
      </c>
      <c r="E141" s="384">
        <v>46167</v>
      </c>
      <c r="F141" s="343" t="s">
        <v>232</v>
      </c>
      <c r="G141" s="343" t="s">
        <v>153</v>
      </c>
      <c r="Q141" s="343" t="s">
        <v>338</v>
      </c>
      <c r="R141" s="343" t="s">
        <v>147</v>
      </c>
      <c r="S141" s="384">
        <v>46139</v>
      </c>
      <c r="T141" s="384">
        <v>46145</v>
      </c>
    </row>
    <row r="142" spans="1:20">
      <c r="A142" s="343">
        <v>20260526</v>
      </c>
      <c r="B142" s="343">
        <v>12338.38</v>
      </c>
      <c r="C142" s="343">
        <v>51</v>
      </c>
      <c r="D142" s="343">
        <v>168</v>
      </c>
      <c r="E142" s="384">
        <v>46168</v>
      </c>
      <c r="F142" s="343" t="s">
        <v>233</v>
      </c>
      <c r="G142" s="343" t="s">
        <v>153</v>
      </c>
      <c r="Q142" s="343" t="s">
        <v>338</v>
      </c>
      <c r="R142" s="343" t="s">
        <v>147</v>
      </c>
      <c r="S142" s="384">
        <v>46139</v>
      </c>
      <c r="T142" s="384">
        <v>46145</v>
      </c>
    </row>
    <row r="143" spans="1:20">
      <c r="A143" s="343">
        <v>20260527</v>
      </c>
      <c r="B143" s="343">
        <v>13750.02</v>
      </c>
      <c r="C143" s="343">
        <v>48</v>
      </c>
      <c r="D143" s="343">
        <v>137</v>
      </c>
      <c r="E143" s="384">
        <v>46169</v>
      </c>
      <c r="F143" s="343" t="s">
        <v>234</v>
      </c>
      <c r="G143" s="343" t="s">
        <v>153</v>
      </c>
      <c r="Q143" s="343" t="s">
        <v>338</v>
      </c>
      <c r="R143" s="343" t="s">
        <v>147</v>
      </c>
      <c r="S143" s="384">
        <v>46139</v>
      </c>
      <c r="T143" s="384">
        <v>46145</v>
      </c>
    </row>
    <row r="144" spans="1:20">
      <c r="A144" s="343">
        <v>20260528</v>
      </c>
      <c r="B144" s="343">
        <v>20719.14</v>
      </c>
      <c r="C144" s="343">
        <v>83</v>
      </c>
      <c r="D144" s="343">
        <v>210</v>
      </c>
      <c r="E144" s="384">
        <v>46170</v>
      </c>
      <c r="F144" s="343" t="s">
        <v>235</v>
      </c>
      <c r="G144" s="343" t="s">
        <v>153</v>
      </c>
      <c r="Q144" s="343" t="s">
        <v>338</v>
      </c>
      <c r="R144" s="343" t="s">
        <v>147</v>
      </c>
      <c r="S144" s="384">
        <v>46139</v>
      </c>
      <c r="T144" s="384">
        <v>46145</v>
      </c>
    </row>
    <row r="145" spans="1:27">
      <c r="A145" s="343">
        <v>20260529</v>
      </c>
      <c r="B145" s="343">
        <v>42925.02</v>
      </c>
      <c r="C145" s="343">
        <v>137</v>
      </c>
      <c r="D145" s="343">
        <v>409</v>
      </c>
      <c r="E145" s="384">
        <v>46171</v>
      </c>
      <c r="F145" s="343" t="s">
        <v>236</v>
      </c>
      <c r="G145" s="343" t="s">
        <v>153</v>
      </c>
      <c r="Q145" s="343" t="s">
        <v>338</v>
      </c>
      <c r="R145" s="343" t="s">
        <v>147</v>
      </c>
      <c r="S145" s="384">
        <v>46139</v>
      </c>
      <c r="T145" s="384">
        <v>46145</v>
      </c>
    </row>
    <row r="146" spans="1:27">
      <c r="A146" s="343">
        <v>20260530</v>
      </c>
      <c r="B146" s="343">
        <v>41756.79</v>
      </c>
      <c r="C146" s="343">
        <v>136</v>
      </c>
      <c r="D146" s="343">
        <v>395</v>
      </c>
      <c r="E146" s="384">
        <v>46172</v>
      </c>
      <c r="F146" s="343" t="s">
        <v>244</v>
      </c>
      <c r="G146" s="343" t="s">
        <v>153</v>
      </c>
      <c r="Q146" s="343" t="s">
        <v>338</v>
      </c>
      <c r="R146" s="343" t="s">
        <v>147</v>
      </c>
      <c r="S146" s="384">
        <v>46139</v>
      </c>
      <c r="T146" s="384">
        <v>46145</v>
      </c>
    </row>
    <row r="147" spans="1:27">
      <c r="A147" s="343">
        <v>20260531</v>
      </c>
      <c r="B147" s="343">
        <v>12568.8</v>
      </c>
      <c r="C147" s="343">
        <v>44</v>
      </c>
      <c r="D147" s="343">
        <v>124</v>
      </c>
      <c r="E147" s="384">
        <v>46173</v>
      </c>
      <c r="F147" s="343" t="s">
        <v>245</v>
      </c>
      <c r="G147" s="343" t="s">
        <v>153</v>
      </c>
      <c r="Q147" s="343" t="s">
        <v>338</v>
      </c>
      <c r="R147" s="343" t="s">
        <v>147</v>
      </c>
      <c r="S147" s="384">
        <v>46139</v>
      </c>
      <c r="T147" s="384">
        <v>46145</v>
      </c>
    </row>
    <row r="148" spans="1:27">
      <c r="A148" s="343">
        <v>20260601</v>
      </c>
      <c r="B148" s="343">
        <v>7532.79</v>
      </c>
      <c r="C148" s="343">
        <v>24</v>
      </c>
      <c r="D148" s="343">
        <v>85</v>
      </c>
      <c r="E148" s="384">
        <v>46174</v>
      </c>
      <c r="F148" s="343" t="s">
        <v>232</v>
      </c>
      <c r="G148" s="343" t="s">
        <v>154</v>
      </c>
      <c r="Q148" s="343" t="s">
        <v>338</v>
      </c>
      <c r="R148" s="343" t="s">
        <v>148</v>
      </c>
      <c r="S148" s="384">
        <v>46146</v>
      </c>
      <c r="T148" s="384">
        <v>46152</v>
      </c>
    </row>
    <row r="149" spans="1:27">
      <c r="A149" s="343">
        <v>20260602</v>
      </c>
      <c r="B149" s="343">
        <v>15542.38</v>
      </c>
      <c r="C149" s="343">
        <v>44</v>
      </c>
      <c r="D149" s="343">
        <v>185</v>
      </c>
      <c r="E149" s="384">
        <v>46175</v>
      </c>
      <c r="F149" s="343" t="s">
        <v>233</v>
      </c>
      <c r="G149" s="343" t="s">
        <v>154</v>
      </c>
      <c r="Q149" s="343" t="s">
        <v>338</v>
      </c>
      <c r="R149" s="343" t="s">
        <v>148</v>
      </c>
      <c r="S149" s="384">
        <v>46146</v>
      </c>
      <c r="T149" s="384">
        <v>46152</v>
      </c>
    </row>
    <row r="150" spans="1:27">
      <c r="A150" s="343">
        <v>20260603</v>
      </c>
      <c r="B150" s="343">
        <v>16633.52</v>
      </c>
      <c r="C150" s="343">
        <v>49</v>
      </c>
      <c r="D150" s="343">
        <v>142</v>
      </c>
      <c r="E150" s="384">
        <v>46176</v>
      </c>
      <c r="F150" s="343" t="s">
        <v>234</v>
      </c>
      <c r="G150" s="343" t="s">
        <v>154</v>
      </c>
      <c r="Q150" s="343" t="s">
        <v>338</v>
      </c>
      <c r="R150" s="343" t="s">
        <v>148</v>
      </c>
      <c r="S150" s="384">
        <v>46146</v>
      </c>
      <c r="T150" s="384">
        <v>46152</v>
      </c>
    </row>
    <row r="151" spans="1:27">
      <c r="A151" s="343">
        <v>20260604</v>
      </c>
      <c r="B151" s="343">
        <v>14873.02</v>
      </c>
      <c r="C151" s="343">
        <v>68</v>
      </c>
      <c r="D151" s="343">
        <v>164</v>
      </c>
      <c r="E151" s="384">
        <v>46177</v>
      </c>
      <c r="F151" s="343" t="s">
        <v>235</v>
      </c>
      <c r="G151" s="343" t="s">
        <v>154</v>
      </c>
      <c r="Q151" s="343" t="s">
        <v>338</v>
      </c>
      <c r="R151" s="343" t="s">
        <v>148</v>
      </c>
      <c r="S151" s="384">
        <v>46146</v>
      </c>
      <c r="T151" s="384">
        <v>46152</v>
      </c>
    </row>
    <row r="152" spans="1:27">
      <c r="A152" s="343">
        <v>20260605</v>
      </c>
      <c r="B152" s="343">
        <v>39959.19</v>
      </c>
      <c r="C152" s="343">
        <v>123</v>
      </c>
      <c r="D152" s="343">
        <v>383</v>
      </c>
      <c r="E152" s="384">
        <v>46178</v>
      </c>
      <c r="F152" s="343" t="s">
        <v>236</v>
      </c>
      <c r="G152" s="343" t="s">
        <v>154</v>
      </c>
      <c r="Q152" s="343" t="s">
        <v>338</v>
      </c>
      <c r="R152" s="343" t="s">
        <v>148</v>
      </c>
      <c r="S152" s="384">
        <v>46146</v>
      </c>
      <c r="T152" s="384">
        <v>46152</v>
      </c>
    </row>
    <row r="153" spans="1:27">
      <c r="A153" s="343">
        <v>20260606</v>
      </c>
      <c r="B153" s="343">
        <v>42872.92</v>
      </c>
      <c r="C153" s="343">
        <v>163</v>
      </c>
      <c r="D153" s="343">
        <v>480</v>
      </c>
      <c r="E153" s="384">
        <v>46179</v>
      </c>
      <c r="F153" s="343" t="s">
        <v>244</v>
      </c>
      <c r="G153" s="343" t="s">
        <v>154</v>
      </c>
      <c r="Q153" s="343" t="s">
        <v>338</v>
      </c>
      <c r="R153" s="343" t="s">
        <v>148</v>
      </c>
      <c r="S153" s="384">
        <v>46146</v>
      </c>
      <c r="T153" s="384">
        <v>46152</v>
      </c>
    </row>
    <row r="154" spans="1:27">
      <c r="A154" s="343">
        <v>20260607</v>
      </c>
      <c r="B154" s="343">
        <v>10708.95</v>
      </c>
      <c r="C154" s="343">
        <v>53</v>
      </c>
      <c r="D154" s="343">
        <v>117</v>
      </c>
      <c r="E154" s="384">
        <v>46180</v>
      </c>
      <c r="F154" s="343" t="s">
        <v>245</v>
      </c>
      <c r="G154" s="343" t="s">
        <v>154</v>
      </c>
      <c r="Q154" s="343" t="s">
        <v>338</v>
      </c>
      <c r="R154" s="343" t="s">
        <v>148</v>
      </c>
      <c r="S154" s="384">
        <v>46146</v>
      </c>
      <c r="T154" s="384">
        <v>46152</v>
      </c>
    </row>
    <row r="155" spans="1:27">
      <c r="A155" s="343">
        <v>20260608</v>
      </c>
      <c r="B155" s="343">
        <v>14539.94</v>
      </c>
      <c r="C155" s="343">
        <v>37</v>
      </c>
      <c r="D155" s="343">
        <v>116</v>
      </c>
      <c r="E155" s="384">
        <v>46181</v>
      </c>
      <c r="F155" s="343" t="s">
        <v>232</v>
      </c>
      <c r="G155" s="343" t="s">
        <v>155</v>
      </c>
      <c r="Q155" s="343" t="s">
        <v>338</v>
      </c>
      <c r="R155" s="343" t="s">
        <v>148</v>
      </c>
      <c r="S155" s="384">
        <v>46146</v>
      </c>
      <c r="T155" s="384">
        <v>46152</v>
      </c>
    </row>
    <row r="156" spans="1:27">
      <c r="A156" s="343">
        <v>20260609</v>
      </c>
      <c r="B156" s="343">
        <v>17327.810000000001</v>
      </c>
      <c r="C156" s="343">
        <v>63</v>
      </c>
      <c r="D156" s="343">
        <v>203</v>
      </c>
      <c r="E156" s="384">
        <v>46182</v>
      </c>
      <c r="F156" s="343" t="s">
        <v>233</v>
      </c>
      <c r="G156" s="343" t="s">
        <v>155</v>
      </c>
      <c r="Q156" s="343" t="s">
        <v>338</v>
      </c>
      <c r="R156" s="343" t="s">
        <v>148</v>
      </c>
      <c r="S156" s="384">
        <v>46146</v>
      </c>
      <c r="T156" s="384">
        <v>46152</v>
      </c>
    </row>
    <row r="157" spans="1:27">
      <c r="A157" s="343">
        <v>20260610</v>
      </c>
      <c r="B157" s="343">
        <v>8976.4699999999993</v>
      </c>
      <c r="C157" s="343">
        <v>35</v>
      </c>
      <c r="D157" s="343">
        <v>80</v>
      </c>
      <c r="E157" s="384">
        <v>46183</v>
      </c>
      <c r="F157" s="343" t="s">
        <v>234</v>
      </c>
      <c r="G157" s="343" t="s">
        <v>155</v>
      </c>
      <c r="Q157" s="343" t="s">
        <v>338</v>
      </c>
      <c r="R157" s="343" t="s">
        <v>149</v>
      </c>
      <c r="S157" s="384">
        <v>46153</v>
      </c>
      <c r="T157" s="384">
        <v>46159</v>
      </c>
      <c r="U157" s="343" t="s">
        <v>285</v>
      </c>
      <c r="V157" s="343">
        <v>6857.9249999999902</v>
      </c>
      <c r="W157" s="343">
        <v>143937.92000000001</v>
      </c>
      <c r="X157" s="343">
        <v>7222.25</v>
      </c>
      <c r="Y157" s="343">
        <v>0</v>
      </c>
      <c r="Z157" s="343">
        <v>151160.17000000001</v>
      </c>
      <c r="AA157" s="343">
        <v>11515.07</v>
      </c>
    </row>
    <row r="158" spans="1:27">
      <c r="A158" s="343">
        <v>20260611</v>
      </c>
      <c r="B158" s="343">
        <v>13803.62</v>
      </c>
      <c r="C158" s="343">
        <v>55</v>
      </c>
      <c r="D158" s="343">
        <v>143</v>
      </c>
      <c r="E158" s="384">
        <v>46184</v>
      </c>
      <c r="F158" s="343" t="s">
        <v>235</v>
      </c>
      <c r="G158" s="343" t="s">
        <v>155</v>
      </c>
      <c r="Q158" s="343" t="s">
        <v>338</v>
      </c>
      <c r="R158" s="343" t="s">
        <v>149</v>
      </c>
      <c r="S158" s="384">
        <v>46153</v>
      </c>
      <c r="T158" s="384">
        <v>46159</v>
      </c>
      <c r="U158" s="343" t="s">
        <v>342</v>
      </c>
      <c r="V158" s="343">
        <v>1182</v>
      </c>
      <c r="W158" s="343">
        <v>10138</v>
      </c>
      <c r="X158" s="343">
        <v>341</v>
      </c>
      <c r="Y158" s="343">
        <v>0</v>
      </c>
      <c r="Z158" s="343">
        <v>10479</v>
      </c>
      <c r="AA158" s="343">
        <v>811.04</v>
      </c>
    </row>
    <row r="159" spans="1:27">
      <c r="A159" s="343">
        <v>20260612</v>
      </c>
      <c r="B159" s="343">
        <v>30069.24</v>
      </c>
      <c r="C159" s="343">
        <v>100</v>
      </c>
      <c r="D159" s="343">
        <v>278</v>
      </c>
      <c r="E159" s="384">
        <v>46185</v>
      </c>
      <c r="F159" s="343" t="s">
        <v>236</v>
      </c>
      <c r="G159" s="343" t="s">
        <v>155</v>
      </c>
      <c r="Q159" s="343" t="s">
        <v>338</v>
      </c>
      <c r="R159" s="343" t="s">
        <v>149</v>
      </c>
      <c r="S159" s="384">
        <v>46153</v>
      </c>
      <c r="T159" s="384">
        <v>46159</v>
      </c>
      <c r="U159" s="343" t="s">
        <v>281</v>
      </c>
      <c r="V159" s="343">
        <v>1502</v>
      </c>
      <c r="W159" s="343">
        <v>30659</v>
      </c>
      <c r="X159" s="343">
        <v>1225</v>
      </c>
      <c r="Y159" s="343">
        <v>0</v>
      </c>
      <c r="Z159" s="343">
        <v>31884</v>
      </c>
      <c r="AA159" s="343">
        <v>2452.7199999999998</v>
      </c>
    </row>
    <row r="160" spans="1:27">
      <c r="A160" s="343">
        <v>20260613</v>
      </c>
      <c r="B160" s="343">
        <v>44108.62</v>
      </c>
      <c r="C160" s="343">
        <v>102</v>
      </c>
      <c r="D160" s="343">
        <v>350</v>
      </c>
      <c r="E160" s="384">
        <v>46186</v>
      </c>
      <c r="F160" s="343" t="s">
        <v>244</v>
      </c>
      <c r="G160" s="343" t="s">
        <v>155</v>
      </c>
      <c r="Q160" s="343" t="s">
        <v>338</v>
      </c>
      <c r="R160" s="343" t="s">
        <v>149</v>
      </c>
      <c r="S160" s="384">
        <v>46153</v>
      </c>
      <c r="T160" s="384">
        <v>46159</v>
      </c>
      <c r="U160" s="343" t="s">
        <v>279</v>
      </c>
      <c r="V160" s="343">
        <v>130</v>
      </c>
      <c r="W160" s="343">
        <v>1235</v>
      </c>
      <c r="X160" s="343">
        <v>0</v>
      </c>
      <c r="Y160" s="343">
        <v>0</v>
      </c>
      <c r="Z160" s="343">
        <v>1235</v>
      </c>
      <c r="AA160" s="343">
        <v>98.83</v>
      </c>
    </row>
    <row r="161" spans="1:27">
      <c r="A161" s="343">
        <v>20260614</v>
      </c>
      <c r="B161" s="343">
        <v>8446.0499999999993</v>
      </c>
      <c r="C161" s="343">
        <v>50</v>
      </c>
      <c r="D161" s="343">
        <v>109</v>
      </c>
      <c r="E161" s="384">
        <v>46187</v>
      </c>
      <c r="F161" s="343" t="s">
        <v>245</v>
      </c>
      <c r="G161" s="343" t="s">
        <v>155</v>
      </c>
      <c r="Q161" s="343" t="s">
        <v>338</v>
      </c>
      <c r="R161" s="343" t="s">
        <v>149</v>
      </c>
      <c r="S161" s="384">
        <v>46153</v>
      </c>
      <c r="T161" s="384">
        <v>46159</v>
      </c>
      <c r="U161" s="343" t="s">
        <v>277</v>
      </c>
      <c r="V161" s="343">
        <v>734</v>
      </c>
      <c r="W161" s="343">
        <v>19820</v>
      </c>
      <c r="X161" s="343">
        <v>405</v>
      </c>
      <c r="Y161" s="343">
        <v>0</v>
      </c>
      <c r="Z161" s="343">
        <v>20225</v>
      </c>
      <c r="AA161" s="343">
        <v>1585.6</v>
      </c>
    </row>
    <row r="162" spans="1:27">
      <c r="A162" s="343">
        <v>20260615</v>
      </c>
      <c r="B162" s="343">
        <v>5098</v>
      </c>
      <c r="C162" s="343">
        <v>20</v>
      </c>
      <c r="D162" s="343">
        <v>47</v>
      </c>
      <c r="E162" s="384">
        <v>46188</v>
      </c>
      <c r="F162" s="343" t="s">
        <v>232</v>
      </c>
      <c r="G162" s="343" t="s">
        <v>156</v>
      </c>
      <c r="Q162" s="343" t="s">
        <v>338</v>
      </c>
      <c r="R162" s="343" t="s">
        <v>149</v>
      </c>
      <c r="S162" s="384">
        <v>46153</v>
      </c>
      <c r="T162" s="384">
        <v>46159</v>
      </c>
      <c r="U162" s="343" t="s">
        <v>343</v>
      </c>
      <c r="V162" s="343">
        <v>2</v>
      </c>
      <c r="W162" s="343">
        <v>118</v>
      </c>
      <c r="X162" s="343">
        <v>0</v>
      </c>
      <c r="Y162" s="343">
        <v>0</v>
      </c>
      <c r="Z162" s="343">
        <v>118</v>
      </c>
      <c r="AA162" s="343">
        <v>9.44</v>
      </c>
    </row>
    <row r="163" spans="1:27">
      <c r="A163" s="343">
        <v>20260616</v>
      </c>
      <c r="B163" s="343">
        <v>11110.78</v>
      </c>
      <c r="C163" s="343">
        <v>36</v>
      </c>
      <c r="D163" s="343">
        <v>103</v>
      </c>
      <c r="E163" s="384">
        <v>46189</v>
      </c>
      <c r="F163" s="343" t="s">
        <v>233</v>
      </c>
      <c r="G163" s="343" t="s">
        <v>156</v>
      </c>
      <c r="Q163" s="343" t="s">
        <v>338</v>
      </c>
      <c r="R163" s="343" t="s">
        <v>149</v>
      </c>
      <c r="S163" s="384">
        <v>46153</v>
      </c>
      <c r="T163" s="384">
        <v>46159</v>
      </c>
      <c r="U163" s="343" t="s">
        <v>106</v>
      </c>
      <c r="V163" s="343">
        <v>8</v>
      </c>
      <c r="W163" s="343">
        <v>942.18</v>
      </c>
      <c r="X163" s="343">
        <v>0</v>
      </c>
      <c r="Y163" s="343">
        <v>0</v>
      </c>
      <c r="Z163" s="343">
        <v>942.18</v>
      </c>
      <c r="AA163" s="343">
        <v>0</v>
      </c>
    </row>
    <row r="164" spans="1:27">
      <c r="A164" s="343">
        <v>20260617</v>
      </c>
      <c r="B164" s="343">
        <v>8643.76</v>
      </c>
      <c r="C164" s="343">
        <v>40</v>
      </c>
      <c r="D164" s="343">
        <v>90</v>
      </c>
      <c r="E164" s="384">
        <v>46190</v>
      </c>
      <c r="F164" s="343" t="s">
        <v>234</v>
      </c>
      <c r="G164" s="343" t="s">
        <v>156</v>
      </c>
      <c r="Q164" s="343" t="s">
        <v>338</v>
      </c>
      <c r="R164" s="343" t="s">
        <v>149</v>
      </c>
      <c r="S164" s="384">
        <v>46153</v>
      </c>
      <c r="T164" s="384">
        <v>46159</v>
      </c>
      <c r="U164" s="343" t="s">
        <v>287</v>
      </c>
      <c r="V164" s="343">
        <v>571</v>
      </c>
      <c r="W164" s="343">
        <v>11498</v>
      </c>
      <c r="X164" s="343">
        <v>271</v>
      </c>
      <c r="Y164" s="343">
        <v>0</v>
      </c>
      <c r="Z164" s="343">
        <v>11769</v>
      </c>
      <c r="AA164" s="343">
        <v>919.84</v>
      </c>
    </row>
    <row r="165" spans="1:27">
      <c r="A165" s="343">
        <v>20260618</v>
      </c>
      <c r="B165" s="343">
        <v>17116.71</v>
      </c>
      <c r="C165" s="343">
        <v>82</v>
      </c>
      <c r="D165" s="343">
        <v>171</v>
      </c>
      <c r="E165" s="384">
        <v>46191</v>
      </c>
      <c r="F165" s="343" t="s">
        <v>235</v>
      </c>
      <c r="G165" s="343" t="s">
        <v>156</v>
      </c>
      <c r="Q165" s="343" t="s">
        <v>338</v>
      </c>
      <c r="R165" s="343" t="s">
        <v>150</v>
      </c>
      <c r="S165" s="384">
        <v>46160</v>
      </c>
      <c r="T165" s="384">
        <v>46166</v>
      </c>
      <c r="U165" s="343" t="s">
        <v>285</v>
      </c>
      <c r="V165" s="343">
        <v>6381.0649999999896</v>
      </c>
      <c r="W165" s="343">
        <v>142015.14000000001</v>
      </c>
      <c r="X165" s="343">
        <v>5556.1</v>
      </c>
      <c r="Y165" s="343">
        <v>0</v>
      </c>
      <c r="Z165" s="343">
        <v>147571.24</v>
      </c>
      <c r="AA165" s="343">
        <v>11338.74</v>
      </c>
    </row>
    <row r="166" spans="1:27">
      <c r="A166" s="343">
        <v>20260619</v>
      </c>
      <c r="B166" s="343">
        <v>30269.93</v>
      </c>
      <c r="C166" s="343">
        <v>97</v>
      </c>
      <c r="D166" s="343">
        <v>303</v>
      </c>
      <c r="E166" s="384">
        <v>46192</v>
      </c>
      <c r="F166" s="343" t="s">
        <v>236</v>
      </c>
      <c r="G166" s="343" t="s">
        <v>156</v>
      </c>
      <c r="Q166" s="343" t="s">
        <v>338</v>
      </c>
      <c r="R166" s="343" t="s">
        <v>150</v>
      </c>
      <c r="S166" s="384">
        <v>46160</v>
      </c>
      <c r="T166" s="384">
        <v>46166</v>
      </c>
      <c r="U166" s="343" t="s">
        <v>342</v>
      </c>
      <c r="V166" s="343">
        <v>1167</v>
      </c>
      <c r="W166" s="343">
        <v>10173</v>
      </c>
      <c r="X166" s="343">
        <v>456</v>
      </c>
      <c r="Y166" s="343">
        <v>0</v>
      </c>
      <c r="Z166" s="343">
        <v>10629</v>
      </c>
      <c r="AA166" s="343">
        <v>812.4</v>
      </c>
    </row>
    <row r="167" spans="1:27">
      <c r="A167" s="343">
        <v>20260620</v>
      </c>
      <c r="B167" s="343">
        <v>36989.46</v>
      </c>
      <c r="C167" s="343">
        <v>111</v>
      </c>
      <c r="D167" s="343">
        <v>366</v>
      </c>
      <c r="E167" s="384">
        <v>46193</v>
      </c>
      <c r="F167" s="343" t="s">
        <v>244</v>
      </c>
      <c r="G167" s="343" t="s">
        <v>156</v>
      </c>
      <c r="Q167" s="343" t="s">
        <v>338</v>
      </c>
      <c r="R167" s="343" t="s">
        <v>150</v>
      </c>
      <c r="S167" s="384">
        <v>46160</v>
      </c>
      <c r="T167" s="384">
        <v>46166</v>
      </c>
      <c r="U167" s="343" t="s">
        <v>281</v>
      </c>
      <c r="V167" s="343">
        <v>1319</v>
      </c>
      <c r="W167" s="343">
        <v>29056</v>
      </c>
      <c r="X167" s="343">
        <v>1034</v>
      </c>
      <c r="Y167" s="343">
        <v>0</v>
      </c>
      <c r="Z167" s="343">
        <v>30090</v>
      </c>
      <c r="AA167" s="343">
        <v>2324.48</v>
      </c>
    </row>
    <row r="168" spans="1:27">
      <c r="A168" s="343">
        <v>20260621</v>
      </c>
      <c r="B168" s="343">
        <v>18047.349999999999</v>
      </c>
      <c r="C168" s="343">
        <v>55</v>
      </c>
      <c r="D168" s="343">
        <v>179</v>
      </c>
      <c r="E168" s="384">
        <v>46194</v>
      </c>
      <c r="F168" s="343" t="s">
        <v>245</v>
      </c>
      <c r="G168" s="343" t="s">
        <v>156</v>
      </c>
      <c r="Q168" s="343" t="s">
        <v>338</v>
      </c>
      <c r="R168" s="343" t="s">
        <v>150</v>
      </c>
      <c r="S168" s="384">
        <v>46160</v>
      </c>
      <c r="T168" s="384">
        <v>46166</v>
      </c>
      <c r="U168" s="343" t="s">
        <v>279</v>
      </c>
      <c r="V168" s="343">
        <v>78</v>
      </c>
      <c r="W168" s="343">
        <v>741</v>
      </c>
      <c r="X168" s="343">
        <v>0</v>
      </c>
      <c r="Y168" s="343">
        <v>0</v>
      </c>
      <c r="Z168" s="343">
        <v>741</v>
      </c>
      <c r="AA168" s="343">
        <v>58.52</v>
      </c>
    </row>
    <row r="169" spans="1:27">
      <c r="A169" s="343">
        <v>20260622</v>
      </c>
      <c r="B169" s="343">
        <v>8587.6</v>
      </c>
      <c r="C169" s="343">
        <v>26</v>
      </c>
      <c r="D169" s="343">
        <v>86</v>
      </c>
      <c r="E169" s="384">
        <v>46195</v>
      </c>
      <c r="F169" s="343" t="s">
        <v>232</v>
      </c>
      <c r="G169" s="343" t="s">
        <v>157</v>
      </c>
      <c r="Q169" s="343" t="s">
        <v>338</v>
      </c>
      <c r="R169" s="343" t="s">
        <v>150</v>
      </c>
      <c r="S169" s="384">
        <v>46160</v>
      </c>
      <c r="T169" s="384">
        <v>46166</v>
      </c>
      <c r="U169" s="343" t="s">
        <v>277</v>
      </c>
      <c r="V169" s="343">
        <v>508</v>
      </c>
      <c r="W169" s="343">
        <v>21540</v>
      </c>
      <c r="X169" s="343">
        <v>215</v>
      </c>
      <c r="Y169" s="343">
        <v>0</v>
      </c>
      <c r="Z169" s="343">
        <v>21755</v>
      </c>
      <c r="AA169" s="343">
        <v>1723.2</v>
      </c>
    </row>
    <row r="170" spans="1:27">
      <c r="A170" s="343">
        <v>20260623</v>
      </c>
      <c r="B170" s="343">
        <v>12069.78</v>
      </c>
      <c r="C170" s="343">
        <v>39</v>
      </c>
      <c r="D170" s="343">
        <v>113</v>
      </c>
      <c r="E170" s="384">
        <v>46196</v>
      </c>
      <c r="F170" s="343" t="s">
        <v>233</v>
      </c>
      <c r="G170" s="343" t="s">
        <v>157</v>
      </c>
      <c r="Q170" s="343" t="s">
        <v>338</v>
      </c>
      <c r="R170" s="343" t="s">
        <v>150</v>
      </c>
      <c r="S170" s="384">
        <v>46160</v>
      </c>
      <c r="T170" s="384">
        <v>46166</v>
      </c>
      <c r="U170" s="343" t="s">
        <v>343</v>
      </c>
      <c r="V170" s="343">
        <v>6</v>
      </c>
      <c r="W170" s="343">
        <v>525</v>
      </c>
      <c r="X170" s="343">
        <v>0</v>
      </c>
      <c r="Y170" s="343">
        <v>0</v>
      </c>
      <c r="Z170" s="343">
        <v>525</v>
      </c>
      <c r="AA170" s="343">
        <v>42</v>
      </c>
    </row>
    <row r="171" spans="1:27">
      <c r="A171" s="343">
        <v>20260624</v>
      </c>
      <c r="B171" s="343">
        <v>11753.58</v>
      </c>
      <c r="C171" s="343">
        <v>57</v>
      </c>
      <c r="D171" s="343">
        <v>139</v>
      </c>
      <c r="E171" s="384">
        <v>46197</v>
      </c>
      <c r="F171" s="343" t="s">
        <v>234</v>
      </c>
      <c r="G171" s="343" t="s">
        <v>157</v>
      </c>
      <c r="Q171" s="343" t="s">
        <v>338</v>
      </c>
      <c r="R171" s="343" t="s">
        <v>150</v>
      </c>
      <c r="S171" s="384">
        <v>46160</v>
      </c>
      <c r="T171" s="384">
        <v>46166</v>
      </c>
      <c r="U171" s="343" t="s">
        <v>335</v>
      </c>
      <c r="V171" s="343">
        <v>0</v>
      </c>
      <c r="W171" s="343">
        <v>-1944.46</v>
      </c>
      <c r="X171" s="343">
        <v>0</v>
      </c>
      <c r="Y171" s="343">
        <v>1944.46</v>
      </c>
      <c r="Z171" s="343">
        <v>0</v>
      </c>
      <c r="AA171" s="343">
        <v>0</v>
      </c>
    </row>
    <row r="172" spans="1:27">
      <c r="A172" s="343">
        <v>20260625</v>
      </c>
      <c r="B172" s="343">
        <v>17274.150000000001</v>
      </c>
      <c r="C172" s="343">
        <v>67</v>
      </c>
      <c r="D172" s="343">
        <v>171</v>
      </c>
      <c r="E172" s="384">
        <v>46198</v>
      </c>
      <c r="F172" s="343" t="s">
        <v>235</v>
      </c>
      <c r="G172" s="343" t="s">
        <v>157</v>
      </c>
      <c r="Q172" s="343" t="s">
        <v>338</v>
      </c>
      <c r="R172" s="343" t="s">
        <v>150</v>
      </c>
      <c r="S172" s="384">
        <v>46160</v>
      </c>
      <c r="T172" s="384">
        <v>46166</v>
      </c>
      <c r="U172" s="343" t="s">
        <v>106</v>
      </c>
      <c r="V172" s="343">
        <v>8</v>
      </c>
      <c r="W172" s="343">
        <v>1037.83</v>
      </c>
      <c r="X172" s="343">
        <v>0</v>
      </c>
      <c r="Y172" s="343">
        <v>0</v>
      </c>
      <c r="Z172" s="343">
        <v>1037.83</v>
      </c>
      <c r="AA172" s="343">
        <v>0</v>
      </c>
    </row>
    <row r="173" spans="1:27">
      <c r="A173" s="343">
        <v>20260626</v>
      </c>
      <c r="B173" s="343">
        <v>34403.65</v>
      </c>
      <c r="C173" s="343">
        <v>103</v>
      </c>
      <c r="D173" s="343">
        <v>313</v>
      </c>
      <c r="E173" s="384">
        <v>46199</v>
      </c>
      <c r="F173" s="343" t="s">
        <v>236</v>
      </c>
      <c r="G173" s="343" t="s">
        <v>157</v>
      </c>
      <c r="Q173" s="343" t="s">
        <v>338</v>
      </c>
      <c r="R173" s="343" t="s">
        <v>150</v>
      </c>
      <c r="S173" s="384">
        <v>46160</v>
      </c>
      <c r="T173" s="384">
        <v>46166</v>
      </c>
      <c r="U173" s="343" t="s">
        <v>287</v>
      </c>
      <c r="V173" s="343">
        <v>488</v>
      </c>
      <c r="W173" s="343">
        <v>10196</v>
      </c>
      <c r="X173" s="343">
        <v>146</v>
      </c>
      <c r="Y173" s="343">
        <v>0</v>
      </c>
      <c r="Z173" s="343">
        <v>10342</v>
      </c>
      <c r="AA173" s="343">
        <v>813.76</v>
      </c>
    </row>
    <row r="174" spans="1:27">
      <c r="A174" s="343">
        <v>20260627</v>
      </c>
      <c r="B174" s="343">
        <v>26422.12</v>
      </c>
      <c r="C174" s="343">
        <v>91</v>
      </c>
      <c r="D174" s="343">
        <v>239</v>
      </c>
      <c r="E174" s="384">
        <v>46200</v>
      </c>
      <c r="F174" s="343" t="s">
        <v>244</v>
      </c>
      <c r="G174" s="343" t="s">
        <v>157</v>
      </c>
      <c r="Q174" s="343" t="s">
        <v>338</v>
      </c>
      <c r="R174" s="343" t="s">
        <v>153</v>
      </c>
      <c r="S174" s="384">
        <v>46167</v>
      </c>
      <c r="T174" s="384">
        <v>46173</v>
      </c>
      <c r="U174" s="343" t="s">
        <v>285</v>
      </c>
      <c r="V174" s="343">
        <v>6123.0749999999998</v>
      </c>
      <c r="W174" s="343">
        <v>131422.79999999999</v>
      </c>
      <c r="X174" s="343">
        <v>5097.01</v>
      </c>
      <c r="Y174" s="343">
        <v>0</v>
      </c>
      <c r="Z174" s="343">
        <v>136519.81</v>
      </c>
      <c r="AA174" s="343">
        <v>10513.88</v>
      </c>
    </row>
    <row r="175" spans="1:27">
      <c r="A175" s="343">
        <v>20260628</v>
      </c>
      <c r="B175" s="343">
        <v>14028.18</v>
      </c>
      <c r="C175" s="343">
        <v>43</v>
      </c>
      <c r="D175" s="343">
        <v>132</v>
      </c>
      <c r="E175" s="384">
        <v>46201</v>
      </c>
      <c r="F175" s="343" t="s">
        <v>245</v>
      </c>
      <c r="G175" s="343" t="s">
        <v>157</v>
      </c>
      <c r="Q175" s="343" t="s">
        <v>338</v>
      </c>
      <c r="R175" s="343" t="s">
        <v>153</v>
      </c>
      <c r="S175" s="384">
        <v>46167</v>
      </c>
      <c r="T175" s="384">
        <v>46173</v>
      </c>
      <c r="U175" s="343" t="s">
        <v>342</v>
      </c>
      <c r="V175" s="343">
        <v>1231</v>
      </c>
      <c r="W175" s="343">
        <v>10553.58</v>
      </c>
      <c r="X175" s="343">
        <v>437.5</v>
      </c>
      <c r="Y175" s="343">
        <v>0</v>
      </c>
      <c r="Z175" s="343">
        <v>10991.08</v>
      </c>
      <c r="AA175" s="343">
        <v>844.3</v>
      </c>
    </row>
    <row r="176" spans="1:27">
      <c r="A176" s="343">
        <v>20260629</v>
      </c>
      <c r="B176" s="343">
        <v>7298.59</v>
      </c>
      <c r="C176" s="343">
        <v>31</v>
      </c>
      <c r="D176" s="343">
        <v>87</v>
      </c>
      <c r="E176" s="384">
        <v>46202</v>
      </c>
      <c r="F176" s="343" t="s">
        <v>232</v>
      </c>
      <c r="G176" s="343" t="s">
        <v>160</v>
      </c>
      <c r="Q176" s="343" t="s">
        <v>338</v>
      </c>
      <c r="R176" s="343" t="s">
        <v>153</v>
      </c>
      <c r="S176" s="384">
        <v>46167</v>
      </c>
      <c r="T176" s="384">
        <v>46173</v>
      </c>
      <c r="U176" s="343" t="s">
        <v>281</v>
      </c>
      <c r="V176" s="343">
        <v>1166</v>
      </c>
      <c r="W176" s="343">
        <v>25539.4</v>
      </c>
      <c r="X176" s="343">
        <v>763.6</v>
      </c>
      <c r="Y176" s="343">
        <v>0</v>
      </c>
      <c r="Z176" s="343">
        <v>26303</v>
      </c>
      <c r="AA176" s="343">
        <v>2043.15</v>
      </c>
    </row>
    <row r="177" spans="1:27">
      <c r="A177" s="343">
        <v>20260630</v>
      </c>
      <c r="B177" s="343">
        <v>7869.38</v>
      </c>
      <c r="C177" s="343">
        <v>38</v>
      </c>
      <c r="D177" s="343">
        <v>80</v>
      </c>
      <c r="E177" s="384">
        <v>46203</v>
      </c>
      <c r="F177" s="343" t="s">
        <v>233</v>
      </c>
      <c r="G177" s="343" t="s">
        <v>160</v>
      </c>
      <c r="Q177" s="343" t="s">
        <v>338</v>
      </c>
      <c r="R177" s="343" t="s">
        <v>153</v>
      </c>
      <c r="S177" s="384">
        <v>46167</v>
      </c>
      <c r="T177" s="384">
        <v>46173</v>
      </c>
      <c r="U177" s="343" t="s">
        <v>279</v>
      </c>
      <c r="V177" s="343">
        <v>108</v>
      </c>
      <c r="W177" s="343">
        <v>1016.5</v>
      </c>
      <c r="X177" s="343">
        <v>9.5</v>
      </c>
      <c r="Y177" s="343">
        <v>0</v>
      </c>
      <c r="Z177" s="343">
        <v>1026</v>
      </c>
      <c r="AA177" s="343">
        <v>81.319999999999993</v>
      </c>
    </row>
    <row r="178" spans="1:27">
      <c r="A178" s="343">
        <v>20260701</v>
      </c>
      <c r="B178" s="343">
        <v>11803.05</v>
      </c>
      <c r="C178" s="343">
        <v>37</v>
      </c>
      <c r="D178" s="343">
        <v>101</v>
      </c>
      <c r="E178" s="384">
        <v>46204</v>
      </c>
      <c r="F178" s="343" t="s">
        <v>234</v>
      </c>
      <c r="G178" s="343" t="s">
        <v>160</v>
      </c>
      <c r="Q178" s="343" t="s">
        <v>338</v>
      </c>
      <c r="R178" s="343" t="s">
        <v>153</v>
      </c>
      <c r="S178" s="384">
        <v>46167</v>
      </c>
      <c r="T178" s="384">
        <v>46173</v>
      </c>
      <c r="U178" s="343" t="s">
        <v>277</v>
      </c>
      <c r="V178" s="343">
        <v>619</v>
      </c>
      <c r="W178" s="343">
        <v>23329</v>
      </c>
      <c r="X178" s="343">
        <v>0</v>
      </c>
      <c r="Y178" s="343">
        <v>0</v>
      </c>
      <c r="Z178" s="343">
        <v>23329</v>
      </c>
      <c r="AA178" s="343">
        <v>1866.32</v>
      </c>
    </row>
    <row r="179" spans="1:27">
      <c r="A179" s="343">
        <v>20260702</v>
      </c>
      <c r="B179" s="343">
        <v>16769.29</v>
      </c>
      <c r="C179" s="343">
        <v>74</v>
      </c>
      <c r="D179" s="343">
        <v>180</v>
      </c>
      <c r="E179" s="384">
        <v>46205</v>
      </c>
      <c r="F179" s="343" t="s">
        <v>235</v>
      </c>
      <c r="G179" s="343" t="s">
        <v>160</v>
      </c>
      <c r="Q179" s="343" t="s">
        <v>338</v>
      </c>
      <c r="R179" s="343" t="s">
        <v>153</v>
      </c>
      <c r="S179" s="384">
        <v>46167</v>
      </c>
      <c r="T179" s="384">
        <v>46173</v>
      </c>
      <c r="U179" s="343" t="s">
        <v>343</v>
      </c>
      <c r="V179" s="343">
        <v>1</v>
      </c>
      <c r="W179" s="343">
        <v>291.5</v>
      </c>
      <c r="X179" s="343">
        <v>0</v>
      </c>
      <c r="Y179" s="343">
        <v>0</v>
      </c>
      <c r="Z179" s="343">
        <v>291.5</v>
      </c>
      <c r="AA179" s="343">
        <v>23.33</v>
      </c>
    </row>
    <row r="180" spans="1:27">
      <c r="A180" s="343">
        <v>20260703</v>
      </c>
      <c r="B180" s="343">
        <v>13900.88</v>
      </c>
      <c r="C180" s="343">
        <v>62</v>
      </c>
      <c r="D180" s="343">
        <v>153</v>
      </c>
      <c r="E180" s="384">
        <v>46206</v>
      </c>
      <c r="F180" s="343" t="s">
        <v>236</v>
      </c>
      <c r="G180" s="343" t="s">
        <v>160</v>
      </c>
      <c r="Q180" s="343" t="s">
        <v>338</v>
      </c>
      <c r="R180" s="343" t="s">
        <v>153</v>
      </c>
      <c r="S180" s="384">
        <v>46167</v>
      </c>
      <c r="T180" s="384">
        <v>46173</v>
      </c>
      <c r="U180" s="343" t="s">
        <v>106</v>
      </c>
      <c r="V180" s="343">
        <v>6</v>
      </c>
      <c r="W180" s="343">
        <v>819.18</v>
      </c>
      <c r="X180" s="343">
        <v>0</v>
      </c>
      <c r="Y180" s="343">
        <v>0</v>
      </c>
      <c r="Z180" s="343">
        <v>819.18</v>
      </c>
      <c r="AA180" s="343">
        <v>0</v>
      </c>
    </row>
    <row r="181" spans="1:27">
      <c r="A181" s="343">
        <v>20260704</v>
      </c>
      <c r="B181" s="343">
        <v>13194.86</v>
      </c>
      <c r="C181" s="343">
        <v>45</v>
      </c>
      <c r="D181" s="343">
        <v>142</v>
      </c>
      <c r="E181" s="384">
        <v>46207</v>
      </c>
      <c r="F181" s="343" t="s">
        <v>244</v>
      </c>
      <c r="G181" s="343" t="s">
        <v>160</v>
      </c>
      <c r="Q181" s="343" t="s">
        <v>338</v>
      </c>
      <c r="R181" s="343" t="s">
        <v>153</v>
      </c>
      <c r="S181" s="384">
        <v>46167</v>
      </c>
      <c r="T181" s="384">
        <v>46173</v>
      </c>
      <c r="U181" s="343" t="s">
        <v>287</v>
      </c>
      <c r="V181" s="343">
        <v>513</v>
      </c>
      <c r="W181" s="343">
        <v>10814.4</v>
      </c>
      <c r="X181" s="343">
        <v>195.6</v>
      </c>
      <c r="Y181" s="343">
        <v>0</v>
      </c>
      <c r="Z181" s="343">
        <v>11010</v>
      </c>
      <c r="AA181" s="343">
        <v>865.17</v>
      </c>
    </row>
    <row r="182" spans="1:27">
      <c r="A182" s="343">
        <v>20260705</v>
      </c>
      <c r="B182" s="343">
        <v>6956.34</v>
      </c>
      <c r="C182" s="343">
        <v>32</v>
      </c>
      <c r="D182" s="343">
        <v>64</v>
      </c>
      <c r="E182" s="384">
        <v>46208</v>
      </c>
      <c r="F182" s="343" t="s">
        <v>245</v>
      </c>
      <c r="G182" s="343" t="s">
        <v>160</v>
      </c>
      <c r="Q182" s="343" t="s">
        <v>338</v>
      </c>
      <c r="R182" s="343" t="s">
        <v>154</v>
      </c>
      <c r="S182" s="384">
        <v>46174</v>
      </c>
      <c r="T182" s="384">
        <v>46180</v>
      </c>
      <c r="U182" s="343" t="s">
        <v>285</v>
      </c>
      <c r="V182" s="343">
        <v>5588.8850000000002</v>
      </c>
      <c r="W182" s="343">
        <v>119418.38</v>
      </c>
      <c r="X182" s="343">
        <v>8240.51</v>
      </c>
      <c r="Y182" s="343">
        <v>0</v>
      </c>
      <c r="Z182" s="343">
        <v>127658.89</v>
      </c>
      <c r="AA182" s="343">
        <v>9553.51</v>
      </c>
    </row>
    <row r="183" spans="1:27">
      <c r="A183" s="343">
        <v>20260706</v>
      </c>
      <c r="B183" s="343">
        <v>5872.17</v>
      </c>
      <c r="C183" s="343">
        <v>24</v>
      </c>
      <c r="D183" s="343">
        <v>53</v>
      </c>
      <c r="E183" s="384">
        <v>46209</v>
      </c>
      <c r="F183" s="343" t="s">
        <v>232</v>
      </c>
      <c r="G183" s="343" t="s">
        <v>161</v>
      </c>
      <c r="Q183" s="343" t="s">
        <v>338</v>
      </c>
      <c r="R183" s="343" t="s">
        <v>154</v>
      </c>
      <c r="S183" s="384">
        <v>46174</v>
      </c>
      <c r="T183" s="384">
        <v>46180</v>
      </c>
      <c r="U183" s="343" t="s">
        <v>342</v>
      </c>
      <c r="V183" s="343">
        <v>1023</v>
      </c>
      <c r="W183" s="343">
        <v>8594.2999999999993</v>
      </c>
      <c r="X183" s="343">
        <v>537.5</v>
      </c>
      <c r="Y183" s="343">
        <v>0</v>
      </c>
      <c r="Z183" s="343">
        <v>9131.7999999999993</v>
      </c>
      <c r="AA183" s="343">
        <v>687.56</v>
      </c>
    </row>
    <row r="184" spans="1:27">
      <c r="A184" s="343">
        <v>20260707</v>
      </c>
      <c r="B184" s="343">
        <v>9257.19</v>
      </c>
      <c r="C184" s="343">
        <v>37</v>
      </c>
      <c r="D184" s="343">
        <v>107</v>
      </c>
      <c r="E184" s="384">
        <v>46210</v>
      </c>
      <c r="F184" s="343" t="s">
        <v>233</v>
      </c>
      <c r="G184" s="343" t="s">
        <v>161</v>
      </c>
      <c r="Q184" s="343" t="s">
        <v>338</v>
      </c>
      <c r="R184" s="343" t="s">
        <v>154</v>
      </c>
      <c r="S184" s="384">
        <v>46174</v>
      </c>
      <c r="T184" s="384">
        <v>46180</v>
      </c>
      <c r="U184" s="343" t="s">
        <v>281</v>
      </c>
      <c r="V184" s="343">
        <v>1312</v>
      </c>
      <c r="W184" s="343">
        <v>29749.24</v>
      </c>
      <c r="X184" s="343">
        <v>1635</v>
      </c>
      <c r="Y184" s="343">
        <v>0</v>
      </c>
      <c r="Z184" s="343">
        <v>31384.240000000002</v>
      </c>
      <c r="AA184" s="343">
        <v>2379.9499999999998</v>
      </c>
    </row>
    <row r="185" spans="1:27">
      <c r="A185" s="343">
        <v>20260708</v>
      </c>
      <c r="B185" s="343">
        <v>13102.33</v>
      </c>
      <c r="C185" s="343">
        <v>42</v>
      </c>
      <c r="D185" s="343">
        <v>122</v>
      </c>
      <c r="E185" s="384">
        <v>46211</v>
      </c>
      <c r="F185" s="343" t="s">
        <v>234</v>
      </c>
      <c r="G185" s="343" t="s">
        <v>161</v>
      </c>
      <c r="Q185" s="343" t="s">
        <v>338</v>
      </c>
      <c r="R185" s="343" t="s">
        <v>154</v>
      </c>
      <c r="S185" s="384">
        <v>46174</v>
      </c>
      <c r="T185" s="384">
        <v>46180</v>
      </c>
      <c r="U185" s="343" t="s">
        <v>279</v>
      </c>
      <c r="V185" s="343">
        <v>100</v>
      </c>
      <c r="W185" s="343">
        <v>931</v>
      </c>
      <c r="X185" s="343">
        <v>19</v>
      </c>
      <c r="Y185" s="343">
        <v>0</v>
      </c>
      <c r="Z185" s="343">
        <v>950</v>
      </c>
      <c r="AA185" s="343">
        <v>74.48</v>
      </c>
    </row>
    <row r="186" spans="1:27">
      <c r="A186" s="343">
        <v>20260709</v>
      </c>
      <c r="B186" s="343">
        <v>11891.89</v>
      </c>
      <c r="C186" s="343">
        <v>58</v>
      </c>
      <c r="D186" s="343">
        <v>129</v>
      </c>
      <c r="E186" s="384">
        <v>46212</v>
      </c>
      <c r="F186" s="343" t="s">
        <v>235</v>
      </c>
      <c r="G186" s="343" t="s">
        <v>161</v>
      </c>
      <c r="Q186" s="343" t="s">
        <v>338</v>
      </c>
      <c r="R186" s="343" t="s">
        <v>154</v>
      </c>
      <c r="S186" s="384">
        <v>46174</v>
      </c>
      <c r="T186" s="384">
        <v>46180</v>
      </c>
      <c r="U186" s="343" t="s">
        <v>277</v>
      </c>
      <c r="V186" s="343">
        <v>552</v>
      </c>
      <c r="W186" s="343">
        <v>15625</v>
      </c>
      <c r="X186" s="343">
        <v>0</v>
      </c>
      <c r="Y186" s="343">
        <v>0</v>
      </c>
      <c r="Z186" s="343">
        <v>15625</v>
      </c>
      <c r="AA186" s="343">
        <v>1250</v>
      </c>
    </row>
    <row r="187" spans="1:27">
      <c r="A187" s="343">
        <v>20260710</v>
      </c>
      <c r="B187" s="343">
        <v>25314.560000000001</v>
      </c>
      <c r="C187" s="343">
        <v>106</v>
      </c>
      <c r="D187" s="343">
        <v>259</v>
      </c>
      <c r="E187" s="384">
        <v>46213</v>
      </c>
      <c r="F187" s="343" t="s">
        <v>236</v>
      </c>
      <c r="G187" s="343" t="s">
        <v>161</v>
      </c>
      <c r="Q187" s="343" t="s">
        <v>338</v>
      </c>
      <c r="R187" s="343" t="s">
        <v>154</v>
      </c>
      <c r="S187" s="384">
        <v>46174</v>
      </c>
      <c r="T187" s="384">
        <v>46180</v>
      </c>
      <c r="U187" s="343" t="s">
        <v>106</v>
      </c>
      <c r="V187" s="343">
        <v>3</v>
      </c>
      <c r="W187" s="343">
        <v>651.78</v>
      </c>
      <c r="X187" s="343">
        <v>0</v>
      </c>
      <c r="Y187" s="343">
        <v>0</v>
      </c>
      <c r="Z187" s="343">
        <v>651.78</v>
      </c>
      <c r="AA187" s="343">
        <v>0</v>
      </c>
    </row>
    <row r="188" spans="1:27">
      <c r="A188" s="343">
        <v>20260711</v>
      </c>
      <c r="B188" s="343">
        <v>22151.73</v>
      </c>
      <c r="C188" s="343">
        <v>87</v>
      </c>
      <c r="D188" s="343">
        <v>226</v>
      </c>
      <c r="E188" s="384">
        <v>46214</v>
      </c>
      <c r="F188" s="343" t="s">
        <v>244</v>
      </c>
      <c r="G188" s="343" t="s">
        <v>161</v>
      </c>
      <c r="Q188" s="343" t="s">
        <v>338</v>
      </c>
      <c r="R188" s="343" t="s">
        <v>154</v>
      </c>
      <c r="S188" s="384">
        <v>46174</v>
      </c>
      <c r="T188" s="384">
        <v>46180</v>
      </c>
      <c r="U188" s="343" t="s">
        <v>287</v>
      </c>
      <c r="V188" s="343">
        <v>567</v>
      </c>
      <c r="W188" s="343">
        <v>10873</v>
      </c>
      <c r="X188" s="343">
        <v>250</v>
      </c>
      <c r="Y188" s="343">
        <v>0</v>
      </c>
      <c r="Z188" s="343">
        <v>11123</v>
      </c>
      <c r="AA188" s="343">
        <v>869.84</v>
      </c>
    </row>
    <row r="189" spans="1:27">
      <c r="A189" s="343">
        <v>20260712</v>
      </c>
      <c r="B189" s="343">
        <v>11474.08</v>
      </c>
      <c r="C189" s="343">
        <v>44</v>
      </c>
      <c r="D189" s="343">
        <v>114</v>
      </c>
      <c r="E189" s="384">
        <v>46215</v>
      </c>
      <c r="F189" s="343" t="s">
        <v>245</v>
      </c>
      <c r="G189" s="343" t="s">
        <v>161</v>
      </c>
      <c r="Q189" s="343" t="s">
        <v>338</v>
      </c>
      <c r="R189" s="343" t="s">
        <v>155</v>
      </c>
      <c r="S189" s="384">
        <v>46181</v>
      </c>
      <c r="T189" s="384">
        <v>46187</v>
      </c>
      <c r="U189" s="343" t="s">
        <v>285</v>
      </c>
      <c r="V189" s="343">
        <v>5618.1350000000002</v>
      </c>
      <c r="W189" s="343">
        <v>108417.61</v>
      </c>
      <c r="X189" s="343">
        <v>7785.64</v>
      </c>
      <c r="Y189" s="343">
        <v>0</v>
      </c>
      <c r="Z189" s="343">
        <v>116203.25</v>
      </c>
      <c r="AA189" s="343">
        <v>8673.4599999999991</v>
      </c>
    </row>
    <row r="190" spans="1:27">
      <c r="A190" s="343">
        <v>20260713</v>
      </c>
      <c r="B190" s="343">
        <v>9126.39</v>
      </c>
      <c r="C190" s="343">
        <v>33</v>
      </c>
      <c r="D190" s="343">
        <v>98</v>
      </c>
      <c r="E190" s="384">
        <v>46216</v>
      </c>
      <c r="F190" s="343" t="s">
        <v>232</v>
      </c>
      <c r="G190" s="343" t="s">
        <v>162</v>
      </c>
      <c r="Q190" s="343" t="s">
        <v>338</v>
      </c>
      <c r="R190" s="343" t="s">
        <v>155</v>
      </c>
      <c r="S190" s="384">
        <v>46181</v>
      </c>
      <c r="T190" s="384">
        <v>46187</v>
      </c>
      <c r="U190" s="343" t="s">
        <v>342</v>
      </c>
      <c r="V190" s="343">
        <v>966</v>
      </c>
      <c r="W190" s="343">
        <v>8214.1299999999992</v>
      </c>
      <c r="X190" s="343">
        <v>579.45000000000005</v>
      </c>
      <c r="Y190" s="343">
        <v>0</v>
      </c>
      <c r="Z190" s="343">
        <v>8793.58</v>
      </c>
      <c r="AA190" s="343">
        <v>657.15</v>
      </c>
    </row>
    <row r="191" spans="1:27">
      <c r="A191" s="343">
        <v>20260714</v>
      </c>
      <c r="B191" s="343">
        <v>9790.69</v>
      </c>
      <c r="C191" s="343">
        <v>49</v>
      </c>
      <c r="D191" s="343">
        <v>104</v>
      </c>
      <c r="E191" s="384">
        <v>46217</v>
      </c>
      <c r="F191" s="343" t="s">
        <v>233</v>
      </c>
      <c r="G191" s="343" t="s">
        <v>162</v>
      </c>
      <c r="Q191" s="343" t="s">
        <v>338</v>
      </c>
      <c r="R191" s="343" t="s">
        <v>155</v>
      </c>
      <c r="S191" s="384">
        <v>46181</v>
      </c>
      <c r="T191" s="384">
        <v>46187</v>
      </c>
      <c r="U191" s="343" t="s">
        <v>281</v>
      </c>
      <c r="V191" s="343">
        <v>1073</v>
      </c>
      <c r="W191" s="343">
        <v>22928.400000000001</v>
      </c>
      <c r="X191" s="343">
        <v>1564.6</v>
      </c>
      <c r="Y191" s="343">
        <v>0</v>
      </c>
      <c r="Z191" s="343">
        <v>24493</v>
      </c>
      <c r="AA191" s="343">
        <v>1834.28</v>
      </c>
    </row>
    <row r="192" spans="1:27">
      <c r="A192" s="343">
        <v>20260715</v>
      </c>
      <c r="B192" s="343">
        <v>15691.39</v>
      </c>
      <c r="C192" s="343">
        <v>46</v>
      </c>
      <c r="D192" s="343">
        <v>134</v>
      </c>
      <c r="E192" s="384">
        <v>46218</v>
      </c>
      <c r="F192" s="343" t="s">
        <v>234</v>
      </c>
      <c r="G192" s="343" t="s">
        <v>162</v>
      </c>
      <c r="Q192" s="343" t="s">
        <v>338</v>
      </c>
      <c r="R192" s="343" t="s">
        <v>155</v>
      </c>
      <c r="S192" s="384">
        <v>46181</v>
      </c>
      <c r="T192" s="384">
        <v>46187</v>
      </c>
      <c r="U192" s="343" t="s">
        <v>279</v>
      </c>
      <c r="V192" s="343">
        <v>98</v>
      </c>
      <c r="W192" s="343">
        <v>931</v>
      </c>
      <c r="X192" s="343">
        <v>0</v>
      </c>
      <c r="Y192" s="343">
        <v>0</v>
      </c>
      <c r="Z192" s="343">
        <v>931</v>
      </c>
      <c r="AA192" s="343">
        <v>74.48</v>
      </c>
    </row>
    <row r="193" spans="1:27">
      <c r="A193" s="343">
        <v>20260716</v>
      </c>
      <c r="B193" s="343">
        <v>13318.01</v>
      </c>
      <c r="C193" s="343">
        <v>59</v>
      </c>
      <c r="D193" s="343">
        <v>122</v>
      </c>
      <c r="E193" s="384">
        <v>46219</v>
      </c>
      <c r="F193" s="343" t="s">
        <v>235</v>
      </c>
      <c r="G193" s="343" t="s">
        <v>162</v>
      </c>
      <c r="Q193" s="343" t="s">
        <v>338</v>
      </c>
      <c r="R193" s="343" t="s">
        <v>155</v>
      </c>
      <c r="S193" s="384">
        <v>46181</v>
      </c>
      <c r="T193" s="384">
        <v>46187</v>
      </c>
      <c r="U193" s="343" t="s">
        <v>277</v>
      </c>
      <c r="V193" s="343">
        <v>522</v>
      </c>
      <c r="W193" s="343">
        <v>20540</v>
      </c>
      <c r="X193" s="343">
        <v>10</v>
      </c>
      <c r="Y193" s="343">
        <v>0</v>
      </c>
      <c r="Z193" s="343">
        <v>20550</v>
      </c>
      <c r="AA193" s="343">
        <v>1643.2</v>
      </c>
    </row>
    <row r="194" spans="1:27">
      <c r="A194" s="343">
        <v>20260717</v>
      </c>
      <c r="B194" s="343">
        <v>34236.89</v>
      </c>
      <c r="C194" s="343">
        <v>118</v>
      </c>
      <c r="D194" s="343">
        <v>353</v>
      </c>
      <c r="E194" s="384">
        <v>46220</v>
      </c>
      <c r="F194" s="343" t="s">
        <v>236</v>
      </c>
      <c r="G194" s="343" t="s">
        <v>162</v>
      </c>
      <c r="Q194" s="343" t="s">
        <v>338</v>
      </c>
      <c r="R194" s="343" t="s">
        <v>155</v>
      </c>
      <c r="S194" s="384">
        <v>46181</v>
      </c>
      <c r="T194" s="384">
        <v>46187</v>
      </c>
      <c r="U194" s="343" t="s">
        <v>343</v>
      </c>
      <c r="V194" s="343">
        <v>7</v>
      </c>
      <c r="W194" s="343">
        <v>972.92</v>
      </c>
      <c r="X194" s="343">
        <v>0</v>
      </c>
      <c r="Y194" s="343">
        <v>0</v>
      </c>
      <c r="Z194" s="343">
        <v>972.92</v>
      </c>
      <c r="AA194" s="343">
        <v>77.83</v>
      </c>
    </row>
    <row r="195" spans="1:27">
      <c r="A195" s="343">
        <v>20260718</v>
      </c>
      <c r="B195" s="343">
        <v>33322.199999999997</v>
      </c>
      <c r="C195" s="343">
        <v>122</v>
      </c>
      <c r="D195" s="343">
        <v>304</v>
      </c>
      <c r="E195" s="384">
        <v>46221</v>
      </c>
      <c r="F195" s="343" t="s">
        <v>244</v>
      </c>
      <c r="G195" s="343" t="s">
        <v>162</v>
      </c>
      <c r="Q195" s="343" t="s">
        <v>338</v>
      </c>
      <c r="R195" s="343" t="s">
        <v>155</v>
      </c>
      <c r="S195" s="384">
        <v>46181</v>
      </c>
      <c r="T195" s="384">
        <v>46187</v>
      </c>
      <c r="U195" s="343" t="s">
        <v>106</v>
      </c>
      <c r="V195" s="343">
        <v>6</v>
      </c>
      <c r="W195" s="343">
        <v>1227.1099999999999</v>
      </c>
      <c r="X195" s="343">
        <v>0</v>
      </c>
      <c r="Y195" s="343">
        <v>0</v>
      </c>
      <c r="Z195" s="343">
        <v>1227.1099999999999</v>
      </c>
      <c r="AA195" s="343">
        <v>0</v>
      </c>
    </row>
    <row r="196" spans="1:27">
      <c r="A196" s="343">
        <v>20260719</v>
      </c>
      <c r="B196" s="343">
        <v>7762.5</v>
      </c>
      <c r="C196" s="343">
        <v>29</v>
      </c>
      <c r="D196" s="343">
        <v>87</v>
      </c>
      <c r="E196" s="384">
        <v>46222</v>
      </c>
      <c r="F196" s="343" t="s">
        <v>245</v>
      </c>
      <c r="G196" s="343" t="s">
        <v>162</v>
      </c>
      <c r="Q196" s="343" t="s">
        <v>338</v>
      </c>
      <c r="R196" s="343" t="s">
        <v>155</v>
      </c>
      <c r="S196" s="384">
        <v>46181</v>
      </c>
      <c r="T196" s="384">
        <v>46187</v>
      </c>
      <c r="U196" s="343" t="s">
        <v>287</v>
      </c>
      <c r="V196" s="343">
        <v>535</v>
      </c>
      <c r="W196" s="343">
        <v>10425.299999999999</v>
      </c>
      <c r="X196" s="343">
        <v>244.7</v>
      </c>
      <c r="Y196" s="343">
        <v>0</v>
      </c>
      <c r="Z196" s="343">
        <v>10670</v>
      </c>
      <c r="AA196" s="343">
        <v>834.03</v>
      </c>
    </row>
    <row r="197" spans="1:27">
      <c r="A197" s="343">
        <v>20260720</v>
      </c>
      <c r="B197" s="343">
        <v>16163.69</v>
      </c>
      <c r="C197" s="343">
        <v>31</v>
      </c>
      <c r="D197" s="343">
        <v>115</v>
      </c>
      <c r="E197" s="384">
        <v>46223</v>
      </c>
      <c r="F197" s="343" t="s">
        <v>232</v>
      </c>
      <c r="G197" s="343" t="s">
        <v>163</v>
      </c>
      <c r="Q197" s="343" t="s">
        <v>338</v>
      </c>
      <c r="R197" s="343" t="s">
        <v>156</v>
      </c>
      <c r="S197" s="384">
        <v>46188</v>
      </c>
      <c r="T197" s="384">
        <v>46194</v>
      </c>
      <c r="U197" s="343" t="s">
        <v>285</v>
      </c>
      <c r="V197" s="343">
        <v>6157.2849999999999</v>
      </c>
      <c r="W197" s="343">
        <v>110079.15</v>
      </c>
      <c r="X197" s="343">
        <v>6946</v>
      </c>
      <c r="Y197" s="343">
        <v>0</v>
      </c>
      <c r="Z197" s="343">
        <v>117025.15</v>
      </c>
      <c r="AA197" s="343">
        <v>8769.48</v>
      </c>
    </row>
    <row r="198" spans="1:27">
      <c r="A198" s="343">
        <v>20260721</v>
      </c>
      <c r="B198" s="343">
        <v>8907.59</v>
      </c>
      <c r="C198" s="343">
        <v>44</v>
      </c>
      <c r="D198" s="343">
        <v>88</v>
      </c>
      <c r="E198" s="384">
        <v>46224</v>
      </c>
      <c r="F198" s="343" t="s">
        <v>233</v>
      </c>
      <c r="G198" s="343" t="s">
        <v>163</v>
      </c>
      <c r="Q198" s="343" t="s">
        <v>338</v>
      </c>
      <c r="R198" s="343" t="s">
        <v>156</v>
      </c>
      <c r="S198" s="384">
        <v>46188</v>
      </c>
      <c r="T198" s="384">
        <v>46194</v>
      </c>
      <c r="U198" s="343" t="s">
        <v>342</v>
      </c>
      <c r="V198" s="343">
        <v>904</v>
      </c>
      <c r="W198" s="343">
        <v>7634.29</v>
      </c>
      <c r="X198" s="343">
        <v>299.8</v>
      </c>
      <c r="Y198" s="343">
        <v>0</v>
      </c>
      <c r="Z198" s="343">
        <v>7934.09</v>
      </c>
      <c r="AA198" s="343">
        <v>606.29</v>
      </c>
    </row>
    <row r="199" spans="1:27">
      <c r="A199" s="343">
        <v>20260722</v>
      </c>
      <c r="B199" s="343">
        <v>20590.25</v>
      </c>
      <c r="C199" s="343">
        <v>58</v>
      </c>
      <c r="D199" s="343">
        <v>221</v>
      </c>
      <c r="E199" s="384">
        <v>46225</v>
      </c>
      <c r="F199" s="343" t="s">
        <v>234</v>
      </c>
      <c r="G199" s="343" t="s">
        <v>163</v>
      </c>
      <c r="Q199" s="343" t="s">
        <v>338</v>
      </c>
      <c r="R199" s="343" t="s">
        <v>156</v>
      </c>
      <c r="S199" s="384">
        <v>46188</v>
      </c>
      <c r="T199" s="384">
        <v>46194</v>
      </c>
      <c r="U199" s="343" t="s">
        <v>281</v>
      </c>
      <c r="V199" s="343">
        <v>1055</v>
      </c>
      <c r="W199" s="343">
        <v>22439.55</v>
      </c>
      <c r="X199" s="343">
        <v>1580.45</v>
      </c>
      <c r="Y199" s="343">
        <v>0</v>
      </c>
      <c r="Z199" s="343">
        <v>24020</v>
      </c>
      <c r="AA199" s="343">
        <v>1787.14</v>
      </c>
    </row>
    <row r="200" spans="1:27">
      <c r="A200" s="343">
        <v>20260723</v>
      </c>
      <c r="B200" s="343">
        <v>15732.78</v>
      </c>
      <c r="C200" s="343">
        <v>57</v>
      </c>
      <c r="D200" s="343">
        <v>155</v>
      </c>
      <c r="E200" s="384">
        <v>46226</v>
      </c>
      <c r="F200" s="343" t="s">
        <v>235</v>
      </c>
      <c r="G200" s="343" t="s">
        <v>163</v>
      </c>
      <c r="Q200" s="343" t="s">
        <v>338</v>
      </c>
      <c r="R200" s="343" t="s">
        <v>156</v>
      </c>
      <c r="S200" s="384">
        <v>46188</v>
      </c>
      <c r="T200" s="384">
        <v>46194</v>
      </c>
      <c r="U200" s="343" t="s">
        <v>279</v>
      </c>
      <c r="V200" s="343">
        <v>85</v>
      </c>
      <c r="W200" s="343">
        <v>807.5</v>
      </c>
      <c r="X200" s="343">
        <v>0</v>
      </c>
      <c r="Y200" s="343">
        <v>0</v>
      </c>
      <c r="Z200" s="343">
        <v>807.5</v>
      </c>
      <c r="AA200" s="343">
        <v>64.599999999999994</v>
      </c>
    </row>
    <row r="201" spans="1:27">
      <c r="A201" s="343">
        <v>20260724</v>
      </c>
      <c r="B201" s="343">
        <v>27506.25</v>
      </c>
      <c r="C201" s="343">
        <v>120</v>
      </c>
      <c r="D201" s="343">
        <v>266</v>
      </c>
      <c r="E201" s="384">
        <v>46227</v>
      </c>
      <c r="F201" s="343" t="s">
        <v>236</v>
      </c>
      <c r="G201" s="343" t="s">
        <v>163</v>
      </c>
      <c r="Q201" s="343" t="s">
        <v>338</v>
      </c>
      <c r="R201" s="343" t="s">
        <v>156</v>
      </c>
      <c r="S201" s="384">
        <v>46188</v>
      </c>
      <c r="T201" s="384">
        <v>46194</v>
      </c>
      <c r="U201" s="343" t="s">
        <v>277</v>
      </c>
      <c r="V201" s="343">
        <v>365</v>
      </c>
      <c r="W201" s="343">
        <v>16205</v>
      </c>
      <c r="X201" s="343">
        <v>425</v>
      </c>
      <c r="Y201" s="343">
        <v>0</v>
      </c>
      <c r="Z201" s="343">
        <v>16630</v>
      </c>
      <c r="AA201" s="343">
        <v>1296.4000000000001</v>
      </c>
    </row>
    <row r="202" spans="1:27">
      <c r="A202" s="343">
        <v>20260725</v>
      </c>
      <c r="B202" s="343">
        <v>36003.33</v>
      </c>
      <c r="C202" s="343">
        <v>123</v>
      </c>
      <c r="D202" s="343">
        <v>358</v>
      </c>
      <c r="E202" s="384">
        <v>46228</v>
      </c>
      <c r="F202" s="343" t="s">
        <v>244</v>
      </c>
      <c r="G202" s="343" t="s">
        <v>163</v>
      </c>
      <c r="Q202" s="343" t="s">
        <v>338</v>
      </c>
      <c r="R202" s="343" t="s">
        <v>156</v>
      </c>
      <c r="S202" s="384">
        <v>46188</v>
      </c>
      <c r="T202" s="384">
        <v>46194</v>
      </c>
      <c r="U202" s="343" t="s">
        <v>343</v>
      </c>
      <c r="V202" s="343">
        <v>1</v>
      </c>
      <c r="W202" s="343">
        <v>59</v>
      </c>
      <c r="X202" s="343">
        <v>0</v>
      </c>
      <c r="Y202" s="343">
        <v>0</v>
      </c>
      <c r="Z202" s="343">
        <v>59</v>
      </c>
      <c r="AA202" s="343">
        <v>4.72</v>
      </c>
    </row>
    <row r="203" spans="1:27">
      <c r="A203" s="343">
        <v>20260726</v>
      </c>
      <c r="B203" s="343">
        <v>12607.45</v>
      </c>
      <c r="C203" s="343">
        <v>41</v>
      </c>
      <c r="D203" s="343">
        <v>123</v>
      </c>
      <c r="E203" s="384">
        <v>46229</v>
      </c>
      <c r="F203" s="343" t="s">
        <v>245</v>
      </c>
      <c r="G203" s="343" t="s">
        <v>163</v>
      </c>
      <c r="Q203" s="343" t="s">
        <v>338</v>
      </c>
      <c r="R203" s="343" t="s">
        <v>156</v>
      </c>
      <c r="S203" s="384">
        <v>46188</v>
      </c>
      <c r="T203" s="384">
        <v>46194</v>
      </c>
      <c r="U203" s="343" t="s">
        <v>106</v>
      </c>
      <c r="V203" s="343">
        <v>1</v>
      </c>
      <c r="W203" s="343">
        <v>224</v>
      </c>
      <c r="X203" s="343">
        <v>0</v>
      </c>
      <c r="Y203" s="343">
        <v>0</v>
      </c>
      <c r="Z203" s="343">
        <v>224</v>
      </c>
      <c r="AA203" s="343">
        <v>0</v>
      </c>
    </row>
    <row r="204" spans="1:27">
      <c r="A204" s="343">
        <v>20260727</v>
      </c>
      <c r="B204" s="343">
        <v>9138.7900000000009</v>
      </c>
      <c r="C204" s="343">
        <v>30</v>
      </c>
      <c r="D204" s="343">
        <v>99</v>
      </c>
      <c r="E204" s="384">
        <v>46230</v>
      </c>
      <c r="F204" s="343" t="s">
        <v>232</v>
      </c>
      <c r="G204" s="343" t="s">
        <v>166</v>
      </c>
      <c r="Q204" s="343" t="s">
        <v>338</v>
      </c>
      <c r="R204" s="343" t="s">
        <v>156</v>
      </c>
      <c r="S204" s="384">
        <v>46188</v>
      </c>
      <c r="T204" s="384">
        <v>46194</v>
      </c>
      <c r="U204" s="343" t="s">
        <v>287</v>
      </c>
      <c r="V204" s="343">
        <v>514</v>
      </c>
      <c r="W204" s="343">
        <v>9053</v>
      </c>
      <c r="X204" s="343">
        <v>535</v>
      </c>
      <c r="Y204" s="343">
        <v>0</v>
      </c>
      <c r="Z204" s="343">
        <v>9588</v>
      </c>
      <c r="AA204" s="343">
        <v>720.41</v>
      </c>
    </row>
    <row r="205" spans="1:27">
      <c r="A205" s="343">
        <v>20260728</v>
      </c>
      <c r="B205" s="343">
        <v>8628.4500000000007</v>
      </c>
      <c r="C205" s="343">
        <v>38</v>
      </c>
      <c r="D205" s="343">
        <v>96</v>
      </c>
      <c r="E205" s="384">
        <v>46231</v>
      </c>
      <c r="F205" s="343" t="s">
        <v>233</v>
      </c>
      <c r="G205" s="343" t="s">
        <v>166</v>
      </c>
      <c r="Q205" s="343" t="s">
        <v>338</v>
      </c>
      <c r="R205" s="343" t="s">
        <v>157</v>
      </c>
      <c r="S205" s="384">
        <v>46195</v>
      </c>
      <c r="T205" s="384">
        <v>46201</v>
      </c>
      <c r="U205" s="343" t="s">
        <v>285</v>
      </c>
      <c r="V205" s="343">
        <v>4575.625</v>
      </c>
      <c r="W205" s="343">
        <v>101562.73</v>
      </c>
      <c r="X205" s="343">
        <v>7765.5</v>
      </c>
      <c r="Y205" s="343">
        <v>0</v>
      </c>
      <c r="Z205" s="343">
        <v>109328.23</v>
      </c>
      <c r="AA205" s="343">
        <v>8125.02</v>
      </c>
    </row>
    <row r="206" spans="1:27">
      <c r="A206" s="343">
        <v>20260729</v>
      </c>
      <c r="B206" s="343">
        <v>13154.19</v>
      </c>
      <c r="C206" s="343">
        <v>54</v>
      </c>
      <c r="D206" s="343">
        <v>135</v>
      </c>
      <c r="E206" s="384">
        <v>46232</v>
      </c>
      <c r="F206" s="343" t="s">
        <v>234</v>
      </c>
      <c r="G206" s="343" t="s">
        <v>166</v>
      </c>
      <c r="Q206" s="343" t="s">
        <v>338</v>
      </c>
      <c r="R206" s="343" t="s">
        <v>157</v>
      </c>
      <c r="S206" s="384">
        <v>46195</v>
      </c>
      <c r="T206" s="384">
        <v>46201</v>
      </c>
      <c r="U206" s="343" t="s">
        <v>342</v>
      </c>
      <c r="V206" s="343">
        <v>917</v>
      </c>
      <c r="W206" s="343">
        <v>7796.3</v>
      </c>
      <c r="X206" s="343">
        <v>188.2</v>
      </c>
      <c r="Y206" s="343">
        <v>0</v>
      </c>
      <c r="Z206" s="343">
        <v>7984.5</v>
      </c>
      <c r="AA206" s="343">
        <v>623.71</v>
      </c>
    </row>
    <row r="207" spans="1:27">
      <c r="A207" s="343">
        <v>20260730</v>
      </c>
      <c r="B207" s="343">
        <v>17885.599999999999</v>
      </c>
      <c r="C207" s="343">
        <v>59</v>
      </c>
      <c r="D207" s="343">
        <v>173</v>
      </c>
      <c r="E207" s="384">
        <v>46233</v>
      </c>
      <c r="F207" s="343" t="s">
        <v>235</v>
      </c>
      <c r="G207" s="343" t="s">
        <v>166</v>
      </c>
      <c r="Q207" s="343" t="s">
        <v>338</v>
      </c>
      <c r="R207" s="343" t="s">
        <v>157</v>
      </c>
      <c r="S207" s="384">
        <v>46195</v>
      </c>
      <c r="T207" s="384">
        <v>46201</v>
      </c>
      <c r="U207" s="343" t="s">
        <v>281</v>
      </c>
      <c r="V207" s="343">
        <v>1089</v>
      </c>
      <c r="W207" s="343">
        <v>24028.6</v>
      </c>
      <c r="X207" s="343">
        <v>1313.4</v>
      </c>
      <c r="Y207" s="343">
        <v>0</v>
      </c>
      <c r="Z207" s="343">
        <v>25342</v>
      </c>
      <c r="AA207" s="343">
        <v>1922.29</v>
      </c>
    </row>
    <row r="208" spans="1:27">
      <c r="A208" s="343">
        <v>20260731</v>
      </c>
      <c r="B208" s="343">
        <v>30434.28</v>
      </c>
      <c r="C208" s="343">
        <v>112</v>
      </c>
      <c r="D208" s="343">
        <v>322</v>
      </c>
      <c r="E208" s="384">
        <v>46234</v>
      </c>
      <c r="F208" s="343" t="s">
        <v>236</v>
      </c>
      <c r="G208" s="343" t="s">
        <v>166</v>
      </c>
      <c r="Q208" s="343" t="s">
        <v>338</v>
      </c>
      <c r="R208" s="343" t="s">
        <v>157</v>
      </c>
      <c r="S208" s="384">
        <v>46195</v>
      </c>
      <c r="T208" s="384">
        <v>46201</v>
      </c>
      <c r="U208" s="343" t="s">
        <v>279</v>
      </c>
      <c r="V208" s="343">
        <v>103</v>
      </c>
      <c r="W208" s="343">
        <v>978.5</v>
      </c>
      <c r="X208" s="343">
        <v>0</v>
      </c>
      <c r="Y208" s="343">
        <v>0</v>
      </c>
      <c r="Z208" s="343">
        <v>978.5</v>
      </c>
      <c r="AA208" s="343">
        <v>78.28</v>
      </c>
    </row>
    <row r="209" spans="1:27">
      <c r="A209" s="343">
        <v>20260801</v>
      </c>
      <c r="B209" s="343">
        <v>31500.2</v>
      </c>
      <c r="C209" s="343">
        <v>127</v>
      </c>
      <c r="D209" s="343">
        <v>330</v>
      </c>
      <c r="E209" s="384">
        <v>46235</v>
      </c>
      <c r="F209" s="343" t="s">
        <v>244</v>
      </c>
      <c r="G209" s="343" t="s">
        <v>166</v>
      </c>
      <c r="Q209" s="343" t="s">
        <v>338</v>
      </c>
      <c r="R209" s="343" t="s">
        <v>157</v>
      </c>
      <c r="S209" s="384">
        <v>46195</v>
      </c>
      <c r="T209" s="384">
        <v>46201</v>
      </c>
      <c r="U209" s="343" t="s">
        <v>277</v>
      </c>
      <c r="V209" s="343">
        <v>427</v>
      </c>
      <c r="W209" s="343">
        <v>14035</v>
      </c>
      <c r="X209" s="343">
        <v>175</v>
      </c>
      <c r="Y209" s="343">
        <v>0</v>
      </c>
      <c r="Z209" s="343">
        <v>14210</v>
      </c>
      <c r="AA209" s="343">
        <v>1122.8</v>
      </c>
    </row>
    <row r="210" spans="1:27">
      <c r="A210" s="343">
        <v>20260802</v>
      </c>
      <c r="B210" s="343">
        <v>12153.01</v>
      </c>
      <c r="C210" s="343">
        <v>50</v>
      </c>
      <c r="D210" s="343">
        <v>124</v>
      </c>
      <c r="E210" s="384">
        <v>46236</v>
      </c>
      <c r="F210" s="343" t="s">
        <v>245</v>
      </c>
      <c r="G210" s="343" t="s">
        <v>166</v>
      </c>
      <c r="Q210" s="343" t="s">
        <v>338</v>
      </c>
      <c r="R210" s="343" t="s">
        <v>157</v>
      </c>
      <c r="S210" s="384">
        <v>46195</v>
      </c>
      <c r="T210" s="384">
        <v>46201</v>
      </c>
      <c r="U210" s="343" t="s">
        <v>343</v>
      </c>
      <c r="V210" s="343">
        <v>1</v>
      </c>
      <c r="W210" s="343">
        <v>59</v>
      </c>
      <c r="X210" s="343">
        <v>0</v>
      </c>
      <c r="Y210" s="343">
        <v>0</v>
      </c>
      <c r="Z210" s="343">
        <v>59</v>
      </c>
      <c r="AA210" s="343">
        <v>4.72</v>
      </c>
    </row>
    <row r="211" spans="1:27">
      <c r="A211" s="343">
        <v>20260803</v>
      </c>
      <c r="B211" s="343">
        <v>10137.34</v>
      </c>
      <c r="C211" s="343">
        <v>41</v>
      </c>
      <c r="D211" s="343">
        <v>108</v>
      </c>
      <c r="E211" s="384">
        <v>46237</v>
      </c>
      <c r="F211" s="343" t="s">
        <v>232</v>
      </c>
      <c r="G211" s="343" t="s">
        <v>167</v>
      </c>
      <c r="Q211" s="343" t="s">
        <v>338</v>
      </c>
      <c r="R211" s="343" t="s">
        <v>157</v>
      </c>
      <c r="S211" s="384">
        <v>46195</v>
      </c>
      <c r="T211" s="384">
        <v>46201</v>
      </c>
      <c r="U211" s="343" t="s">
        <v>106</v>
      </c>
      <c r="V211" s="343">
        <v>6</v>
      </c>
      <c r="W211" s="343">
        <v>407.3</v>
      </c>
      <c r="X211" s="343">
        <v>0</v>
      </c>
      <c r="Y211" s="343">
        <v>0</v>
      </c>
      <c r="Z211" s="343">
        <v>407.3</v>
      </c>
      <c r="AA211" s="343">
        <v>0</v>
      </c>
    </row>
    <row r="212" spans="1:27">
      <c r="A212" s="343">
        <v>20260804</v>
      </c>
      <c r="B212" s="343">
        <v>9565.14</v>
      </c>
      <c r="C212" s="343">
        <v>34</v>
      </c>
      <c r="D212" s="343">
        <v>101</v>
      </c>
      <c r="E212" s="384">
        <v>46238</v>
      </c>
      <c r="F212" s="343" t="s">
        <v>233</v>
      </c>
      <c r="G212" s="343" t="s">
        <v>167</v>
      </c>
      <c r="Q212" s="343" t="s">
        <v>338</v>
      </c>
      <c r="R212" s="343" t="s">
        <v>157</v>
      </c>
      <c r="S212" s="384">
        <v>46195</v>
      </c>
      <c r="T212" s="384">
        <v>46201</v>
      </c>
      <c r="U212" s="343" t="s">
        <v>287</v>
      </c>
      <c r="V212" s="343">
        <v>413</v>
      </c>
      <c r="W212" s="343">
        <v>7044</v>
      </c>
      <c r="X212" s="343">
        <v>49</v>
      </c>
      <c r="Y212" s="343">
        <v>0</v>
      </c>
      <c r="Z212" s="343">
        <v>7093</v>
      </c>
      <c r="AA212" s="343">
        <v>563.52</v>
      </c>
    </row>
    <row r="213" spans="1:27">
      <c r="A213" s="343">
        <v>20260805</v>
      </c>
      <c r="B213" s="343">
        <v>10198.81</v>
      </c>
      <c r="C213" s="343">
        <v>41</v>
      </c>
      <c r="D213" s="343">
        <v>98</v>
      </c>
      <c r="E213" s="384">
        <v>46239</v>
      </c>
      <c r="F213" s="343" t="s">
        <v>234</v>
      </c>
      <c r="G213" s="343" t="s">
        <v>167</v>
      </c>
      <c r="Q213" s="343" t="s">
        <v>338</v>
      </c>
      <c r="R213" s="343" t="s">
        <v>160</v>
      </c>
      <c r="S213" s="384">
        <v>46202</v>
      </c>
      <c r="T213" s="384">
        <v>46208</v>
      </c>
      <c r="U213" s="343" t="s">
        <v>285</v>
      </c>
      <c r="V213" s="343">
        <v>3079.64</v>
      </c>
      <c r="W213" s="343">
        <v>64697.86</v>
      </c>
      <c r="X213" s="343">
        <v>3758.07</v>
      </c>
      <c r="Y213" s="343">
        <v>0</v>
      </c>
      <c r="Z213" s="343">
        <v>68455.929999999993</v>
      </c>
      <c r="AA213" s="343">
        <v>5175.84</v>
      </c>
    </row>
    <row r="214" spans="1:27">
      <c r="A214" s="343">
        <v>20260806</v>
      </c>
      <c r="B214" s="343">
        <v>22988.02</v>
      </c>
      <c r="C214" s="343">
        <v>87</v>
      </c>
      <c r="D214" s="343">
        <v>247</v>
      </c>
      <c r="E214" s="384">
        <v>46240</v>
      </c>
      <c r="F214" s="343" t="s">
        <v>235</v>
      </c>
      <c r="G214" s="343" t="s">
        <v>167</v>
      </c>
      <c r="Q214" s="343" t="s">
        <v>338</v>
      </c>
      <c r="R214" s="343" t="s">
        <v>160</v>
      </c>
      <c r="S214" s="384">
        <v>46202</v>
      </c>
      <c r="T214" s="384">
        <v>46208</v>
      </c>
      <c r="U214" s="343" t="s">
        <v>342</v>
      </c>
      <c r="V214" s="343">
        <v>588</v>
      </c>
      <c r="W214" s="343">
        <v>4990.5</v>
      </c>
      <c r="X214" s="343">
        <v>182.5</v>
      </c>
      <c r="Y214" s="343">
        <v>0</v>
      </c>
      <c r="Z214" s="343">
        <v>5173</v>
      </c>
      <c r="AA214" s="343">
        <v>399.27</v>
      </c>
    </row>
    <row r="215" spans="1:27">
      <c r="A215" s="343">
        <v>20260807</v>
      </c>
      <c r="B215" s="343">
        <v>39784.959999999999</v>
      </c>
      <c r="C215" s="343">
        <v>154</v>
      </c>
      <c r="D215" s="343">
        <v>403</v>
      </c>
      <c r="E215" s="384">
        <v>46241</v>
      </c>
      <c r="F215" s="343" t="s">
        <v>236</v>
      </c>
      <c r="G215" s="343" t="s">
        <v>167</v>
      </c>
      <c r="Q215" s="343" t="s">
        <v>338</v>
      </c>
      <c r="R215" s="343" t="s">
        <v>160</v>
      </c>
      <c r="S215" s="384">
        <v>46202</v>
      </c>
      <c r="T215" s="384">
        <v>46208</v>
      </c>
      <c r="U215" s="343" t="s">
        <v>281</v>
      </c>
      <c r="V215" s="343">
        <v>605</v>
      </c>
      <c r="W215" s="343">
        <v>13286</v>
      </c>
      <c r="X215" s="343">
        <v>390</v>
      </c>
      <c r="Y215" s="343">
        <v>0</v>
      </c>
      <c r="Z215" s="343">
        <v>13676</v>
      </c>
      <c r="AA215" s="343">
        <v>1062.8800000000001</v>
      </c>
    </row>
    <row r="216" spans="1:27">
      <c r="A216" s="343">
        <v>20260808</v>
      </c>
      <c r="B216" s="343">
        <v>49562.879999999997</v>
      </c>
      <c r="C216" s="343">
        <v>177</v>
      </c>
      <c r="D216" s="343">
        <v>513</v>
      </c>
      <c r="E216" s="384">
        <v>46242</v>
      </c>
      <c r="F216" s="343" t="s">
        <v>244</v>
      </c>
      <c r="G216" s="343" t="s">
        <v>167</v>
      </c>
      <c r="Q216" s="343" t="s">
        <v>338</v>
      </c>
      <c r="R216" s="343" t="s">
        <v>160</v>
      </c>
      <c r="S216" s="384">
        <v>46202</v>
      </c>
      <c r="T216" s="384">
        <v>46208</v>
      </c>
      <c r="U216" s="343" t="s">
        <v>279</v>
      </c>
      <c r="V216" s="343">
        <v>39</v>
      </c>
      <c r="W216" s="343">
        <v>370.5</v>
      </c>
      <c r="X216" s="343">
        <v>0</v>
      </c>
      <c r="Y216" s="343">
        <v>0</v>
      </c>
      <c r="Z216" s="343">
        <v>370.5</v>
      </c>
      <c r="AA216" s="343">
        <v>29.64</v>
      </c>
    </row>
    <row r="217" spans="1:27">
      <c r="A217" s="343">
        <v>20260809</v>
      </c>
      <c r="B217" s="343">
        <v>17154.349999999999</v>
      </c>
      <c r="C217" s="343">
        <v>54</v>
      </c>
      <c r="D217" s="343">
        <v>167</v>
      </c>
      <c r="E217" s="384">
        <v>46243</v>
      </c>
      <c r="F217" s="343" t="s">
        <v>245</v>
      </c>
      <c r="G217" s="343" t="s">
        <v>167</v>
      </c>
      <c r="Q217" s="343" t="s">
        <v>338</v>
      </c>
      <c r="R217" s="343" t="s">
        <v>160</v>
      </c>
      <c r="S217" s="384">
        <v>46202</v>
      </c>
      <c r="T217" s="384">
        <v>46208</v>
      </c>
      <c r="U217" s="343" t="s">
        <v>277</v>
      </c>
      <c r="V217" s="343">
        <v>250</v>
      </c>
      <c r="W217" s="343">
        <v>5810</v>
      </c>
      <c r="X217" s="343">
        <v>120</v>
      </c>
      <c r="Y217" s="343">
        <v>0</v>
      </c>
      <c r="Z217" s="343">
        <v>5930</v>
      </c>
      <c r="AA217" s="343">
        <v>464.8</v>
      </c>
    </row>
    <row r="218" spans="1:27">
      <c r="A218" s="343">
        <v>20260810</v>
      </c>
      <c r="B218" s="343">
        <v>15247.89</v>
      </c>
      <c r="C218" s="343">
        <v>59</v>
      </c>
      <c r="D218" s="343">
        <v>178</v>
      </c>
      <c r="E218" s="384">
        <v>46244</v>
      </c>
      <c r="F218" s="343" t="s">
        <v>232</v>
      </c>
      <c r="G218" s="343" t="s">
        <v>168</v>
      </c>
      <c r="Q218" s="343" t="s">
        <v>338</v>
      </c>
      <c r="R218" s="343" t="s">
        <v>160</v>
      </c>
      <c r="S218" s="384">
        <v>46202</v>
      </c>
      <c r="T218" s="384">
        <v>46208</v>
      </c>
      <c r="U218" s="343" t="s">
        <v>343</v>
      </c>
      <c r="V218" s="343">
        <v>2</v>
      </c>
      <c r="W218" s="343">
        <v>1344.2</v>
      </c>
      <c r="X218" s="343">
        <v>0</v>
      </c>
      <c r="Y218" s="343">
        <v>0</v>
      </c>
      <c r="Z218" s="343">
        <v>1344.2</v>
      </c>
      <c r="AA218" s="343">
        <v>107.53</v>
      </c>
    </row>
    <row r="219" spans="1:27">
      <c r="A219" s="343">
        <v>20260811</v>
      </c>
      <c r="B219" s="343">
        <v>11676.5</v>
      </c>
      <c r="C219" s="343">
        <v>53</v>
      </c>
      <c r="D219" s="343">
        <v>123</v>
      </c>
      <c r="E219" s="384">
        <v>46245</v>
      </c>
      <c r="F219" s="343" t="s">
        <v>233</v>
      </c>
      <c r="G219" s="343" t="s">
        <v>168</v>
      </c>
      <c r="Q219" s="343" t="s">
        <v>338</v>
      </c>
      <c r="R219" s="343" t="s">
        <v>160</v>
      </c>
      <c r="S219" s="384">
        <v>46202</v>
      </c>
      <c r="T219" s="384">
        <v>46208</v>
      </c>
      <c r="U219" s="343" t="s">
        <v>106</v>
      </c>
      <c r="V219" s="343">
        <v>1</v>
      </c>
      <c r="W219" s="343">
        <v>90.45</v>
      </c>
      <c r="X219" s="343">
        <v>0</v>
      </c>
      <c r="Y219" s="343">
        <v>0</v>
      </c>
      <c r="Z219" s="343">
        <v>90.45</v>
      </c>
      <c r="AA219" s="343">
        <v>0</v>
      </c>
    </row>
    <row r="220" spans="1:27">
      <c r="A220" s="343">
        <v>20260812</v>
      </c>
      <c r="B220" s="343">
        <v>21511.86</v>
      </c>
      <c r="C220" s="343">
        <v>67</v>
      </c>
      <c r="D220" s="343">
        <v>198</v>
      </c>
      <c r="E220" s="384">
        <v>46246</v>
      </c>
      <c r="F220" s="343" t="s">
        <v>234</v>
      </c>
      <c r="G220" s="343" t="s">
        <v>168</v>
      </c>
      <c r="Q220" s="343" t="s">
        <v>338</v>
      </c>
      <c r="R220" s="343" t="s">
        <v>160</v>
      </c>
      <c r="S220" s="384">
        <v>46202</v>
      </c>
      <c r="T220" s="384">
        <v>46208</v>
      </c>
      <c r="U220" s="343" t="s">
        <v>287</v>
      </c>
      <c r="V220" s="343">
        <v>268</v>
      </c>
      <c r="W220" s="343">
        <v>4537</v>
      </c>
      <c r="X220" s="343">
        <v>83</v>
      </c>
      <c r="Y220" s="343">
        <v>0</v>
      </c>
      <c r="Z220" s="343">
        <v>4620</v>
      </c>
      <c r="AA220" s="343">
        <v>362.96</v>
      </c>
    </row>
    <row r="221" spans="1:27">
      <c r="A221" s="343">
        <v>20260813</v>
      </c>
      <c r="B221" s="343">
        <v>16444.060000000001</v>
      </c>
      <c r="C221" s="343">
        <v>62</v>
      </c>
      <c r="D221" s="343">
        <v>155</v>
      </c>
      <c r="E221" s="384">
        <v>46247</v>
      </c>
      <c r="F221" s="343" t="s">
        <v>235</v>
      </c>
      <c r="G221" s="343" t="s">
        <v>168</v>
      </c>
      <c r="Q221" s="343" t="s">
        <v>338</v>
      </c>
      <c r="R221" s="343" t="s">
        <v>161</v>
      </c>
      <c r="S221" s="384">
        <v>46209</v>
      </c>
      <c r="T221" s="384">
        <v>46215</v>
      </c>
      <c r="U221" s="343" t="s">
        <v>285</v>
      </c>
      <c r="V221" s="343">
        <v>4062.18</v>
      </c>
      <c r="W221" s="343">
        <v>81554.2</v>
      </c>
      <c r="X221" s="343">
        <v>6759.83</v>
      </c>
      <c r="Y221" s="343">
        <v>0</v>
      </c>
      <c r="Z221" s="343">
        <v>88314.03</v>
      </c>
      <c r="AA221" s="343">
        <v>6524.39</v>
      </c>
    </row>
    <row r="222" spans="1:27">
      <c r="A222" s="343">
        <v>20260814</v>
      </c>
      <c r="B222" s="343">
        <v>41083.519999999997</v>
      </c>
      <c r="C222" s="343">
        <v>148</v>
      </c>
      <c r="D222" s="343">
        <v>411</v>
      </c>
      <c r="E222" s="384">
        <v>46248</v>
      </c>
      <c r="F222" s="343" t="s">
        <v>236</v>
      </c>
      <c r="G222" s="343" t="s">
        <v>168</v>
      </c>
      <c r="Q222" s="343" t="s">
        <v>338</v>
      </c>
      <c r="R222" s="343" t="s">
        <v>161</v>
      </c>
      <c r="S222" s="384">
        <v>46209</v>
      </c>
      <c r="T222" s="384">
        <v>46215</v>
      </c>
      <c r="U222" s="343" t="s">
        <v>342</v>
      </c>
      <c r="V222" s="343">
        <v>760</v>
      </c>
      <c r="W222" s="343">
        <v>6276</v>
      </c>
      <c r="X222" s="343">
        <v>119</v>
      </c>
      <c r="Y222" s="343">
        <v>0</v>
      </c>
      <c r="Z222" s="343">
        <v>6395</v>
      </c>
      <c r="AA222" s="343">
        <v>502.08</v>
      </c>
    </row>
    <row r="223" spans="1:27">
      <c r="A223" s="343">
        <v>20260815</v>
      </c>
      <c r="B223" s="343">
        <v>46225.16</v>
      </c>
      <c r="C223" s="343">
        <v>177</v>
      </c>
      <c r="D223" s="343">
        <v>489</v>
      </c>
      <c r="E223" s="384">
        <v>46249</v>
      </c>
      <c r="F223" s="343" t="s">
        <v>244</v>
      </c>
      <c r="G223" s="343" t="s">
        <v>168</v>
      </c>
      <c r="Q223" s="343" t="s">
        <v>338</v>
      </c>
      <c r="R223" s="343" t="s">
        <v>161</v>
      </c>
      <c r="S223" s="384">
        <v>46209</v>
      </c>
      <c r="T223" s="384">
        <v>46215</v>
      </c>
      <c r="U223" s="343" t="s">
        <v>281</v>
      </c>
      <c r="V223" s="343">
        <v>817</v>
      </c>
      <c r="W223" s="343">
        <v>17519</v>
      </c>
      <c r="X223" s="343">
        <v>1019</v>
      </c>
      <c r="Y223" s="343">
        <v>0</v>
      </c>
      <c r="Z223" s="343">
        <v>18538</v>
      </c>
      <c r="AA223" s="343">
        <v>1401.52</v>
      </c>
    </row>
    <row r="224" spans="1:27">
      <c r="A224" s="343">
        <v>20260816</v>
      </c>
      <c r="B224" s="343">
        <v>17370.240000000002</v>
      </c>
      <c r="C224" s="343">
        <v>74</v>
      </c>
      <c r="D224" s="343">
        <v>212</v>
      </c>
      <c r="E224" s="384">
        <v>46250</v>
      </c>
      <c r="F224" s="343" t="s">
        <v>245</v>
      </c>
      <c r="G224" s="343" t="s">
        <v>168</v>
      </c>
      <c r="Q224" s="343" t="s">
        <v>338</v>
      </c>
      <c r="R224" s="343" t="s">
        <v>161</v>
      </c>
      <c r="S224" s="384">
        <v>46209</v>
      </c>
      <c r="T224" s="384">
        <v>46215</v>
      </c>
      <c r="U224" s="343" t="s">
        <v>279</v>
      </c>
      <c r="V224" s="343">
        <v>76</v>
      </c>
      <c r="W224" s="343">
        <v>712.5</v>
      </c>
      <c r="X224" s="343">
        <v>9.5</v>
      </c>
      <c r="Y224" s="343">
        <v>0</v>
      </c>
      <c r="Z224" s="343">
        <v>722</v>
      </c>
      <c r="AA224" s="343">
        <v>57</v>
      </c>
    </row>
    <row r="225" spans="1:27">
      <c r="A225" s="343">
        <v>20260817</v>
      </c>
      <c r="B225" s="343">
        <v>12280.22</v>
      </c>
      <c r="C225" s="343">
        <v>44</v>
      </c>
      <c r="D225" s="343">
        <v>1115</v>
      </c>
      <c r="E225" s="384">
        <v>46251</v>
      </c>
      <c r="F225" s="343" t="s">
        <v>232</v>
      </c>
      <c r="G225" s="343" t="s">
        <v>101</v>
      </c>
      <c r="Q225" s="343" t="s">
        <v>338</v>
      </c>
      <c r="R225" s="343" t="s">
        <v>161</v>
      </c>
      <c r="S225" s="384">
        <v>46209</v>
      </c>
      <c r="T225" s="384">
        <v>46215</v>
      </c>
      <c r="U225" s="343" t="s">
        <v>277</v>
      </c>
      <c r="V225" s="343">
        <v>422</v>
      </c>
      <c r="W225" s="343">
        <v>13360</v>
      </c>
      <c r="X225" s="343">
        <v>20</v>
      </c>
      <c r="Y225" s="343">
        <v>0</v>
      </c>
      <c r="Z225" s="343">
        <v>13380</v>
      </c>
      <c r="AA225" s="343">
        <v>1068.8</v>
      </c>
    </row>
    <row r="226" spans="1:27">
      <c r="A226" s="343">
        <v>20260818</v>
      </c>
      <c r="B226" s="343">
        <v>16236.57</v>
      </c>
      <c r="C226" s="343">
        <v>43</v>
      </c>
      <c r="D226" s="343">
        <v>132</v>
      </c>
      <c r="E226" s="384">
        <v>46252</v>
      </c>
      <c r="F226" s="343" t="s">
        <v>233</v>
      </c>
      <c r="G226" s="343" t="s">
        <v>101</v>
      </c>
      <c r="Q226" s="343" t="s">
        <v>338</v>
      </c>
      <c r="R226" s="343" t="s">
        <v>161</v>
      </c>
      <c r="S226" s="384">
        <v>46209</v>
      </c>
      <c r="T226" s="384">
        <v>46215</v>
      </c>
      <c r="U226" s="343" t="s">
        <v>343</v>
      </c>
      <c r="V226" s="343">
        <v>2</v>
      </c>
      <c r="W226" s="343">
        <v>118</v>
      </c>
      <c r="X226" s="343">
        <v>0</v>
      </c>
      <c r="Y226" s="343">
        <v>0</v>
      </c>
      <c r="Z226" s="343">
        <v>118</v>
      </c>
      <c r="AA226" s="343">
        <v>9.44</v>
      </c>
    </row>
    <row r="227" spans="1:27">
      <c r="A227" s="343">
        <v>20260819</v>
      </c>
      <c r="B227" s="343">
        <v>19574.349999999999</v>
      </c>
      <c r="C227" s="343">
        <v>63</v>
      </c>
      <c r="D227" s="343">
        <v>178</v>
      </c>
      <c r="E227" s="384">
        <v>46253</v>
      </c>
      <c r="F227" s="343" t="s">
        <v>234</v>
      </c>
      <c r="G227" s="343" t="s">
        <v>101</v>
      </c>
      <c r="Q227" s="343" t="s">
        <v>338</v>
      </c>
      <c r="R227" s="343" t="s">
        <v>161</v>
      </c>
      <c r="S227" s="384">
        <v>46209</v>
      </c>
      <c r="T227" s="384">
        <v>46215</v>
      </c>
      <c r="U227" s="343" t="s">
        <v>106</v>
      </c>
      <c r="V227" s="343">
        <v>1</v>
      </c>
      <c r="W227" s="343">
        <v>53.28</v>
      </c>
      <c r="X227" s="343">
        <v>0</v>
      </c>
      <c r="Y227" s="343">
        <v>0</v>
      </c>
      <c r="Z227" s="343">
        <v>53.28</v>
      </c>
      <c r="AA227" s="343">
        <v>0</v>
      </c>
    </row>
    <row r="228" spans="1:27">
      <c r="A228" s="343">
        <v>20260820</v>
      </c>
      <c r="B228" s="343">
        <v>22850.61</v>
      </c>
      <c r="C228" s="343">
        <v>93</v>
      </c>
      <c r="D228" s="343">
        <v>240</v>
      </c>
      <c r="E228" s="384">
        <v>46254</v>
      </c>
      <c r="F228" s="343" t="s">
        <v>235</v>
      </c>
      <c r="G228" s="343" t="s">
        <v>101</v>
      </c>
      <c r="Q228" s="343" t="s">
        <v>338</v>
      </c>
      <c r="R228" s="343" t="s">
        <v>161</v>
      </c>
      <c r="S228" s="384">
        <v>46209</v>
      </c>
      <c r="T228" s="384">
        <v>46215</v>
      </c>
      <c r="U228" s="343" t="s">
        <v>287</v>
      </c>
      <c r="V228" s="343">
        <v>418</v>
      </c>
      <c r="W228" s="343">
        <v>7496</v>
      </c>
      <c r="X228" s="343">
        <v>128</v>
      </c>
      <c r="Y228" s="343">
        <v>0</v>
      </c>
      <c r="Z228" s="343">
        <v>7624</v>
      </c>
      <c r="AA228" s="343">
        <v>599.67999999999995</v>
      </c>
    </row>
    <row r="229" spans="1:27">
      <c r="A229" s="343">
        <v>20260821</v>
      </c>
      <c r="B229" s="343">
        <v>50477.24</v>
      </c>
      <c r="C229" s="343">
        <v>164</v>
      </c>
      <c r="D229" s="343">
        <v>443</v>
      </c>
      <c r="E229" s="384">
        <v>46255</v>
      </c>
      <c r="F229" s="343" t="s">
        <v>236</v>
      </c>
      <c r="G229" s="343" t="s">
        <v>101</v>
      </c>
      <c r="Q229" s="343" t="s">
        <v>338</v>
      </c>
      <c r="R229" s="343" t="s">
        <v>162</v>
      </c>
      <c r="S229" s="384">
        <v>46216</v>
      </c>
      <c r="T229" s="384">
        <v>46222</v>
      </c>
      <c r="U229" s="343" t="s">
        <v>285</v>
      </c>
      <c r="V229" s="343">
        <v>4593.6400000000003</v>
      </c>
      <c r="W229" s="343">
        <v>96657.51</v>
      </c>
      <c r="X229" s="343">
        <v>6808.58</v>
      </c>
      <c r="Y229" s="343">
        <v>0</v>
      </c>
      <c r="Z229" s="343">
        <v>103466.09</v>
      </c>
      <c r="AA229" s="343">
        <v>7732.67</v>
      </c>
    </row>
    <row r="230" spans="1:27">
      <c r="A230" s="343">
        <v>20260822</v>
      </c>
      <c r="B230" s="343">
        <v>48465.77</v>
      </c>
      <c r="C230" s="343">
        <v>189</v>
      </c>
      <c r="D230" s="343">
        <v>480</v>
      </c>
      <c r="E230" s="384">
        <v>46256</v>
      </c>
      <c r="F230" s="343" t="s">
        <v>244</v>
      </c>
      <c r="G230" s="343" t="s">
        <v>101</v>
      </c>
      <c r="Q230" s="343" t="s">
        <v>338</v>
      </c>
      <c r="R230" s="343" t="s">
        <v>162</v>
      </c>
      <c r="S230" s="384">
        <v>46216</v>
      </c>
      <c r="T230" s="384">
        <v>46222</v>
      </c>
      <c r="U230" s="343" t="s">
        <v>342</v>
      </c>
      <c r="V230" s="343">
        <v>853</v>
      </c>
      <c r="W230" s="343">
        <v>7071</v>
      </c>
      <c r="X230" s="343">
        <v>213</v>
      </c>
      <c r="Y230" s="343">
        <v>0</v>
      </c>
      <c r="Z230" s="343">
        <v>7284</v>
      </c>
      <c r="AA230" s="343">
        <v>565.67999999999995</v>
      </c>
    </row>
    <row r="231" spans="1:27">
      <c r="A231" s="343">
        <v>20260823</v>
      </c>
      <c r="B231" s="343">
        <v>15387.97</v>
      </c>
      <c r="C231" s="343">
        <v>59</v>
      </c>
      <c r="D231" s="343">
        <v>141</v>
      </c>
      <c r="E231" s="384">
        <v>46257</v>
      </c>
      <c r="F231" s="343" t="s">
        <v>245</v>
      </c>
      <c r="G231" s="343" t="s">
        <v>101</v>
      </c>
      <c r="Q231" s="343" t="s">
        <v>338</v>
      </c>
      <c r="R231" s="343" t="s">
        <v>162</v>
      </c>
      <c r="S231" s="384">
        <v>46216</v>
      </c>
      <c r="T231" s="384">
        <v>46222</v>
      </c>
      <c r="U231" s="343" t="s">
        <v>281</v>
      </c>
      <c r="V231" s="343">
        <v>965</v>
      </c>
      <c r="W231" s="343">
        <v>20570</v>
      </c>
      <c r="X231" s="343">
        <v>642</v>
      </c>
      <c r="Y231" s="343">
        <v>0</v>
      </c>
      <c r="Z231" s="343">
        <v>21212</v>
      </c>
      <c r="AA231" s="343">
        <v>1645.6</v>
      </c>
    </row>
    <row r="232" spans="1:27">
      <c r="Q232" s="343" t="s">
        <v>338</v>
      </c>
      <c r="R232" s="343" t="s">
        <v>162</v>
      </c>
      <c r="S232" s="384">
        <v>46216</v>
      </c>
      <c r="T232" s="384">
        <v>46222</v>
      </c>
      <c r="U232" s="343" t="s">
        <v>279</v>
      </c>
      <c r="V232" s="343">
        <v>126</v>
      </c>
      <c r="W232" s="343">
        <v>1187.5</v>
      </c>
      <c r="X232" s="343">
        <v>9.5</v>
      </c>
      <c r="Y232" s="343">
        <v>0</v>
      </c>
      <c r="Z232" s="343">
        <v>1197</v>
      </c>
      <c r="AA232" s="343">
        <v>95</v>
      </c>
    </row>
    <row r="233" spans="1:27">
      <c r="Q233" s="343" t="s">
        <v>338</v>
      </c>
      <c r="R233" s="343" t="s">
        <v>162</v>
      </c>
      <c r="S233" s="384">
        <v>46216</v>
      </c>
      <c r="T233" s="384">
        <v>46222</v>
      </c>
      <c r="U233" s="343" t="s">
        <v>277</v>
      </c>
      <c r="V233" s="343">
        <v>321</v>
      </c>
      <c r="W233" s="343">
        <v>14390</v>
      </c>
      <c r="X233" s="343">
        <v>0</v>
      </c>
      <c r="Y233" s="343">
        <v>0</v>
      </c>
      <c r="Z233" s="343">
        <v>14390</v>
      </c>
      <c r="AA233" s="343">
        <v>1151.2</v>
      </c>
    </row>
    <row r="234" spans="1:27">
      <c r="Q234" s="343" t="s">
        <v>338</v>
      </c>
      <c r="R234" s="343" t="s">
        <v>162</v>
      </c>
      <c r="S234" s="384">
        <v>46216</v>
      </c>
      <c r="T234" s="384">
        <v>46222</v>
      </c>
      <c r="U234" s="343" t="s">
        <v>343</v>
      </c>
      <c r="V234" s="343">
        <v>1</v>
      </c>
      <c r="W234" s="343">
        <v>59</v>
      </c>
      <c r="X234" s="343">
        <v>0</v>
      </c>
      <c r="Y234" s="343">
        <v>0</v>
      </c>
      <c r="Z234" s="343">
        <v>59</v>
      </c>
      <c r="AA234" s="343">
        <v>4.72</v>
      </c>
    </row>
    <row r="235" spans="1:27">
      <c r="Q235" s="343" t="s">
        <v>338</v>
      </c>
      <c r="R235" s="343" t="s">
        <v>162</v>
      </c>
      <c r="S235" s="384">
        <v>46216</v>
      </c>
      <c r="T235" s="384">
        <v>46222</v>
      </c>
      <c r="U235" s="343" t="s">
        <v>106</v>
      </c>
      <c r="V235" s="343">
        <v>2</v>
      </c>
      <c r="W235" s="343">
        <v>264.08</v>
      </c>
      <c r="X235" s="343">
        <v>0</v>
      </c>
      <c r="Y235" s="343">
        <v>0</v>
      </c>
      <c r="Z235" s="343">
        <v>264.08</v>
      </c>
      <c r="AA235" s="343">
        <v>0</v>
      </c>
    </row>
    <row r="236" spans="1:27">
      <c r="Q236" s="343" t="s">
        <v>338</v>
      </c>
      <c r="R236" s="343" t="s">
        <v>162</v>
      </c>
      <c r="S236" s="384">
        <v>46216</v>
      </c>
      <c r="T236" s="384">
        <v>46222</v>
      </c>
      <c r="U236" s="343" t="s">
        <v>287</v>
      </c>
      <c r="V236" s="343">
        <v>428</v>
      </c>
      <c r="W236" s="343">
        <v>7727</v>
      </c>
      <c r="X236" s="343">
        <v>97</v>
      </c>
      <c r="Y236" s="343">
        <v>0</v>
      </c>
      <c r="Z236" s="343">
        <v>7824</v>
      </c>
      <c r="AA236" s="343">
        <v>618.16</v>
      </c>
    </row>
    <row r="237" spans="1:27">
      <c r="Q237" s="343" t="s">
        <v>338</v>
      </c>
      <c r="R237" s="343" t="s">
        <v>163</v>
      </c>
      <c r="S237" s="384">
        <v>46223</v>
      </c>
      <c r="T237" s="384">
        <v>46229</v>
      </c>
      <c r="U237" s="343" t="s">
        <v>285</v>
      </c>
      <c r="V237" s="343">
        <v>5162.6659999999902</v>
      </c>
      <c r="W237" s="343">
        <v>108893.07</v>
      </c>
      <c r="X237" s="343">
        <v>5760.47</v>
      </c>
      <c r="Y237" s="343">
        <v>0</v>
      </c>
      <c r="Z237" s="343">
        <v>114653.54</v>
      </c>
      <c r="AA237" s="343">
        <v>8711.4699999999993</v>
      </c>
    </row>
    <row r="238" spans="1:27">
      <c r="Q238" s="343" t="s">
        <v>338</v>
      </c>
      <c r="R238" s="343" t="s">
        <v>163</v>
      </c>
      <c r="S238" s="384">
        <v>46223</v>
      </c>
      <c r="T238" s="384">
        <v>46229</v>
      </c>
      <c r="U238" s="343" t="s">
        <v>342</v>
      </c>
      <c r="V238" s="343">
        <v>1024</v>
      </c>
      <c r="W238" s="343">
        <v>8431.75</v>
      </c>
      <c r="X238" s="343">
        <v>87.25</v>
      </c>
      <c r="Y238" s="343">
        <v>0</v>
      </c>
      <c r="Z238" s="343">
        <v>8519</v>
      </c>
      <c r="AA238" s="343">
        <v>674.54</v>
      </c>
    </row>
    <row r="239" spans="1:27">
      <c r="Q239" s="343" t="s">
        <v>338</v>
      </c>
      <c r="R239" s="343" t="s">
        <v>163</v>
      </c>
      <c r="S239" s="384">
        <v>46223</v>
      </c>
      <c r="T239" s="384">
        <v>46229</v>
      </c>
      <c r="U239" s="343" t="s">
        <v>281</v>
      </c>
      <c r="V239" s="343">
        <v>1153</v>
      </c>
      <c r="W239" s="343">
        <v>25555.5</v>
      </c>
      <c r="X239" s="343">
        <v>670.5</v>
      </c>
      <c r="Y239" s="343">
        <v>0</v>
      </c>
      <c r="Z239" s="343">
        <v>26226</v>
      </c>
      <c r="AA239" s="343">
        <v>2044.44</v>
      </c>
    </row>
    <row r="240" spans="1:27">
      <c r="Q240" s="343" t="s">
        <v>338</v>
      </c>
      <c r="R240" s="343" t="s">
        <v>163</v>
      </c>
      <c r="S240" s="384">
        <v>46223</v>
      </c>
      <c r="T240" s="384">
        <v>46229</v>
      </c>
      <c r="U240" s="343" t="s">
        <v>279</v>
      </c>
      <c r="V240" s="343">
        <v>88</v>
      </c>
      <c r="W240" s="343">
        <v>836</v>
      </c>
      <c r="X240" s="343">
        <v>0</v>
      </c>
      <c r="Y240" s="343">
        <v>0</v>
      </c>
      <c r="Z240" s="343">
        <v>836</v>
      </c>
      <c r="AA240" s="343">
        <v>66.88</v>
      </c>
    </row>
    <row r="241" spans="17:27">
      <c r="Q241" s="343" t="s">
        <v>338</v>
      </c>
      <c r="R241" s="343" t="s">
        <v>163</v>
      </c>
      <c r="S241" s="384">
        <v>46223</v>
      </c>
      <c r="T241" s="384">
        <v>46229</v>
      </c>
      <c r="U241" s="343" t="s">
        <v>277</v>
      </c>
      <c r="V241" s="343">
        <v>460</v>
      </c>
      <c r="W241" s="343">
        <v>17153.75</v>
      </c>
      <c r="X241" s="343">
        <v>31.25</v>
      </c>
      <c r="Y241" s="343">
        <v>0</v>
      </c>
      <c r="Z241" s="343">
        <v>17185</v>
      </c>
      <c r="AA241" s="343">
        <v>1372.3</v>
      </c>
    </row>
    <row r="242" spans="17:27">
      <c r="Q242" s="343" t="s">
        <v>338</v>
      </c>
      <c r="R242" s="343" t="s">
        <v>163</v>
      </c>
      <c r="S242" s="384">
        <v>46223</v>
      </c>
      <c r="T242" s="384">
        <v>46229</v>
      </c>
      <c r="U242" s="343" t="s">
        <v>335</v>
      </c>
      <c r="V242" s="343">
        <v>0</v>
      </c>
      <c r="W242" s="343">
        <v>-63.5</v>
      </c>
      <c r="X242" s="343">
        <v>0</v>
      </c>
      <c r="Y242" s="343">
        <v>63.5</v>
      </c>
      <c r="Z242" s="343">
        <v>0</v>
      </c>
      <c r="AA242" s="343">
        <v>0</v>
      </c>
    </row>
    <row r="243" spans="17:27">
      <c r="Q243" s="343" t="s">
        <v>338</v>
      </c>
      <c r="R243" s="343" t="s">
        <v>163</v>
      </c>
      <c r="S243" s="384">
        <v>46223</v>
      </c>
      <c r="T243" s="384">
        <v>46229</v>
      </c>
      <c r="U243" s="343" t="s">
        <v>106</v>
      </c>
      <c r="V243" s="343">
        <v>3</v>
      </c>
      <c r="W243" s="343">
        <v>726.18</v>
      </c>
      <c r="X243" s="343">
        <v>0</v>
      </c>
      <c r="Y243" s="343">
        <v>0</v>
      </c>
      <c r="Z243" s="343">
        <v>726.18</v>
      </c>
      <c r="AA243" s="343">
        <v>0</v>
      </c>
    </row>
    <row r="244" spans="17:27">
      <c r="Q244" s="343" t="s">
        <v>338</v>
      </c>
      <c r="R244" s="343" t="s">
        <v>163</v>
      </c>
      <c r="S244" s="384">
        <v>46223</v>
      </c>
      <c r="T244" s="384">
        <v>46229</v>
      </c>
      <c r="U244" s="343" t="s">
        <v>287</v>
      </c>
      <c r="V244" s="343">
        <v>417</v>
      </c>
      <c r="W244" s="343">
        <v>7332.5</v>
      </c>
      <c r="X244" s="343">
        <v>58.5</v>
      </c>
      <c r="Y244" s="343">
        <v>0</v>
      </c>
      <c r="Z244" s="343">
        <v>7391</v>
      </c>
      <c r="AA244" s="343">
        <v>586.6</v>
      </c>
    </row>
    <row r="245" spans="17:27">
      <c r="Q245" s="343" t="s">
        <v>338</v>
      </c>
      <c r="R245" s="343" t="s">
        <v>166</v>
      </c>
      <c r="S245" s="384">
        <v>46230</v>
      </c>
      <c r="T245" s="384">
        <v>46236</v>
      </c>
      <c r="U245" s="343" t="s">
        <v>285</v>
      </c>
      <c r="V245" s="343">
        <v>4685.2259999999997</v>
      </c>
      <c r="W245" s="343">
        <v>97921.31</v>
      </c>
      <c r="X245" s="343">
        <v>5452.41</v>
      </c>
      <c r="Y245" s="343">
        <v>0</v>
      </c>
      <c r="Z245" s="343">
        <v>103373.72</v>
      </c>
      <c r="AA245" s="343">
        <v>7833.78</v>
      </c>
    </row>
    <row r="246" spans="17:27">
      <c r="Q246" s="343" t="s">
        <v>338</v>
      </c>
      <c r="R246" s="343" t="s">
        <v>166</v>
      </c>
      <c r="S246" s="384">
        <v>46230</v>
      </c>
      <c r="T246" s="384">
        <v>46236</v>
      </c>
      <c r="U246" s="343" t="s">
        <v>342</v>
      </c>
      <c r="V246" s="343">
        <v>904</v>
      </c>
      <c r="W246" s="343">
        <v>7197.5</v>
      </c>
      <c r="X246" s="343">
        <v>239.5</v>
      </c>
      <c r="Y246" s="343">
        <v>8</v>
      </c>
      <c r="Z246" s="343">
        <v>7445</v>
      </c>
      <c r="AA246" s="343">
        <v>575.80999999999995</v>
      </c>
    </row>
    <row r="247" spans="17:27">
      <c r="Q247" s="343" t="s">
        <v>338</v>
      </c>
      <c r="R247" s="343" t="s">
        <v>166</v>
      </c>
      <c r="S247" s="384">
        <v>46230</v>
      </c>
      <c r="T247" s="384">
        <v>46236</v>
      </c>
      <c r="U247" s="343" t="s">
        <v>281</v>
      </c>
      <c r="V247" s="343">
        <v>1024</v>
      </c>
      <c r="W247" s="343">
        <v>21828</v>
      </c>
      <c r="X247" s="343">
        <v>675</v>
      </c>
      <c r="Y247" s="343">
        <v>68</v>
      </c>
      <c r="Z247" s="343">
        <v>22571</v>
      </c>
      <c r="AA247" s="343">
        <v>1746.24</v>
      </c>
    </row>
    <row r="248" spans="17:27">
      <c r="Q248" s="343" t="s">
        <v>338</v>
      </c>
      <c r="R248" s="343" t="s">
        <v>166</v>
      </c>
      <c r="S248" s="384">
        <v>46230</v>
      </c>
      <c r="T248" s="384">
        <v>46236</v>
      </c>
      <c r="U248" s="343" t="s">
        <v>279</v>
      </c>
      <c r="V248" s="343">
        <v>68</v>
      </c>
      <c r="W248" s="343">
        <v>646</v>
      </c>
      <c r="X248" s="343">
        <v>0</v>
      </c>
      <c r="Y248" s="343">
        <v>0</v>
      </c>
      <c r="Z248" s="343">
        <v>646</v>
      </c>
      <c r="AA248" s="343">
        <v>51.68</v>
      </c>
    </row>
    <row r="249" spans="17:27">
      <c r="Q249" s="343" t="s">
        <v>338</v>
      </c>
      <c r="R249" s="343" t="s">
        <v>166</v>
      </c>
      <c r="S249" s="384">
        <v>46230</v>
      </c>
      <c r="T249" s="384">
        <v>46236</v>
      </c>
      <c r="U249" s="343" t="s">
        <v>277</v>
      </c>
      <c r="V249" s="343">
        <v>432</v>
      </c>
      <c r="W249" s="343">
        <v>13310</v>
      </c>
      <c r="X249" s="343">
        <v>70</v>
      </c>
      <c r="Y249" s="343">
        <v>0</v>
      </c>
      <c r="Z249" s="343">
        <v>13380</v>
      </c>
      <c r="AA249" s="343">
        <v>1064.8</v>
      </c>
    </row>
    <row r="250" spans="17:27">
      <c r="Q250" s="343" t="s">
        <v>338</v>
      </c>
      <c r="R250" s="343" t="s">
        <v>166</v>
      </c>
      <c r="S250" s="384">
        <v>46230</v>
      </c>
      <c r="T250" s="384">
        <v>46236</v>
      </c>
      <c r="U250" s="343" t="s">
        <v>343</v>
      </c>
      <c r="V250" s="343">
        <v>1</v>
      </c>
      <c r="W250" s="343">
        <v>59</v>
      </c>
      <c r="X250" s="343">
        <v>0</v>
      </c>
      <c r="Y250" s="343">
        <v>0</v>
      </c>
      <c r="Z250" s="343">
        <v>59</v>
      </c>
      <c r="AA250" s="343">
        <v>4.72</v>
      </c>
    </row>
    <row r="251" spans="17:27">
      <c r="Q251" s="343" t="s">
        <v>338</v>
      </c>
      <c r="R251" s="343" t="s">
        <v>166</v>
      </c>
      <c r="S251" s="384">
        <v>46230</v>
      </c>
      <c r="T251" s="384">
        <v>46236</v>
      </c>
      <c r="U251" s="343" t="s">
        <v>335</v>
      </c>
      <c r="V251" s="343">
        <v>0</v>
      </c>
      <c r="W251" s="343">
        <v>-84.42</v>
      </c>
      <c r="X251" s="343">
        <v>0</v>
      </c>
      <c r="Y251" s="343">
        <v>84.42</v>
      </c>
      <c r="Z251" s="343">
        <v>0</v>
      </c>
      <c r="AA251" s="343">
        <v>0</v>
      </c>
    </row>
    <row r="252" spans="17:27">
      <c r="Q252" s="343" t="s">
        <v>338</v>
      </c>
      <c r="R252" s="343" t="s">
        <v>166</v>
      </c>
      <c r="S252" s="384">
        <v>46230</v>
      </c>
      <c r="T252" s="384">
        <v>46236</v>
      </c>
      <c r="U252" s="343" t="s">
        <v>106</v>
      </c>
      <c r="V252" s="343">
        <v>1</v>
      </c>
      <c r="W252" s="343">
        <v>78</v>
      </c>
      <c r="X252" s="343">
        <v>0</v>
      </c>
      <c r="Y252" s="343">
        <v>0</v>
      </c>
      <c r="Z252" s="343">
        <v>78</v>
      </c>
      <c r="AA252" s="343">
        <v>0</v>
      </c>
    </row>
    <row r="253" spans="17:27">
      <c r="Q253" s="343" t="s">
        <v>338</v>
      </c>
      <c r="R253" s="343" t="s">
        <v>166</v>
      </c>
      <c r="S253" s="384">
        <v>46230</v>
      </c>
      <c r="T253" s="384">
        <v>46236</v>
      </c>
      <c r="U253" s="343" t="s">
        <v>287</v>
      </c>
      <c r="V253" s="343">
        <v>473</v>
      </c>
      <c r="W253" s="343">
        <v>7846</v>
      </c>
      <c r="X253" s="343">
        <v>271</v>
      </c>
      <c r="Y253" s="343">
        <v>53</v>
      </c>
      <c r="Z253" s="343">
        <v>8170</v>
      </c>
      <c r="AA253" s="343">
        <v>627.67999999999995</v>
      </c>
    </row>
    <row r="254" spans="17:27">
      <c r="Q254" s="343" t="s">
        <v>338</v>
      </c>
      <c r="R254" s="343" t="s">
        <v>167</v>
      </c>
      <c r="S254" s="384">
        <v>46237</v>
      </c>
      <c r="T254" s="384">
        <v>46243</v>
      </c>
      <c r="U254" s="343" t="s">
        <v>285</v>
      </c>
      <c r="V254" s="343">
        <v>6157.08</v>
      </c>
      <c r="W254" s="343">
        <v>132425.57999999999</v>
      </c>
      <c r="X254" s="343">
        <v>4594</v>
      </c>
      <c r="Y254" s="343">
        <v>0</v>
      </c>
      <c r="Z254" s="343">
        <v>137019.57999999999</v>
      </c>
      <c r="AA254" s="343">
        <v>10594.06</v>
      </c>
    </row>
    <row r="255" spans="17:27">
      <c r="Q255" s="343" t="s">
        <v>338</v>
      </c>
      <c r="R255" s="343" t="s">
        <v>167</v>
      </c>
      <c r="S255" s="384">
        <v>46237</v>
      </c>
      <c r="T255" s="384">
        <v>46243</v>
      </c>
      <c r="U255" s="343" t="s">
        <v>342</v>
      </c>
      <c r="V255" s="343">
        <v>1166</v>
      </c>
      <c r="W255" s="343">
        <v>9263</v>
      </c>
      <c r="X255" s="343">
        <v>193</v>
      </c>
      <c r="Y255" s="343">
        <v>0</v>
      </c>
      <c r="Z255" s="343">
        <v>9456</v>
      </c>
      <c r="AA255" s="343">
        <v>741.04</v>
      </c>
    </row>
    <row r="256" spans="17:27">
      <c r="Q256" s="343" t="s">
        <v>338</v>
      </c>
      <c r="R256" s="343" t="s">
        <v>167</v>
      </c>
      <c r="S256" s="384">
        <v>46237</v>
      </c>
      <c r="T256" s="384">
        <v>46243</v>
      </c>
      <c r="U256" s="343" t="s">
        <v>281</v>
      </c>
      <c r="V256" s="343">
        <v>1324</v>
      </c>
      <c r="W256" s="343">
        <v>28824</v>
      </c>
      <c r="X256" s="343">
        <v>993</v>
      </c>
      <c r="Y256" s="343">
        <v>0</v>
      </c>
      <c r="Z256" s="343">
        <v>29817</v>
      </c>
      <c r="AA256" s="343">
        <v>2305.92</v>
      </c>
    </row>
    <row r="257" spans="17:27">
      <c r="Q257" s="343" t="s">
        <v>338</v>
      </c>
      <c r="R257" s="343" t="s">
        <v>167</v>
      </c>
      <c r="S257" s="384">
        <v>46237</v>
      </c>
      <c r="T257" s="384">
        <v>46243</v>
      </c>
      <c r="U257" s="343" t="s">
        <v>279</v>
      </c>
      <c r="V257" s="343">
        <v>136</v>
      </c>
      <c r="W257" s="343">
        <v>1292</v>
      </c>
      <c r="X257" s="343">
        <v>0</v>
      </c>
      <c r="Y257" s="343">
        <v>0</v>
      </c>
      <c r="Z257" s="343">
        <v>1292</v>
      </c>
      <c r="AA257" s="343">
        <v>103.36</v>
      </c>
    </row>
    <row r="258" spans="17:27">
      <c r="Q258" s="343" t="s">
        <v>338</v>
      </c>
      <c r="R258" s="343" t="s">
        <v>167</v>
      </c>
      <c r="S258" s="384">
        <v>46237</v>
      </c>
      <c r="T258" s="384">
        <v>46243</v>
      </c>
      <c r="U258" s="343" t="s">
        <v>277</v>
      </c>
      <c r="V258" s="343">
        <v>433</v>
      </c>
      <c r="W258" s="343">
        <v>17475</v>
      </c>
      <c r="X258" s="343">
        <v>0</v>
      </c>
      <c r="Y258" s="343">
        <v>0</v>
      </c>
      <c r="Z258" s="343">
        <v>17475</v>
      </c>
      <c r="AA258" s="343">
        <v>1398</v>
      </c>
    </row>
    <row r="259" spans="17:27">
      <c r="Q259" s="343" t="s">
        <v>338</v>
      </c>
      <c r="R259" s="343" t="s">
        <v>167</v>
      </c>
      <c r="S259" s="384">
        <v>46237</v>
      </c>
      <c r="T259" s="384">
        <v>46243</v>
      </c>
      <c r="U259" s="343" t="s">
        <v>343</v>
      </c>
      <c r="V259" s="343">
        <v>5</v>
      </c>
      <c r="W259" s="343">
        <v>361</v>
      </c>
      <c r="X259" s="343">
        <v>0</v>
      </c>
      <c r="Y259" s="343">
        <v>0</v>
      </c>
      <c r="Z259" s="343">
        <v>361</v>
      </c>
      <c r="AA259" s="343">
        <v>28.88</v>
      </c>
    </row>
    <row r="260" spans="17:27">
      <c r="Q260" s="343" t="s">
        <v>338</v>
      </c>
      <c r="R260" s="343" t="s">
        <v>167</v>
      </c>
      <c r="S260" s="384">
        <v>46237</v>
      </c>
      <c r="T260" s="384">
        <v>46243</v>
      </c>
      <c r="U260" s="343" t="s">
        <v>106</v>
      </c>
      <c r="V260" s="343">
        <v>5</v>
      </c>
      <c r="W260" s="343">
        <v>575.48</v>
      </c>
      <c r="X260" s="343">
        <v>0</v>
      </c>
      <c r="Y260" s="343">
        <v>0</v>
      </c>
      <c r="Z260" s="343">
        <v>575.48</v>
      </c>
      <c r="AA260" s="343">
        <v>0</v>
      </c>
    </row>
    <row r="261" spans="17:27">
      <c r="Q261" s="343" t="s">
        <v>338</v>
      </c>
      <c r="R261" s="343" t="s">
        <v>167</v>
      </c>
      <c r="S261" s="384">
        <v>46237</v>
      </c>
      <c r="T261" s="384">
        <v>46243</v>
      </c>
      <c r="U261" s="343" t="s">
        <v>287</v>
      </c>
      <c r="V261" s="343">
        <v>626</v>
      </c>
      <c r="W261" s="343">
        <v>9918</v>
      </c>
      <c r="X261" s="343">
        <v>205</v>
      </c>
      <c r="Y261" s="343">
        <v>0</v>
      </c>
      <c r="Z261" s="343">
        <v>10123</v>
      </c>
      <c r="AA261" s="343">
        <v>793.44</v>
      </c>
    </row>
    <row r="262" spans="17:27">
      <c r="Q262" s="343" t="s">
        <v>170</v>
      </c>
      <c r="R262" s="343" t="s">
        <v>168</v>
      </c>
      <c r="S262" s="384">
        <v>46244</v>
      </c>
      <c r="T262" s="384">
        <v>46250</v>
      </c>
      <c r="U262" s="343" t="s">
        <v>106</v>
      </c>
      <c r="V262" s="343">
        <v>10</v>
      </c>
      <c r="W262" s="343">
        <v>295.25</v>
      </c>
      <c r="X262" s="343">
        <v>0</v>
      </c>
      <c r="Y262" s="343">
        <v>0</v>
      </c>
      <c r="Z262" s="343">
        <v>295.25</v>
      </c>
      <c r="AA262" s="343">
        <v>0</v>
      </c>
    </row>
    <row r="263" spans="17:27">
      <c r="Q263" s="343" t="s">
        <v>170</v>
      </c>
      <c r="R263" s="343" t="s">
        <v>101</v>
      </c>
      <c r="S263" s="384">
        <v>46251</v>
      </c>
      <c r="T263" s="384">
        <v>46257</v>
      </c>
      <c r="U263" s="343" t="s">
        <v>106</v>
      </c>
      <c r="V263" s="343">
        <v>3</v>
      </c>
      <c r="W263" s="343">
        <v>337.91</v>
      </c>
      <c r="X263" s="343">
        <v>0</v>
      </c>
      <c r="Y263" s="343">
        <v>0</v>
      </c>
      <c r="Z263" s="343">
        <v>337.91</v>
      </c>
      <c r="AA263" s="343"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6F6B-1419-483C-B152-429FBBCEA0B3}">
  <dimension ref="A1:AA277"/>
  <sheetViews>
    <sheetView tabSelected="1" topLeftCell="A71" workbookViewId="0">
      <selection activeCell="U92" sqref="U92"/>
    </sheetView>
  </sheetViews>
  <sheetFormatPr defaultColWidth="9.140625" defaultRowHeight="11.25"/>
  <cols>
    <col min="1" max="1" width="10.7109375" style="343" bestFit="1" customWidth="1"/>
    <col min="2" max="2" width="9.140625" style="343" bestFit="1" customWidth="1"/>
    <col min="3" max="3" width="11.140625" style="343" bestFit="1" customWidth="1"/>
    <col min="4" max="4" width="11" style="343" bestFit="1" customWidth="1"/>
    <col min="5" max="5" width="8.28515625" style="343" bestFit="1" customWidth="1"/>
    <col min="6" max="6" width="11.42578125" style="343" bestFit="1" customWidth="1"/>
    <col min="7" max="7" width="8.140625" style="343" bestFit="1" customWidth="1"/>
    <col min="8" max="8" width="9.140625" style="343"/>
    <col min="9" max="9" width="10.7109375" style="343" bestFit="1" customWidth="1"/>
    <col min="10" max="10" width="9.140625" style="343" bestFit="1" customWidth="1"/>
    <col min="11" max="11" width="11.140625" style="343" bestFit="1" customWidth="1"/>
    <col min="12" max="12" width="11" style="343" bestFit="1" customWidth="1"/>
    <col min="13" max="13" width="8.28515625" style="343" bestFit="1" customWidth="1"/>
    <col min="14" max="14" width="11.42578125" style="343" bestFit="1" customWidth="1"/>
    <col min="15" max="15" width="8.140625" style="343" bestFit="1" customWidth="1"/>
    <col min="16" max="16" width="9.140625" style="343"/>
    <col min="17" max="17" width="7.7109375" style="343" bestFit="1" customWidth="1"/>
    <col min="18" max="18" width="8.140625" style="343" bestFit="1" customWidth="1"/>
    <col min="19" max="19" width="9.85546875" style="343" bestFit="1" customWidth="1"/>
    <col min="20" max="20" width="9.140625" style="343" bestFit="1" customWidth="1"/>
    <col min="21" max="21" width="19.7109375" style="343" bestFit="1" customWidth="1"/>
    <col min="22" max="22" width="7" style="343" bestFit="1" customWidth="1"/>
    <col min="23" max="23" width="9.140625" style="343" bestFit="1" customWidth="1"/>
    <col min="24" max="24" width="14.5703125" style="343" bestFit="1" customWidth="1"/>
    <col min="25" max="25" width="13.42578125" style="343" bestFit="1" customWidth="1"/>
    <col min="26" max="26" width="10.28515625" style="343" bestFit="1" customWidth="1"/>
    <col min="27" max="27" width="10.85546875" style="343" bestFit="1" customWidth="1"/>
    <col min="28" max="16384" width="9.140625" style="343"/>
  </cols>
  <sheetData>
    <row r="1" spans="1:27">
      <c r="A1" s="343" t="s">
        <v>115</v>
      </c>
      <c r="B1" s="343" t="s">
        <v>116</v>
      </c>
      <c r="C1" s="343" t="s">
        <v>117</v>
      </c>
      <c r="D1" s="343" t="s">
        <v>118</v>
      </c>
      <c r="E1" s="343" t="s">
        <v>119</v>
      </c>
      <c r="F1" s="343" t="s">
        <v>108</v>
      </c>
      <c r="G1" s="343" t="s">
        <v>100</v>
      </c>
      <c r="I1" s="343" t="s">
        <v>115</v>
      </c>
      <c r="J1" s="343" t="s">
        <v>116</v>
      </c>
      <c r="K1" s="343" t="s">
        <v>117</v>
      </c>
      <c r="L1" s="343" t="s">
        <v>118</v>
      </c>
      <c r="M1" s="343" t="s">
        <v>119</v>
      </c>
      <c r="N1" s="343" t="s">
        <v>108</v>
      </c>
      <c r="O1" s="343" t="s">
        <v>100</v>
      </c>
      <c r="Q1" s="343" t="s">
        <v>102</v>
      </c>
      <c r="R1" s="343" t="s">
        <v>100</v>
      </c>
      <c r="S1" s="343" t="s">
        <v>112</v>
      </c>
      <c r="T1" s="343" t="s">
        <v>113</v>
      </c>
      <c r="U1" s="343" t="s">
        <v>266</v>
      </c>
      <c r="V1" s="343" t="s">
        <v>267</v>
      </c>
      <c r="W1" s="343" t="s">
        <v>116</v>
      </c>
      <c r="X1" s="343" t="s">
        <v>268</v>
      </c>
      <c r="Y1" s="343" t="s">
        <v>269</v>
      </c>
      <c r="Z1" s="343" t="s">
        <v>270</v>
      </c>
      <c r="AA1" s="343" t="s">
        <v>271</v>
      </c>
    </row>
    <row r="2" spans="1:27">
      <c r="A2" s="343">
        <v>20260303</v>
      </c>
      <c r="C2" s="343">
        <v>20</v>
      </c>
      <c r="D2" s="343">
        <v>77</v>
      </c>
      <c r="E2" s="384">
        <v>46084</v>
      </c>
      <c r="F2" s="343" t="s">
        <v>233</v>
      </c>
      <c r="G2" s="343" t="s">
        <v>135</v>
      </c>
      <c r="I2" s="343">
        <v>20260305</v>
      </c>
      <c r="J2" s="343">
        <v>4571.3599999999997</v>
      </c>
      <c r="K2" s="343">
        <v>86</v>
      </c>
      <c r="L2" s="343">
        <v>137</v>
      </c>
      <c r="M2" s="384">
        <v>46086</v>
      </c>
      <c r="N2" s="343" t="s">
        <v>235</v>
      </c>
      <c r="O2" s="343" t="s">
        <v>135</v>
      </c>
      <c r="Q2" s="343" t="s">
        <v>338</v>
      </c>
      <c r="R2" s="343" t="s">
        <v>122</v>
      </c>
      <c r="S2" s="384">
        <v>46020</v>
      </c>
      <c r="T2" s="384">
        <v>46026</v>
      </c>
    </row>
    <row r="3" spans="1:27">
      <c r="A3" s="343">
        <v>20260304</v>
      </c>
      <c r="C3" s="343">
        <v>4</v>
      </c>
      <c r="D3" s="343">
        <v>13</v>
      </c>
      <c r="E3" s="384">
        <v>46085</v>
      </c>
      <c r="F3" s="343" t="s">
        <v>234</v>
      </c>
      <c r="G3" s="343" t="s">
        <v>135</v>
      </c>
      <c r="I3" s="343">
        <v>20260306</v>
      </c>
      <c r="J3" s="343">
        <v>17004</v>
      </c>
      <c r="K3" s="343">
        <v>103</v>
      </c>
      <c r="L3" s="343">
        <v>187</v>
      </c>
      <c r="M3" s="384">
        <v>46087</v>
      </c>
      <c r="N3" s="343" t="s">
        <v>236</v>
      </c>
      <c r="O3" s="343" t="s">
        <v>135</v>
      </c>
      <c r="Q3" s="343" t="s">
        <v>338</v>
      </c>
      <c r="R3" s="343" t="s">
        <v>122</v>
      </c>
      <c r="S3" s="384">
        <v>46020</v>
      </c>
      <c r="T3" s="384">
        <v>46026</v>
      </c>
    </row>
    <row r="4" spans="1:27">
      <c r="A4" s="343">
        <v>20260305</v>
      </c>
      <c r="B4" s="343">
        <v>85854.84</v>
      </c>
      <c r="C4" s="343">
        <v>164</v>
      </c>
      <c r="D4" s="343">
        <v>289</v>
      </c>
      <c r="E4" s="384">
        <v>46086</v>
      </c>
      <c r="F4" s="343" t="s">
        <v>235</v>
      </c>
      <c r="G4" s="343" t="s">
        <v>135</v>
      </c>
      <c r="I4" s="343">
        <v>20260308</v>
      </c>
      <c r="J4" s="343">
        <v>8364</v>
      </c>
      <c r="K4" s="343">
        <v>70</v>
      </c>
      <c r="L4" s="343">
        <v>135</v>
      </c>
      <c r="M4" s="384">
        <v>46089</v>
      </c>
      <c r="N4" s="343" t="s">
        <v>245</v>
      </c>
      <c r="O4" s="343" t="s">
        <v>135</v>
      </c>
      <c r="Q4" s="343" t="s">
        <v>338</v>
      </c>
      <c r="R4" s="343" t="s">
        <v>122</v>
      </c>
      <c r="S4" s="384">
        <v>46020</v>
      </c>
      <c r="T4" s="384">
        <v>46026</v>
      </c>
    </row>
    <row r="5" spans="1:27">
      <c r="A5" s="343">
        <v>20260306</v>
      </c>
      <c r="B5" s="343">
        <v>83127.520000000004</v>
      </c>
      <c r="C5" s="343">
        <v>238</v>
      </c>
      <c r="D5" s="343">
        <v>413</v>
      </c>
      <c r="E5" s="384">
        <v>46087</v>
      </c>
      <c r="F5" s="343" t="s">
        <v>236</v>
      </c>
      <c r="G5" s="343" t="s">
        <v>135</v>
      </c>
      <c r="I5" s="343">
        <v>20260312</v>
      </c>
      <c r="J5" s="343">
        <v>4835</v>
      </c>
      <c r="K5" s="343">
        <v>44</v>
      </c>
      <c r="L5" s="343">
        <v>74</v>
      </c>
      <c r="M5" s="384">
        <v>46093</v>
      </c>
      <c r="N5" s="343" t="s">
        <v>235</v>
      </c>
      <c r="O5" s="343" t="s">
        <v>136</v>
      </c>
      <c r="Q5" s="343" t="s">
        <v>338</v>
      </c>
      <c r="R5" s="343" t="s">
        <v>122</v>
      </c>
      <c r="S5" s="384">
        <v>46020</v>
      </c>
      <c r="T5" s="384">
        <v>46026</v>
      </c>
    </row>
    <row r="6" spans="1:27">
      <c r="A6" s="343">
        <v>20260308</v>
      </c>
      <c r="B6" s="343">
        <v>68647</v>
      </c>
      <c r="C6" s="343">
        <v>203</v>
      </c>
      <c r="D6" s="343">
        <v>352</v>
      </c>
      <c r="E6" s="384">
        <v>46089</v>
      </c>
      <c r="F6" s="343" t="s">
        <v>245</v>
      </c>
      <c r="G6" s="343" t="s">
        <v>135</v>
      </c>
      <c r="I6" s="343">
        <v>20260313</v>
      </c>
      <c r="J6" s="343">
        <v>2958.84</v>
      </c>
      <c r="K6" s="343">
        <v>38</v>
      </c>
      <c r="L6" s="343">
        <v>43</v>
      </c>
      <c r="M6" s="384">
        <v>46094</v>
      </c>
      <c r="N6" s="343" t="s">
        <v>236</v>
      </c>
      <c r="O6" s="343" t="s">
        <v>136</v>
      </c>
      <c r="Q6" s="343" t="s">
        <v>338</v>
      </c>
      <c r="R6" s="343" t="s">
        <v>122</v>
      </c>
      <c r="S6" s="384">
        <v>46020</v>
      </c>
      <c r="T6" s="384">
        <v>46026</v>
      </c>
    </row>
    <row r="7" spans="1:27">
      <c r="A7" s="343">
        <v>20260312</v>
      </c>
      <c r="B7" s="343">
        <v>48810.879999999997</v>
      </c>
      <c r="C7" s="343">
        <v>118</v>
      </c>
      <c r="D7" s="343">
        <v>253</v>
      </c>
      <c r="E7" s="384">
        <v>46093</v>
      </c>
      <c r="F7" s="343" t="s">
        <v>235</v>
      </c>
      <c r="G7" s="343" t="s">
        <v>136</v>
      </c>
      <c r="I7" s="343">
        <v>20260314</v>
      </c>
      <c r="J7" s="343">
        <v>25572</v>
      </c>
      <c r="K7" s="343">
        <v>140</v>
      </c>
      <c r="L7" s="343">
        <v>274</v>
      </c>
      <c r="M7" s="384">
        <v>46095</v>
      </c>
      <c r="N7" s="343" t="s">
        <v>244</v>
      </c>
      <c r="O7" s="343" t="s">
        <v>136</v>
      </c>
      <c r="Q7" s="343" t="s">
        <v>338</v>
      </c>
      <c r="R7" s="343" t="s">
        <v>122</v>
      </c>
      <c r="S7" s="384">
        <v>46020</v>
      </c>
      <c r="T7" s="384">
        <v>46026</v>
      </c>
    </row>
    <row r="8" spans="1:27">
      <c r="A8" s="343">
        <v>20260313</v>
      </c>
      <c r="B8" s="343">
        <v>84742</v>
      </c>
      <c r="C8" s="343">
        <v>256</v>
      </c>
      <c r="D8" s="343">
        <v>449</v>
      </c>
      <c r="E8" s="384">
        <v>46094</v>
      </c>
      <c r="F8" s="343" t="s">
        <v>236</v>
      </c>
      <c r="G8" s="343" t="s">
        <v>136</v>
      </c>
      <c r="I8" s="343">
        <v>20260315</v>
      </c>
      <c r="J8" s="343">
        <v>3761</v>
      </c>
      <c r="K8" s="343">
        <v>24</v>
      </c>
      <c r="L8" s="343">
        <v>54</v>
      </c>
      <c r="M8" s="384">
        <v>46096</v>
      </c>
      <c r="N8" s="343" t="s">
        <v>245</v>
      </c>
      <c r="O8" s="343" t="s">
        <v>136</v>
      </c>
      <c r="Q8" s="343" t="s">
        <v>338</v>
      </c>
      <c r="R8" s="343" t="s">
        <v>122</v>
      </c>
      <c r="S8" s="384">
        <v>46020</v>
      </c>
      <c r="T8" s="384">
        <v>46026</v>
      </c>
    </row>
    <row r="9" spans="1:27">
      <c r="A9" s="343">
        <v>20260314</v>
      </c>
      <c r="B9" s="343">
        <v>89044.84</v>
      </c>
      <c r="C9" s="343">
        <v>276</v>
      </c>
      <c r="D9" s="343">
        <v>475</v>
      </c>
      <c r="E9" s="384">
        <v>46095</v>
      </c>
      <c r="F9" s="343" t="s">
        <v>244</v>
      </c>
      <c r="G9" s="343" t="s">
        <v>136</v>
      </c>
      <c r="I9" s="343">
        <v>20260319</v>
      </c>
      <c r="J9" s="343">
        <v>6683</v>
      </c>
      <c r="K9" s="343">
        <v>34</v>
      </c>
      <c r="L9" s="343">
        <v>75</v>
      </c>
      <c r="M9" s="384">
        <v>46100</v>
      </c>
      <c r="N9" s="343" t="s">
        <v>235</v>
      </c>
      <c r="O9" s="343" t="s">
        <v>137</v>
      </c>
      <c r="Q9" s="343" t="s">
        <v>338</v>
      </c>
      <c r="R9" s="343" t="s">
        <v>122</v>
      </c>
      <c r="S9" s="384">
        <v>46020</v>
      </c>
      <c r="T9" s="384">
        <v>46026</v>
      </c>
    </row>
    <row r="10" spans="1:27">
      <c r="A10" s="343">
        <v>20260315</v>
      </c>
      <c r="B10" s="343">
        <v>41386</v>
      </c>
      <c r="C10" s="343">
        <v>165</v>
      </c>
      <c r="D10" s="343">
        <v>227</v>
      </c>
      <c r="E10" s="384">
        <v>46096</v>
      </c>
      <c r="F10" s="343" t="s">
        <v>245</v>
      </c>
      <c r="G10" s="343" t="s">
        <v>136</v>
      </c>
      <c r="I10" s="343">
        <v>20260320</v>
      </c>
      <c r="J10" s="343">
        <v>11848</v>
      </c>
      <c r="K10" s="343">
        <v>73</v>
      </c>
      <c r="L10" s="343">
        <v>129</v>
      </c>
      <c r="M10" s="384">
        <v>46101</v>
      </c>
      <c r="N10" s="343" t="s">
        <v>236</v>
      </c>
      <c r="O10" s="343" t="s">
        <v>137</v>
      </c>
      <c r="Q10" s="343" t="s">
        <v>338</v>
      </c>
      <c r="R10" s="343" t="s">
        <v>123</v>
      </c>
      <c r="S10" s="384">
        <v>46027</v>
      </c>
      <c r="T10" s="384">
        <v>46033</v>
      </c>
    </row>
    <row r="11" spans="1:27">
      <c r="A11" s="343">
        <v>20260316</v>
      </c>
      <c r="B11" s="343">
        <v>11550</v>
      </c>
      <c r="C11" s="343">
        <v>8</v>
      </c>
      <c r="D11" s="343">
        <v>8</v>
      </c>
      <c r="E11" s="384">
        <v>46097</v>
      </c>
      <c r="F11" s="343" t="s">
        <v>232</v>
      </c>
      <c r="G11" s="343" t="s">
        <v>137</v>
      </c>
      <c r="I11" s="343">
        <v>20260321</v>
      </c>
      <c r="J11" s="343">
        <v>26635.52</v>
      </c>
      <c r="K11" s="343">
        <v>118</v>
      </c>
      <c r="L11" s="343">
        <v>246</v>
      </c>
      <c r="M11" s="384">
        <v>46102</v>
      </c>
      <c r="N11" s="343" t="s">
        <v>244</v>
      </c>
      <c r="O11" s="343" t="s">
        <v>137</v>
      </c>
      <c r="Q11" s="343" t="s">
        <v>338</v>
      </c>
      <c r="R11" s="343" t="s">
        <v>123</v>
      </c>
      <c r="S11" s="384">
        <v>46027</v>
      </c>
      <c r="T11" s="384">
        <v>46033</v>
      </c>
    </row>
    <row r="12" spans="1:27">
      <c r="A12" s="343">
        <v>20260318</v>
      </c>
      <c r="B12" s="343">
        <v>24257.72</v>
      </c>
      <c r="C12" s="343">
        <v>9</v>
      </c>
      <c r="D12" s="343">
        <v>58</v>
      </c>
      <c r="E12" s="384">
        <v>46099</v>
      </c>
      <c r="F12" s="343" t="s">
        <v>234</v>
      </c>
      <c r="G12" s="343" t="s">
        <v>137</v>
      </c>
      <c r="I12" s="343">
        <v>20260322</v>
      </c>
      <c r="J12" s="343">
        <v>10337</v>
      </c>
      <c r="K12" s="343">
        <v>58</v>
      </c>
      <c r="L12" s="343">
        <v>130</v>
      </c>
      <c r="M12" s="384">
        <v>46103</v>
      </c>
      <c r="N12" s="343" t="s">
        <v>245</v>
      </c>
      <c r="O12" s="343" t="s">
        <v>137</v>
      </c>
      <c r="Q12" s="343" t="s">
        <v>338</v>
      </c>
      <c r="R12" s="343" t="s">
        <v>123</v>
      </c>
      <c r="S12" s="384">
        <v>46027</v>
      </c>
      <c r="T12" s="384">
        <v>46033</v>
      </c>
    </row>
    <row r="13" spans="1:27">
      <c r="A13" s="343">
        <v>20260319</v>
      </c>
      <c r="B13" s="343">
        <v>22641</v>
      </c>
      <c r="C13" s="343">
        <v>105</v>
      </c>
      <c r="D13" s="343">
        <v>164</v>
      </c>
      <c r="E13" s="384">
        <v>46100</v>
      </c>
      <c r="F13" s="343" t="s">
        <v>235</v>
      </c>
      <c r="G13" s="343" t="s">
        <v>137</v>
      </c>
      <c r="I13" s="343">
        <v>20260326</v>
      </c>
      <c r="J13" s="343">
        <v>26214</v>
      </c>
      <c r="K13" s="343">
        <v>98</v>
      </c>
      <c r="L13" s="343">
        <v>201</v>
      </c>
      <c r="M13" s="384">
        <v>46107</v>
      </c>
      <c r="N13" s="343" t="s">
        <v>235</v>
      </c>
      <c r="O13" s="343" t="s">
        <v>138</v>
      </c>
      <c r="Q13" s="343" t="s">
        <v>338</v>
      </c>
      <c r="R13" s="343" t="s">
        <v>123</v>
      </c>
      <c r="S13" s="384">
        <v>46027</v>
      </c>
      <c r="T13" s="384">
        <v>46033</v>
      </c>
    </row>
    <row r="14" spans="1:27">
      <c r="A14" s="343">
        <v>20260320</v>
      </c>
      <c r="B14" s="343">
        <v>58867.5</v>
      </c>
      <c r="C14" s="343">
        <v>184</v>
      </c>
      <c r="D14" s="343">
        <v>288</v>
      </c>
      <c r="E14" s="384">
        <v>46101</v>
      </c>
      <c r="F14" s="343" t="s">
        <v>236</v>
      </c>
      <c r="G14" s="343" t="s">
        <v>137</v>
      </c>
      <c r="I14" s="343">
        <v>20260327</v>
      </c>
      <c r="J14" s="343">
        <v>31636.05</v>
      </c>
      <c r="K14" s="343">
        <v>38</v>
      </c>
      <c r="L14" s="343">
        <v>172</v>
      </c>
      <c r="M14" s="384">
        <v>46108</v>
      </c>
      <c r="N14" s="343" t="s">
        <v>236</v>
      </c>
      <c r="O14" s="343" t="s">
        <v>138</v>
      </c>
      <c r="Q14" s="343" t="s">
        <v>338</v>
      </c>
      <c r="R14" s="343" t="s">
        <v>123</v>
      </c>
      <c r="S14" s="384">
        <v>46027</v>
      </c>
      <c r="T14" s="384">
        <v>46033</v>
      </c>
    </row>
    <row r="15" spans="1:27">
      <c r="A15" s="343">
        <v>20260321</v>
      </c>
      <c r="B15" s="343">
        <v>71168</v>
      </c>
      <c r="C15" s="343">
        <v>208</v>
      </c>
      <c r="D15" s="343">
        <v>377</v>
      </c>
      <c r="E15" s="384">
        <v>46102</v>
      </c>
      <c r="F15" s="343" t="s">
        <v>244</v>
      </c>
      <c r="G15" s="343" t="s">
        <v>137</v>
      </c>
      <c r="I15" s="343">
        <v>20260328</v>
      </c>
      <c r="J15" s="343">
        <v>24708</v>
      </c>
      <c r="K15" s="343">
        <v>113</v>
      </c>
      <c r="L15" s="343">
        <v>1207</v>
      </c>
      <c r="M15" s="384">
        <v>46109</v>
      </c>
      <c r="N15" s="343" t="s">
        <v>244</v>
      </c>
      <c r="O15" s="343" t="s">
        <v>138</v>
      </c>
      <c r="Q15" s="343" t="s">
        <v>338</v>
      </c>
      <c r="R15" s="343" t="s">
        <v>123</v>
      </c>
      <c r="S15" s="384">
        <v>46027</v>
      </c>
      <c r="T15" s="384">
        <v>46033</v>
      </c>
    </row>
    <row r="16" spans="1:27">
      <c r="A16" s="343">
        <v>20260322</v>
      </c>
      <c r="B16" s="343">
        <v>48113.5</v>
      </c>
      <c r="C16" s="343">
        <v>223</v>
      </c>
      <c r="D16" s="343">
        <v>331</v>
      </c>
      <c r="E16" s="384">
        <v>46103</v>
      </c>
      <c r="F16" s="343" t="s">
        <v>245</v>
      </c>
      <c r="G16" s="343" t="s">
        <v>137</v>
      </c>
      <c r="I16" s="343">
        <v>20260329</v>
      </c>
      <c r="J16" s="343">
        <v>9525</v>
      </c>
      <c r="K16" s="343">
        <v>71</v>
      </c>
      <c r="L16" s="343">
        <v>147</v>
      </c>
      <c r="M16" s="384">
        <v>46110</v>
      </c>
      <c r="N16" s="343" t="s">
        <v>245</v>
      </c>
      <c r="O16" s="343" t="s">
        <v>138</v>
      </c>
      <c r="Q16" s="343" t="s">
        <v>338</v>
      </c>
      <c r="R16" s="343" t="s">
        <v>123</v>
      </c>
      <c r="S16" s="384">
        <v>46027</v>
      </c>
      <c r="T16" s="384">
        <v>46033</v>
      </c>
    </row>
    <row r="17" spans="1:20">
      <c r="A17" s="343">
        <v>20260323</v>
      </c>
      <c r="C17" s="343">
        <v>16</v>
      </c>
      <c r="D17" s="343">
        <v>16</v>
      </c>
      <c r="E17" s="384">
        <v>46104</v>
      </c>
      <c r="F17" s="343" t="s">
        <v>232</v>
      </c>
      <c r="G17" s="343" t="s">
        <v>138</v>
      </c>
      <c r="I17" s="343">
        <v>20260402</v>
      </c>
      <c r="J17" s="343">
        <v>5687</v>
      </c>
      <c r="K17" s="343">
        <v>21</v>
      </c>
      <c r="L17" s="343">
        <v>45</v>
      </c>
      <c r="M17" s="384">
        <v>46114</v>
      </c>
      <c r="N17" s="343" t="s">
        <v>235</v>
      </c>
      <c r="O17" s="343" t="s">
        <v>141</v>
      </c>
      <c r="Q17" s="343" t="s">
        <v>338</v>
      </c>
      <c r="R17" s="343" t="s">
        <v>124</v>
      </c>
      <c r="S17" s="384">
        <v>46034</v>
      </c>
      <c r="T17" s="384">
        <v>46040</v>
      </c>
    </row>
    <row r="18" spans="1:20">
      <c r="A18" s="343">
        <v>20260326</v>
      </c>
      <c r="B18" s="343">
        <v>132627</v>
      </c>
      <c r="C18" s="343">
        <v>246</v>
      </c>
      <c r="D18" s="343">
        <v>479</v>
      </c>
      <c r="E18" s="384">
        <v>46107</v>
      </c>
      <c r="F18" s="343" t="s">
        <v>235</v>
      </c>
      <c r="G18" s="343" t="s">
        <v>138</v>
      </c>
      <c r="I18" s="343">
        <v>20260403</v>
      </c>
      <c r="J18" s="343">
        <v>39177.25</v>
      </c>
      <c r="K18" s="343">
        <v>67</v>
      </c>
      <c r="L18" s="343">
        <v>201</v>
      </c>
      <c r="M18" s="384">
        <v>46115</v>
      </c>
      <c r="N18" s="343" t="s">
        <v>236</v>
      </c>
      <c r="O18" s="343" t="s">
        <v>141</v>
      </c>
      <c r="Q18" s="343" t="s">
        <v>338</v>
      </c>
      <c r="R18" s="343" t="s">
        <v>124</v>
      </c>
      <c r="S18" s="384">
        <v>46034</v>
      </c>
      <c r="T18" s="384">
        <v>46040</v>
      </c>
    </row>
    <row r="19" spans="1:20">
      <c r="A19" s="343">
        <v>20260327</v>
      </c>
      <c r="B19" s="343">
        <v>95654.81</v>
      </c>
      <c r="C19" s="343">
        <v>221</v>
      </c>
      <c r="D19" s="343">
        <v>437</v>
      </c>
      <c r="E19" s="384">
        <v>46108</v>
      </c>
      <c r="F19" s="343" t="s">
        <v>236</v>
      </c>
      <c r="G19" s="343" t="s">
        <v>138</v>
      </c>
      <c r="I19" s="343">
        <v>20260404</v>
      </c>
      <c r="J19" s="343">
        <v>16683.55</v>
      </c>
      <c r="K19" s="343">
        <v>73</v>
      </c>
      <c r="L19" s="343">
        <v>205</v>
      </c>
      <c r="M19" s="384">
        <v>46116</v>
      </c>
      <c r="N19" s="343" t="s">
        <v>244</v>
      </c>
      <c r="O19" s="343" t="s">
        <v>141</v>
      </c>
      <c r="Q19" s="343" t="s">
        <v>338</v>
      </c>
      <c r="R19" s="343" t="s">
        <v>124</v>
      </c>
      <c r="S19" s="384">
        <v>46034</v>
      </c>
      <c r="T19" s="384">
        <v>46040</v>
      </c>
    </row>
    <row r="20" spans="1:20">
      <c r="A20" s="343">
        <v>20260328</v>
      </c>
      <c r="B20" s="343">
        <v>101265</v>
      </c>
      <c r="C20" s="343">
        <v>208</v>
      </c>
      <c r="D20" s="343">
        <v>467</v>
      </c>
      <c r="E20" s="384">
        <v>46109</v>
      </c>
      <c r="F20" s="343" t="s">
        <v>244</v>
      </c>
      <c r="G20" s="343" t="s">
        <v>138</v>
      </c>
      <c r="I20" s="343">
        <v>20260405</v>
      </c>
      <c r="J20" s="343">
        <v>6079.5</v>
      </c>
      <c r="K20" s="343">
        <v>41</v>
      </c>
      <c r="L20" s="343">
        <v>84</v>
      </c>
      <c r="M20" s="384">
        <v>46117</v>
      </c>
      <c r="N20" s="343" t="s">
        <v>245</v>
      </c>
      <c r="O20" s="343" t="s">
        <v>141</v>
      </c>
      <c r="Q20" s="343" t="s">
        <v>338</v>
      </c>
      <c r="R20" s="343" t="s">
        <v>124</v>
      </c>
      <c r="S20" s="384">
        <v>46034</v>
      </c>
      <c r="T20" s="384">
        <v>46040</v>
      </c>
    </row>
    <row r="21" spans="1:20">
      <c r="A21" s="343">
        <v>20260329</v>
      </c>
      <c r="B21" s="343">
        <v>108882.7</v>
      </c>
      <c r="C21" s="343">
        <v>316</v>
      </c>
      <c r="D21" s="343">
        <v>540</v>
      </c>
      <c r="E21" s="384">
        <v>46110</v>
      </c>
      <c r="F21" s="343" t="s">
        <v>245</v>
      </c>
      <c r="G21" s="343" t="s">
        <v>138</v>
      </c>
      <c r="I21" s="343">
        <v>20260409</v>
      </c>
      <c r="J21" s="343">
        <v>5938.8</v>
      </c>
      <c r="K21" s="343">
        <v>68</v>
      </c>
      <c r="L21" s="343">
        <v>118</v>
      </c>
      <c r="M21" s="384">
        <v>46121</v>
      </c>
      <c r="N21" s="343" t="s">
        <v>235</v>
      </c>
      <c r="O21" s="343" t="s">
        <v>142</v>
      </c>
      <c r="Q21" s="343" t="s">
        <v>338</v>
      </c>
      <c r="R21" s="343" t="s">
        <v>124</v>
      </c>
      <c r="S21" s="384">
        <v>46034</v>
      </c>
      <c r="T21" s="384">
        <v>46040</v>
      </c>
    </row>
    <row r="22" spans="1:20">
      <c r="A22" s="343">
        <v>20260401</v>
      </c>
      <c r="C22" s="343">
        <v>8</v>
      </c>
      <c r="D22" s="343">
        <v>8</v>
      </c>
      <c r="E22" s="384">
        <v>46113</v>
      </c>
      <c r="F22" s="343" t="s">
        <v>234</v>
      </c>
      <c r="G22" s="343" t="s">
        <v>141</v>
      </c>
      <c r="I22" s="343">
        <v>20260410</v>
      </c>
      <c r="J22" s="343">
        <v>13189</v>
      </c>
      <c r="K22" s="343">
        <v>57</v>
      </c>
      <c r="L22" s="343">
        <v>127</v>
      </c>
      <c r="M22" s="384">
        <v>46122</v>
      </c>
      <c r="N22" s="343" t="s">
        <v>236</v>
      </c>
      <c r="O22" s="343" t="s">
        <v>142</v>
      </c>
      <c r="Q22" s="343" t="s">
        <v>338</v>
      </c>
      <c r="R22" s="343" t="s">
        <v>124</v>
      </c>
      <c r="S22" s="384">
        <v>46034</v>
      </c>
      <c r="T22" s="384">
        <v>46040</v>
      </c>
    </row>
    <row r="23" spans="1:20">
      <c r="A23" s="343">
        <v>20260402</v>
      </c>
      <c r="B23" s="343">
        <v>19752.5</v>
      </c>
      <c r="C23" s="343">
        <v>118</v>
      </c>
      <c r="D23" s="343">
        <v>181</v>
      </c>
      <c r="E23" s="384">
        <v>46114</v>
      </c>
      <c r="F23" s="343" t="s">
        <v>235</v>
      </c>
      <c r="G23" s="343" t="s">
        <v>141</v>
      </c>
      <c r="I23" s="343">
        <v>20260411</v>
      </c>
      <c r="J23" s="343">
        <v>24789.05</v>
      </c>
      <c r="K23" s="343">
        <v>89</v>
      </c>
      <c r="L23" s="343">
        <v>243</v>
      </c>
      <c r="M23" s="384">
        <v>46123</v>
      </c>
      <c r="N23" s="343" t="s">
        <v>244</v>
      </c>
      <c r="O23" s="343" t="s">
        <v>142</v>
      </c>
      <c r="Q23" s="343" t="s">
        <v>338</v>
      </c>
      <c r="R23" s="343" t="s">
        <v>124</v>
      </c>
      <c r="S23" s="384">
        <v>46034</v>
      </c>
      <c r="T23" s="384">
        <v>46040</v>
      </c>
    </row>
    <row r="24" spans="1:20">
      <c r="A24" s="343">
        <v>20260403</v>
      </c>
      <c r="B24" s="343">
        <v>39155.75</v>
      </c>
      <c r="C24" s="343">
        <v>223</v>
      </c>
      <c r="D24" s="343">
        <v>338</v>
      </c>
      <c r="E24" s="384">
        <v>46115</v>
      </c>
      <c r="F24" s="343" t="s">
        <v>236</v>
      </c>
      <c r="G24" s="343" t="s">
        <v>141</v>
      </c>
      <c r="I24" s="343">
        <v>20260412</v>
      </c>
      <c r="J24" s="343">
        <v>6233</v>
      </c>
      <c r="K24" s="343">
        <v>45</v>
      </c>
      <c r="L24" s="343">
        <v>108</v>
      </c>
      <c r="M24" s="384">
        <v>46124</v>
      </c>
      <c r="N24" s="343" t="s">
        <v>245</v>
      </c>
      <c r="O24" s="343" t="s">
        <v>142</v>
      </c>
      <c r="Q24" s="343" t="s">
        <v>338</v>
      </c>
      <c r="R24" s="343" t="s">
        <v>124</v>
      </c>
      <c r="S24" s="384">
        <v>46034</v>
      </c>
      <c r="T24" s="384">
        <v>46040</v>
      </c>
    </row>
    <row r="25" spans="1:20">
      <c r="A25" s="343">
        <v>20260404</v>
      </c>
      <c r="B25" s="343">
        <v>85472</v>
      </c>
      <c r="C25" s="343">
        <v>212</v>
      </c>
      <c r="D25" s="343">
        <v>401</v>
      </c>
      <c r="E25" s="384">
        <v>46116</v>
      </c>
      <c r="F25" s="343" t="s">
        <v>244</v>
      </c>
      <c r="G25" s="343" t="s">
        <v>141</v>
      </c>
      <c r="I25" s="343">
        <v>20260416</v>
      </c>
      <c r="J25" s="343">
        <v>7725.5</v>
      </c>
      <c r="K25" s="343">
        <v>84</v>
      </c>
      <c r="L25" s="343">
        <v>145</v>
      </c>
      <c r="M25" s="384">
        <v>46128</v>
      </c>
      <c r="N25" s="343" t="s">
        <v>235</v>
      </c>
      <c r="O25" s="343" t="s">
        <v>143</v>
      </c>
      <c r="Q25" s="343" t="s">
        <v>338</v>
      </c>
      <c r="R25" s="343" t="s">
        <v>125</v>
      </c>
      <c r="S25" s="384">
        <v>46041</v>
      </c>
      <c r="T25" s="384">
        <v>46047</v>
      </c>
    </row>
    <row r="26" spans="1:20">
      <c r="A26" s="343">
        <v>20260405</v>
      </c>
      <c r="B26" s="343">
        <v>30559.75</v>
      </c>
      <c r="C26" s="343">
        <v>160</v>
      </c>
      <c r="D26" s="343">
        <v>243</v>
      </c>
      <c r="E26" s="384">
        <v>46117</v>
      </c>
      <c r="F26" s="343" t="s">
        <v>245</v>
      </c>
      <c r="G26" s="343" t="s">
        <v>141</v>
      </c>
      <c r="I26" s="343">
        <v>20260417</v>
      </c>
      <c r="J26" s="343">
        <v>7489.25</v>
      </c>
      <c r="K26" s="343">
        <v>41</v>
      </c>
      <c r="L26" s="343">
        <v>99</v>
      </c>
      <c r="M26" s="384">
        <v>46129</v>
      </c>
      <c r="N26" s="343" t="s">
        <v>236</v>
      </c>
      <c r="O26" s="343" t="s">
        <v>143</v>
      </c>
      <c r="Q26" s="343" t="s">
        <v>338</v>
      </c>
      <c r="R26" s="343" t="s">
        <v>125</v>
      </c>
      <c r="S26" s="384">
        <v>46041</v>
      </c>
      <c r="T26" s="384">
        <v>46047</v>
      </c>
    </row>
    <row r="27" spans="1:20">
      <c r="A27" s="343">
        <v>20260408</v>
      </c>
      <c r="C27" s="343">
        <v>4</v>
      </c>
      <c r="D27" s="343">
        <v>4</v>
      </c>
      <c r="E27" s="384">
        <v>46120</v>
      </c>
      <c r="F27" s="343" t="s">
        <v>234</v>
      </c>
      <c r="G27" s="343" t="s">
        <v>142</v>
      </c>
      <c r="I27" s="343">
        <v>20260418</v>
      </c>
      <c r="J27" s="343">
        <v>19070</v>
      </c>
      <c r="K27" s="343">
        <v>82</v>
      </c>
      <c r="L27" s="343">
        <v>219</v>
      </c>
      <c r="M27" s="384">
        <v>46130</v>
      </c>
      <c r="N27" s="343" t="s">
        <v>244</v>
      </c>
      <c r="O27" s="343" t="s">
        <v>143</v>
      </c>
      <c r="Q27" s="343" t="s">
        <v>338</v>
      </c>
      <c r="R27" s="343" t="s">
        <v>125</v>
      </c>
      <c r="S27" s="384">
        <v>46041</v>
      </c>
      <c r="T27" s="384">
        <v>46047</v>
      </c>
    </row>
    <row r="28" spans="1:20">
      <c r="A28" s="343">
        <v>20260409</v>
      </c>
      <c r="B28" s="343">
        <v>12341.8</v>
      </c>
      <c r="C28" s="343">
        <v>111</v>
      </c>
      <c r="D28" s="343">
        <v>180</v>
      </c>
      <c r="E28" s="384">
        <v>46121</v>
      </c>
      <c r="F28" s="343" t="s">
        <v>235</v>
      </c>
      <c r="G28" s="343" t="s">
        <v>142</v>
      </c>
      <c r="I28" s="343">
        <v>20260419</v>
      </c>
      <c r="J28" s="343">
        <v>13464</v>
      </c>
      <c r="K28" s="343">
        <v>63</v>
      </c>
      <c r="L28" s="343">
        <v>140</v>
      </c>
      <c r="M28" s="384">
        <v>46131</v>
      </c>
      <c r="N28" s="343" t="s">
        <v>245</v>
      </c>
      <c r="O28" s="343" t="s">
        <v>143</v>
      </c>
      <c r="Q28" s="343" t="s">
        <v>338</v>
      </c>
      <c r="R28" s="343" t="s">
        <v>125</v>
      </c>
      <c r="S28" s="384">
        <v>46041</v>
      </c>
      <c r="T28" s="384">
        <v>46047</v>
      </c>
    </row>
    <row r="29" spans="1:20">
      <c r="A29" s="343">
        <v>20260410</v>
      </c>
      <c r="B29" s="343">
        <v>43115.13</v>
      </c>
      <c r="C29" s="343">
        <v>174</v>
      </c>
      <c r="D29" s="343">
        <v>273</v>
      </c>
      <c r="E29" s="384">
        <v>46122</v>
      </c>
      <c r="F29" s="343" t="s">
        <v>236</v>
      </c>
      <c r="G29" s="343" t="s">
        <v>142</v>
      </c>
      <c r="I29" s="343">
        <v>20260423</v>
      </c>
      <c r="J29" s="343">
        <v>8449</v>
      </c>
      <c r="K29" s="343">
        <v>32</v>
      </c>
      <c r="L29" s="343">
        <v>81</v>
      </c>
      <c r="M29" s="384">
        <v>46135</v>
      </c>
      <c r="N29" s="343" t="s">
        <v>235</v>
      </c>
      <c r="O29" s="343" t="s">
        <v>144</v>
      </c>
      <c r="Q29" s="343" t="s">
        <v>338</v>
      </c>
      <c r="R29" s="343" t="s">
        <v>125</v>
      </c>
      <c r="S29" s="384">
        <v>46041</v>
      </c>
      <c r="T29" s="384">
        <v>46047</v>
      </c>
    </row>
    <row r="30" spans="1:20">
      <c r="A30" s="343">
        <v>20260411</v>
      </c>
      <c r="B30" s="343">
        <v>76992.3</v>
      </c>
      <c r="C30" s="343">
        <v>184</v>
      </c>
      <c r="D30" s="343">
        <v>326</v>
      </c>
      <c r="E30" s="384">
        <v>46123</v>
      </c>
      <c r="F30" s="343" t="s">
        <v>244</v>
      </c>
      <c r="G30" s="343" t="s">
        <v>142</v>
      </c>
      <c r="I30" s="343">
        <v>20260424</v>
      </c>
      <c r="J30" s="343">
        <v>15837</v>
      </c>
      <c r="K30" s="343">
        <v>69</v>
      </c>
      <c r="L30" s="343">
        <v>172</v>
      </c>
      <c r="M30" s="384">
        <v>46136</v>
      </c>
      <c r="N30" s="343" t="s">
        <v>236</v>
      </c>
      <c r="O30" s="343" t="s">
        <v>144</v>
      </c>
      <c r="Q30" s="343" t="s">
        <v>338</v>
      </c>
      <c r="R30" s="343" t="s">
        <v>125</v>
      </c>
      <c r="S30" s="384">
        <v>46041</v>
      </c>
      <c r="T30" s="384">
        <v>46047</v>
      </c>
    </row>
    <row r="31" spans="1:20">
      <c r="A31" s="343">
        <v>20260412</v>
      </c>
      <c r="B31" s="343">
        <v>43736</v>
      </c>
      <c r="C31" s="343">
        <v>182</v>
      </c>
      <c r="D31" s="343">
        <v>245</v>
      </c>
      <c r="E31" s="384">
        <v>46124</v>
      </c>
      <c r="F31" s="343" t="s">
        <v>245</v>
      </c>
      <c r="G31" s="343" t="s">
        <v>142</v>
      </c>
      <c r="I31" s="343">
        <v>20260425</v>
      </c>
      <c r="J31" s="343">
        <v>27619</v>
      </c>
      <c r="K31" s="343">
        <v>89</v>
      </c>
      <c r="L31" s="343">
        <v>244</v>
      </c>
      <c r="M31" s="384">
        <v>46137</v>
      </c>
      <c r="N31" s="343" t="s">
        <v>244</v>
      </c>
      <c r="O31" s="343" t="s">
        <v>144</v>
      </c>
      <c r="Q31" s="343" t="s">
        <v>338</v>
      </c>
      <c r="R31" s="343" t="s">
        <v>125</v>
      </c>
      <c r="S31" s="384">
        <v>46041</v>
      </c>
      <c r="T31" s="384">
        <v>46047</v>
      </c>
    </row>
    <row r="32" spans="1:20">
      <c r="A32" s="343">
        <v>20260414</v>
      </c>
      <c r="C32" s="343">
        <v>1</v>
      </c>
      <c r="D32" s="343">
        <v>1</v>
      </c>
      <c r="E32" s="384">
        <v>46126</v>
      </c>
      <c r="F32" s="343" t="s">
        <v>233</v>
      </c>
      <c r="G32" s="343" t="s">
        <v>143</v>
      </c>
      <c r="I32" s="343">
        <v>20260426</v>
      </c>
      <c r="J32" s="343">
        <v>10278</v>
      </c>
      <c r="K32" s="343">
        <v>59</v>
      </c>
      <c r="L32" s="343">
        <v>119</v>
      </c>
      <c r="M32" s="384">
        <v>46138</v>
      </c>
      <c r="N32" s="343" t="s">
        <v>245</v>
      </c>
      <c r="O32" s="343" t="s">
        <v>144</v>
      </c>
      <c r="Q32" s="343" t="s">
        <v>338</v>
      </c>
      <c r="R32" s="343" t="s">
        <v>128</v>
      </c>
      <c r="S32" s="384">
        <v>46048</v>
      </c>
      <c r="T32" s="384">
        <v>46054</v>
      </c>
    </row>
    <row r="33" spans="1:20">
      <c r="A33" s="343">
        <v>20260416</v>
      </c>
      <c r="B33" s="343">
        <v>36593.25</v>
      </c>
      <c r="C33" s="343">
        <v>131</v>
      </c>
      <c r="D33" s="343">
        <v>202</v>
      </c>
      <c r="E33" s="384">
        <v>46128</v>
      </c>
      <c r="F33" s="343" t="s">
        <v>235</v>
      </c>
      <c r="G33" s="343" t="s">
        <v>143</v>
      </c>
      <c r="I33" s="343">
        <v>20260430</v>
      </c>
      <c r="J33" s="343">
        <v>19549</v>
      </c>
      <c r="K33" s="343">
        <v>107</v>
      </c>
      <c r="L33" s="343">
        <v>428</v>
      </c>
      <c r="M33" s="384">
        <v>46142</v>
      </c>
      <c r="N33" s="343" t="s">
        <v>235</v>
      </c>
      <c r="O33" s="343" t="s">
        <v>147</v>
      </c>
      <c r="Q33" s="343" t="s">
        <v>338</v>
      </c>
      <c r="R33" s="343" t="s">
        <v>128</v>
      </c>
      <c r="S33" s="384">
        <v>46048</v>
      </c>
      <c r="T33" s="384">
        <v>46054</v>
      </c>
    </row>
    <row r="34" spans="1:20">
      <c r="A34" s="343">
        <v>20260417</v>
      </c>
      <c r="B34" s="343">
        <v>46972.85</v>
      </c>
      <c r="C34" s="343">
        <v>157</v>
      </c>
      <c r="D34" s="343">
        <v>227</v>
      </c>
      <c r="E34" s="384">
        <v>46129</v>
      </c>
      <c r="F34" s="343" t="s">
        <v>236</v>
      </c>
      <c r="G34" s="343" t="s">
        <v>143</v>
      </c>
      <c r="I34" s="343">
        <v>20260501</v>
      </c>
      <c r="J34" s="343">
        <v>40501.800000000003</v>
      </c>
      <c r="K34" s="343">
        <v>77</v>
      </c>
      <c r="L34" s="343">
        <v>749</v>
      </c>
      <c r="M34" s="384">
        <v>46143</v>
      </c>
      <c r="N34" s="343" t="s">
        <v>236</v>
      </c>
      <c r="O34" s="343" t="s">
        <v>147</v>
      </c>
      <c r="Q34" s="343" t="s">
        <v>338</v>
      </c>
      <c r="R34" s="343" t="s">
        <v>128</v>
      </c>
      <c r="S34" s="384">
        <v>46048</v>
      </c>
      <c r="T34" s="384">
        <v>46054</v>
      </c>
    </row>
    <row r="35" spans="1:20">
      <c r="A35" s="343">
        <v>20260418</v>
      </c>
      <c r="B35" s="343">
        <v>57324</v>
      </c>
      <c r="C35" s="343">
        <v>176</v>
      </c>
      <c r="D35" s="343">
        <v>321</v>
      </c>
      <c r="E35" s="384">
        <v>46130</v>
      </c>
      <c r="F35" s="343" t="s">
        <v>244</v>
      </c>
      <c r="G35" s="343" t="s">
        <v>143</v>
      </c>
      <c r="I35" s="343">
        <v>20260502</v>
      </c>
      <c r="J35" s="343">
        <v>40498.75</v>
      </c>
      <c r="K35" s="343">
        <v>125</v>
      </c>
      <c r="L35" s="343">
        <v>365</v>
      </c>
      <c r="M35" s="384">
        <v>46144</v>
      </c>
      <c r="N35" s="343" t="s">
        <v>244</v>
      </c>
      <c r="O35" s="343" t="s">
        <v>147</v>
      </c>
      <c r="Q35" s="343" t="s">
        <v>338</v>
      </c>
      <c r="R35" s="343" t="s">
        <v>128</v>
      </c>
      <c r="S35" s="384">
        <v>46048</v>
      </c>
      <c r="T35" s="384">
        <v>46054</v>
      </c>
    </row>
    <row r="36" spans="1:20">
      <c r="A36" s="343">
        <v>20260419</v>
      </c>
      <c r="B36" s="343">
        <v>37182</v>
      </c>
      <c r="C36" s="343">
        <v>190</v>
      </c>
      <c r="D36" s="343">
        <v>283</v>
      </c>
      <c r="E36" s="384">
        <v>46131</v>
      </c>
      <c r="F36" s="343" t="s">
        <v>245</v>
      </c>
      <c r="G36" s="343" t="s">
        <v>143</v>
      </c>
      <c r="I36" s="343">
        <v>20260503</v>
      </c>
      <c r="J36" s="343">
        <v>15344.5</v>
      </c>
      <c r="K36" s="343">
        <v>78</v>
      </c>
      <c r="L36" s="343">
        <v>185</v>
      </c>
      <c r="M36" s="384">
        <v>46145</v>
      </c>
      <c r="N36" s="343" t="s">
        <v>245</v>
      </c>
      <c r="O36" s="343" t="s">
        <v>147</v>
      </c>
      <c r="Q36" s="343" t="s">
        <v>338</v>
      </c>
      <c r="R36" s="343" t="s">
        <v>128</v>
      </c>
      <c r="S36" s="384">
        <v>46048</v>
      </c>
      <c r="T36" s="384">
        <v>46054</v>
      </c>
    </row>
    <row r="37" spans="1:20">
      <c r="A37" s="343">
        <v>20260420</v>
      </c>
      <c r="C37" s="343">
        <v>2</v>
      </c>
      <c r="D37" s="343">
        <v>2</v>
      </c>
      <c r="E37" s="384">
        <v>46132</v>
      </c>
      <c r="F37" s="343" t="s">
        <v>232</v>
      </c>
      <c r="G37" s="343" t="s">
        <v>144</v>
      </c>
      <c r="I37" s="343">
        <v>20260507</v>
      </c>
      <c r="J37" s="343">
        <v>8387</v>
      </c>
      <c r="K37" s="343">
        <v>40</v>
      </c>
      <c r="L37" s="343">
        <v>72</v>
      </c>
      <c r="M37" s="384">
        <v>46149</v>
      </c>
      <c r="N37" s="343" t="s">
        <v>235</v>
      </c>
      <c r="O37" s="343" t="s">
        <v>148</v>
      </c>
      <c r="Q37" s="343" t="s">
        <v>338</v>
      </c>
      <c r="R37" s="343" t="s">
        <v>128</v>
      </c>
      <c r="S37" s="384">
        <v>46048</v>
      </c>
      <c r="T37" s="384">
        <v>46054</v>
      </c>
    </row>
    <row r="38" spans="1:20">
      <c r="A38" s="343">
        <v>20260421</v>
      </c>
      <c r="C38" s="343">
        <v>1</v>
      </c>
      <c r="D38" s="343">
        <v>1</v>
      </c>
      <c r="E38" s="384">
        <v>46133</v>
      </c>
      <c r="F38" s="343" t="s">
        <v>233</v>
      </c>
      <c r="G38" s="343" t="s">
        <v>144</v>
      </c>
      <c r="I38" s="343">
        <v>20260508</v>
      </c>
      <c r="J38" s="343">
        <v>6140</v>
      </c>
      <c r="K38" s="343">
        <v>38</v>
      </c>
      <c r="L38" s="343">
        <v>76</v>
      </c>
      <c r="M38" s="384">
        <v>46150</v>
      </c>
      <c r="N38" s="343" t="s">
        <v>236</v>
      </c>
      <c r="O38" s="343" t="s">
        <v>148</v>
      </c>
      <c r="Q38" s="343" t="s">
        <v>338</v>
      </c>
      <c r="R38" s="343" t="s">
        <v>128</v>
      </c>
      <c r="S38" s="384">
        <v>46048</v>
      </c>
      <c r="T38" s="384">
        <v>46054</v>
      </c>
    </row>
    <row r="39" spans="1:20">
      <c r="A39" s="343">
        <v>20260423</v>
      </c>
      <c r="B39" s="343">
        <v>23436.11</v>
      </c>
      <c r="C39" s="343">
        <v>115</v>
      </c>
      <c r="D39" s="343">
        <v>172</v>
      </c>
      <c r="E39" s="384">
        <v>46135</v>
      </c>
      <c r="F39" s="343" t="s">
        <v>235</v>
      </c>
      <c r="G39" s="343" t="s">
        <v>144</v>
      </c>
      <c r="I39" s="343">
        <v>20260509</v>
      </c>
      <c r="J39" s="343">
        <v>15815</v>
      </c>
      <c r="K39" s="343">
        <v>65</v>
      </c>
      <c r="L39" s="343">
        <v>730</v>
      </c>
      <c r="M39" s="384">
        <v>46151</v>
      </c>
      <c r="N39" s="343" t="s">
        <v>244</v>
      </c>
      <c r="O39" s="343" t="s">
        <v>148</v>
      </c>
      <c r="Q39" s="343" t="s">
        <v>338</v>
      </c>
      <c r="R39" s="343" t="s">
        <v>128</v>
      </c>
      <c r="S39" s="384">
        <v>46048</v>
      </c>
      <c r="T39" s="384">
        <v>46054</v>
      </c>
    </row>
    <row r="40" spans="1:20">
      <c r="A40" s="343">
        <v>20260424</v>
      </c>
      <c r="B40" s="343">
        <v>43041.7</v>
      </c>
      <c r="C40" s="343">
        <v>191</v>
      </c>
      <c r="D40" s="343">
        <v>287</v>
      </c>
      <c r="E40" s="384">
        <v>46136</v>
      </c>
      <c r="F40" s="343" t="s">
        <v>236</v>
      </c>
      <c r="G40" s="343" t="s">
        <v>144</v>
      </c>
      <c r="I40" s="343">
        <v>20260510</v>
      </c>
      <c r="J40" s="343">
        <v>12592</v>
      </c>
      <c r="K40" s="343">
        <v>65</v>
      </c>
      <c r="L40" s="343">
        <v>155</v>
      </c>
      <c r="M40" s="384">
        <v>46152</v>
      </c>
      <c r="N40" s="343" t="s">
        <v>245</v>
      </c>
      <c r="O40" s="343" t="s">
        <v>148</v>
      </c>
      <c r="Q40" s="343" t="s">
        <v>338</v>
      </c>
      <c r="R40" s="343" t="s">
        <v>129</v>
      </c>
      <c r="S40" s="384">
        <v>46055</v>
      </c>
      <c r="T40" s="384">
        <v>46061</v>
      </c>
    </row>
    <row r="41" spans="1:20">
      <c r="A41" s="343">
        <v>20260425</v>
      </c>
      <c r="B41" s="343">
        <v>69811</v>
      </c>
      <c r="C41" s="343">
        <v>201</v>
      </c>
      <c r="D41" s="343">
        <v>338</v>
      </c>
      <c r="E41" s="384">
        <v>46137</v>
      </c>
      <c r="F41" s="343" t="s">
        <v>244</v>
      </c>
      <c r="G41" s="343" t="s">
        <v>144</v>
      </c>
      <c r="I41" s="343">
        <v>20260514</v>
      </c>
      <c r="J41" s="343">
        <v>6907</v>
      </c>
      <c r="K41" s="343">
        <v>67</v>
      </c>
      <c r="L41" s="343">
        <v>194</v>
      </c>
      <c r="M41" s="384">
        <v>46156</v>
      </c>
      <c r="N41" s="343" t="s">
        <v>235</v>
      </c>
      <c r="O41" s="343" t="s">
        <v>149</v>
      </c>
      <c r="Q41" s="343" t="s">
        <v>338</v>
      </c>
      <c r="R41" s="343" t="s">
        <v>129</v>
      </c>
      <c r="S41" s="384">
        <v>46055</v>
      </c>
      <c r="T41" s="384">
        <v>46061</v>
      </c>
    </row>
    <row r="42" spans="1:20">
      <c r="A42" s="343">
        <v>20260426</v>
      </c>
      <c r="B42" s="343">
        <v>19686</v>
      </c>
      <c r="C42" s="343">
        <v>118</v>
      </c>
      <c r="D42" s="343">
        <v>152</v>
      </c>
      <c r="E42" s="384">
        <v>46138</v>
      </c>
      <c r="F42" s="343" t="s">
        <v>245</v>
      </c>
      <c r="G42" s="343" t="s">
        <v>144</v>
      </c>
      <c r="I42" s="343">
        <v>20260515</v>
      </c>
      <c r="J42" s="343">
        <v>11523</v>
      </c>
      <c r="K42" s="343">
        <v>48</v>
      </c>
      <c r="L42" s="343">
        <v>113</v>
      </c>
      <c r="M42" s="384">
        <v>46157</v>
      </c>
      <c r="N42" s="343" t="s">
        <v>236</v>
      </c>
      <c r="O42" s="343" t="s">
        <v>149</v>
      </c>
      <c r="Q42" s="343" t="s">
        <v>338</v>
      </c>
      <c r="R42" s="343" t="s">
        <v>129</v>
      </c>
      <c r="S42" s="384">
        <v>46055</v>
      </c>
      <c r="T42" s="384">
        <v>46061</v>
      </c>
    </row>
    <row r="43" spans="1:20">
      <c r="A43" s="343">
        <v>20260429</v>
      </c>
      <c r="B43" s="343">
        <v>16936.509999999998</v>
      </c>
      <c r="C43" s="343">
        <v>2</v>
      </c>
      <c r="D43" s="343">
        <v>62</v>
      </c>
      <c r="E43" s="384">
        <v>46141</v>
      </c>
      <c r="F43" s="343" t="s">
        <v>234</v>
      </c>
      <c r="G43" s="343" t="s">
        <v>147</v>
      </c>
      <c r="I43" s="343">
        <v>20260516</v>
      </c>
      <c r="J43" s="343">
        <v>29762.65</v>
      </c>
      <c r="K43" s="343">
        <v>81</v>
      </c>
      <c r="L43" s="343">
        <v>210</v>
      </c>
      <c r="M43" s="384">
        <v>46158</v>
      </c>
      <c r="N43" s="343" t="s">
        <v>244</v>
      </c>
      <c r="O43" s="343" t="s">
        <v>149</v>
      </c>
      <c r="Q43" s="343" t="s">
        <v>338</v>
      </c>
      <c r="R43" s="343" t="s">
        <v>129</v>
      </c>
      <c r="S43" s="384">
        <v>46055</v>
      </c>
      <c r="T43" s="384">
        <v>46061</v>
      </c>
    </row>
    <row r="44" spans="1:20">
      <c r="A44" s="343">
        <v>20260430</v>
      </c>
      <c r="B44" s="343">
        <v>160456.34</v>
      </c>
      <c r="C44" s="343">
        <v>202</v>
      </c>
      <c r="D44" s="343">
        <v>350</v>
      </c>
      <c r="E44" s="384">
        <v>46142</v>
      </c>
      <c r="F44" s="343" t="s">
        <v>235</v>
      </c>
      <c r="G44" s="343" t="s">
        <v>147</v>
      </c>
      <c r="I44" s="343">
        <v>20260517</v>
      </c>
      <c r="J44" s="343">
        <v>14567.25</v>
      </c>
      <c r="K44" s="343">
        <v>63</v>
      </c>
      <c r="L44" s="343">
        <v>142</v>
      </c>
      <c r="M44" s="384">
        <v>46159</v>
      </c>
      <c r="N44" s="343" t="s">
        <v>245</v>
      </c>
      <c r="O44" s="343" t="s">
        <v>149</v>
      </c>
      <c r="Q44" s="343" t="s">
        <v>338</v>
      </c>
      <c r="R44" s="343" t="s">
        <v>129</v>
      </c>
      <c r="S44" s="384">
        <v>46055</v>
      </c>
      <c r="T44" s="384">
        <v>46061</v>
      </c>
    </row>
    <row r="45" spans="1:20">
      <c r="A45" s="343">
        <v>20260501</v>
      </c>
      <c r="B45" s="343">
        <v>164902.75</v>
      </c>
      <c r="C45" s="343">
        <v>199</v>
      </c>
      <c r="D45" s="343">
        <v>276</v>
      </c>
      <c r="E45" s="384">
        <v>46143</v>
      </c>
      <c r="F45" s="343" t="s">
        <v>236</v>
      </c>
      <c r="G45" s="343" t="s">
        <v>147</v>
      </c>
      <c r="I45" s="343">
        <v>20260521</v>
      </c>
      <c r="J45" s="343">
        <v>3869</v>
      </c>
      <c r="K45" s="343">
        <v>38</v>
      </c>
      <c r="L45" s="343">
        <v>162</v>
      </c>
      <c r="M45" s="384">
        <v>46163</v>
      </c>
      <c r="N45" s="343" t="s">
        <v>235</v>
      </c>
      <c r="O45" s="343" t="s">
        <v>150</v>
      </c>
      <c r="Q45" s="343" t="s">
        <v>338</v>
      </c>
      <c r="R45" s="343" t="s">
        <v>129</v>
      </c>
      <c r="S45" s="384">
        <v>46055</v>
      </c>
      <c r="T45" s="384">
        <v>46061</v>
      </c>
    </row>
    <row r="46" spans="1:20">
      <c r="A46" s="343">
        <v>20260502</v>
      </c>
      <c r="B46" s="343">
        <v>127415.2</v>
      </c>
      <c r="C46" s="343">
        <v>222</v>
      </c>
      <c r="D46" s="343">
        <v>387</v>
      </c>
      <c r="E46" s="384">
        <v>46144</v>
      </c>
      <c r="F46" s="343" t="s">
        <v>244</v>
      </c>
      <c r="G46" s="343" t="s">
        <v>147</v>
      </c>
      <c r="I46" s="343">
        <v>20260522</v>
      </c>
      <c r="J46" s="343">
        <v>8938</v>
      </c>
      <c r="K46" s="343">
        <v>33</v>
      </c>
      <c r="L46" s="343">
        <v>80</v>
      </c>
      <c r="M46" s="384">
        <v>46164</v>
      </c>
      <c r="N46" s="343" t="s">
        <v>236</v>
      </c>
      <c r="O46" s="343" t="s">
        <v>150</v>
      </c>
      <c r="Q46" s="343" t="s">
        <v>338</v>
      </c>
      <c r="R46" s="343" t="s">
        <v>129</v>
      </c>
      <c r="S46" s="384">
        <v>46055</v>
      </c>
      <c r="T46" s="384">
        <v>46061</v>
      </c>
    </row>
    <row r="47" spans="1:20">
      <c r="A47" s="343">
        <v>20260503</v>
      </c>
      <c r="B47" s="343">
        <v>134212</v>
      </c>
      <c r="C47" s="343">
        <v>266</v>
      </c>
      <c r="D47" s="343">
        <v>375</v>
      </c>
      <c r="E47" s="384">
        <v>46145</v>
      </c>
      <c r="F47" s="343" t="s">
        <v>245</v>
      </c>
      <c r="G47" s="343" t="s">
        <v>147</v>
      </c>
      <c r="I47" s="343">
        <v>20260523</v>
      </c>
      <c r="J47" s="343">
        <v>40136.410000000003</v>
      </c>
      <c r="K47" s="343">
        <v>41</v>
      </c>
      <c r="L47" s="343">
        <v>105</v>
      </c>
      <c r="M47" s="384">
        <v>46165</v>
      </c>
      <c r="N47" s="343" t="s">
        <v>244</v>
      </c>
      <c r="O47" s="343" t="s">
        <v>150</v>
      </c>
      <c r="Q47" s="343" t="s">
        <v>338</v>
      </c>
      <c r="R47" s="343" t="s">
        <v>129</v>
      </c>
      <c r="S47" s="384">
        <v>46055</v>
      </c>
      <c r="T47" s="384">
        <v>46061</v>
      </c>
    </row>
    <row r="48" spans="1:20">
      <c r="A48" s="343">
        <v>20260505</v>
      </c>
      <c r="C48" s="343">
        <v>3</v>
      </c>
      <c r="D48" s="343">
        <v>3</v>
      </c>
      <c r="E48" s="384">
        <v>46147</v>
      </c>
      <c r="F48" s="343" t="s">
        <v>233</v>
      </c>
      <c r="G48" s="343" t="s">
        <v>148</v>
      </c>
      <c r="I48" s="343">
        <v>20260524</v>
      </c>
      <c r="J48" s="343">
        <v>19321.5</v>
      </c>
      <c r="K48" s="343">
        <v>96</v>
      </c>
      <c r="L48" s="343">
        <v>202</v>
      </c>
      <c r="M48" s="384">
        <v>46166</v>
      </c>
      <c r="N48" s="343" t="s">
        <v>245</v>
      </c>
      <c r="O48" s="343" t="s">
        <v>150</v>
      </c>
      <c r="Q48" s="343" t="s">
        <v>338</v>
      </c>
      <c r="R48" s="343" t="s">
        <v>129</v>
      </c>
      <c r="S48" s="384">
        <v>46055</v>
      </c>
      <c r="T48" s="384">
        <v>46061</v>
      </c>
    </row>
    <row r="49" spans="1:20">
      <c r="A49" s="343">
        <v>20260507</v>
      </c>
      <c r="B49" s="343">
        <v>16383.5</v>
      </c>
      <c r="C49" s="343">
        <v>155</v>
      </c>
      <c r="D49" s="343">
        <v>250</v>
      </c>
      <c r="E49" s="384">
        <v>46149</v>
      </c>
      <c r="F49" s="343" t="s">
        <v>235</v>
      </c>
      <c r="G49" s="343" t="s">
        <v>148</v>
      </c>
      <c r="I49" s="343">
        <v>20260528</v>
      </c>
      <c r="J49" s="343">
        <v>34407.5</v>
      </c>
      <c r="K49" s="343">
        <v>3</v>
      </c>
      <c r="L49" s="343">
        <v>152</v>
      </c>
      <c r="M49" s="384">
        <v>46170</v>
      </c>
      <c r="N49" s="343" t="s">
        <v>235</v>
      </c>
      <c r="O49" s="343" t="s">
        <v>153</v>
      </c>
      <c r="Q49" s="343" t="s">
        <v>338</v>
      </c>
      <c r="R49" s="343" t="s">
        <v>130</v>
      </c>
      <c r="S49" s="384">
        <v>46062</v>
      </c>
      <c r="T49" s="384">
        <v>46068</v>
      </c>
    </row>
    <row r="50" spans="1:20">
      <c r="A50" s="343">
        <v>20260508</v>
      </c>
      <c r="B50" s="343">
        <v>17881.599999999999</v>
      </c>
      <c r="C50" s="343">
        <v>133</v>
      </c>
      <c r="D50" s="343">
        <v>209</v>
      </c>
      <c r="E50" s="384">
        <v>46150</v>
      </c>
      <c r="F50" s="343" t="s">
        <v>236</v>
      </c>
      <c r="G50" s="343" t="s">
        <v>148</v>
      </c>
      <c r="I50" s="343">
        <v>20260529</v>
      </c>
      <c r="J50" s="343">
        <v>42858</v>
      </c>
      <c r="K50" s="343">
        <v>58</v>
      </c>
      <c r="L50" s="343">
        <v>145</v>
      </c>
      <c r="M50" s="384">
        <v>46171</v>
      </c>
      <c r="N50" s="343" t="s">
        <v>236</v>
      </c>
      <c r="O50" s="343" t="s">
        <v>153</v>
      </c>
      <c r="Q50" s="343" t="s">
        <v>338</v>
      </c>
      <c r="R50" s="343" t="s">
        <v>130</v>
      </c>
      <c r="S50" s="384">
        <v>46062</v>
      </c>
      <c r="T50" s="384">
        <v>46068</v>
      </c>
    </row>
    <row r="51" spans="1:20">
      <c r="A51" s="343">
        <v>20260509</v>
      </c>
      <c r="B51" s="343">
        <v>49014.400000000001</v>
      </c>
      <c r="C51" s="343">
        <v>213</v>
      </c>
      <c r="D51" s="343">
        <v>350</v>
      </c>
      <c r="E51" s="384">
        <v>46151</v>
      </c>
      <c r="F51" s="343" t="s">
        <v>244</v>
      </c>
      <c r="G51" s="343" t="s">
        <v>148</v>
      </c>
      <c r="I51" s="343">
        <v>20260530</v>
      </c>
      <c r="J51" s="343">
        <v>27249.75</v>
      </c>
      <c r="K51" s="343">
        <v>47</v>
      </c>
      <c r="L51" s="343">
        <v>118</v>
      </c>
      <c r="M51" s="384">
        <v>46172</v>
      </c>
      <c r="N51" s="343" t="s">
        <v>244</v>
      </c>
      <c r="O51" s="343" t="s">
        <v>153</v>
      </c>
      <c r="Q51" s="343" t="s">
        <v>338</v>
      </c>
      <c r="R51" s="343" t="s">
        <v>130</v>
      </c>
      <c r="S51" s="384">
        <v>46062</v>
      </c>
      <c r="T51" s="384">
        <v>46068</v>
      </c>
    </row>
    <row r="52" spans="1:20">
      <c r="A52" s="343">
        <v>20260510</v>
      </c>
      <c r="B52" s="343">
        <v>11735</v>
      </c>
      <c r="C52" s="343">
        <v>95</v>
      </c>
      <c r="D52" s="343">
        <v>129</v>
      </c>
      <c r="E52" s="384">
        <v>46152</v>
      </c>
      <c r="F52" s="343" t="s">
        <v>245</v>
      </c>
      <c r="G52" s="343" t="s">
        <v>148</v>
      </c>
      <c r="I52" s="343">
        <v>20260531</v>
      </c>
      <c r="J52" s="343">
        <v>10776.5</v>
      </c>
      <c r="K52" s="343">
        <v>62</v>
      </c>
      <c r="L52" s="343">
        <v>123</v>
      </c>
      <c r="M52" s="384">
        <v>46173</v>
      </c>
      <c r="N52" s="343" t="s">
        <v>245</v>
      </c>
      <c r="O52" s="343" t="s">
        <v>153</v>
      </c>
      <c r="Q52" s="343" t="s">
        <v>338</v>
      </c>
      <c r="R52" s="343" t="s">
        <v>130</v>
      </c>
      <c r="S52" s="384">
        <v>46062</v>
      </c>
      <c r="T52" s="384">
        <v>46068</v>
      </c>
    </row>
    <row r="53" spans="1:20">
      <c r="A53" s="343">
        <v>20260511</v>
      </c>
      <c r="C53" s="343">
        <v>26</v>
      </c>
      <c r="D53" s="343">
        <v>26</v>
      </c>
      <c r="E53" s="384">
        <v>46153</v>
      </c>
      <c r="F53" s="343" t="s">
        <v>232</v>
      </c>
      <c r="G53" s="343" t="s">
        <v>149</v>
      </c>
      <c r="I53" s="343">
        <v>20260604</v>
      </c>
      <c r="J53" s="343">
        <v>3314</v>
      </c>
      <c r="K53" s="343">
        <v>51</v>
      </c>
      <c r="L53" s="343">
        <v>980</v>
      </c>
      <c r="M53" s="384">
        <v>46177</v>
      </c>
      <c r="N53" s="343" t="s">
        <v>235</v>
      </c>
      <c r="O53" s="343" t="s">
        <v>154</v>
      </c>
      <c r="Q53" s="343" t="s">
        <v>338</v>
      </c>
      <c r="R53" s="343" t="s">
        <v>130</v>
      </c>
      <c r="S53" s="384">
        <v>46062</v>
      </c>
      <c r="T53" s="384">
        <v>46068</v>
      </c>
    </row>
    <row r="54" spans="1:20">
      <c r="A54" s="343">
        <v>20260514</v>
      </c>
      <c r="B54" s="343">
        <v>39323.4</v>
      </c>
      <c r="C54" s="343">
        <v>136</v>
      </c>
      <c r="D54" s="343">
        <v>217</v>
      </c>
      <c r="E54" s="384">
        <v>46156</v>
      </c>
      <c r="F54" s="343" t="s">
        <v>235</v>
      </c>
      <c r="G54" s="343" t="s">
        <v>149</v>
      </c>
      <c r="I54" s="343">
        <v>20260605</v>
      </c>
      <c r="J54" s="343">
        <v>8658</v>
      </c>
      <c r="K54" s="343">
        <v>33</v>
      </c>
      <c r="L54" s="343">
        <v>95</v>
      </c>
      <c r="M54" s="384">
        <v>46178</v>
      </c>
      <c r="N54" s="343" t="s">
        <v>236</v>
      </c>
      <c r="O54" s="343" t="s">
        <v>154</v>
      </c>
      <c r="Q54" s="343" t="s">
        <v>338</v>
      </c>
      <c r="R54" s="343" t="s">
        <v>130</v>
      </c>
      <c r="S54" s="384">
        <v>46062</v>
      </c>
      <c r="T54" s="384">
        <v>46068</v>
      </c>
    </row>
    <row r="55" spans="1:20">
      <c r="A55" s="343">
        <v>20260515</v>
      </c>
      <c r="B55" s="343">
        <v>33511</v>
      </c>
      <c r="C55" s="343">
        <v>149</v>
      </c>
      <c r="D55" s="343">
        <v>202</v>
      </c>
      <c r="E55" s="384">
        <v>46157</v>
      </c>
      <c r="F55" s="343" t="s">
        <v>236</v>
      </c>
      <c r="G55" s="343" t="s">
        <v>149</v>
      </c>
      <c r="I55" s="343">
        <v>20260606</v>
      </c>
      <c r="J55" s="343">
        <v>11978.75</v>
      </c>
      <c r="K55" s="343">
        <v>62</v>
      </c>
      <c r="L55" s="343">
        <v>140</v>
      </c>
      <c r="M55" s="384">
        <v>46179</v>
      </c>
      <c r="N55" s="343" t="s">
        <v>244</v>
      </c>
      <c r="O55" s="343" t="s">
        <v>154</v>
      </c>
      <c r="Q55" s="343" t="s">
        <v>338</v>
      </c>
      <c r="R55" s="343" t="s">
        <v>130</v>
      </c>
      <c r="S55" s="384">
        <v>46062</v>
      </c>
      <c r="T55" s="384">
        <v>46068</v>
      </c>
    </row>
    <row r="56" spans="1:20">
      <c r="A56" s="343">
        <v>20260516</v>
      </c>
      <c r="B56" s="343">
        <v>78993.8</v>
      </c>
      <c r="C56" s="343">
        <v>211</v>
      </c>
      <c r="D56" s="343">
        <v>362</v>
      </c>
      <c r="E56" s="384">
        <v>46158</v>
      </c>
      <c r="F56" s="343" t="s">
        <v>244</v>
      </c>
      <c r="G56" s="343" t="s">
        <v>149</v>
      </c>
      <c r="I56" s="343">
        <v>20260607</v>
      </c>
      <c r="J56" s="343">
        <v>13637</v>
      </c>
      <c r="K56" s="343">
        <v>59</v>
      </c>
      <c r="L56" s="343">
        <v>136</v>
      </c>
      <c r="M56" s="384">
        <v>46180</v>
      </c>
      <c r="N56" s="343" t="s">
        <v>245</v>
      </c>
      <c r="O56" s="343" t="s">
        <v>154</v>
      </c>
      <c r="Q56" s="343" t="s">
        <v>338</v>
      </c>
      <c r="R56" s="343" t="s">
        <v>130</v>
      </c>
      <c r="S56" s="384">
        <v>46062</v>
      </c>
      <c r="T56" s="384">
        <v>46068</v>
      </c>
    </row>
    <row r="57" spans="1:20">
      <c r="A57" s="343">
        <v>20260517</v>
      </c>
      <c r="B57" s="343">
        <v>28180</v>
      </c>
      <c r="C57" s="343">
        <v>177</v>
      </c>
      <c r="D57" s="343">
        <v>249</v>
      </c>
      <c r="E57" s="384">
        <v>46159</v>
      </c>
      <c r="F57" s="343" t="s">
        <v>245</v>
      </c>
      <c r="G57" s="343" t="s">
        <v>149</v>
      </c>
      <c r="I57" s="343">
        <v>20260611</v>
      </c>
      <c r="J57" s="343">
        <v>4279</v>
      </c>
      <c r="K57" s="343">
        <v>21</v>
      </c>
      <c r="L57" s="343">
        <v>35</v>
      </c>
      <c r="M57" s="384">
        <v>46184</v>
      </c>
      <c r="N57" s="343" t="s">
        <v>235</v>
      </c>
      <c r="O57" s="343" t="s">
        <v>155</v>
      </c>
      <c r="Q57" s="343" t="s">
        <v>338</v>
      </c>
      <c r="R57" s="343" t="s">
        <v>131</v>
      </c>
      <c r="S57" s="384">
        <v>46069</v>
      </c>
      <c r="T57" s="384">
        <v>46075</v>
      </c>
    </row>
    <row r="58" spans="1:20">
      <c r="A58" s="343">
        <v>20260521</v>
      </c>
      <c r="B58" s="343">
        <v>16857</v>
      </c>
      <c r="C58" s="343">
        <v>103</v>
      </c>
      <c r="D58" s="343">
        <v>163</v>
      </c>
      <c r="E58" s="384">
        <v>46163</v>
      </c>
      <c r="F58" s="343" t="s">
        <v>235</v>
      </c>
      <c r="G58" s="343" t="s">
        <v>150</v>
      </c>
      <c r="I58" s="343">
        <v>20260612</v>
      </c>
      <c r="J58" s="343">
        <v>4686</v>
      </c>
      <c r="K58" s="343">
        <v>45</v>
      </c>
      <c r="L58" s="343">
        <v>100</v>
      </c>
      <c r="M58" s="384">
        <v>46185</v>
      </c>
      <c r="N58" s="343" t="s">
        <v>236</v>
      </c>
      <c r="O58" s="343" t="s">
        <v>155</v>
      </c>
      <c r="Q58" s="343" t="s">
        <v>338</v>
      </c>
      <c r="R58" s="343" t="s">
        <v>131</v>
      </c>
      <c r="S58" s="384">
        <v>46069</v>
      </c>
      <c r="T58" s="384">
        <v>46075</v>
      </c>
    </row>
    <row r="59" spans="1:20">
      <c r="A59" s="343">
        <v>20260522</v>
      </c>
      <c r="B59" s="343">
        <v>23723</v>
      </c>
      <c r="C59" s="343">
        <v>141</v>
      </c>
      <c r="D59" s="343">
        <v>234</v>
      </c>
      <c r="E59" s="384">
        <v>46164</v>
      </c>
      <c r="F59" s="343" t="s">
        <v>236</v>
      </c>
      <c r="G59" s="343" t="s">
        <v>150</v>
      </c>
      <c r="I59" s="343">
        <v>20260613</v>
      </c>
      <c r="J59" s="343">
        <v>8938.75</v>
      </c>
      <c r="K59" s="343">
        <v>52</v>
      </c>
      <c r="L59" s="343">
        <v>103</v>
      </c>
      <c r="M59" s="384">
        <v>46186</v>
      </c>
      <c r="N59" s="343" t="s">
        <v>244</v>
      </c>
      <c r="O59" s="343" t="s">
        <v>155</v>
      </c>
      <c r="Q59" s="343" t="s">
        <v>338</v>
      </c>
      <c r="R59" s="343" t="s">
        <v>131</v>
      </c>
      <c r="S59" s="384">
        <v>46069</v>
      </c>
      <c r="T59" s="384">
        <v>46075</v>
      </c>
    </row>
    <row r="60" spans="1:20">
      <c r="A60" s="343">
        <v>20260523</v>
      </c>
      <c r="B60" s="343">
        <v>99111.5</v>
      </c>
      <c r="C60" s="343">
        <v>279</v>
      </c>
      <c r="D60" s="343">
        <v>484</v>
      </c>
      <c r="E60" s="384">
        <v>46165</v>
      </c>
      <c r="F60" s="343" t="s">
        <v>244</v>
      </c>
      <c r="G60" s="343" t="s">
        <v>150</v>
      </c>
      <c r="I60" s="343">
        <v>20260614</v>
      </c>
      <c r="J60" s="343">
        <v>8897</v>
      </c>
      <c r="K60" s="343">
        <v>66</v>
      </c>
      <c r="L60" s="343">
        <v>121</v>
      </c>
      <c r="M60" s="384">
        <v>46187</v>
      </c>
      <c r="N60" s="343" t="s">
        <v>245</v>
      </c>
      <c r="O60" s="343" t="s">
        <v>155</v>
      </c>
      <c r="Q60" s="343" t="s">
        <v>338</v>
      </c>
      <c r="R60" s="343" t="s">
        <v>131</v>
      </c>
      <c r="S60" s="384">
        <v>46069</v>
      </c>
      <c r="T60" s="384">
        <v>46075</v>
      </c>
    </row>
    <row r="61" spans="1:20">
      <c r="A61" s="343">
        <v>20260524</v>
      </c>
      <c r="B61" s="343">
        <v>77091.009999999995</v>
      </c>
      <c r="C61" s="343">
        <v>248</v>
      </c>
      <c r="D61" s="343">
        <v>349</v>
      </c>
      <c r="E61" s="384">
        <v>46166</v>
      </c>
      <c r="F61" s="343" t="s">
        <v>245</v>
      </c>
      <c r="G61" s="343" t="s">
        <v>150</v>
      </c>
      <c r="I61" s="343">
        <v>20260618</v>
      </c>
      <c r="J61" s="343">
        <v>29904.799999999999</v>
      </c>
      <c r="K61" s="343">
        <v>1</v>
      </c>
      <c r="L61" s="343">
        <v>88</v>
      </c>
      <c r="M61" s="384">
        <v>46191</v>
      </c>
      <c r="N61" s="343" t="s">
        <v>235</v>
      </c>
      <c r="O61" s="343" t="s">
        <v>156</v>
      </c>
      <c r="Q61" s="343" t="s">
        <v>338</v>
      </c>
      <c r="R61" s="343" t="s">
        <v>131</v>
      </c>
      <c r="S61" s="384">
        <v>46069</v>
      </c>
      <c r="T61" s="384">
        <v>46075</v>
      </c>
    </row>
    <row r="62" spans="1:20">
      <c r="A62" s="343">
        <v>20260526</v>
      </c>
      <c r="B62" s="343">
        <v>-500</v>
      </c>
      <c r="C62" s="343">
        <v>17</v>
      </c>
      <c r="D62" s="343">
        <v>17</v>
      </c>
      <c r="E62" s="384">
        <v>46168</v>
      </c>
      <c r="F62" s="343" t="s">
        <v>233</v>
      </c>
      <c r="G62" s="343" t="s">
        <v>153</v>
      </c>
      <c r="I62" s="343">
        <v>20260619</v>
      </c>
      <c r="J62" s="343">
        <v>3786.6</v>
      </c>
      <c r="K62" s="343">
        <v>26</v>
      </c>
      <c r="L62" s="343">
        <v>50</v>
      </c>
      <c r="M62" s="384">
        <v>46192</v>
      </c>
      <c r="N62" s="343" t="s">
        <v>236</v>
      </c>
      <c r="O62" s="343" t="s">
        <v>156</v>
      </c>
      <c r="Q62" s="343" t="s">
        <v>338</v>
      </c>
      <c r="R62" s="343" t="s">
        <v>131</v>
      </c>
      <c r="S62" s="384">
        <v>46069</v>
      </c>
      <c r="T62" s="384">
        <v>46075</v>
      </c>
    </row>
    <row r="63" spans="1:20">
      <c r="A63" s="343">
        <v>20260528</v>
      </c>
      <c r="B63" s="343">
        <v>9926</v>
      </c>
      <c r="C63" s="343">
        <v>77</v>
      </c>
      <c r="D63" s="343">
        <v>148</v>
      </c>
      <c r="E63" s="384">
        <v>46170</v>
      </c>
      <c r="F63" s="343" t="s">
        <v>235</v>
      </c>
      <c r="G63" s="343" t="s">
        <v>153</v>
      </c>
      <c r="I63" s="343">
        <v>20260620</v>
      </c>
      <c r="J63" s="343">
        <v>12188.25</v>
      </c>
      <c r="K63" s="343">
        <v>56</v>
      </c>
      <c r="L63" s="343">
        <v>126</v>
      </c>
      <c r="M63" s="384">
        <v>46193</v>
      </c>
      <c r="N63" s="343" t="s">
        <v>244</v>
      </c>
      <c r="O63" s="343" t="s">
        <v>156</v>
      </c>
      <c r="Q63" s="343" t="s">
        <v>338</v>
      </c>
      <c r="R63" s="343" t="s">
        <v>131</v>
      </c>
      <c r="S63" s="384">
        <v>46069</v>
      </c>
      <c r="T63" s="384">
        <v>46075</v>
      </c>
    </row>
    <row r="64" spans="1:20">
      <c r="A64" s="343">
        <v>20260529</v>
      </c>
      <c r="B64" s="343">
        <v>24852</v>
      </c>
      <c r="C64" s="343">
        <v>139</v>
      </c>
      <c r="D64" s="343">
        <v>212</v>
      </c>
      <c r="E64" s="384">
        <v>46171</v>
      </c>
      <c r="F64" s="343" t="s">
        <v>236</v>
      </c>
      <c r="G64" s="343" t="s">
        <v>153</v>
      </c>
      <c r="I64" s="343">
        <v>20260621</v>
      </c>
      <c r="J64" s="343">
        <v>8241.5</v>
      </c>
      <c r="K64" s="343">
        <v>42</v>
      </c>
      <c r="L64" s="343">
        <v>77</v>
      </c>
      <c r="M64" s="384">
        <v>46194</v>
      </c>
      <c r="N64" s="343" t="s">
        <v>245</v>
      </c>
      <c r="O64" s="343" t="s">
        <v>156</v>
      </c>
      <c r="Q64" s="343" t="s">
        <v>338</v>
      </c>
      <c r="R64" s="343" t="s">
        <v>131</v>
      </c>
      <c r="S64" s="384">
        <v>46069</v>
      </c>
      <c r="T64" s="384">
        <v>46075</v>
      </c>
    </row>
    <row r="65" spans="1:20">
      <c r="A65" s="343">
        <v>20260530</v>
      </c>
      <c r="B65" s="343">
        <v>46336</v>
      </c>
      <c r="C65" s="343">
        <v>189</v>
      </c>
      <c r="D65" s="343">
        <v>316</v>
      </c>
      <c r="E65" s="384">
        <v>46172</v>
      </c>
      <c r="F65" s="343" t="s">
        <v>244</v>
      </c>
      <c r="G65" s="343" t="s">
        <v>153</v>
      </c>
      <c r="I65" s="343">
        <v>20260625</v>
      </c>
      <c r="J65" s="343">
        <v>7157</v>
      </c>
      <c r="K65" s="343">
        <v>26</v>
      </c>
      <c r="L65" s="343">
        <v>61</v>
      </c>
      <c r="M65" s="384">
        <v>46198</v>
      </c>
      <c r="N65" s="343" t="s">
        <v>235</v>
      </c>
      <c r="O65" s="343" t="s">
        <v>157</v>
      </c>
      <c r="Q65" s="343" t="s">
        <v>338</v>
      </c>
      <c r="R65" s="343" t="s">
        <v>131</v>
      </c>
      <c r="S65" s="384">
        <v>46069</v>
      </c>
      <c r="T65" s="384">
        <v>46075</v>
      </c>
    </row>
    <row r="66" spans="1:20">
      <c r="A66" s="343">
        <v>20260531</v>
      </c>
      <c r="B66" s="343">
        <v>30273</v>
      </c>
      <c r="C66" s="343">
        <v>182</v>
      </c>
      <c r="D66" s="343">
        <v>236</v>
      </c>
      <c r="E66" s="384">
        <v>46173</v>
      </c>
      <c r="F66" s="343" t="s">
        <v>245</v>
      </c>
      <c r="G66" s="343" t="s">
        <v>153</v>
      </c>
      <c r="I66" s="343">
        <v>20260626</v>
      </c>
      <c r="J66" s="343">
        <v>6551</v>
      </c>
      <c r="K66" s="343">
        <v>22</v>
      </c>
      <c r="L66" s="343">
        <v>70</v>
      </c>
      <c r="M66" s="384">
        <v>46199</v>
      </c>
      <c r="N66" s="343" t="s">
        <v>236</v>
      </c>
      <c r="O66" s="343" t="s">
        <v>157</v>
      </c>
      <c r="Q66" s="343" t="s">
        <v>338</v>
      </c>
      <c r="R66" s="343" t="s">
        <v>131</v>
      </c>
      <c r="S66" s="384">
        <v>46069</v>
      </c>
      <c r="T66" s="384">
        <v>46075</v>
      </c>
    </row>
    <row r="67" spans="1:20">
      <c r="A67" s="343">
        <v>20260602</v>
      </c>
      <c r="C67" s="343">
        <v>1</v>
      </c>
      <c r="D67" s="343">
        <v>1</v>
      </c>
      <c r="E67" s="384">
        <v>46175</v>
      </c>
      <c r="F67" s="343" t="s">
        <v>233</v>
      </c>
      <c r="G67" s="343" t="s">
        <v>154</v>
      </c>
      <c r="I67" s="343">
        <v>20260627</v>
      </c>
      <c r="J67" s="343">
        <v>4477</v>
      </c>
      <c r="K67" s="343">
        <v>16</v>
      </c>
      <c r="L67" s="343">
        <v>41</v>
      </c>
      <c r="M67" s="384">
        <v>46200</v>
      </c>
      <c r="N67" s="343" t="s">
        <v>244</v>
      </c>
      <c r="O67" s="343" t="s">
        <v>157</v>
      </c>
      <c r="Q67" s="343" t="s">
        <v>338</v>
      </c>
      <c r="R67" s="343" t="s">
        <v>134</v>
      </c>
      <c r="S67" s="384">
        <v>46076</v>
      </c>
      <c r="T67" s="384">
        <v>46082</v>
      </c>
    </row>
    <row r="68" spans="1:20">
      <c r="A68" s="343">
        <v>20260603</v>
      </c>
      <c r="B68" s="343">
        <v>21367.5</v>
      </c>
      <c r="C68" s="343">
        <v>10</v>
      </c>
      <c r="D68" s="343">
        <v>57</v>
      </c>
      <c r="E68" s="384">
        <v>46176</v>
      </c>
      <c r="F68" s="343" t="s">
        <v>234</v>
      </c>
      <c r="G68" s="343" t="s">
        <v>154</v>
      </c>
      <c r="I68" s="343">
        <v>20260628</v>
      </c>
      <c r="J68" s="343">
        <v>8489</v>
      </c>
      <c r="K68" s="343">
        <v>52</v>
      </c>
      <c r="L68" s="343">
        <v>95</v>
      </c>
      <c r="M68" s="384">
        <v>46201</v>
      </c>
      <c r="N68" s="343" t="s">
        <v>245</v>
      </c>
      <c r="O68" s="343" t="s">
        <v>157</v>
      </c>
      <c r="Q68" s="343" t="s">
        <v>338</v>
      </c>
      <c r="R68" s="343" t="s">
        <v>134</v>
      </c>
      <c r="S68" s="384">
        <v>46076</v>
      </c>
      <c r="T68" s="384">
        <v>46082</v>
      </c>
    </row>
    <row r="69" spans="1:20">
      <c r="A69" s="343">
        <v>20260604</v>
      </c>
      <c r="B69" s="343">
        <v>47490</v>
      </c>
      <c r="C69" s="343">
        <v>159</v>
      </c>
      <c r="D69" s="343">
        <v>236</v>
      </c>
      <c r="E69" s="384">
        <v>46177</v>
      </c>
      <c r="F69" s="343" t="s">
        <v>235</v>
      </c>
      <c r="G69" s="343" t="s">
        <v>154</v>
      </c>
      <c r="I69" s="343">
        <v>20260702</v>
      </c>
      <c r="J69" s="343">
        <v>10657</v>
      </c>
      <c r="K69" s="343">
        <v>151</v>
      </c>
      <c r="L69" s="343">
        <v>217</v>
      </c>
      <c r="M69" s="384">
        <v>46205</v>
      </c>
      <c r="N69" s="343" t="s">
        <v>235</v>
      </c>
      <c r="O69" s="343" t="s">
        <v>160</v>
      </c>
      <c r="Q69" s="343" t="s">
        <v>338</v>
      </c>
      <c r="R69" s="343" t="s">
        <v>134</v>
      </c>
      <c r="S69" s="384">
        <v>46076</v>
      </c>
      <c r="T69" s="384">
        <v>46082</v>
      </c>
    </row>
    <row r="70" spans="1:20">
      <c r="A70" s="343">
        <v>20260605</v>
      </c>
      <c r="B70" s="343">
        <v>19366</v>
      </c>
      <c r="C70" s="343">
        <v>155</v>
      </c>
      <c r="D70" s="343">
        <v>247</v>
      </c>
      <c r="E70" s="384">
        <v>46178</v>
      </c>
      <c r="F70" s="343" t="s">
        <v>236</v>
      </c>
      <c r="G70" s="343" t="s">
        <v>154</v>
      </c>
      <c r="I70" s="343">
        <v>20260703</v>
      </c>
      <c r="J70" s="343">
        <v>3797</v>
      </c>
      <c r="K70" s="343">
        <v>14</v>
      </c>
      <c r="L70" s="343">
        <v>46</v>
      </c>
      <c r="M70" s="384">
        <v>46206</v>
      </c>
      <c r="N70" s="343" t="s">
        <v>236</v>
      </c>
      <c r="O70" s="343" t="s">
        <v>160</v>
      </c>
      <c r="Q70" s="343" t="s">
        <v>338</v>
      </c>
      <c r="R70" s="343" t="s">
        <v>134</v>
      </c>
      <c r="S70" s="384">
        <v>46076</v>
      </c>
      <c r="T70" s="384">
        <v>46082</v>
      </c>
    </row>
    <row r="71" spans="1:20">
      <c r="A71" s="343">
        <v>20260606</v>
      </c>
      <c r="B71" s="343">
        <v>49774</v>
      </c>
      <c r="C71" s="343">
        <v>186</v>
      </c>
      <c r="D71" s="343">
        <v>305</v>
      </c>
      <c r="E71" s="384">
        <v>46179</v>
      </c>
      <c r="F71" s="343" t="s">
        <v>244</v>
      </c>
      <c r="G71" s="343" t="s">
        <v>154</v>
      </c>
      <c r="I71" s="343">
        <v>20260704</v>
      </c>
      <c r="J71" s="343">
        <v>7147</v>
      </c>
      <c r="K71" s="343">
        <v>34</v>
      </c>
      <c r="L71" s="343">
        <v>84</v>
      </c>
      <c r="M71" s="384">
        <v>46207</v>
      </c>
      <c r="N71" s="343" t="s">
        <v>244</v>
      </c>
      <c r="O71" s="343" t="s">
        <v>160</v>
      </c>
      <c r="Q71" s="343" t="s">
        <v>338</v>
      </c>
      <c r="R71" s="343" t="s">
        <v>134</v>
      </c>
      <c r="S71" s="384">
        <v>46076</v>
      </c>
      <c r="T71" s="384">
        <v>46082</v>
      </c>
    </row>
    <row r="72" spans="1:20">
      <c r="A72" s="343">
        <v>20260607</v>
      </c>
      <c r="B72" s="343">
        <v>31594.25</v>
      </c>
      <c r="C72" s="343">
        <v>129</v>
      </c>
      <c r="D72" s="343">
        <v>156</v>
      </c>
      <c r="E72" s="384">
        <v>46180</v>
      </c>
      <c r="F72" s="343" t="s">
        <v>245</v>
      </c>
      <c r="G72" s="343" t="s">
        <v>154</v>
      </c>
      <c r="I72" s="343">
        <v>20260705</v>
      </c>
      <c r="J72" s="343">
        <v>8895</v>
      </c>
      <c r="K72" s="343">
        <v>44</v>
      </c>
      <c r="L72" s="343">
        <v>101</v>
      </c>
      <c r="M72" s="384">
        <v>46208</v>
      </c>
      <c r="N72" s="343" t="s">
        <v>245</v>
      </c>
      <c r="O72" s="343" t="s">
        <v>160</v>
      </c>
      <c r="Q72" s="343" t="s">
        <v>338</v>
      </c>
      <c r="R72" s="343" t="s">
        <v>134</v>
      </c>
      <c r="S72" s="384">
        <v>46076</v>
      </c>
      <c r="T72" s="384">
        <v>46082</v>
      </c>
    </row>
    <row r="73" spans="1:20">
      <c r="A73" s="343">
        <v>20260608</v>
      </c>
      <c r="C73" s="343">
        <v>1</v>
      </c>
      <c r="D73" s="343">
        <v>1</v>
      </c>
      <c r="E73" s="384">
        <v>46181</v>
      </c>
      <c r="F73" s="343" t="s">
        <v>232</v>
      </c>
      <c r="G73" s="343" t="s">
        <v>155</v>
      </c>
      <c r="I73" s="343">
        <v>20260709</v>
      </c>
      <c r="J73" s="343">
        <v>4066</v>
      </c>
      <c r="K73" s="343">
        <v>24</v>
      </c>
      <c r="L73" s="343">
        <v>46</v>
      </c>
      <c r="M73" s="384">
        <v>46212</v>
      </c>
      <c r="N73" s="343" t="s">
        <v>235</v>
      </c>
      <c r="O73" s="343" t="s">
        <v>161</v>
      </c>
      <c r="Q73" s="343" t="s">
        <v>338</v>
      </c>
      <c r="R73" s="343" t="s">
        <v>134</v>
      </c>
      <c r="S73" s="384">
        <v>46076</v>
      </c>
      <c r="T73" s="384">
        <v>46082</v>
      </c>
    </row>
    <row r="74" spans="1:20">
      <c r="A74" s="343">
        <v>20260609</v>
      </c>
      <c r="C74" s="343">
        <v>1</v>
      </c>
      <c r="D74" s="343">
        <v>1</v>
      </c>
      <c r="E74" s="384">
        <v>46182</v>
      </c>
      <c r="F74" s="343" t="s">
        <v>233</v>
      </c>
      <c r="G74" s="343" t="s">
        <v>155</v>
      </c>
      <c r="I74" s="343">
        <v>20260710</v>
      </c>
      <c r="J74" s="343">
        <v>9242</v>
      </c>
      <c r="K74" s="343">
        <v>41</v>
      </c>
      <c r="L74" s="343">
        <v>117</v>
      </c>
      <c r="M74" s="384">
        <v>46213</v>
      </c>
      <c r="N74" s="343" t="s">
        <v>236</v>
      </c>
      <c r="O74" s="343" t="s">
        <v>161</v>
      </c>
      <c r="Q74" s="343" t="s">
        <v>338</v>
      </c>
      <c r="R74" s="343" t="s">
        <v>134</v>
      </c>
      <c r="S74" s="384">
        <v>46076</v>
      </c>
      <c r="T74" s="384">
        <v>46082</v>
      </c>
    </row>
    <row r="75" spans="1:20">
      <c r="A75" s="343">
        <v>20260611</v>
      </c>
      <c r="B75" s="343">
        <v>5414</v>
      </c>
      <c r="C75" s="343">
        <v>39</v>
      </c>
      <c r="D75" s="343">
        <v>64</v>
      </c>
      <c r="E75" s="384">
        <v>46184</v>
      </c>
      <c r="F75" s="343" t="s">
        <v>235</v>
      </c>
      <c r="G75" s="343" t="s">
        <v>155</v>
      </c>
      <c r="I75" s="343">
        <v>20260711</v>
      </c>
      <c r="J75" s="343">
        <v>7516</v>
      </c>
      <c r="K75" s="343">
        <v>21</v>
      </c>
      <c r="L75" s="343">
        <v>77</v>
      </c>
      <c r="M75" s="384">
        <v>46214</v>
      </c>
      <c r="N75" s="343" t="s">
        <v>244</v>
      </c>
      <c r="O75" s="343" t="s">
        <v>161</v>
      </c>
      <c r="Q75" s="343" t="s">
        <v>338</v>
      </c>
      <c r="R75" s="343" t="s">
        <v>134</v>
      </c>
      <c r="S75" s="384">
        <v>46076</v>
      </c>
      <c r="T75" s="384">
        <v>46082</v>
      </c>
    </row>
    <row r="76" spans="1:20">
      <c r="A76" s="343">
        <v>20260612</v>
      </c>
      <c r="B76" s="343">
        <v>28154.6</v>
      </c>
      <c r="C76" s="343">
        <v>137</v>
      </c>
      <c r="D76" s="343">
        <v>197</v>
      </c>
      <c r="E76" s="384">
        <v>46185</v>
      </c>
      <c r="F76" s="343" t="s">
        <v>236</v>
      </c>
      <c r="G76" s="343" t="s">
        <v>155</v>
      </c>
      <c r="I76" s="343">
        <v>20260712</v>
      </c>
      <c r="J76" s="343">
        <v>13940</v>
      </c>
      <c r="K76" s="343">
        <v>73</v>
      </c>
      <c r="L76" s="343">
        <v>137</v>
      </c>
      <c r="M76" s="384">
        <v>46215</v>
      </c>
      <c r="N76" s="343" t="s">
        <v>245</v>
      </c>
      <c r="O76" s="343" t="s">
        <v>161</v>
      </c>
      <c r="Q76" s="343" t="s">
        <v>338</v>
      </c>
      <c r="R76" s="343" t="s">
        <v>135</v>
      </c>
      <c r="S76" s="384">
        <v>46083</v>
      </c>
      <c r="T76" s="384">
        <v>46089</v>
      </c>
    </row>
    <row r="77" spans="1:20">
      <c r="A77" s="343">
        <v>20260613</v>
      </c>
      <c r="B77" s="343">
        <v>30026</v>
      </c>
      <c r="C77" s="343">
        <v>143</v>
      </c>
      <c r="D77" s="343">
        <v>185</v>
      </c>
      <c r="E77" s="384">
        <v>46186</v>
      </c>
      <c r="F77" s="343" t="s">
        <v>244</v>
      </c>
      <c r="G77" s="343" t="s">
        <v>155</v>
      </c>
      <c r="I77" s="343">
        <v>20260807</v>
      </c>
      <c r="J77" s="343">
        <v>3873</v>
      </c>
      <c r="K77" s="343">
        <v>16</v>
      </c>
      <c r="L77" s="343">
        <v>46</v>
      </c>
      <c r="M77" s="384">
        <v>46241</v>
      </c>
      <c r="N77" s="343" t="s">
        <v>236</v>
      </c>
      <c r="O77" s="343" t="s">
        <v>167</v>
      </c>
      <c r="Q77" s="343" t="s">
        <v>338</v>
      </c>
      <c r="R77" s="343" t="s">
        <v>135</v>
      </c>
      <c r="S77" s="384">
        <v>46083</v>
      </c>
      <c r="T77" s="384">
        <v>46089</v>
      </c>
    </row>
    <row r="78" spans="1:20">
      <c r="A78" s="343">
        <v>20260614</v>
      </c>
      <c r="B78" s="343">
        <v>33948.75</v>
      </c>
      <c r="C78" s="343">
        <v>224</v>
      </c>
      <c r="D78" s="343">
        <v>306</v>
      </c>
      <c r="E78" s="384">
        <v>46187</v>
      </c>
      <c r="F78" s="343" t="s">
        <v>245</v>
      </c>
      <c r="G78" s="343" t="s">
        <v>155</v>
      </c>
      <c r="I78" s="343">
        <v>20260808</v>
      </c>
      <c r="J78" s="343">
        <v>10282</v>
      </c>
      <c r="K78" s="343">
        <v>54</v>
      </c>
      <c r="L78" s="343">
        <v>120</v>
      </c>
      <c r="M78" s="384">
        <v>46242</v>
      </c>
      <c r="N78" s="343" t="s">
        <v>244</v>
      </c>
      <c r="O78" s="343" t="s">
        <v>167</v>
      </c>
      <c r="Q78" s="343" t="s">
        <v>338</v>
      </c>
      <c r="R78" s="343" t="s">
        <v>135</v>
      </c>
      <c r="S78" s="384">
        <v>46083</v>
      </c>
      <c r="T78" s="384">
        <v>46089</v>
      </c>
    </row>
    <row r="79" spans="1:20">
      <c r="A79" s="343">
        <v>20260617</v>
      </c>
      <c r="C79" s="343">
        <v>1</v>
      </c>
      <c r="D79" s="343">
        <v>1</v>
      </c>
      <c r="E79" s="384">
        <v>46190</v>
      </c>
      <c r="F79" s="343" t="s">
        <v>234</v>
      </c>
      <c r="G79" s="343" t="s">
        <v>156</v>
      </c>
      <c r="I79" s="343">
        <v>20260809</v>
      </c>
      <c r="J79" s="343">
        <v>674</v>
      </c>
      <c r="K79" s="343">
        <v>5</v>
      </c>
      <c r="L79" s="343">
        <v>10</v>
      </c>
      <c r="M79" s="384">
        <v>46243</v>
      </c>
      <c r="N79" s="343" t="s">
        <v>245</v>
      </c>
      <c r="O79" s="343" t="s">
        <v>167</v>
      </c>
      <c r="Q79" s="343" t="s">
        <v>338</v>
      </c>
      <c r="R79" s="343" t="s">
        <v>135</v>
      </c>
      <c r="S79" s="384">
        <v>46083</v>
      </c>
      <c r="T79" s="384">
        <v>46089</v>
      </c>
    </row>
    <row r="80" spans="1:20">
      <c r="A80" s="343">
        <v>20260618</v>
      </c>
      <c r="B80" s="343">
        <v>6092</v>
      </c>
      <c r="C80" s="343">
        <v>56</v>
      </c>
      <c r="D80" s="343">
        <v>82</v>
      </c>
      <c r="E80" s="384">
        <v>46191</v>
      </c>
      <c r="F80" s="343" t="s">
        <v>235</v>
      </c>
      <c r="G80" s="343" t="s">
        <v>156</v>
      </c>
      <c r="I80" s="343">
        <v>20260813</v>
      </c>
      <c r="J80" s="343">
        <v>3913</v>
      </c>
      <c r="K80" s="343">
        <v>16</v>
      </c>
      <c r="L80" s="343">
        <v>37</v>
      </c>
      <c r="M80" s="384">
        <v>46247</v>
      </c>
      <c r="N80" s="343" t="s">
        <v>235</v>
      </c>
      <c r="O80" s="343" t="s">
        <v>168</v>
      </c>
      <c r="Q80" s="343" t="s">
        <v>338</v>
      </c>
      <c r="R80" s="343" t="s">
        <v>135</v>
      </c>
      <c r="S80" s="384">
        <v>46083</v>
      </c>
      <c r="T80" s="384">
        <v>46089</v>
      </c>
    </row>
    <row r="81" spans="1:20">
      <c r="A81" s="343">
        <v>20260619</v>
      </c>
      <c r="B81" s="343">
        <v>17877</v>
      </c>
      <c r="C81" s="343">
        <v>129</v>
      </c>
      <c r="D81" s="343">
        <v>169</v>
      </c>
      <c r="E81" s="384">
        <v>46192</v>
      </c>
      <c r="F81" s="343" t="s">
        <v>236</v>
      </c>
      <c r="G81" s="343" t="s">
        <v>156</v>
      </c>
      <c r="I81" s="343">
        <v>20260814</v>
      </c>
      <c r="J81" s="343">
        <v>8398</v>
      </c>
      <c r="K81" s="343">
        <v>46</v>
      </c>
      <c r="L81" s="343">
        <v>86</v>
      </c>
      <c r="M81" s="384">
        <v>46248</v>
      </c>
      <c r="N81" s="343" t="s">
        <v>236</v>
      </c>
      <c r="O81" s="343" t="s">
        <v>168</v>
      </c>
      <c r="Q81" s="343" t="s">
        <v>338</v>
      </c>
      <c r="R81" s="343" t="s">
        <v>135</v>
      </c>
      <c r="S81" s="384">
        <v>46083</v>
      </c>
      <c r="T81" s="384">
        <v>46089</v>
      </c>
    </row>
    <row r="82" spans="1:20">
      <c r="A82" s="343">
        <v>20260620</v>
      </c>
      <c r="B82" s="343">
        <v>70432.55</v>
      </c>
      <c r="C82" s="343">
        <v>194</v>
      </c>
      <c r="D82" s="343">
        <v>320</v>
      </c>
      <c r="E82" s="384">
        <v>46193</v>
      </c>
      <c r="F82" s="343" t="s">
        <v>244</v>
      </c>
      <c r="G82" s="343" t="s">
        <v>156</v>
      </c>
      <c r="I82" s="343">
        <v>20260815</v>
      </c>
      <c r="J82" s="343">
        <v>11917</v>
      </c>
      <c r="K82" s="343">
        <v>70</v>
      </c>
      <c r="L82" s="343">
        <v>151</v>
      </c>
      <c r="M82" s="384">
        <v>46249</v>
      </c>
      <c r="N82" s="343" t="s">
        <v>244</v>
      </c>
      <c r="O82" s="343" t="s">
        <v>168</v>
      </c>
      <c r="Q82" s="343" t="s">
        <v>338</v>
      </c>
      <c r="R82" s="343" t="s">
        <v>135</v>
      </c>
      <c r="S82" s="384">
        <v>46083</v>
      </c>
      <c r="T82" s="384">
        <v>46089</v>
      </c>
    </row>
    <row r="83" spans="1:20">
      <c r="A83" s="343">
        <v>20260621</v>
      </c>
      <c r="B83" s="343">
        <v>52164.68</v>
      </c>
      <c r="C83" s="343">
        <v>237</v>
      </c>
      <c r="D83" s="343">
        <v>292</v>
      </c>
      <c r="E83" s="384">
        <v>46194</v>
      </c>
      <c r="F83" s="343" t="s">
        <v>245</v>
      </c>
      <c r="G83" s="343" t="s">
        <v>156</v>
      </c>
      <c r="I83" s="343">
        <v>20260816</v>
      </c>
      <c r="J83" s="343">
        <v>3729</v>
      </c>
      <c r="K83" s="343">
        <v>16</v>
      </c>
      <c r="L83" s="343">
        <v>46</v>
      </c>
      <c r="M83" s="384">
        <v>46250</v>
      </c>
      <c r="N83" s="343" t="s">
        <v>245</v>
      </c>
      <c r="O83" s="343" t="s">
        <v>168</v>
      </c>
      <c r="Q83" s="343" t="s">
        <v>338</v>
      </c>
      <c r="R83" s="343" t="s">
        <v>135</v>
      </c>
      <c r="S83" s="384">
        <v>46083</v>
      </c>
      <c r="T83" s="384">
        <v>46089</v>
      </c>
    </row>
    <row r="84" spans="1:20">
      <c r="A84" s="343">
        <v>20260622</v>
      </c>
      <c r="C84" s="343">
        <v>1</v>
      </c>
      <c r="D84" s="343">
        <v>1</v>
      </c>
      <c r="E84" s="384">
        <v>46195</v>
      </c>
      <c r="F84" s="343" t="s">
        <v>232</v>
      </c>
      <c r="G84" s="343" t="s">
        <v>157</v>
      </c>
      <c r="I84" s="343">
        <v>20260820</v>
      </c>
      <c r="J84" s="343">
        <v>12884.25</v>
      </c>
      <c r="K84" s="343">
        <v>32</v>
      </c>
      <c r="L84" s="343">
        <v>126</v>
      </c>
      <c r="M84" s="384">
        <v>46254</v>
      </c>
      <c r="N84" s="343" t="s">
        <v>235</v>
      </c>
      <c r="O84" s="343" t="s">
        <v>101</v>
      </c>
      <c r="Q84" s="343" t="s">
        <v>338</v>
      </c>
      <c r="R84" s="343" t="s">
        <v>135</v>
      </c>
      <c r="S84" s="384">
        <v>46083</v>
      </c>
      <c r="T84" s="384">
        <v>46089</v>
      </c>
    </row>
    <row r="85" spans="1:20">
      <c r="A85" s="343">
        <v>20260623</v>
      </c>
      <c r="C85" s="343">
        <v>2</v>
      </c>
      <c r="D85" s="343">
        <v>2</v>
      </c>
      <c r="E85" s="384">
        <v>46196</v>
      </c>
      <c r="F85" s="343" t="s">
        <v>233</v>
      </c>
      <c r="G85" s="343" t="s">
        <v>157</v>
      </c>
      <c r="I85" s="343">
        <v>20260821</v>
      </c>
      <c r="J85" s="343">
        <v>9947</v>
      </c>
      <c r="K85" s="343">
        <v>36</v>
      </c>
      <c r="L85" s="343">
        <v>117</v>
      </c>
      <c r="M85" s="384">
        <v>46255</v>
      </c>
      <c r="N85" s="343" t="s">
        <v>236</v>
      </c>
      <c r="O85" s="343" t="s">
        <v>101</v>
      </c>
      <c r="Q85" s="343" t="s">
        <v>338</v>
      </c>
      <c r="R85" s="343" t="s">
        <v>136</v>
      </c>
      <c r="S85" s="384">
        <v>46090</v>
      </c>
      <c r="T85" s="384">
        <v>46096</v>
      </c>
    </row>
    <row r="86" spans="1:20">
      <c r="A86" s="343">
        <v>20260624</v>
      </c>
      <c r="C86" s="343">
        <v>2</v>
      </c>
      <c r="D86" s="343">
        <v>2</v>
      </c>
      <c r="E86" s="384">
        <v>46197</v>
      </c>
      <c r="F86" s="343" t="s">
        <v>234</v>
      </c>
      <c r="G86" s="343" t="s">
        <v>157</v>
      </c>
      <c r="I86" s="343">
        <v>20260822</v>
      </c>
      <c r="J86" s="343">
        <v>13137</v>
      </c>
      <c r="K86" s="343">
        <v>53</v>
      </c>
      <c r="L86" s="343">
        <v>138</v>
      </c>
      <c r="M86" s="384">
        <v>46256</v>
      </c>
      <c r="N86" s="343" t="s">
        <v>244</v>
      </c>
      <c r="O86" s="343" t="s">
        <v>101</v>
      </c>
      <c r="Q86" s="343" t="s">
        <v>338</v>
      </c>
      <c r="R86" s="343" t="s">
        <v>136</v>
      </c>
      <c r="S86" s="384">
        <v>46090</v>
      </c>
      <c r="T86" s="384">
        <v>46096</v>
      </c>
    </row>
    <row r="87" spans="1:20">
      <c r="A87" s="343">
        <v>20260625</v>
      </c>
      <c r="B87" s="343">
        <v>65636.009999999995</v>
      </c>
      <c r="C87" s="343">
        <v>155</v>
      </c>
      <c r="D87" s="343">
        <v>254</v>
      </c>
      <c r="E87" s="384">
        <v>46198</v>
      </c>
      <c r="F87" s="343" t="s">
        <v>235</v>
      </c>
      <c r="G87" s="343" t="s">
        <v>157</v>
      </c>
      <c r="I87" s="343">
        <v>20260823</v>
      </c>
      <c r="J87" s="343">
        <v>237</v>
      </c>
      <c r="K87" s="343">
        <v>3</v>
      </c>
      <c r="L87" s="343">
        <v>3</v>
      </c>
      <c r="M87" s="384">
        <v>46257</v>
      </c>
      <c r="N87" s="343" t="s">
        <v>245</v>
      </c>
      <c r="O87" s="343" t="s">
        <v>101</v>
      </c>
      <c r="Q87" s="343" t="s">
        <v>338</v>
      </c>
      <c r="R87" s="343" t="s">
        <v>136</v>
      </c>
      <c r="S87" s="384">
        <v>46090</v>
      </c>
      <c r="T87" s="384">
        <v>46096</v>
      </c>
    </row>
    <row r="88" spans="1:20">
      <c r="A88" s="343">
        <v>20260626</v>
      </c>
      <c r="B88" s="343">
        <v>58411.11</v>
      </c>
      <c r="C88" s="343">
        <v>137</v>
      </c>
      <c r="D88" s="343">
        <v>210</v>
      </c>
      <c r="E88" s="384">
        <v>46199</v>
      </c>
      <c r="F88" s="343" t="s">
        <v>236</v>
      </c>
      <c r="G88" s="343" t="s">
        <v>157</v>
      </c>
      <c r="Q88" s="343" t="s">
        <v>338</v>
      </c>
      <c r="R88" s="343" t="s">
        <v>136</v>
      </c>
      <c r="S88" s="384">
        <v>46090</v>
      </c>
      <c r="T88" s="384">
        <v>46096</v>
      </c>
    </row>
    <row r="89" spans="1:20">
      <c r="A89" s="343">
        <v>20260627</v>
      </c>
      <c r="B89" s="343">
        <v>36355.5</v>
      </c>
      <c r="C89" s="343">
        <v>182</v>
      </c>
      <c r="D89" s="343">
        <v>267</v>
      </c>
      <c r="E89" s="384">
        <v>46200</v>
      </c>
      <c r="F89" s="343" t="s">
        <v>244</v>
      </c>
      <c r="G89" s="343" t="s">
        <v>157</v>
      </c>
      <c r="Q89" s="343" t="s">
        <v>338</v>
      </c>
      <c r="R89" s="343" t="s">
        <v>136</v>
      </c>
      <c r="S89" s="384">
        <v>46090</v>
      </c>
      <c r="T89" s="384">
        <v>46096</v>
      </c>
    </row>
    <row r="90" spans="1:20">
      <c r="A90" s="343">
        <v>20260628</v>
      </c>
      <c r="B90" s="343">
        <v>84452.01</v>
      </c>
      <c r="C90" s="343">
        <v>213</v>
      </c>
      <c r="D90" s="343">
        <v>286</v>
      </c>
      <c r="E90" s="384">
        <v>46201</v>
      </c>
      <c r="F90" s="343" t="s">
        <v>245</v>
      </c>
      <c r="G90" s="343" t="s">
        <v>157</v>
      </c>
      <c r="Q90" s="343" t="s">
        <v>338</v>
      </c>
      <c r="R90" s="343" t="s">
        <v>136</v>
      </c>
      <c r="S90" s="384">
        <v>46090</v>
      </c>
      <c r="T90" s="384">
        <v>46096</v>
      </c>
    </row>
    <row r="91" spans="1:20">
      <c r="A91" s="343">
        <v>20260702</v>
      </c>
      <c r="B91" s="343">
        <v>32362.01</v>
      </c>
      <c r="C91" s="343">
        <v>323</v>
      </c>
      <c r="D91" s="343">
        <v>362</v>
      </c>
      <c r="E91" s="384">
        <v>46205</v>
      </c>
      <c r="F91" s="343" t="s">
        <v>235</v>
      </c>
      <c r="G91" s="343" t="s">
        <v>160</v>
      </c>
      <c r="Q91" s="343" t="s">
        <v>338</v>
      </c>
      <c r="R91" s="343" t="s">
        <v>136</v>
      </c>
      <c r="S91" s="384">
        <v>46090</v>
      </c>
      <c r="T91" s="384">
        <v>46096</v>
      </c>
    </row>
    <row r="92" spans="1:20">
      <c r="A92" s="343">
        <v>20260703</v>
      </c>
      <c r="B92" s="343">
        <v>15864.01</v>
      </c>
      <c r="C92" s="343">
        <v>106</v>
      </c>
      <c r="D92" s="343">
        <v>170</v>
      </c>
      <c r="E92" s="384">
        <v>46206</v>
      </c>
      <c r="F92" s="343" t="s">
        <v>236</v>
      </c>
      <c r="G92" s="343" t="s">
        <v>160</v>
      </c>
      <c r="Q92" s="343" t="s">
        <v>338</v>
      </c>
      <c r="R92" s="343" t="s">
        <v>137</v>
      </c>
      <c r="S92" s="384">
        <v>46097</v>
      </c>
      <c r="T92" s="384">
        <v>46103</v>
      </c>
    </row>
    <row r="93" spans="1:20">
      <c r="A93" s="343">
        <v>20260704</v>
      </c>
      <c r="B93" s="343">
        <v>40177</v>
      </c>
      <c r="C93" s="343">
        <v>176</v>
      </c>
      <c r="D93" s="343">
        <v>289</v>
      </c>
      <c r="E93" s="384">
        <v>46207</v>
      </c>
      <c r="F93" s="343" t="s">
        <v>244</v>
      </c>
      <c r="G93" s="343" t="s">
        <v>160</v>
      </c>
      <c r="Q93" s="343" t="s">
        <v>338</v>
      </c>
      <c r="R93" s="343" t="s">
        <v>137</v>
      </c>
      <c r="S93" s="384">
        <v>46097</v>
      </c>
      <c r="T93" s="384">
        <v>46103</v>
      </c>
    </row>
    <row r="94" spans="1:20">
      <c r="A94" s="343">
        <v>20260705</v>
      </c>
      <c r="B94" s="343">
        <v>31551.5</v>
      </c>
      <c r="C94" s="343">
        <v>152</v>
      </c>
      <c r="D94" s="343">
        <v>204</v>
      </c>
      <c r="E94" s="384">
        <v>46208</v>
      </c>
      <c r="F94" s="343" t="s">
        <v>245</v>
      </c>
      <c r="G94" s="343" t="s">
        <v>160</v>
      </c>
      <c r="Q94" s="343" t="s">
        <v>338</v>
      </c>
      <c r="R94" s="343" t="s">
        <v>137</v>
      </c>
      <c r="S94" s="384">
        <v>46097</v>
      </c>
      <c r="T94" s="384">
        <v>46103</v>
      </c>
    </row>
    <row r="95" spans="1:20">
      <c r="A95" s="343">
        <v>20260706</v>
      </c>
      <c r="C95" s="343">
        <v>12</v>
      </c>
      <c r="D95" s="343">
        <v>12</v>
      </c>
      <c r="E95" s="384">
        <v>46209</v>
      </c>
      <c r="F95" s="343" t="s">
        <v>232</v>
      </c>
      <c r="G95" s="343" t="s">
        <v>161</v>
      </c>
      <c r="Q95" s="343" t="s">
        <v>338</v>
      </c>
      <c r="R95" s="343" t="s">
        <v>137</v>
      </c>
      <c r="S95" s="384">
        <v>46097</v>
      </c>
      <c r="T95" s="384">
        <v>46103</v>
      </c>
    </row>
    <row r="96" spans="1:20">
      <c r="A96" s="343">
        <v>20260708</v>
      </c>
      <c r="C96" s="343">
        <v>1</v>
      </c>
      <c r="D96" s="343">
        <v>1</v>
      </c>
      <c r="E96" s="384">
        <v>46211</v>
      </c>
      <c r="F96" s="343" t="s">
        <v>234</v>
      </c>
      <c r="G96" s="343" t="s">
        <v>161</v>
      </c>
      <c r="Q96" s="343" t="s">
        <v>338</v>
      </c>
      <c r="R96" s="343" t="s">
        <v>137</v>
      </c>
      <c r="S96" s="384">
        <v>46097</v>
      </c>
      <c r="T96" s="384">
        <v>46103</v>
      </c>
    </row>
    <row r="97" spans="1:20">
      <c r="A97" s="343">
        <v>20260709</v>
      </c>
      <c r="B97" s="343">
        <v>28089</v>
      </c>
      <c r="C97" s="343">
        <v>193</v>
      </c>
      <c r="D97" s="343">
        <v>233</v>
      </c>
      <c r="E97" s="384">
        <v>46212</v>
      </c>
      <c r="F97" s="343" t="s">
        <v>235</v>
      </c>
      <c r="G97" s="343" t="s">
        <v>161</v>
      </c>
      <c r="Q97" s="343" t="s">
        <v>338</v>
      </c>
      <c r="R97" s="343" t="s">
        <v>137</v>
      </c>
      <c r="S97" s="384">
        <v>46097</v>
      </c>
      <c r="T97" s="384">
        <v>46103</v>
      </c>
    </row>
    <row r="98" spans="1:20">
      <c r="A98" s="343">
        <v>20260710</v>
      </c>
      <c r="B98" s="343">
        <v>69444</v>
      </c>
      <c r="C98" s="343">
        <v>191</v>
      </c>
      <c r="D98" s="343">
        <v>304</v>
      </c>
      <c r="E98" s="384">
        <v>46213</v>
      </c>
      <c r="F98" s="343" t="s">
        <v>236</v>
      </c>
      <c r="G98" s="343" t="s">
        <v>161</v>
      </c>
      <c r="Q98" s="343" t="s">
        <v>338</v>
      </c>
      <c r="R98" s="343" t="s">
        <v>137</v>
      </c>
      <c r="S98" s="384">
        <v>46097</v>
      </c>
      <c r="T98" s="384">
        <v>46103</v>
      </c>
    </row>
    <row r="99" spans="1:20">
      <c r="A99" s="343">
        <v>20260711</v>
      </c>
      <c r="B99" s="343">
        <v>47801.5</v>
      </c>
      <c r="C99" s="343">
        <v>130</v>
      </c>
      <c r="D99" s="343">
        <v>180</v>
      </c>
      <c r="E99" s="384">
        <v>46214</v>
      </c>
      <c r="F99" s="343" t="s">
        <v>244</v>
      </c>
      <c r="G99" s="343" t="s">
        <v>161</v>
      </c>
      <c r="Q99" s="343" t="s">
        <v>338</v>
      </c>
      <c r="R99" s="343" t="s">
        <v>137</v>
      </c>
      <c r="S99" s="384">
        <v>46097</v>
      </c>
      <c r="T99" s="384">
        <v>46103</v>
      </c>
    </row>
    <row r="100" spans="1:20">
      <c r="A100" s="343">
        <v>20260712</v>
      </c>
      <c r="B100" s="343">
        <v>72706</v>
      </c>
      <c r="C100" s="343">
        <v>243</v>
      </c>
      <c r="D100" s="343">
        <v>1184</v>
      </c>
      <c r="E100" s="384">
        <v>46215</v>
      </c>
      <c r="F100" s="343" t="s">
        <v>245</v>
      </c>
      <c r="G100" s="343" t="s">
        <v>161</v>
      </c>
      <c r="Q100" s="343" t="s">
        <v>338</v>
      </c>
      <c r="R100" s="343" t="s">
        <v>138</v>
      </c>
      <c r="S100" s="384">
        <v>46104</v>
      </c>
      <c r="T100" s="384">
        <v>46110</v>
      </c>
    </row>
    <row r="101" spans="1:20">
      <c r="A101" s="343">
        <v>20260715</v>
      </c>
      <c r="C101" s="343">
        <v>12</v>
      </c>
      <c r="D101" s="343">
        <v>12</v>
      </c>
      <c r="E101" s="384">
        <v>46218</v>
      </c>
      <c r="F101" s="343" t="s">
        <v>234</v>
      </c>
      <c r="G101" s="343" t="s">
        <v>162</v>
      </c>
      <c r="Q101" s="343" t="s">
        <v>338</v>
      </c>
      <c r="R101" s="343" t="s">
        <v>138</v>
      </c>
      <c r="S101" s="384">
        <v>46104</v>
      </c>
      <c r="T101" s="384">
        <v>46110</v>
      </c>
    </row>
    <row r="102" spans="1:20">
      <c r="A102" s="343">
        <v>20260716</v>
      </c>
      <c r="B102" s="343">
        <v>41680.65</v>
      </c>
      <c r="C102" s="343">
        <v>177</v>
      </c>
      <c r="D102" s="343">
        <v>242</v>
      </c>
      <c r="E102" s="384">
        <v>46219</v>
      </c>
      <c r="F102" s="343" t="s">
        <v>235</v>
      </c>
      <c r="G102" s="343" t="s">
        <v>162</v>
      </c>
      <c r="Q102" s="343" t="s">
        <v>338</v>
      </c>
      <c r="R102" s="343" t="s">
        <v>138</v>
      </c>
      <c r="S102" s="384">
        <v>46104</v>
      </c>
      <c r="T102" s="384">
        <v>46110</v>
      </c>
    </row>
    <row r="103" spans="1:20">
      <c r="A103" s="343">
        <v>20260717</v>
      </c>
      <c r="B103" s="343">
        <v>24657</v>
      </c>
      <c r="C103" s="343">
        <v>145</v>
      </c>
      <c r="D103" s="343">
        <v>191</v>
      </c>
      <c r="E103" s="384">
        <v>46220</v>
      </c>
      <c r="F103" s="343" t="s">
        <v>236</v>
      </c>
      <c r="G103" s="343" t="s">
        <v>162</v>
      </c>
      <c r="Q103" s="343" t="s">
        <v>338</v>
      </c>
      <c r="R103" s="343" t="s">
        <v>138</v>
      </c>
      <c r="S103" s="384">
        <v>46104</v>
      </c>
      <c r="T103" s="384">
        <v>46110</v>
      </c>
    </row>
    <row r="104" spans="1:20">
      <c r="A104" s="343">
        <v>20260718</v>
      </c>
      <c r="B104" s="343">
        <v>27548</v>
      </c>
      <c r="C104" s="343">
        <v>158</v>
      </c>
      <c r="D104" s="343">
        <v>222</v>
      </c>
      <c r="E104" s="384">
        <v>46221</v>
      </c>
      <c r="F104" s="343" t="s">
        <v>244</v>
      </c>
      <c r="G104" s="343" t="s">
        <v>162</v>
      </c>
      <c r="Q104" s="343" t="s">
        <v>338</v>
      </c>
      <c r="R104" s="343" t="s">
        <v>138</v>
      </c>
      <c r="S104" s="384">
        <v>46104</v>
      </c>
      <c r="T104" s="384">
        <v>46110</v>
      </c>
    </row>
    <row r="105" spans="1:20">
      <c r="A105" s="343">
        <v>20260719</v>
      </c>
      <c r="B105" s="343">
        <v>37267</v>
      </c>
      <c r="C105" s="343">
        <v>123</v>
      </c>
      <c r="D105" s="343">
        <v>164</v>
      </c>
      <c r="E105" s="384">
        <v>46222</v>
      </c>
      <c r="F105" s="343" t="s">
        <v>245</v>
      </c>
      <c r="G105" s="343" t="s">
        <v>162</v>
      </c>
      <c r="Q105" s="343" t="s">
        <v>338</v>
      </c>
      <c r="R105" s="343" t="s">
        <v>138</v>
      </c>
      <c r="S105" s="384">
        <v>46104</v>
      </c>
      <c r="T105" s="384">
        <v>46110</v>
      </c>
    </row>
    <row r="106" spans="1:20">
      <c r="A106" s="343">
        <v>20260721</v>
      </c>
      <c r="C106" s="343">
        <v>14</v>
      </c>
      <c r="D106" s="343">
        <v>14</v>
      </c>
      <c r="E106" s="384">
        <v>46224</v>
      </c>
      <c r="F106" s="343" t="s">
        <v>233</v>
      </c>
      <c r="G106" s="343" t="s">
        <v>163</v>
      </c>
      <c r="Q106" s="343" t="s">
        <v>338</v>
      </c>
      <c r="R106" s="343" t="s">
        <v>138</v>
      </c>
      <c r="S106" s="384">
        <v>46104</v>
      </c>
      <c r="T106" s="384">
        <v>46110</v>
      </c>
    </row>
    <row r="107" spans="1:20">
      <c r="A107" s="343">
        <v>20260722</v>
      </c>
      <c r="C107" s="343">
        <v>2</v>
      </c>
      <c r="D107" s="343">
        <v>2</v>
      </c>
      <c r="E107" s="384">
        <v>46225</v>
      </c>
      <c r="F107" s="343" t="s">
        <v>234</v>
      </c>
      <c r="G107" s="343" t="s">
        <v>163</v>
      </c>
      <c r="Q107" s="343" t="s">
        <v>338</v>
      </c>
      <c r="R107" s="343" t="s">
        <v>138</v>
      </c>
      <c r="S107" s="384">
        <v>46104</v>
      </c>
      <c r="T107" s="384">
        <v>46110</v>
      </c>
    </row>
    <row r="108" spans="1:20">
      <c r="A108" s="343">
        <v>20260723</v>
      </c>
      <c r="B108" s="343">
        <v>3420.5</v>
      </c>
      <c r="C108" s="343">
        <v>46</v>
      </c>
      <c r="D108" s="343">
        <v>66</v>
      </c>
      <c r="E108" s="384">
        <v>46226</v>
      </c>
      <c r="F108" s="343" t="s">
        <v>235</v>
      </c>
      <c r="G108" s="343" t="s">
        <v>163</v>
      </c>
      <c r="Q108" s="343" t="s">
        <v>338</v>
      </c>
      <c r="R108" s="343" t="s">
        <v>141</v>
      </c>
      <c r="S108" s="384">
        <v>46111</v>
      </c>
      <c r="T108" s="384">
        <v>46117</v>
      </c>
    </row>
    <row r="109" spans="1:20">
      <c r="A109" s="343">
        <v>20260724</v>
      </c>
      <c r="B109" s="343">
        <v>37347.5</v>
      </c>
      <c r="C109" s="343">
        <v>188</v>
      </c>
      <c r="D109" s="343">
        <v>290</v>
      </c>
      <c r="E109" s="384">
        <v>46227</v>
      </c>
      <c r="F109" s="343" t="s">
        <v>236</v>
      </c>
      <c r="G109" s="343" t="s">
        <v>163</v>
      </c>
      <c r="Q109" s="343" t="s">
        <v>338</v>
      </c>
      <c r="R109" s="343" t="s">
        <v>141</v>
      </c>
      <c r="S109" s="384">
        <v>46111</v>
      </c>
      <c r="T109" s="384">
        <v>46117</v>
      </c>
    </row>
    <row r="110" spans="1:20">
      <c r="A110" s="343">
        <v>20260725</v>
      </c>
      <c r="B110" s="343">
        <v>26700</v>
      </c>
      <c r="C110" s="343">
        <v>192</v>
      </c>
      <c r="D110" s="343">
        <v>239</v>
      </c>
      <c r="E110" s="384">
        <v>46228</v>
      </c>
      <c r="F110" s="343" t="s">
        <v>244</v>
      </c>
      <c r="G110" s="343" t="s">
        <v>163</v>
      </c>
      <c r="Q110" s="343" t="s">
        <v>338</v>
      </c>
      <c r="R110" s="343" t="s">
        <v>141</v>
      </c>
      <c r="S110" s="384">
        <v>46111</v>
      </c>
      <c r="T110" s="384">
        <v>46117</v>
      </c>
    </row>
    <row r="111" spans="1:20">
      <c r="A111" s="343">
        <v>20260726</v>
      </c>
      <c r="B111" s="343">
        <v>12142</v>
      </c>
      <c r="C111" s="343">
        <v>78</v>
      </c>
      <c r="D111" s="343">
        <v>150</v>
      </c>
      <c r="E111" s="384">
        <v>46229</v>
      </c>
      <c r="F111" s="343" t="s">
        <v>245</v>
      </c>
      <c r="G111" s="343" t="s">
        <v>163</v>
      </c>
      <c r="Q111" s="343" t="s">
        <v>338</v>
      </c>
      <c r="R111" s="343" t="s">
        <v>141</v>
      </c>
      <c r="S111" s="384">
        <v>46111</v>
      </c>
      <c r="T111" s="384">
        <v>46117</v>
      </c>
    </row>
    <row r="112" spans="1:20">
      <c r="A112" s="343">
        <v>20260727</v>
      </c>
      <c r="C112" s="343">
        <v>1</v>
      </c>
      <c r="D112" s="343">
        <v>1</v>
      </c>
      <c r="E112" s="384">
        <v>46230</v>
      </c>
      <c r="F112" s="343" t="s">
        <v>232</v>
      </c>
      <c r="G112" s="343" t="s">
        <v>166</v>
      </c>
      <c r="Q112" s="343" t="s">
        <v>338</v>
      </c>
      <c r="R112" s="343" t="s">
        <v>141</v>
      </c>
      <c r="S112" s="384">
        <v>46111</v>
      </c>
      <c r="T112" s="384">
        <v>46117</v>
      </c>
    </row>
    <row r="113" spans="1:20">
      <c r="A113" s="343">
        <v>20260729</v>
      </c>
      <c r="C113" s="343">
        <v>3</v>
      </c>
      <c r="D113" s="343">
        <v>3</v>
      </c>
      <c r="E113" s="384">
        <v>46232</v>
      </c>
      <c r="F113" s="343" t="s">
        <v>234</v>
      </c>
      <c r="G113" s="343" t="s">
        <v>166</v>
      </c>
      <c r="Q113" s="343" t="s">
        <v>338</v>
      </c>
      <c r="R113" s="343" t="s">
        <v>141</v>
      </c>
      <c r="S113" s="384">
        <v>46111</v>
      </c>
      <c r="T113" s="384">
        <v>46117</v>
      </c>
    </row>
    <row r="114" spans="1:20">
      <c r="A114" s="343">
        <v>20260730</v>
      </c>
      <c r="B114" s="343">
        <v>3736</v>
      </c>
      <c r="C114" s="343">
        <v>43</v>
      </c>
      <c r="D114" s="343">
        <v>52</v>
      </c>
      <c r="E114" s="384">
        <v>46233</v>
      </c>
      <c r="F114" s="343" t="s">
        <v>235</v>
      </c>
      <c r="G114" s="343" t="s">
        <v>166</v>
      </c>
      <c r="Q114" s="343" t="s">
        <v>338</v>
      </c>
      <c r="R114" s="343" t="s">
        <v>141</v>
      </c>
      <c r="S114" s="384">
        <v>46111</v>
      </c>
      <c r="T114" s="384">
        <v>46117</v>
      </c>
    </row>
    <row r="115" spans="1:20">
      <c r="A115" s="343">
        <v>20260731</v>
      </c>
      <c r="B115" s="343">
        <v>26663.85</v>
      </c>
      <c r="C115" s="343">
        <v>119</v>
      </c>
      <c r="D115" s="343">
        <v>206</v>
      </c>
      <c r="E115" s="384">
        <v>46234</v>
      </c>
      <c r="F115" s="343" t="s">
        <v>236</v>
      </c>
      <c r="G115" s="343" t="s">
        <v>166</v>
      </c>
      <c r="Q115" s="343" t="s">
        <v>338</v>
      </c>
      <c r="R115" s="343" t="s">
        <v>142</v>
      </c>
      <c r="S115" s="384">
        <v>46118</v>
      </c>
      <c r="T115" s="384">
        <v>46124</v>
      </c>
    </row>
    <row r="116" spans="1:20">
      <c r="A116" s="343">
        <v>20260801</v>
      </c>
      <c r="B116" s="343">
        <v>21109</v>
      </c>
      <c r="C116" s="343">
        <v>140</v>
      </c>
      <c r="D116" s="343">
        <v>211</v>
      </c>
      <c r="E116" s="384">
        <v>46235</v>
      </c>
      <c r="F116" s="343" t="s">
        <v>244</v>
      </c>
      <c r="G116" s="343" t="s">
        <v>166</v>
      </c>
      <c r="Q116" s="343" t="s">
        <v>338</v>
      </c>
      <c r="R116" s="343" t="s">
        <v>142</v>
      </c>
      <c r="S116" s="384">
        <v>46118</v>
      </c>
      <c r="T116" s="384">
        <v>46124</v>
      </c>
    </row>
    <row r="117" spans="1:20">
      <c r="A117" s="343">
        <v>20260802</v>
      </c>
      <c r="B117" s="343">
        <v>28464</v>
      </c>
      <c r="C117" s="343">
        <v>141</v>
      </c>
      <c r="D117" s="343">
        <v>186</v>
      </c>
      <c r="E117" s="384">
        <v>46236</v>
      </c>
      <c r="F117" s="343" t="s">
        <v>245</v>
      </c>
      <c r="G117" s="343" t="s">
        <v>166</v>
      </c>
      <c r="Q117" s="343" t="s">
        <v>338</v>
      </c>
      <c r="R117" s="343" t="s">
        <v>142</v>
      </c>
      <c r="S117" s="384">
        <v>46118</v>
      </c>
      <c r="T117" s="384">
        <v>46124</v>
      </c>
    </row>
    <row r="118" spans="1:20">
      <c r="A118" s="343">
        <v>20260805</v>
      </c>
      <c r="C118" s="343">
        <v>2</v>
      </c>
      <c r="D118" s="343">
        <v>2</v>
      </c>
      <c r="E118" s="384">
        <v>46239</v>
      </c>
      <c r="F118" s="343" t="s">
        <v>234</v>
      </c>
      <c r="G118" s="343" t="s">
        <v>167</v>
      </c>
      <c r="Q118" s="343" t="s">
        <v>338</v>
      </c>
      <c r="R118" s="343" t="s">
        <v>142</v>
      </c>
      <c r="S118" s="384">
        <v>46118</v>
      </c>
      <c r="T118" s="384">
        <v>46124</v>
      </c>
    </row>
    <row r="119" spans="1:20">
      <c r="A119" s="343">
        <v>20260806</v>
      </c>
      <c r="B119" s="343">
        <v>9083.57</v>
      </c>
      <c r="C119" s="343">
        <v>57</v>
      </c>
      <c r="D119" s="343">
        <v>88</v>
      </c>
      <c r="E119" s="384">
        <v>46240</v>
      </c>
      <c r="F119" s="343" t="s">
        <v>235</v>
      </c>
      <c r="G119" s="343" t="s">
        <v>167</v>
      </c>
      <c r="Q119" s="343" t="s">
        <v>338</v>
      </c>
      <c r="R119" s="343" t="s">
        <v>142</v>
      </c>
      <c r="S119" s="384">
        <v>46118</v>
      </c>
      <c r="T119" s="384">
        <v>46124</v>
      </c>
    </row>
    <row r="120" spans="1:20">
      <c r="A120" s="343">
        <v>20260807</v>
      </c>
      <c r="B120" s="343">
        <v>32838.58</v>
      </c>
      <c r="C120" s="343">
        <v>104</v>
      </c>
      <c r="D120" s="343">
        <v>208</v>
      </c>
      <c r="E120" s="384">
        <v>46241</v>
      </c>
      <c r="F120" s="343" t="s">
        <v>236</v>
      </c>
      <c r="G120" s="343" t="s">
        <v>167</v>
      </c>
      <c r="Q120" s="343" t="s">
        <v>338</v>
      </c>
      <c r="R120" s="343" t="s">
        <v>142</v>
      </c>
      <c r="S120" s="384">
        <v>46118</v>
      </c>
      <c r="T120" s="384">
        <v>46124</v>
      </c>
    </row>
    <row r="121" spans="1:20">
      <c r="A121" s="343">
        <v>20260808</v>
      </c>
      <c r="B121" s="343">
        <v>27966.95</v>
      </c>
      <c r="C121" s="343">
        <v>144</v>
      </c>
      <c r="D121" s="343">
        <v>232</v>
      </c>
      <c r="E121" s="384">
        <v>46242</v>
      </c>
      <c r="F121" s="343" t="s">
        <v>244</v>
      </c>
      <c r="G121" s="343" t="s">
        <v>167</v>
      </c>
      <c r="Q121" s="343" t="s">
        <v>338</v>
      </c>
      <c r="R121" s="343" t="s">
        <v>142</v>
      </c>
      <c r="S121" s="384">
        <v>46118</v>
      </c>
      <c r="T121" s="384">
        <v>46124</v>
      </c>
    </row>
    <row r="122" spans="1:20">
      <c r="A122" s="343">
        <v>20260809</v>
      </c>
      <c r="B122" s="343">
        <v>4750</v>
      </c>
      <c r="C122" s="343">
        <v>52</v>
      </c>
      <c r="D122" s="343">
        <v>54</v>
      </c>
      <c r="E122" s="384">
        <v>46243</v>
      </c>
      <c r="F122" s="343" t="s">
        <v>245</v>
      </c>
      <c r="G122" s="343" t="s">
        <v>167</v>
      </c>
      <c r="Q122" s="343" t="s">
        <v>338</v>
      </c>
      <c r="R122" s="343" t="s">
        <v>142</v>
      </c>
      <c r="S122" s="384">
        <v>46118</v>
      </c>
      <c r="T122" s="384">
        <v>46124</v>
      </c>
    </row>
    <row r="123" spans="1:20">
      <c r="A123" s="343">
        <v>20260811</v>
      </c>
      <c r="B123" s="343">
        <v>0</v>
      </c>
      <c r="C123" s="343">
        <v>2</v>
      </c>
      <c r="D123" s="343">
        <v>2</v>
      </c>
      <c r="E123" s="384">
        <v>46245</v>
      </c>
      <c r="F123" s="343" t="s">
        <v>233</v>
      </c>
      <c r="G123" s="343" t="s">
        <v>168</v>
      </c>
      <c r="Q123" s="343" t="s">
        <v>338</v>
      </c>
      <c r="R123" s="343" t="s">
        <v>142</v>
      </c>
      <c r="S123" s="384">
        <v>46118</v>
      </c>
      <c r="T123" s="384">
        <v>46124</v>
      </c>
    </row>
    <row r="124" spans="1:20">
      <c r="A124" s="343">
        <v>20260813</v>
      </c>
      <c r="B124" s="343">
        <v>12704.86</v>
      </c>
      <c r="C124" s="343">
        <v>92</v>
      </c>
      <c r="D124" s="343">
        <v>143</v>
      </c>
      <c r="E124" s="384">
        <v>46247</v>
      </c>
      <c r="F124" s="343" t="s">
        <v>235</v>
      </c>
      <c r="G124" s="343" t="s">
        <v>168</v>
      </c>
      <c r="Q124" s="343" t="s">
        <v>338</v>
      </c>
      <c r="R124" s="343" t="s">
        <v>143</v>
      </c>
      <c r="S124" s="384">
        <v>46125</v>
      </c>
      <c r="T124" s="384">
        <v>46131</v>
      </c>
    </row>
    <row r="125" spans="1:20">
      <c r="A125" s="343">
        <v>20260814</v>
      </c>
      <c r="B125" s="343">
        <v>31605.85</v>
      </c>
      <c r="C125" s="343">
        <v>225</v>
      </c>
      <c r="D125" s="343">
        <v>341</v>
      </c>
      <c r="E125" s="384">
        <v>46248</v>
      </c>
      <c r="F125" s="343" t="s">
        <v>236</v>
      </c>
      <c r="G125" s="343" t="s">
        <v>168</v>
      </c>
      <c r="Q125" s="343" t="s">
        <v>338</v>
      </c>
      <c r="R125" s="343" t="s">
        <v>143</v>
      </c>
      <c r="S125" s="384">
        <v>46125</v>
      </c>
      <c r="T125" s="384">
        <v>46131</v>
      </c>
    </row>
    <row r="126" spans="1:20">
      <c r="A126" s="343">
        <v>20260815</v>
      </c>
      <c r="B126" s="343">
        <v>64222</v>
      </c>
      <c r="C126" s="343">
        <v>201</v>
      </c>
      <c r="D126" s="343">
        <v>1245</v>
      </c>
      <c r="E126" s="384">
        <v>46249</v>
      </c>
      <c r="F126" s="343" t="s">
        <v>244</v>
      </c>
      <c r="G126" s="343" t="s">
        <v>168</v>
      </c>
      <c r="Q126" s="343" t="s">
        <v>338</v>
      </c>
      <c r="R126" s="343" t="s">
        <v>143</v>
      </c>
      <c r="S126" s="384">
        <v>46125</v>
      </c>
      <c r="T126" s="384">
        <v>46131</v>
      </c>
    </row>
    <row r="127" spans="1:20">
      <c r="A127" s="343">
        <v>20260816</v>
      </c>
      <c r="B127" s="343">
        <v>10653.57</v>
      </c>
      <c r="C127" s="343">
        <v>115</v>
      </c>
      <c r="D127" s="343">
        <v>119</v>
      </c>
      <c r="E127" s="384">
        <v>46250</v>
      </c>
      <c r="F127" s="343" t="s">
        <v>245</v>
      </c>
      <c r="G127" s="343" t="s">
        <v>168</v>
      </c>
      <c r="Q127" s="343" t="s">
        <v>338</v>
      </c>
      <c r="R127" s="343" t="s">
        <v>143</v>
      </c>
      <c r="S127" s="384">
        <v>46125</v>
      </c>
      <c r="T127" s="384">
        <v>46131</v>
      </c>
    </row>
    <row r="128" spans="1:20">
      <c r="A128" s="343">
        <v>20260819</v>
      </c>
      <c r="B128" s="343">
        <v>0</v>
      </c>
      <c r="C128" s="343">
        <v>1</v>
      </c>
      <c r="D128" s="343">
        <v>1</v>
      </c>
      <c r="E128" s="384">
        <v>46253</v>
      </c>
      <c r="F128" s="343" t="s">
        <v>234</v>
      </c>
      <c r="G128" s="343" t="s">
        <v>101</v>
      </c>
      <c r="Q128" s="343" t="s">
        <v>338</v>
      </c>
      <c r="R128" s="343" t="s">
        <v>143</v>
      </c>
      <c r="S128" s="384">
        <v>46125</v>
      </c>
      <c r="T128" s="384">
        <v>46131</v>
      </c>
    </row>
    <row r="129" spans="1:20">
      <c r="A129" s="343">
        <v>20260820</v>
      </c>
      <c r="B129" s="343">
        <v>2367</v>
      </c>
      <c r="C129" s="343">
        <v>45</v>
      </c>
      <c r="D129" s="343">
        <v>67</v>
      </c>
      <c r="E129" s="384">
        <v>46254</v>
      </c>
      <c r="F129" s="343" t="s">
        <v>235</v>
      </c>
      <c r="G129" s="343" t="s">
        <v>101</v>
      </c>
      <c r="Q129" s="343" t="s">
        <v>338</v>
      </c>
      <c r="R129" s="343" t="s">
        <v>143</v>
      </c>
      <c r="S129" s="384">
        <v>46125</v>
      </c>
      <c r="T129" s="384">
        <v>46131</v>
      </c>
    </row>
    <row r="130" spans="1:20">
      <c r="A130" s="343">
        <v>20260821</v>
      </c>
      <c r="B130" s="343">
        <v>38721</v>
      </c>
      <c r="C130" s="343">
        <v>168</v>
      </c>
      <c r="D130" s="343">
        <v>276</v>
      </c>
      <c r="E130" s="384">
        <v>46255</v>
      </c>
      <c r="F130" s="343" t="s">
        <v>236</v>
      </c>
      <c r="G130" s="343" t="s">
        <v>101</v>
      </c>
      <c r="Q130" s="343" t="s">
        <v>338</v>
      </c>
      <c r="R130" s="343" t="s">
        <v>143</v>
      </c>
      <c r="S130" s="384">
        <v>46125</v>
      </c>
      <c r="T130" s="384">
        <v>46131</v>
      </c>
    </row>
    <row r="131" spans="1:20">
      <c r="A131" s="343">
        <v>20260822</v>
      </c>
      <c r="B131" s="343">
        <v>29981</v>
      </c>
      <c r="C131" s="343">
        <v>193</v>
      </c>
      <c r="D131" s="343">
        <v>283</v>
      </c>
      <c r="E131" s="384">
        <v>46256</v>
      </c>
      <c r="F131" s="343" t="s">
        <v>244</v>
      </c>
      <c r="G131" s="343" t="s">
        <v>101</v>
      </c>
      <c r="Q131" s="343" t="s">
        <v>338</v>
      </c>
      <c r="R131" s="343" t="s">
        <v>143</v>
      </c>
      <c r="S131" s="384">
        <v>46125</v>
      </c>
      <c r="T131" s="384">
        <v>46131</v>
      </c>
    </row>
    <row r="132" spans="1:20">
      <c r="A132" s="343">
        <v>20260823</v>
      </c>
      <c r="B132" s="343">
        <v>10722</v>
      </c>
      <c r="C132" s="343">
        <v>65</v>
      </c>
      <c r="D132" s="343">
        <v>57</v>
      </c>
      <c r="E132" s="384">
        <v>46257</v>
      </c>
      <c r="F132" s="343" t="s">
        <v>245</v>
      </c>
      <c r="G132" s="343" t="s">
        <v>101</v>
      </c>
      <c r="Q132" s="343" t="s">
        <v>338</v>
      </c>
      <c r="R132" s="343" t="s">
        <v>144</v>
      </c>
      <c r="S132" s="384">
        <v>46132</v>
      </c>
      <c r="T132" s="384">
        <v>46138</v>
      </c>
    </row>
    <row r="133" spans="1:20">
      <c r="Q133" s="343" t="s">
        <v>338</v>
      </c>
      <c r="R133" s="343" t="s">
        <v>144</v>
      </c>
      <c r="S133" s="384">
        <v>46132</v>
      </c>
      <c r="T133" s="384">
        <v>46138</v>
      </c>
    </row>
    <row r="134" spans="1:20">
      <c r="Q134" s="343" t="s">
        <v>338</v>
      </c>
      <c r="R134" s="343" t="s">
        <v>144</v>
      </c>
      <c r="S134" s="384">
        <v>46132</v>
      </c>
      <c r="T134" s="384">
        <v>46138</v>
      </c>
    </row>
    <row r="135" spans="1:20">
      <c r="Q135" s="343" t="s">
        <v>338</v>
      </c>
      <c r="R135" s="343" t="s">
        <v>144</v>
      </c>
      <c r="S135" s="384">
        <v>46132</v>
      </c>
      <c r="T135" s="384">
        <v>46138</v>
      </c>
    </row>
    <row r="136" spans="1:20">
      <c r="Q136" s="343" t="s">
        <v>338</v>
      </c>
      <c r="R136" s="343" t="s">
        <v>144</v>
      </c>
      <c r="S136" s="384">
        <v>46132</v>
      </c>
      <c r="T136" s="384">
        <v>46138</v>
      </c>
    </row>
    <row r="137" spans="1:20">
      <c r="Q137" s="343" t="s">
        <v>338</v>
      </c>
      <c r="R137" s="343" t="s">
        <v>144</v>
      </c>
      <c r="S137" s="384">
        <v>46132</v>
      </c>
      <c r="T137" s="384">
        <v>46138</v>
      </c>
    </row>
    <row r="138" spans="1:20">
      <c r="Q138" s="343" t="s">
        <v>338</v>
      </c>
      <c r="R138" s="343" t="s">
        <v>144</v>
      </c>
      <c r="S138" s="384">
        <v>46132</v>
      </c>
      <c r="T138" s="384">
        <v>46138</v>
      </c>
    </row>
    <row r="139" spans="1:20">
      <c r="Q139" s="343" t="s">
        <v>338</v>
      </c>
      <c r="R139" s="343" t="s">
        <v>147</v>
      </c>
      <c r="S139" s="384">
        <v>46139</v>
      </c>
      <c r="T139" s="384">
        <v>46145</v>
      </c>
    </row>
    <row r="140" spans="1:20">
      <c r="Q140" s="343" t="s">
        <v>338</v>
      </c>
      <c r="R140" s="343" t="s">
        <v>147</v>
      </c>
      <c r="S140" s="384">
        <v>46139</v>
      </c>
      <c r="T140" s="384">
        <v>46145</v>
      </c>
    </row>
    <row r="141" spans="1:20">
      <c r="Q141" s="343" t="s">
        <v>338</v>
      </c>
      <c r="R141" s="343" t="s">
        <v>147</v>
      </c>
      <c r="S141" s="384">
        <v>46139</v>
      </c>
      <c r="T141" s="384">
        <v>46145</v>
      </c>
    </row>
    <row r="142" spans="1:20">
      <c r="Q142" s="343" t="s">
        <v>338</v>
      </c>
      <c r="R142" s="343" t="s">
        <v>147</v>
      </c>
      <c r="S142" s="384">
        <v>46139</v>
      </c>
      <c r="T142" s="384">
        <v>46145</v>
      </c>
    </row>
    <row r="143" spans="1:20">
      <c r="Q143" s="343" t="s">
        <v>338</v>
      </c>
      <c r="R143" s="343" t="s">
        <v>147</v>
      </c>
      <c r="S143" s="384">
        <v>46139</v>
      </c>
      <c r="T143" s="384">
        <v>46145</v>
      </c>
    </row>
    <row r="144" spans="1:20">
      <c r="Q144" s="343" t="s">
        <v>338</v>
      </c>
      <c r="R144" s="343" t="s">
        <v>147</v>
      </c>
      <c r="S144" s="384">
        <v>46139</v>
      </c>
      <c r="T144" s="384">
        <v>46145</v>
      </c>
    </row>
    <row r="145" spans="17:27">
      <c r="Q145" s="343" t="s">
        <v>338</v>
      </c>
      <c r="R145" s="343" t="s">
        <v>147</v>
      </c>
      <c r="S145" s="384">
        <v>46139</v>
      </c>
      <c r="T145" s="384">
        <v>46145</v>
      </c>
    </row>
    <row r="146" spans="17:27">
      <c r="Q146" s="343" t="s">
        <v>338</v>
      </c>
      <c r="R146" s="343" t="s">
        <v>147</v>
      </c>
      <c r="S146" s="384">
        <v>46139</v>
      </c>
      <c r="T146" s="384">
        <v>46145</v>
      </c>
    </row>
    <row r="147" spans="17:27">
      <c r="Q147" s="343" t="s">
        <v>338</v>
      </c>
      <c r="R147" s="343" t="s">
        <v>147</v>
      </c>
      <c r="S147" s="384">
        <v>46139</v>
      </c>
      <c r="T147" s="384">
        <v>46145</v>
      </c>
    </row>
    <row r="148" spans="17:27">
      <c r="Q148" s="343" t="s">
        <v>338</v>
      </c>
      <c r="R148" s="343" t="s">
        <v>148</v>
      </c>
      <c r="S148" s="384">
        <v>46146</v>
      </c>
      <c r="T148" s="384">
        <v>46152</v>
      </c>
    </row>
    <row r="149" spans="17:27">
      <c r="Q149" s="343" t="s">
        <v>338</v>
      </c>
      <c r="R149" s="343" t="s">
        <v>148</v>
      </c>
      <c r="S149" s="384">
        <v>46146</v>
      </c>
      <c r="T149" s="384">
        <v>46152</v>
      </c>
    </row>
    <row r="150" spans="17:27">
      <c r="Q150" s="343" t="s">
        <v>338</v>
      </c>
      <c r="R150" s="343" t="s">
        <v>148</v>
      </c>
      <c r="S150" s="384">
        <v>46146</v>
      </c>
      <c r="T150" s="384">
        <v>46152</v>
      </c>
    </row>
    <row r="151" spans="17:27">
      <c r="Q151" s="343" t="s">
        <v>338</v>
      </c>
      <c r="R151" s="343" t="s">
        <v>148</v>
      </c>
      <c r="S151" s="384">
        <v>46146</v>
      </c>
      <c r="T151" s="384">
        <v>46152</v>
      </c>
    </row>
    <row r="152" spans="17:27">
      <c r="Q152" s="343" t="s">
        <v>338</v>
      </c>
      <c r="R152" s="343" t="s">
        <v>148</v>
      </c>
      <c r="S152" s="384">
        <v>46146</v>
      </c>
      <c r="T152" s="384">
        <v>46152</v>
      </c>
    </row>
    <row r="153" spans="17:27">
      <c r="Q153" s="343" t="s">
        <v>338</v>
      </c>
      <c r="R153" s="343" t="s">
        <v>148</v>
      </c>
      <c r="S153" s="384">
        <v>46146</v>
      </c>
      <c r="T153" s="384">
        <v>46152</v>
      </c>
    </row>
    <row r="154" spans="17:27">
      <c r="Q154" s="343" t="s">
        <v>338</v>
      </c>
      <c r="R154" s="343" t="s">
        <v>148</v>
      </c>
      <c r="S154" s="384">
        <v>46146</v>
      </c>
      <c r="T154" s="384">
        <v>46152</v>
      </c>
    </row>
    <row r="155" spans="17:27">
      <c r="Q155" s="343" t="s">
        <v>338</v>
      </c>
      <c r="R155" s="343" t="s">
        <v>148</v>
      </c>
      <c r="S155" s="384">
        <v>46146</v>
      </c>
      <c r="T155" s="384">
        <v>46152</v>
      </c>
    </row>
    <row r="156" spans="17:27">
      <c r="Q156" s="343" t="s">
        <v>338</v>
      </c>
      <c r="R156" s="343" t="s">
        <v>148</v>
      </c>
      <c r="S156" s="384">
        <v>46146</v>
      </c>
      <c r="T156" s="384">
        <v>46152</v>
      </c>
    </row>
    <row r="157" spans="17:27">
      <c r="Q157" s="343" t="s">
        <v>338</v>
      </c>
      <c r="R157" s="343" t="s">
        <v>149</v>
      </c>
      <c r="S157" s="384">
        <v>46153</v>
      </c>
      <c r="T157" s="384">
        <v>46159</v>
      </c>
      <c r="U157" s="343" t="s">
        <v>285</v>
      </c>
      <c r="V157" s="343">
        <v>1938</v>
      </c>
      <c r="W157" s="343">
        <v>54631.25</v>
      </c>
      <c r="X157" s="343">
        <v>2952.75</v>
      </c>
      <c r="Y157" s="343">
        <v>0</v>
      </c>
      <c r="Z157" s="343">
        <v>57584</v>
      </c>
      <c r="AA157" s="343">
        <v>4370.51</v>
      </c>
    </row>
    <row r="158" spans="17:27">
      <c r="Q158" s="343" t="s">
        <v>338</v>
      </c>
      <c r="R158" s="343" t="s">
        <v>149</v>
      </c>
      <c r="S158" s="384">
        <v>46153</v>
      </c>
      <c r="T158" s="384">
        <v>46159</v>
      </c>
      <c r="U158" s="343" t="s">
        <v>342</v>
      </c>
      <c r="V158" s="343">
        <v>1089</v>
      </c>
      <c r="W158" s="343">
        <v>8272</v>
      </c>
      <c r="X158" s="343">
        <v>595</v>
      </c>
      <c r="Y158" s="343">
        <v>0</v>
      </c>
      <c r="Z158" s="343">
        <v>8867</v>
      </c>
      <c r="AA158" s="343">
        <v>661.78</v>
      </c>
    </row>
    <row r="159" spans="17:27">
      <c r="Q159" s="343" t="s">
        <v>338</v>
      </c>
      <c r="R159" s="343" t="s">
        <v>149</v>
      </c>
      <c r="S159" s="384">
        <v>46153</v>
      </c>
      <c r="T159" s="384">
        <v>46159</v>
      </c>
      <c r="U159" s="343" t="s">
        <v>281</v>
      </c>
      <c r="V159" s="343">
        <v>2126</v>
      </c>
      <c r="W159" s="343">
        <v>123880.8</v>
      </c>
      <c r="X159" s="343">
        <v>6054.2</v>
      </c>
      <c r="Y159" s="343">
        <v>0</v>
      </c>
      <c r="Z159" s="343">
        <v>129935</v>
      </c>
      <c r="AA159" s="343">
        <v>9910.4699999999993</v>
      </c>
    </row>
    <row r="160" spans="17:27">
      <c r="Q160" s="343" t="s">
        <v>338</v>
      </c>
      <c r="R160" s="343" t="s">
        <v>149</v>
      </c>
      <c r="S160" s="384">
        <v>46153</v>
      </c>
      <c r="T160" s="384">
        <v>46159</v>
      </c>
      <c r="U160" s="343" t="s">
        <v>279</v>
      </c>
      <c r="V160" s="343">
        <v>96</v>
      </c>
      <c r="W160" s="343">
        <v>1092</v>
      </c>
      <c r="X160" s="343">
        <v>60</v>
      </c>
      <c r="Y160" s="343">
        <v>0</v>
      </c>
      <c r="Z160" s="343">
        <v>1152</v>
      </c>
      <c r="AA160" s="343">
        <v>87.36</v>
      </c>
    </row>
    <row r="161" spans="17:27">
      <c r="Q161" s="343" t="s">
        <v>338</v>
      </c>
      <c r="R161" s="343" t="s">
        <v>149</v>
      </c>
      <c r="S161" s="384">
        <v>46153</v>
      </c>
      <c r="T161" s="384">
        <v>46159</v>
      </c>
      <c r="U161" s="343" t="s">
        <v>277</v>
      </c>
      <c r="V161" s="343">
        <v>83</v>
      </c>
      <c r="W161" s="343">
        <v>43060</v>
      </c>
      <c r="X161" s="343">
        <v>315</v>
      </c>
      <c r="Y161" s="343">
        <v>0</v>
      </c>
      <c r="Z161" s="343">
        <v>43375</v>
      </c>
      <c r="AA161" s="343">
        <v>3444.8</v>
      </c>
    </row>
    <row r="162" spans="17:27">
      <c r="Q162" s="343" t="s">
        <v>338</v>
      </c>
      <c r="R162" s="343" t="s">
        <v>149</v>
      </c>
      <c r="S162" s="384">
        <v>46153</v>
      </c>
      <c r="T162" s="384">
        <v>46159</v>
      </c>
      <c r="U162" s="343" t="s">
        <v>343</v>
      </c>
      <c r="V162" s="343">
        <v>15</v>
      </c>
      <c r="W162" s="343">
        <v>2179</v>
      </c>
      <c r="X162" s="343">
        <v>0</v>
      </c>
      <c r="Y162" s="343">
        <v>0</v>
      </c>
      <c r="Z162" s="343">
        <v>2179</v>
      </c>
      <c r="AA162" s="343">
        <v>174.32</v>
      </c>
    </row>
    <row r="163" spans="17:27">
      <c r="Q163" s="343" t="s">
        <v>338</v>
      </c>
      <c r="R163" s="343" t="s">
        <v>149</v>
      </c>
      <c r="S163" s="384">
        <v>46153</v>
      </c>
      <c r="T163" s="384">
        <v>46159</v>
      </c>
      <c r="U163" s="343" t="s">
        <v>293</v>
      </c>
      <c r="V163" s="343">
        <v>33</v>
      </c>
      <c r="W163" s="343">
        <v>2400</v>
      </c>
      <c r="X163" s="343">
        <v>0</v>
      </c>
      <c r="Y163" s="343">
        <v>0</v>
      </c>
      <c r="Z163" s="343">
        <v>2400</v>
      </c>
      <c r="AA163" s="343">
        <v>0</v>
      </c>
    </row>
    <row r="164" spans="17:27">
      <c r="Q164" s="343" t="s">
        <v>338</v>
      </c>
      <c r="R164" s="343" t="s">
        <v>149</v>
      </c>
      <c r="S164" s="384">
        <v>46153</v>
      </c>
      <c r="T164" s="384">
        <v>46159</v>
      </c>
      <c r="U164" s="343" t="s">
        <v>106</v>
      </c>
      <c r="V164" s="343">
        <v>3</v>
      </c>
      <c r="W164" s="343">
        <v>1342.05</v>
      </c>
      <c r="X164" s="343">
        <v>0</v>
      </c>
      <c r="Y164" s="343">
        <v>0</v>
      </c>
      <c r="Z164" s="343">
        <v>1342.05</v>
      </c>
      <c r="AA164" s="343">
        <v>0</v>
      </c>
    </row>
    <row r="165" spans="17:27">
      <c r="Q165" s="343" t="s">
        <v>338</v>
      </c>
      <c r="R165" s="343" t="s">
        <v>149</v>
      </c>
      <c r="S165" s="384">
        <v>46153</v>
      </c>
      <c r="T165" s="384">
        <v>46159</v>
      </c>
      <c r="U165" s="343" t="s">
        <v>345</v>
      </c>
      <c r="V165" s="343">
        <v>242</v>
      </c>
      <c r="W165" s="343">
        <v>5911</v>
      </c>
      <c r="X165" s="343">
        <v>48</v>
      </c>
      <c r="Y165" s="343">
        <v>0</v>
      </c>
      <c r="Z165" s="343">
        <v>5959</v>
      </c>
      <c r="AA165" s="343">
        <v>472.88</v>
      </c>
    </row>
    <row r="166" spans="17:27">
      <c r="Q166" s="343" t="s">
        <v>338</v>
      </c>
      <c r="R166" s="343" t="s">
        <v>150</v>
      </c>
      <c r="S166" s="384">
        <v>46160</v>
      </c>
      <c r="T166" s="384">
        <v>46166</v>
      </c>
      <c r="U166" s="343" t="s">
        <v>285</v>
      </c>
      <c r="V166" s="343">
        <v>2022</v>
      </c>
      <c r="W166" s="343">
        <v>51917.5</v>
      </c>
      <c r="X166" s="343">
        <v>5986.5</v>
      </c>
      <c r="Y166" s="343">
        <v>0</v>
      </c>
      <c r="Z166" s="343">
        <v>57904</v>
      </c>
      <c r="AA166" s="343">
        <v>4153.41</v>
      </c>
    </row>
    <row r="167" spans="17:27">
      <c r="Q167" s="343" t="s">
        <v>338</v>
      </c>
      <c r="R167" s="343" t="s">
        <v>150</v>
      </c>
      <c r="S167" s="384">
        <v>46160</v>
      </c>
      <c r="T167" s="384">
        <v>46166</v>
      </c>
      <c r="U167" s="343" t="s">
        <v>342</v>
      </c>
      <c r="V167" s="343">
        <v>1207</v>
      </c>
      <c r="W167" s="343">
        <v>8894.5</v>
      </c>
      <c r="X167" s="343">
        <v>763.5</v>
      </c>
      <c r="Y167" s="343">
        <v>0</v>
      </c>
      <c r="Z167" s="343">
        <v>9658</v>
      </c>
      <c r="AA167" s="343">
        <v>711.59</v>
      </c>
    </row>
    <row r="168" spans="17:27">
      <c r="Q168" s="343" t="s">
        <v>338</v>
      </c>
      <c r="R168" s="343" t="s">
        <v>150</v>
      </c>
      <c r="S168" s="384">
        <v>46160</v>
      </c>
      <c r="T168" s="384">
        <v>46166</v>
      </c>
      <c r="U168" s="343" t="s">
        <v>281</v>
      </c>
      <c r="V168" s="343">
        <v>2589</v>
      </c>
      <c r="W168" s="343">
        <v>186358.01</v>
      </c>
      <c r="X168" s="343">
        <v>9021</v>
      </c>
      <c r="Y168" s="343">
        <v>0</v>
      </c>
      <c r="Z168" s="343">
        <v>195379.01</v>
      </c>
      <c r="AA168" s="343">
        <v>14748.64</v>
      </c>
    </row>
    <row r="169" spans="17:27">
      <c r="Q169" s="343" t="s">
        <v>338</v>
      </c>
      <c r="R169" s="343" t="s">
        <v>150</v>
      </c>
      <c r="S169" s="384">
        <v>46160</v>
      </c>
      <c r="T169" s="384">
        <v>46166</v>
      </c>
      <c r="U169" s="343" t="s">
        <v>279</v>
      </c>
      <c r="V169" s="343">
        <v>153</v>
      </c>
      <c r="W169" s="343">
        <v>1584</v>
      </c>
      <c r="X169" s="343">
        <v>240</v>
      </c>
      <c r="Y169" s="343">
        <v>0</v>
      </c>
      <c r="Z169" s="343">
        <v>1824</v>
      </c>
      <c r="AA169" s="343">
        <v>126.72</v>
      </c>
    </row>
    <row r="170" spans="17:27">
      <c r="Q170" s="343" t="s">
        <v>338</v>
      </c>
      <c r="R170" s="343" t="s">
        <v>150</v>
      </c>
      <c r="S170" s="384">
        <v>46160</v>
      </c>
      <c r="T170" s="384">
        <v>46166</v>
      </c>
      <c r="U170" s="343" t="s">
        <v>277</v>
      </c>
      <c r="V170" s="343">
        <v>40</v>
      </c>
      <c r="W170" s="343">
        <v>29940</v>
      </c>
      <c r="X170" s="343">
        <v>850</v>
      </c>
      <c r="Y170" s="343">
        <v>0</v>
      </c>
      <c r="Z170" s="343">
        <v>30790</v>
      </c>
      <c r="AA170" s="343">
        <v>2395.1999999999998</v>
      </c>
    </row>
    <row r="171" spans="17:27">
      <c r="Q171" s="343" t="s">
        <v>338</v>
      </c>
      <c r="R171" s="343" t="s">
        <v>150</v>
      </c>
      <c r="S171" s="384">
        <v>46160</v>
      </c>
      <c r="T171" s="384">
        <v>46166</v>
      </c>
      <c r="U171" s="343" t="s">
        <v>343</v>
      </c>
      <c r="V171" s="343">
        <v>18</v>
      </c>
      <c r="W171" s="343">
        <v>2118.0100000000002</v>
      </c>
      <c r="X171" s="343">
        <v>200</v>
      </c>
      <c r="Y171" s="343">
        <v>0</v>
      </c>
      <c r="Z171" s="343">
        <v>2318.0100000000002</v>
      </c>
      <c r="AA171" s="343">
        <v>169.44</v>
      </c>
    </row>
    <row r="172" spans="17:27">
      <c r="Q172" s="343" t="s">
        <v>338</v>
      </c>
      <c r="R172" s="343" t="s">
        <v>150</v>
      </c>
      <c r="S172" s="384">
        <v>46160</v>
      </c>
      <c r="T172" s="384">
        <v>46166</v>
      </c>
      <c r="U172" s="343" t="s">
        <v>293</v>
      </c>
      <c r="V172" s="343">
        <v>27</v>
      </c>
      <c r="W172" s="343">
        <v>185</v>
      </c>
      <c r="X172" s="343">
        <v>0</v>
      </c>
      <c r="Y172" s="343">
        <v>0</v>
      </c>
      <c r="Z172" s="343">
        <v>185</v>
      </c>
      <c r="AA172" s="343">
        <v>0</v>
      </c>
    </row>
    <row r="173" spans="17:27">
      <c r="Q173" s="343" t="s">
        <v>338</v>
      </c>
      <c r="R173" s="343" t="s">
        <v>150</v>
      </c>
      <c r="S173" s="384">
        <v>46160</v>
      </c>
      <c r="T173" s="384">
        <v>46166</v>
      </c>
      <c r="U173" s="343" t="s">
        <v>106</v>
      </c>
      <c r="V173" s="343">
        <v>2</v>
      </c>
      <c r="W173" s="343">
        <v>1742.4</v>
      </c>
      <c r="X173" s="343">
        <v>0</v>
      </c>
      <c r="Y173" s="343">
        <v>0</v>
      </c>
      <c r="Z173" s="343">
        <v>1742.4</v>
      </c>
      <c r="AA173" s="343">
        <v>0</v>
      </c>
    </row>
    <row r="174" spans="17:27">
      <c r="Q174" s="343" t="s">
        <v>338</v>
      </c>
      <c r="R174" s="343" t="s">
        <v>150</v>
      </c>
      <c r="S174" s="384">
        <v>46160</v>
      </c>
      <c r="T174" s="384">
        <v>46166</v>
      </c>
      <c r="U174" s="343" t="s">
        <v>345</v>
      </c>
      <c r="V174" s="343">
        <v>268</v>
      </c>
      <c r="W174" s="343">
        <v>6308</v>
      </c>
      <c r="X174" s="343">
        <v>48</v>
      </c>
      <c r="Y174" s="343">
        <v>0</v>
      </c>
      <c r="Z174" s="343">
        <v>6356</v>
      </c>
      <c r="AA174" s="343">
        <v>504.64</v>
      </c>
    </row>
    <row r="175" spans="17:27">
      <c r="Q175" s="343" t="s">
        <v>338</v>
      </c>
      <c r="R175" s="343" t="s">
        <v>153</v>
      </c>
      <c r="S175" s="384">
        <v>46167</v>
      </c>
      <c r="T175" s="384">
        <v>46173</v>
      </c>
      <c r="U175" s="343" t="s">
        <v>285</v>
      </c>
      <c r="V175" s="343">
        <v>2080</v>
      </c>
      <c r="W175" s="343">
        <v>70919.5</v>
      </c>
      <c r="X175" s="343">
        <v>4534.5</v>
      </c>
      <c r="Y175" s="343">
        <v>0</v>
      </c>
      <c r="Z175" s="343">
        <v>75454</v>
      </c>
      <c r="AA175" s="343">
        <v>5669.09</v>
      </c>
    </row>
    <row r="176" spans="17:27">
      <c r="Q176" s="343" t="s">
        <v>338</v>
      </c>
      <c r="R176" s="343" t="s">
        <v>153</v>
      </c>
      <c r="S176" s="384">
        <v>46167</v>
      </c>
      <c r="T176" s="384">
        <v>46173</v>
      </c>
      <c r="U176" s="343" t="s">
        <v>342</v>
      </c>
      <c r="V176" s="343">
        <v>1009</v>
      </c>
      <c r="W176" s="343">
        <v>8274</v>
      </c>
      <c r="X176" s="343">
        <v>474</v>
      </c>
      <c r="Y176" s="343">
        <v>0</v>
      </c>
      <c r="Z176" s="343">
        <v>8748</v>
      </c>
      <c r="AA176" s="343">
        <v>661.92</v>
      </c>
    </row>
    <row r="177" spans="17:27">
      <c r="Q177" s="343" t="s">
        <v>338</v>
      </c>
      <c r="R177" s="343" t="s">
        <v>153</v>
      </c>
      <c r="S177" s="384">
        <v>46167</v>
      </c>
      <c r="T177" s="384">
        <v>46173</v>
      </c>
      <c r="U177" s="343" t="s">
        <v>281</v>
      </c>
      <c r="V177" s="343">
        <v>2072</v>
      </c>
      <c r="W177" s="343">
        <v>103619</v>
      </c>
      <c r="X177" s="343">
        <v>4347</v>
      </c>
      <c r="Y177" s="343">
        <v>0</v>
      </c>
      <c r="Z177" s="343">
        <v>107966</v>
      </c>
      <c r="AA177" s="343">
        <v>8215.1200000000008</v>
      </c>
    </row>
    <row r="178" spans="17:27">
      <c r="Q178" s="343" t="s">
        <v>338</v>
      </c>
      <c r="R178" s="343" t="s">
        <v>153</v>
      </c>
      <c r="S178" s="384">
        <v>46167</v>
      </c>
      <c r="T178" s="384">
        <v>46173</v>
      </c>
      <c r="U178" s="343" t="s">
        <v>279</v>
      </c>
      <c r="V178" s="343">
        <v>88</v>
      </c>
      <c r="W178" s="343">
        <v>948</v>
      </c>
      <c r="X178" s="343">
        <v>108</v>
      </c>
      <c r="Y178" s="343">
        <v>0</v>
      </c>
      <c r="Z178" s="343">
        <v>1056</v>
      </c>
      <c r="AA178" s="343">
        <v>75.84</v>
      </c>
    </row>
    <row r="179" spans="17:27">
      <c r="Q179" s="343" t="s">
        <v>338</v>
      </c>
      <c r="R179" s="343" t="s">
        <v>153</v>
      </c>
      <c r="S179" s="384">
        <v>46167</v>
      </c>
      <c r="T179" s="384">
        <v>46173</v>
      </c>
      <c r="U179" s="343" t="s">
        <v>277</v>
      </c>
      <c r="V179" s="343">
        <v>33</v>
      </c>
      <c r="W179" s="343">
        <v>16295</v>
      </c>
      <c r="X179" s="343">
        <v>75</v>
      </c>
      <c r="Y179" s="343">
        <v>0</v>
      </c>
      <c r="Z179" s="343">
        <v>16370</v>
      </c>
      <c r="AA179" s="343">
        <v>1303.5999999999999</v>
      </c>
    </row>
    <row r="180" spans="17:27">
      <c r="Q180" s="343" t="s">
        <v>338</v>
      </c>
      <c r="R180" s="343" t="s">
        <v>153</v>
      </c>
      <c r="S180" s="384">
        <v>46167</v>
      </c>
      <c r="T180" s="384">
        <v>46173</v>
      </c>
      <c r="U180" s="343" t="s">
        <v>343</v>
      </c>
      <c r="V180" s="343">
        <v>24</v>
      </c>
      <c r="W180" s="343">
        <v>16516</v>
      </c>
      <c r="X180" s="343">
        <v>0</v>
      </c>
      <c r="Y180" s="343">
        <v>0</v>
      </c>
      <c r="Z180" s="343">
        <v>16516</v>
      </c>
      <c r="AA180" s="343">
        <v>1321.28</v>
      </c>
    </row>
    <row r="181" spans="17:27">
      <c r="Q181" s="343" t="s">
        <v>338</v>
      </c>
      <c r="R181" s="343" t="s">
        <v>153</v>
      </c>
      <c r="S181" s="384">
        <v>46167</v>
      </c>
      <c r="T181" s="384">
        <v>46173</v>
      </c>
      <c r="U181" s="343" t="s">
        <v>335</v>
      </c>
      <c r="V181" s="343">
        <v>0</v>
      </c>
      <c r="W181" s="343">
        <v>-500</v>
      </c>
      <c r="X181" s="343">
        <v>0</v>
      </c>
      <c r="Y181" s="343">
        <v>500</v>
      </c>
      <c r="Z181" s="343">
        <v>0</v>
      </c>
      <c r="AA181" s="343">
        <v>0</v>
      </c>
    </row>
    <row r="182" spans="17:27">
      <c r="Q182" s="343" t="s">
        <v>338</v>
      </c>
      <c r="R182" s="343" t="s">
        <v>153</v>
      </c>
      <c r="S182" s="384">
        <v>46167</v>
      </c>
      <c r="T182" s="384">
        <v>46173</v>
      </c>
      <c r="U182" s="343" t="s">
        <v>293</v>
      </c>
      <c r="V182" s="343">
        <v>15</v>
      </c>
      <c r="W182" s="343">
        <v>0</v>
      </c>
      <c r="X182" s="343">
        <v>0</v>
      </c>
      <c r="Y182" s="343">
        <v>0</v>
      </c>
      <c r="Z182" s="343">
        <v>0</v>
      </c>
      <c r="AA182" s="343">
        <v>0</v>
      </c>
    </row>
    <row r="183" spans="17:27">
      <c r="Q183" s="343" t="s">
        <v>338</v>
      </c>
      <c r="R183" s="343" t="s">
        <v>153</v>
      </c>
      <c r="S183" s="384">
        <v>46167</v>
      </c>
      <c r="T183" s="384">
        <v>46173</v>
      </c>
      <c r="U183" s="343" t="s">
        <v>106</v>
      </c>
      <c r="V183" s="343">
        <v>3</v>
      </c>
      <c r="W183" s="343">
        <v>3606.25</v>
      </c>
      <c r="X183" s="343">
        <v>0</v>
      </c>
      <c r="Y183" s="343">
        <v>0</v>
      </c>
      <c r="Z183" s="343">
        <v>3606.25</v>
      </c>
      <c r="AA183" s="343">
        <v>0</v>
      </c>
    </row>
    <row r="184" spans="17:27">
      <c r="Q184" s="343" t="s">
        <v>338</v>
      </c>
      <c r="R184" s="343" t="s">
        <v>153</v>
      </c>
      <c r="S184" s="384">
        <v>46167</v>
      </c>
      <c r="T184" s="384">
        <v>46173</v>
      </c>
      <c r="U184" s="343" t="s">
        <v>345</v>
      </c>
      <c r="V184" s="343">
        <v>258</v>
      </c>
      <c r="W184" s="343">
        <v>6501</v>
      </c>
      <c r="X184" s="343">
        <v>349</v>
      </c>
      <c r="Y184" s="343">
        <v>0</v>
      </c>
      <c r="Z184" s="343">
        <v>6850</v>
      </c>
      <c r="AA184" s="343">
        <v>520.08000000000004</v>
      </c>
    </row>
    <row r="185" spans="17:27">
      <c r="Q185" s="343" t="s">
        <v>338</v>
      </c>
      <c r="R185" s="343" t="s">
        <v>154</v>
      </c>
      <c r="S185" s="384">
        <v>46174</v>
      </c>
      <c r="T185" s="384">
        <v>46180</v>
      </c>
      <c r="U185" s="343" t="s">
        <v>285</v>
      </c>
      <c r="V185" s="343">
        <v>1742</v>
      </c>
      <c r="W185" s="343">
        <v>41199</v>
      </c>
      <c r="X185" s="343">
        <v>6647</v>
      </c>
      <c r="Y185" s="343">
        <v>0</v>
      </c>
      <c r="Z185" s="343">
        <v>47846</v>
      </c>
      <c r="AA185" s="343">
        <v>3295.93</v>
      </c>
    </row>
    <row r="186" spans="17:27">
      <c r="Q186" s="343" t="s">
        <v>338</v>
      </c>
      <c r="R186" s="343" t="s">
        <v>154</v>
      </c>
      <c r="S186" s="384">
        <v>46174</v>
      </c>
      <c r="T186" s="384">
        <v>46180</v>
      </c>
      <c r="U186" s="343" t="s">
        <v>342</v>
      </c>
      <c r="V186" s="343">
        <v>1089</v>
      </c>
      <c r="W186" s="343">
        <v>8239</v>
      </c>
      <c r="X186" s="343">
        <v>632</v>
      </c>
      <c r="Y186" s="343">
        <v>0</v>
      </c>
      <c r="Z186" s="343">
        <v>8871</v>
      </c>
      <c r="AA186" s="343">
        <v>659.12</v>
      </c>
    </row>
    <row r="187" spans="17:27">
      <c r="Q187" s="343" t="s">
        <v>338</v>
      </c>
      <c r="R187" s="343" t="s">
        <v>154</v>
      </c>
      <c r="S187" s="384">
        <v>46174</v>
      </c>
      <c r="T187" s="384">
        <v>46180</v>
      </c>
      <c r="U187" s="343" t="s">
        <v>281</v>
      </c>
      <c r="V187" s="343">
        <v>2033</v>
      </c>
      <c r="W187" s="343">
        <v>121087</v>
      </c>
      <c r="X187" s="343">
        <v>8679</v>
      </c>
      <c r="Y187" s="343">
        <v>0</v>
      </c>
      <c r="Z187" s="343">
        <v>129766</v>
      </c>
      <c r="AA187" s="343">
        <v>9666.16</v>
      </c>
    </row>
    <row r="188" spans="17:27">
      <c r="Q188" s="343" t="s">
        <v>338</v>
      </c>
      <c r="R188" s="343" t="s">
        <v>154</v>
      </c>
      <c r="S188" s="384">
        <v>46174</v>
      </c>
      <c r="T188" s="384">
        <v>46180</v>
      </c>
      <c r="U188" s="343" t="s">
        <v>279</v>
      </c>
      <c r="V188" s="343">
        <v>108</v>
      </c>
      <c r="W188" s="343">
        <v>792</v>
      </c>
      <c r="X188" s="343">
        <v>132</v>
      </c>
      <c r="Y188" s="343">
        <v>0</v>
      </c>
      <c r="Z188" s="343">
        <v>924</v>
      </c>
      <c r="AA188" s="343">
        <v>63.36</v>
      </c>
    </row>
    <row r="189" spans="17:27">
      <c r="Q189" s="343" t="s">
        <v>338</v>
      </c>
      <c r="R189" s="343" t="s">
        <v>154</v>
      </c>
      <c r="S189" s="384">
        <v>46174</v>
      </c>
      <c r="T189" s="384">
        <v>46180</v>
      </c>
      <c r="U189" s="343" t="s">
        <v>277</v>
      </c>
      <c r="V189" s="343">
        <v>33</v>
      </c>
      <c r="W189" s="343">
        <v>18870</v>
      </c>
      <c r="X189" s="343">
        <v>295</v>
      </c>
      <c r="Y189" s="343">
        <v>0</v>
      </c>
      <c r="Z189" s="343">
        <v>19165</v>
      </c>
      <c r="AA189" s="343">
        <v>1509.6</v>
      </c>
    </row>
    <row r="190" spans="17:27">
      <c r="Q190" s="343" t="s">
        <v>338</v>
      </c>
      <c r="R190" s="343" t="s">
        <v>154</v>
      </c>
      <c r="S190" s="384">
        <v>46174</v>
      </c>
      <c r="T190" s="384">
        <v>46180</v>
      </c>
      <c r="U190" s="343" t="s">
        <v>343</v>
      </c>
      <c r="V190" s="343">
        <v>14</v>
      </c>
      <c r="W190" s="343">
        <v>11127</v>
      </c>
      <c r="X190" s="343">
        <v>0</v>
      </c>
      <c r="Y190" s="343">
        <v>0</v>
      </c>
      <c r="Z190" s="343">
        <v>11127</v>
      </c>
      <c r="AA190" s="343">
        <v>890.16</v>
      </c>
    </row>
    <row r="191" spans="17:27">
      <c r="Q191" s="343" t="s">
        <v>338</v>
      </c>
      <c r="R191" s="343" t="s">
        <v>154</v>
      </c>
      <c r="S191" s="384">
        <v>46174</v>
      </c>
      <c r="T191" s="384">
        <v>46180</v>
      </c>
      <c r="U191" s="343" t="s">
        <v>293</v>
      </c>
      <c r="V191" s="343">
        <v>13</v>
      </c>
      <c r="W191" s="343">
        <v>0</v>
      </c>
      <c r="X191" s="343">
        <v>0</v>
      </c>
      <c r="Y191" s="343">
        <v>0</v>
      </c>
      <c r="Z191" s="343">
        <v>0</v>
      </c>
      <c r="AA191" s="343">
        <v>0</v>
      </c>
    </row>
    <row r="192" spans="17:27">
      <c r="Q192" s="343" t="s">
        <v>338</v>
      </c>
      <c r="R192" s="343" t="s">
        <v>154</v>
      </c>
      <c r="S192" s="384">
        <v>46174</v>
      </c>
      <c r="T192" s="384">
        <v>46180</v>
      </c>
      <c r="U192" s="343" t="s">
        <v>106</v>
      </c>
      <c r="V192" s="343">
        <v>1</v>
      </c>
      <c r="W192" s="343">
        <v>1017.5</v>
      </c>
      <c r="X192" s="343">
        <v>0</v>
      </c>
      <c r="Y192" s="343">
        <v>0</v>
      </c>
      <c r="Z192" s="343">
        <v>1017.5</v>
      </c>
      <c r="AA192" s="343">
        <v>0</v>
      </c>
    </row>
    <row r="193" spans="17:27">
      <c r="Q193" s="343" t="s">
        <v>338</v>
      </c>
      <c r="R193" s="343" t="s">
        <v>154</v>
      </c>
      <c r="S193" s="384">
        <v>46174</v>
      </c>
      <c r="T193" s="384">
        <v>46180</v>
      </c>
      <c r="U193" s="343" t="s">
        <v>345</v>
      </c>
      <c r="V193" s="343">
        <v>250</v>
      </c>
      <c r="W193" s="343">
        <v>4848</v>
      </c>
      <c r="X193" s="343">
        <v>270</v>
      </c>
      <c r="Y193" s="343">
        <v>0</v>
      </c>
      <c r="Z193" s="343">
        <v>5118</v>
      </c>
      <c r="AA193" s="343">
        <v>387.84</v>
      </c>
    </row>
    <row r="194" spans="17:27">
      <c r="Q194" s="343" t="s">
        <v>338</v>
      </c>
      <c r="R194" s="343" t="s">
        <v>155</v>
      </c>
      <c r="S194" s="384">
        <v>46181</v>
      </c>
      <c r="T194" s="384">
        <v>46187</v>
      </c>
      <c r="U194" s="343" t="s">
        <v>285</v>
      </c>
      <c r="V194" s="343">
        <v>840</v>
      </c>
      <c r="W194" s="343">
        <v>20880.25</v>
      </c>
      <c r="X194" s="343">
        <v>3030.75</v>
      </c>
      <c r="Y194" s="343">
        <v>0</v>
      </c>
      <c r="Z194" s="343">
        <v>23911</v>
      </c>
      <c r="AA194" s="343">
        <v>1670.43</v>
      </c>
    </row>
    <row r="195" spans="17:27">
      <c r="Q195" s="343" t="s">
        <v>338</v>
      </c>
      <c r="R195" s="343" t="s">
        <v>155</v>
      </c>
      <c r="S195" s="384">
        <v>46181</v>
      </c>
      <c r="T195" s="384">
        <v>46187</v>
      </c>
      <c r="U195" s="343" t="s">
        <v>342</v>
      </c>
      <c r="V195" s="343">
        <v>650</v>
      </c>
      <c r="W195" s="343">
        <v>5002.25</v>
      </c>
      <c r="X195" s="343">
        <v>392.75</v>
      </c>
      <c r="Y195" s="343">
        <v>0</v>
      </c>
      <c r="Z195" s="343">
        <v>5395</v>
      </c>
      <c r="AA195" s="343">
        <v>400.18</v>
      </c>
    </row>
    <row r="196" spans="17:27">
      <c r="Q196" s="343" t="s">
        <v>338</v>
      </c>
      <c r="R196" s="343" t="s">
        <v>155</v>
      </c>
      <c r="S196" s="384">
        <v>46181</v>
      </c>
      <c r="T196" s="384">
        <v>46187</v>
      </c>
      <c r="U196" s="343" t="s">
        <v>281</v>
      </c>
      <c r="V196" s="343">
        <v>1621</v>
      </c>
      <c r="W196" s="343">
        <v>78570.009999999995</v>
      </c>
      <c r="X196" s="343">
        <v>4744</v>
      </c>
      <c r="Y196" s="343">
        <v>0</v>
      </c>
      <c r="Z196" s="343">
        <v>83314.009999999995</v>
      </c>
      <c r="AA196" s="343">
        <v>6267.6</v>
      </c>
    </row>
    <row r="197" spans="17:27">
      <c r="Q197" s="343" t="s">
        <v>338</v>
      </c>
      <c r="R197" s="343" t="s">
        <v>155</v>
      </c>
      <c r="S197" s="384">
        <v>46181</v>
      </c>
      <c r="T197" s="384">
        <v>46187</v>
      </c>
      <c r="U197" s="343" t="s">
        <v>279</v>
      </c>
      <c r="V197" s="343">
        <v>117</v>
      </c>
      <c r="W197" s="343">
        <v>1212</v>
      </c>
      <c r="X197" s="343">
        <v>48</v>
      </c>
      <c r="Y197" s="343">
        <v>0</v>
      </c>
      <c r="Z197" s="343">
        <v>1260</v>
      </c>
      <c r="AA197" s="343">
        <v>96.96</v>
      </c>
    </row>
    <row r="198" spans="17:27">
      <c r="Q198" s="343" t="s">
        <v>338</v>
      </c>
      <c r="R198" s="343" t="s">
        <v>155</v>
      </c>
      <c r="S198" s="384">
        <v>46181</v>
      </c>
      <c r="T198" s="384">
        <v>46187</v>
      </c>
      <c r="U198" s="343" t="s">
        <v>277</v>
      </c>
      <c r="V198" s="343">
        <v>24</v>
      </c>
      <c r="W198" s="343">
        <v>14010</v>
      </c>
      <c r="X198" s="343">
        <v>225</v>
      </c>
      <c r="Y198" s="343">
        <v>0</v>
      </c>
      <c r="Z198" s="343">
        <v>14235</v>
      </c>
      <c r="AA198" s="343">
        <v>1120.8</v>
      </c>
    </row>
    <row r="199" spans="17:27">
      <c r="Q199" s="343" t="s">
        <v>338</v>
      </c>
      <c r="R199" s="343" t="s">
        <v>155</v>
      </c>
      <c r="S199" s="384">
        <v>46181</v>
      </c>
      <c r="T199" s="384">
        <v>46187</v>
      </c>
      <c r="U199" s="343" t="s">
        <v>343</v>
      </c>
      <c r="V199" s="343">
        <v>5</v>
      </c>
      <c r="W199" s="343">
        <v>914.99</v>
      </c>
      <c r="X199" s="343">
        <v>0</v>
      </c>
      <c r="Y199" s="343">
        <v>0</v>
      </c>
      <c r="Z199" s="343">
        <v>914.99</v>
      </c>
      <c r="AA199" s="343">
        <v>73.2</v>
      </c>
    </row>
    <row r="200" spans="17:27">
      <c r="Q200" s="343" t="s">
        <v>338</v>
      </c>
      <c r="R200" s="343" t="s">
        <v>155</v>
      </c>
      <c r="S200" s="384">
        <v>46181</v>
      </c>
      <c r="T200" s="384">
        <v>46187</v>
      </c>
      <c r="U200" s="343" t="s">
        <v>293</v>
      </c>
      <c r="V200" s="343">
        <v>15</v>
      </c>
      <c r="W200" s="343">
        <v>0</v>
      </c>
      <c r="X200" s="343">
        <v>0</v>
      </c>
      <c r="Y200" s="343">
        <v>0</v>
      </c>
      <c r="Z200" s="343">
        <v>0</v>
      </c>
      <c r="AA200" s="343">
        <v>0</v>
      </c>
    </row>
    <row r="201" spans="17:27">
      <c r="Q201" s="343" t="s">
        <v>338</v>
      </c>
      <c r="R201" s="343" t="s">
        <v>155</v>
      </c>
      <c r="S201" s="384">
        <v>46181</v>
      </c>
      <c r="T201" s="384">
        <v>46187</v>
      </c>
      <c r="U201" s="343" t="s">
        <v>106</v>
      </c>
      <c r="V201" s="343">
        <v>1</v>
      </c>
      <c r="W201" s="343">
        <v>106.6</v>
      </c>
      <c r="X201" s="343">
        <v>0</v>
      </c>
      <c r="Y201" s="343">
        <v>0</v>
      </c>
      <c r="Z201" s="343">
        <v>106.6</v>
      </c>
      <c r="AA201" s="343">
        <v>0</v>
      </c>
    </row>
    <row r="202" spans="17:27">
      <c r="Q202" s="343" t="s">
        <v>338</v>
      </c>
      <c r="R202" s="343" t="s">
        <v>155</v>
      </c>
      <c r="S202" s="384">
        <v>46181</v>
      </c>
      <c r="T202" s="384">
        <v>46187</v>
      </c>
      <c r="U202" s="343" t="s">
        <v>345</v>
      </c>
      <c r="V202" s="343">
        <v>170</v>
      </c>
      <c r="W202" s="343">
        <v>3648</v>
      </c>
      <c r="X202" s="343">
        <v>239</v>
      </c>
      <c r="Y202" s="343">
        <v>0</v>
      </c>
      <c r="Z202" s="343">
        <v>3887</v>
      </c>
      <c r="AA202" s="343">
        <v>291.83999999999997</v>
      </c>
    </row>
    <row r="203" spans="17:27">
      <c r="Q203" s="343" t="s">
        <v>338</v>
      </c>
      <c r="R203" s="343" t="s">
        <v>156</v>
      </c>
      <c r="S203" s="384">
        <v>46188</v>
      </c>
      <c r="T203" s="384">
        <v>46194</v>
      </c>
      <c r="U203" s="343" t="s">
        <v>285</v>
      </c>
      <c r="V203" s="343">
        <v>1612</v>
      </c>
      <c r="W203" s="343">
        <v>31715.75</v>
      </c>
      <c r="X203" s="343">
        <v>4747.25</v>
      </c>
      <c r="Y203" s="343">
        <v>0</v>
      </c>
      <c r="Z203" s="343">
        <v>36463</v>
      </c>
      <c r="AA203" s="343">
        <v>2537.2600000000002</v>
      </c>
    </row>
    <row r="204" spans="17:27">
      <c r="Q204" s="343" t="s">
        <v>338</v>
      </c>
      <c r="R204" s="343" t="s">
        <v>156</v>
      </c>
      <c r="S204" s="384">
        <v>46188</v>
      </c>
      <c r="T204" s="384">
        <v>46194</v>
      </c>
      <c r="U204" s="343" t="s">
        <v>342</v>
      </c>
      <c r="V204" s="343">
        <v>937</v>
      </c>
      <c r="W204" s="343">
        <v>6554.25</v>
      </c>
      <c r="X204" s="343">
        <v>478.75</v>
      </c>
      <c r="Y204" s="343">
        <v>0</v>
      </c>
      <c r="Z204" s="343">
        <v>7033</v>
      </c>
      <c r="AA204" s="343">
        <v>524.34</v>
      </c>
    </row>
    <row r="205" spans="17:27">
      <c r="Q205" s="343" t="s">
        <v>338</v>
      </c>
      <c r="R205" s="343" t="s">
        <v>156</v>
      </c>
      <c r="S205" s="384">
        <v>46188</v>
      </c>
      <c r="T205" s="384">
        <v>46194</v>
      </c>
      <c r="U205" s="343" t="s">
        <v>281</v>
      </c>
      <c r="V205" s="343">
        <v>1896</v>
      </c>
      <c r="W205" s="343">
        <v>133601.60000000001</v>
      </c>
      <c r="X205" s="343">
        <v>4960.8999999999996</v>
      </c>
      <c r="Y205" s="343">
        <v>0</v>
      </c>
      <c r="Z205" s="343">
        <v>138562.5</v>
      </c>
      <c r="AA205" s="343">
        <v>10688.15</v>
      </c>
    </row>
    <row r="206" spans="17:27">
      <c r="Q206" s="343" t="s">
        <v>338</v>
      </c>
      <c r="R206" s="343" t="s">
        <v>156</v>
      </c>
      <c r="S206" s="384">
        <v>46188</v>
      </c>
      <c r="T206" s="384">
        <v>46194</v>
      </c>
      <c r="U206" s="343" t="s">
        <v>279</v>
      </c>
      <c r="V206" s="343">
        <v>124</v>
      </c>
      <c r="W206" s="343">
        <v>1440</v>
      </c>
      <c r="X206" s="343">
        <v>12</v>
      </c>
      <c r="Y206" s="343">
        <v>0</v>
      </c>
      <c r="Z206" s="343">
        <v>1452</v>
      </c>
      <c r="AA206" s="343">
        <v>115.2</v>
      </c>
    </row>
    <row r="207" spans="17:27">
      <c r="Q207" s="343" t="s">
        <v>338</v>
      </c>
      <c r="R207" s="343" t="s">
        <v>156</v>
      </c>
      <c r="S207" s="384">
        <v>46188</v>
      </c>
      <c r="T207" s="384">
        <v>46194</v>
      </c>
      <c r="U207" s="343" t="s">
        <v>277</v>
      </c>
      <c r="V207" s="343">
        <v>29</v>
      </c>
      <c r="W207" s="343">
        <v>19355</v>
      </c>
      <c r="X207" s="343">
        <v>150</v>
      </c>
      <c r="Y207" s="343">
        <v>0</v>
      </c>
      <c r="Z207" s="343">
        <v>19505</v>
      </c>
      <c r="AA207" s="343">
        <v>1548.4</v>
      </c>
    </row>
    <row r="208" spans="17:27">
      <c r="Q208" s="343" t="s">
        <v>338</v>
      </c>
      <c r="R208" s="343" t="s">
        <v>156</v>
      </c>
      <c r="S208" s="384">
        <v>46188</v>
      </c>
      <c r="T208" s="384">
        <v>46194</v>
      </c>
      <c r="U208" s="343" t="s">
        <v>343</v>
      </c>
      <c r="V208" s="343">
        <v>6</v>
      </c>
      <c r="W208" s="343">
        <v>2432.4299999999998</v>
      </c>
      <c r="X208" s="343">
        <v>0</v>
      </c>
      <c r="Y208" s="343">
        <v>0</v>
      </c>
      <c r="Z208" s="343">
        <v>2432.4299999999998</v>
      </c>
      <c r="AA208" s="343">
        <v>194.59</v>
      </c>
    </row>
    <row r="209" spans="17:27">
      <c r="Q209" s="343" t="s">
        <v>338</v>
      </c>
      <c r="R209" s="343" t="s">
        <v>156</v>
      </c>
      <c r="S209" s="384">
        <v>46188</v>
      </c>
      <c r="T209" s="384">
        <v>46194</v>
      </c>
      <c r="U209" s="343" t="s">
        <v>293</v>
      </c>
      <c r="V209" s="343">
        <v>2</v>
      </c>
      <c r="W209" s="343">
        <v>0</v>
      </c>
      <c r="X209" s="343">
        <v>0</v>
      </c>
      <c r="Y209" s="343">
        <v>0</v>
      </c>
      <c r="Z209" s="343">
        <v>0</v>
      </c>
      <c r="AA209" s="343">
        <v>0</v>
      </c>
    </row>
    <row r="210" spans="17:27">
      <c r="Q210" s="343" t="s">
        <v>338</v>
      </c>
      <c r="R210" s="343" t="s">
        <v>156</v>
      </c>
      <c r="S210" s="384">
        <v>46188</v>
      </c>
      <c r="T210" s="384">
        <v>46194</v>
      </c>
      <c r="U210" s="343" t="s">
        <v>106</v>
      </c>
      <c r="V210" s="343">
        <v>3</v>
      </c>
      <c r="W210" s="343">
        <v>2674.35</v>
      </c>
      <c r="X210" s="343">
        <v>0</v>
      </c>
      <c r="Y210" s="343">
        <v>0</v>
      </c>
      <c r="Z210" s="343">
        <v>2674.35</v>
      </c>
      <c r="AA210" s="343">
        <v>0</v>
      </c>
    </row>
    <row r="211" spans="17:27">
      <c r="Q211" s="343" t="s">
        <v>338</v>
      </c>
      <c r="R211" s="343" t="s">
        <v>156</v>
      </c>
      <c r="S211" s="384">
        <v>46188</v>
      </c>
      <c r="T211" s="384">
        <v>46194</v>
      </c>
      <c r="U211" s="343" t="s">
        <v>345</v>
      </c>
      <c r="V211" s="343">
        <v>129</v>
      </c>
      <c r="W211" s="343">
        <v>2914</v>
      </c>
      <c r="X211" s="343">
        <v>112</v>
      </c>
      <c r="Y211" s="343">
        <v>0</v>
      </c>
      <c r="Z211" s="343">
        <v>3026</v>
      </c>
      <c r="AA211" s="343">
        <v>233.1</v>
      </c>
    </row>
    <row r="212" spans="17:27">
      <c r="Q212" s="343" t="s">
        <v>338</v>
      </c>
      <c r="R212" s="343" t="s">
        <v>157</v>
      </c>
      <c r="S212" s="384">
        <v>46195</v>
      </c>
      <c r="T212" s="384">
        <v>46201</v>
      </c>
      <c r="U212" s="343" t="s">
        <v>285</v>
      </c>
      <c r="V212" s="343">
        <v>966</v>
      </c>
      <c r="W212" s="343">
        <v>24742</v>
      </c>
      <c r="X212" s="343">
        <v>3687</v>
      </c>
      <c r="Y212" s="343">
        <v>0</v>
      </c>
      <c r="Z212" s="343">
        <v>28429</v>
      </c>
      <c r="AA212" s="343">
        <v>1978.18</v>
      </c>
    </row>
    <row r="213" spans="17:27">
      <c r="Q213" s="343" t="s">
        <v>338</v>
      </c>
      <c r="R213" s="343" t="s">
        <v>157</v>
      </c>
      <c r="S213" s="384">
        <v>46195</v>
      </c>
      <c r="T213" s="384">
        <v>46201</v>
      </c>
      <c r="U213" s="343" t="s">
        <v>342</v>
      </c>
      <c r="V213" s="343">
        <v>1198</v>
      </c>
      <c r="W213" s="343">
        <v>9140</v>
      </c>
      <c r="X213" s="343">
        <v>751</v>
      </c>
      <c r="Y213" s="343">
        <v>0</v>
      </c>
      <c r="Z213" s="343">
        <v>9891</v>
      </c>
      <c r="AA213" s="343">
        <v>731.2</v>
      </c>
    </row>
    <row r="214" spans="17:27">
      <c r="Q214" s="343" t="s">
        <v>338</v>
      </c>
      <c r="R214" s="343" t="s">
        <v>157</v>
      </c>
      <c r="S214" s="384">
        <v>46195</v>
      </c>
      <c r="T214" s="384">
        <v>46201</v>
      </c>
      <c r="U214" s="343" t="s">
        <v>281</v>
      </c>
      <c r="V214" s="343">
        <v>1724</v>
      </c>
      <c r="W214" s="343">
        <v>175874.01</v>
      </c>
      <c r="X214" s="343">
        <v>5402</v>
      </c>
      <c r="Y214" s="343">
        <v>0</v>
      </c>
      <c r="Z214" s="343">
        <v>181276.01</v>
      </c>
      <c r="AA214" s="343">
        <v>13881.92</v>
      </c>
    </row>
    <row r="215" spans="17:27">
      <c r="Q215" s="343" t="s">
        <v>338</v>
      </c>
      <c r="R215" s="343" t="s">
        <v>157</v>
      </c>
      <c r="S215" s="384">
        <v>46195</v>
      </c>
      <c r="T215" s="384">
        <v>46201</v>
      </c>
      <c r="U215" s="343" t="s">
        <v>279</v>
      </c>
      <c r="V215" s="343">
        <v>104</v>
      </c>
      <c r="W215" s="343">
        <v>1224</v>
      </c>
      <c r="X215" s="343">
        <v>24</v>
      </c>
      <c r="Y215" s="343">
        <v>0</v>
      </c>
      <c r="Z215" s="343">
        <v>1248</v>
      </c>
      <c r="AA215" s="343">
        <v>97.92</v>
      </c>
    </row>
    <row r="216" spans="17:27">
      <c r="Q216" s="343" t="s">
        <v>338</v>
      </c>
      <c r="R216" s="343" t="s">
        <v>157</v>
      </c>
      <c r="S216" s="384">
        <v>46195</v>
      </c>
      <c r="T216" s="384">
        <v>46201</v>
      </c>
      <c r="U216" s="343" t="s">
        <v>277</v>
      </c>
      <c r="V216" s="343">
        <v>74</v>
      </c>
      <c r="W216" s="343">
        <v>53830</v>
      </c>
      <c r="X216" s="343">
        <v>225</v>
      </c>
      <c r="Y216" s="343">
        <v>0</v>
      </c>
      <c r="Z216" s="343">
        <v>54055</v>
      </c>
      <c r="AA216" s="343">
        <v>4306.3999999999996</v>
      </c>
    </row>
    <row r="217" spans="17:27">
      <c r="Q217" s="343" t="s">
        <v>338</v>
      </c>
      <c r="R217" s="343" t="s">
        <v>157</v>
      </c>
      <c r="S217" s="384">
        <v>46195</v>
      </c>
      <c r="T217" s="384">
        <v>46201</v>
      </c>
      <c r="U217" s="343" t="s">
        <v>343</v>
      </c>
      <c r="V217" s="343">
        <v>20</v>
      </c>
      <c r="W217" s="343">
        <v>2245.0100000000002</v>
      </c>
      <c r="X217" s="343">
        <v>0</v>
      </c>
      <c r="Y217" s="343">
        <v>0</v>
      </c>
      <c r="Z217" s="343">
        <v>2245.0100000000002</v>
      </c>
      <c r="AA217" s="343">
        <v>179.6</v>
      </c>
    </row>
    <row r="218" spans="17:27">
      <c r="Q218" s="343" t="s">
        <v>338</v>
      </c>
      <c r="R218" s="343" t="s">
        <v>157</v>
      </c>
      <c r="S218" s="384">
        <v>46195</v>
      </c>
      <c r="T218" s="384">
        <v>46201</v>
      </c>
      <c r="U218" s="343" t="s">
        <v>106</v>
      </c>
      <c r="V218" s="343">
        <v>1</v>
      </c>
      <c r="W218" s="343">
        <v>217.5</v>
      </c>
      <c r="X218" s="343">
        <v>0</v>
      </c>
      <c r="Y218" s="343">
        <v>0</v>
      </c>
      <c r="Z218" s="343">
        <v>217.5</v>
      </c>
      <c r="AA218" s="343">
        <v>0</v>
      </c>
    </row>
    <row r="219" spans="17:27">
      <c r="Q219" s="343" t="s">
        <v>338</v>
      </c>
      <c r="R219" s="343" t="s">
        <v>157</v>
      </c>
      <c r="S219" s="384">
        <v>46195</v>
      </c>
      <c r="T219" s="384">
        <v>46201</v>
      </c>
      <c r="U219" s="343" t="s">
        <v>346</v>
      </c>
      <c r="V219" s="343">
        <v>1</v>
      </c>
      <c r="W219" s="343">
        <v>886.11</v>
      </c>
      <c r="X219" s="343">
        <v>0</v>
      </c>
      <c r="Y219" s="343">
        <v>0</v>
      </c>
      <c r="Z219" s="343">
        <v>886.11</v>
      </c>
      <c r="AA219" s="343">
        <v>70.89</v>
      </c>
    </row>
    <row r="220" spans="17:27">
      <c r="Q220" s="343" t="s">
        <v>338</v>
      </c>
      <c r="R220" s="343" t="s">
        <v>157</v>
      </c>
      <c r="S220" s="384">
        <v>46195</v>
      </c>
      <c r="T220" s="384">
        <v>46201</v>
      </c>
      <c r="U220" s="343" t="s">
        <v>345</v>
      </c>
      <c r="V220" s="343">
        <v>124</v>
      </c>
      <c r="W220" s="343">
        <v>3370</v>
      </c>
      <c r="X220" s="343">
        <v>48</v>
      </c>
      <c r="Y220" s="343">
        <v>0</v>
      </c>
      <c r="Z220" s="343">
        <v>3418</v>
      </c>
      <c r="AA220" s="343">
        <v>269.60000000000002</v>
      </c>
    </row>
    <row r="221" spans="17:27">
      <c r="Q221" s="343" t="s">
        <v>338</v>
      </c>
      <c r="R221" s="343" t="s">
        <v>160</v>
      </c>
      <c r="S221" s="384">
        <v>46202</v>
      </c>
      <c r="T221" s="384">
        <v>46208</v>
      </c>
      <c r="U221" s="343" t="s">
        <v>285</v>
      </c>
      <c r="V221" s="343">
        <v>1162</v>
      </c>
      <c r="W221" s="343">
        <v>20684.5</v>
      </c>
      <c r="X221" s="343">
        <v>6061.5</v>
      </c>
      <c r="Y221" s="343">
        <v>0</v>
      </c>
      <c r="Z221" s="343">
        <v>26746</v>
      </c>
      <c r="AA221" s="343">
        <v>1654.77</v>
      </c>
    </row>
    <row r="222" spans="17:27">
      <c r="Q222" s="343" t="s">
        <v>338</v>
      </c>
      <c r="R222" s="343" t="s">
        <v>160</v>
      </c>
      <c r="S222" s="384">
        <v>46202</v>
      </c>
      <c r="T222" s="384">
        <v>46208</v>
      </c>
      <c r="U222" s="343" t="s">
        <v>342</v>
      </c>
      <c r="V222" s="343">
        <v>870</v>
      </c>
      <c r="W222" s="343">
        <v>7005</v>
      </c>
      <c r="X222" s="343">
        <v>388</v>
      </c>
      <c r="Y222" s="343">
        <v>0</v>
      </c>
      <c r="Z222" s="343">
        <v>7393</v>
      </c>
      <c r="AA222" s="343">
        <v>560.4</v>
      </c>
    </row>
    <row r="223" spans="17:27">
      <c r="Q223" s="343" t="s">
        <v>338</v>
      </c>
      <c r="R223" s="343" t="s">
        <v>160</v>
      </c>
      <c r="S223" s="384">
        <v>46202</v>
      </c>
      <c r="T223" s="384">
        <v>46208</v>
      </c>
      <c r="U223" s="343" t="s">
        <v>281</v>
      </c>
      <c r="V223" s="343">
        <v>1882</v>
      </c>
      <c r="W223" s="343">
        <v>99383.01</v>
      </c>
      <c r="X223" s="343">
        <v>3373</v>
      </c>
      <c r="Y223" s="343">
        <v>0</v>
      </c>
      <c r="Z223" s="343">
        <v>102756.01</v>
      </c>
      <c r="AA223" s="343">
        <v>7941.04</v>
      </c>
    </row>
    <row r="224" spans="17:27">
      <c r="Q224" s="343" t="s">
        <v>338</v>
      </c>
      <c r="R224" s="343" t="s">
        <v>160</v>
      </c>
      <c r="S224" s="384">
        <v>46202</v>
      </c>
      <c r="T224" s="384">
        <v>46208</v>
      </c>
      <c r="U224" s="343" t="s">
        <v>279</v>
      </c>
      <c r="V224" s="343">
        <v>94</v>
      </c>
      <c r="W224" s="343">
        <v>1128</v>
      </c>
      <c r="X224" s="343">
        <v>0</v>
      </c>
      <c r="Y224" s="343">
        <v>0</v>
      </c>
      <c r="Z224" s="343">
        <v>1128</v>
      </c>
      <c r="AA224" s="343">
        <v>90.24</v>
      </c>
    </row>
    <row r="225" spans="17:27">
      <c r="Q225" s="343" t="s">
        <v>338</v>
      </c>
      <c r="R225" s="343" t="s">
        <v>160</v>
      </c>
      <c r="S225" s="384">
        <v>46202</v>
      </c>
      <c r="T225" s="384">
        <v>46208</v>
      </c>
      <c r="U225" s="343" t="s">
        <v>277</v>
      </c>
      <c r="V225" s="343">
        <v>43</v>
      </c>
      <c r="W225" s="343">
        <v>16400</v>
      </c>
      <c r="X225" s="343">
        <v>600</v>
      </c>
      <c r="Y225" s="343">
        <v>0</v>
      </c>
      <c r="Z225" s="343">
        <v>17000</v>
      </c>
      <c r="AA225" s="343">
        <v>1312</v>
      </c>
    </row>
    <row r="226" spans="17:27">
      <c r="Q226" s="343" t="s">
        <v>338</v>
      </c>
      <c r="R226" s="343" t="s">
        <v>160</v>
      </c>
      <c r="S226" s="384">
        <v>46202</v>
      </c>
      <c r="T226" s="384">
        <v>46208</v>
      </c>
      <c r="U226" s="343" t="s">
        <v>343</v>
      </c>
      <c r="V226" s="343">
        <v>6</v>
      </c>
      <c r="W226" s="343">
        <v>1051.01</v>
      </c>
      <c r="X226" s="343">
        <v>0</v>
      </c>
      <c r="Y226" s="343">
        <v>0</v>
      </c>
      <c r="Z226" s="343">
        <v>1051.01</v>
      </c>
      <c r="AA226" s="343">
        <v>84.08</v>
      </c>
    </row>
    <row r="227" spans="17:27">
      <c r="Q227" s="343" t="s">
        <v>338</v>
      </c>
      <c r="R227" s="343" t="s">
        <v>160</v>
      </c>
      <c r="S227" s="384">
        <v>46202</v>
      </c>
      <c r="T227" s="384">
        <v>46208</v>
      </c>
      <c r="U227" s="343" t="s">
        <v>293</v>
      </c>
      <c r="V227" s="343">
        <v>14</v>
      </c>
      <c r="W227" s="343">
        <v>0</v>
      </c>
      <c r="X227" s="343">
        <v>0</v>
      </c>
      <c r="Y227" s="343">
        <v>0</v>
      </c>
      <c r="Z227" s="343">
        <v>0</v>
      </c>
      <c r="AA227" s="343">
        <v>0</v>
      </c>
    </row>
    <row r="228" spans="17:27">
      <c r="Q228" s="343" t="s">
        <v>338</v>
      </c>
      <c r="R228" s="343" t="s">
        <v>160</v>
      </c>
      <c r="S228" s="384">
        <v>46202</v>
      </c>
      <c r="T228" s="384">
        <v>46208</v>
      </c>
      <c r="U228" s="343" t="s">
        <v>106</v>
      </c>
      <c r="V228" s="343">
        <v>1</v>
      </c>
      <c r="W228" s="343">
        <v>207</v>
      </c>
      <c r="X228" s="343">
        <v>0</v>
      </c>
      <c r="Y228" s="343">
        <v>0</v>
      </c>
      <c r="Z228" s="343">
        <v>207</v>
      </c>
      <c r="AA228" s="343">
        <v>0</v>
      </c>
    </row>
    <row r="229" spans="17:27">
      <c r="Q229" s="343" t="s">
        <v>338</v>
      </c>
      <c r="R229" s="343" t="s">
        <v>160</v>
      </c>
      <c r="S229" s="384">
        <v>46202</v>
      </c>
      <c r="T229" s="384">
        <v>46208</v>
      </c>
      <c r="U229" s="343" t="s">
        <v>345</v>
      </c>
      <c r="V229" s="343">
        <v>187</v>
      </c>
      <c r="W229" s="343">
        <v>4592</v>
      </c>
      <c r="X229" s="343">
        <v>121</v>
      </c>
      <c r="Y229" s="343">
        <v>0</v>
      </c>
      <c r="Z229" s="343">
        <v>4713</v>
      </c>
      <c r="AA229" s="343">
        <v>367.36</v>
      </c>
    </row>
    <row r="230" spans="17:27">
      <c r="Q230" s="343" t="s">
        <v>338</v>
      </c>
      <c r="R230" s="343" t="s">
        <v>161</v>
      </c>
      <c r="S230" s="384">
        <v>46209</v>
      </c>
      <c r="T230" s="384">
        <v>46215</v>
      </c>
      <c r="U230" s="343" t="s">
        <v>285</v>
      </c>
      <c r="V230" s="343">
        <v>991</v>
      </c>
      <c r="W230" s="343">
        <v>24660.5</v>
      </c>
      <c r="X230" s="343">
        <v>3267.5</v>
      </c>
      <c r="Y230" s="343">
        <v>0</v>
      </c>
      <c r="Z230" s="343">
        <v>27928</v>
      </c>
      <c r="AA230" s="343">
        <v>1972.85</v>
      </c>
    </row>
    <row r="231" spans="17:27">
      <c r="Q231" s="343" t="s">
        <v>338</v>
      </c>
      <c r="R231" s="343" t="s">
        <v>161</v>
      </c>
      <c r="S231" s="384">
        <v>46209</v>
      </c>
      <c r="T231" s="384">
        <v>46215</v>
      </c>
      <c r="U231" s="343" t="s">
        <v>342</v>
      </c>
      <c r="V231" s="343">
        <v>1182</v>
      </c>
      <c r="W231" s="343">
        <v>9133</v>
      </c>
      <c r="X231" s="343">
        <v>408</v>
      </c>
      <c r="Y231" s="343">
        <v>0</v>
      </c>
      <c r="Z231" s="343">
        <v>9541</v>
      </c>
      <c r="AA231" s="343">
        <v>730.64</v>
      </c>
    </row>
    <row r="232" spans="17:27">
      <c r="Q232" s="343" t="s">
        <v>338</v>
      </c>
      <c r="R232" s="343" t="s">
        <v>161</v>
      </c>
      <c r="S232" s="384">
        <v>46209</v>
      </c>
      <c r="T232" s="384">
        <v>46215</v>
      </c>
      <c r="U232" s="343" t="s">
        <v>281</v>
      </c>
      <c r="V232" s="343">
        <v>2081</v>
      </c>
      <c r="W232" s="343">
        <v>166086</v>
      </c>
      <c r="X232" s="343">
        <v>7671</v>
      </c>
      <c r="Y232" s="343">
        <v>0</v>
      </c>
      <c r="Z232" s="343">
        <v>173757</v>
      </c>
      <c r="AA232" s="343">
        <v>13204.48</v>
      </c>
    </row>
    <row r="233" spans="17:27">
      <c r="Q233" s="343" t="s">
        <v>338</v>
      </c>
      <c r="R233" s="343" t="s">
        <v>161</v>
      </c>
      <c r="S233" s="384">
        <v>46209</v>
      </c>
      <c r="T233" s="384">
        <v>46215</v>
      </c>
      <c r="U233" s="343" t="s">
        <v>279</v>
      </c>
      <c r="V233" s="343">
        <v>118</v>
      </c>
      <c r="W233" s="343">
        <v>1356</v>
      </c>
      <c r="X233" s="343">
        <v>60</v>
      </c>
      <c r="Y233" s="343">
        <v>0</v>
      </c>
      <c r="Z233" s="343">
        <v>1416</v>
      </c>
      <c r="AA233" s="343">
        <v>108.48</v>
      </c>
    </row>
    <row r="234" spans="17:27">
      <c r="Q234" s="343" t="s">
        <v>338</v>
      </c>
      <c r="R234" s="343" t="s">
        <v>161</v>
      </c>
      <c r="S234" s="384">
        <v>46209</v>
      </c>
      <c r="T234" s="384">
        <v>46215</v>
      </c>
      <c r="U234" s="343" t="s">
        <v>277</v>
      </c>
      <c r="V234" s="343">
        <v>60</v>
      </c>
      <c r="W234" s="343">
        <v>40415</v>
      </c>
      <c r="X234" s="343">
        <v>150</v>
      </c>
      <c r="Y234" s="343">
        <v>0</v>
      </c>
      <c r="Z234" s="343">
        <v>40565</v>
      </c>
      <c r="AA234" s="343">
        <v>3233.2</v>
      </c>
    </row>
    <row r="235" spans="17:27">
      <c r="Q235" s="343" t="s">
        <v>338</v>
      </c>
      <c r="R235" s="343" t="s">
        <v>161</v>
      </c>
      <c r="S235" s="384">
        <v>46209</v>
      </c>
      <c r="T235" s="384">
        <v>46215</v>
      </c>
      <c r="U235" s="343" t="s">
        <v>343</v>
      </c>
      <c r="V235" s="343">
        <v>28</v>
      </c>
      <c r="W235" s="343">
        <v>6067</v>
      </c>
      <c r="X235" s="343">
        <v>0</v>
      </c>
      <c r="Y235" s="343">
        <v>0</v>
      </c>
      <c r="Z235" s="343">
        <v>6067</v>
      </c>
      <c r="AA235" s="343">
        <v>485.36</v>
      </c>
    </row>
    <row r="236" spans="17:27">
      <c r="Q236" s="343" t="s">
        <v>338</v>
      </c>
      <c r="R236" s="343" t="s">
        <v>161</v>
      </c>
      <c r="S236" s="384">
        <v>46209</v>
      </c>
      <c r="T236" s="384">
        <v>46215</v>
      </c>
      <c r="U236" s="343" t="s">
        <v>293</v>
      </c>
      <c r="V236" s="343">
        <v>2</v>
      </c>
      <c r="W236" s="343">
        <v>0</v>
      </c>
      <c r="X236" s="343">
        <v>0</v>
      </c>
      <c r="Y236" s="343">
        <v>0</v>
      </c>
      <c r="Z236" s="343">
        <v>0</v>
      </c>
      <c r="AA236" s="343">
        <v>0</v>
      </c>
    </row>
    <row r="237" spans="17:27">
      <c r="Q237" s="343" t="s">
        <v>338</v>
      </c>
      <c r="R237" s="343" t="s">
        <v>161</v>
      </c>
      <c r="S237" s="384">
        <v>46209</v>
      </c>
      <c r="T237" s="384">
        <v>46215</v>
      </c>
      <c r="U237" s="343" t="s">
        <v>345</v>
      </c>
      <c r="V237" s="343">
        <v>192</v>
      </c>
      <c r="W237" s="343">
        <v>5087</v>
      </c>
      <c r="X237" s="343">
        <v>143</v>
      </c>
      <c r="Y237" s="343">
        <v>0</v>
      </c>
      <c r="Z237" s="343">
        <v>5230</v>
      </c>
      <c r="AA237" s="343">
        <v>406.96</v>
      </c>
    </row>
    <row r="238" spans="17:27">
      <c r="Q238" s="343" t="s">
        <v>338</v>
      </c>
      <c r="R238" s="343" t="s">
        <v>162</v>
      </c>
      <c r="S238" s="384">
        <v>46216</v>
      </c>
      <c r="T238" s="384">
        <v>46222</v>
      </c>
      <c r="U238" s="343" t="s">
        <v>285</v>
      </c>
      <c r="V238" s="343">
        <v>461</v>
      </c>
      <c r="W238" s="343">
        <v>8075</v>
      </c>
      <c r="X238" s="343">
        <v>6783</v>
      </c>
      <c r="Y238" s="343">
        <v>0</v>
      </c>
      <c r="Z238" s="343">
        <v>14858</v>
      </c>
      <c r="AA238" s="343">
        <v>642.72</v>
      </c>
    </row>
    <row r="239" spans="17:27">
      <c r="Q239" s="343" t="s">
        <v>338</v>
      </c>
      <c r="R239" s="343" t="s">
        <v>162</v>
      </c>
      <c r="S239" s="384">
        <v>46216</v>
      </c>
      <c r="T239" s="384">
        <v>46222</v>
      </c>
      <c r="U239" s="343" t="s">
        <v>342</v>
      </c>
      <c r="V239" s="343">
        <v>566</v>
      </c>
      <c r="W239" s="343">
        <v>3769</v>
      </c>
      <c r="X239" s="343">
        <v>521</v>
      </c>
      <c r="Y239" s="343">
        <v>0</v>
      </c>
      <c r="Z239" s="343">
        <v>4290</v>
      </c>
      <c r="AA239" s="343">
        <v>298.64</v>
      </c>
    </row>
    <row r="240" spans="17:27">
      <c r="Q240" s="343" t="s">
        <v>338</v>
      </c>
      <c r="R240" s="343" t="s">
        <v>162</v>
      </c>
      <c r="S240" s="384">
        <v>46216</v>
      </c>
      <c r="T240" s="384">
        <v>46222</v>
      </c>
      <c r="U240" s="343" t="s">
        <v>281</v>
      </c>
      <c r="V240" s="343">
        <v>1372</v>
      </c>
      <c r="W240" s="343">
        <v>89289</v>
      </c>
      <c r="X240" s="343">
        <v>7468</v>
      </c>
      <c r="Y240" s="343">
        <v>0</v>
      </c>
      <c r="Z240" s="343">
        <v>96757</v>
      </c>
      <c r="AA240" s="343">
        <v>7090.85</v>
      </c>
    </row>
    <row r="241" spans="17:27">
      <c r="Q241" s="343" t="s">
        <v>338</v>
      </c>
      <c r="R241" s="343" t="s">
        <v>162</v>
      </c>
      <c r="S241" s="384">
        <v>46216</v>
      </c>
      <c r="T241" s="384">
        <v>46222</v>
      </c>
      <c r="U241" s="343" t="s">
        <v>279</v>
      </c>
      <c r="V241" s="343">
        <v>92</v>
      </c>
      <c r="W241" s="343">
        <v>1044</v>
      </c>
      <c r="X241" s="343">
        <v>0</v>
      </c>
      <c r="Y241" s="343">
        <v>0</v>
      </c>
      <c r="Z241" s="343">
        <v>1044</v>
      </c>
      <c r="AA241" s="343">
        <v>83.52</v>
      </c>
    </row>
    <row r="242" spans="17:27">
      <c r="Q242" s="343" t="s">
        <v>338</v>
      </c>
      <c r="R242" s="343" t="s">
        <v>162</v>
      </c>
      <c r="S242" s="384">
        <v>46216</v>
      </c>
      <c r="T242" s="384">
        <v>46222</v>
      </c>
      <c r="U242" s="343" t="s">
        <v>277</v>
      </c>
      <c r="V242" s="343">
        <v>28</v>
      </c>
      <c r="W242" s="343">
        <v>18775</v>
      </c>
      <c r="X242" s="343">
        <v>890</v>
      </c>
      <c r="Y242" s="343">
        <v>0</v>
      </c>
      <c r="Z242" s="343">
        <v>19665</v>
      </c>
      <c r="AA242" s="343">
        <v>1502</v>
      </c>
    </row>
    <row r="243" spans="17:27">
      <c r="Q243" s="343" t="s">
        <v>338</v>
      </c>
      <c r="R243" s="343" t="s">
        <v>162</v>
      </c>
      <c r="S243" s="384">
        <v>46216</v>
      </c>
      <c r="T243" s="384">
        <v>46222</v>
      </c>
      <c r="U243" s="343" t="s">
        <v>343</v>
      </c>
      <c r="V243" s="343">
        <v>19</v>
      </c>
      <c r="W243" s="343">
        <v>4595</v>
      </c>
      <c r="X243" s="343">
        <v>0</v>
      </c>
      <c r="Y243" s="343">
        <v>0</v>
      </c>
      <c r="Z243" s="343">
        <v>4595</v>
      </c>
      <c r="AA243" s="343">
        <v>367.6</v>
      </c>
    </row>
    <row r="244" spans="17:27">
      <c r="Q244" s="343" t="s">
        <v>338</v>
      </c>
      <c r="R244" s="343" t="s">
        <v>162</v>
      </c>
      <c r="S244" s="384">
        <v>46216</v>
      </c>
      <c r="T244" s="384">
        <v>46222</v>
      </c>
      <c r="U244" s="343" t="s">
        <v>293</v>
      </c>
      <c r="V244" s="343">
        <v>10</v>
      </c>
      <c r="W244" s="343">
        <v>0</v>
      </c>
      <c r="X244" s="343">
        <v>0</v>
      </c>
      <c r="Y244" s="343">
        <v>0</v>
      </c>
      <c r="Z244" s="343">
        <v>0</v>
      </c>
      <c r="AA244" s="343">
        <v>0</v>
      </c>
    </row>
    <row r="245" spans="17:27">
      <c r="Q245" s="343" t="s">
        <v>338</v>
      </c>
      <c r="R245" s="343" t="s">
        <v>162</v>
      </c>
      <c r="S245" s="384">
        <v>46216</v>
      </c>
      <c r="T245" s="384">
        <v>46222</v>
      </c>
      <c r="U245" s="343" t="s">
        <v>346</v>
      </c>
      <c r="V245" s="343">
        <v>23</v>
      </c>
      <c r="W245" s="343">
        <v>3301.65</v>
      </c>
      <c r="X245" s="343">
        <v>0</v>
      </c>
      <c r="Y245" s="343">
        <v>0</v>
      </c>
      <c r="Z245" s="343">
        <v>3301.65</v>
      </c>
      <c r="AA245" s="343">
        <v>264.14</v>
      </c>
    </row>
    <row r="246" spans="17:27">
      <c r="Q246" s="343" t="s">
        <v>338</v>
      </c>
      <c r="R246" s="343" t="s">
        <v>162</v>
      </c>
      <c r="S246" s="384">
        <v>46216</v>
      </c>
      <c r="T246" s="384">
        <v>46222</v>
      </c>
      <c r="U246" s="343" t="s">
        <v>345</v>
      </c>
      <c r="V246" s="343">
        <v>100</v>
      </c>
      <c r="W246" s="343">
        <v>2304</v>
      </c>
      <c r="X246" s="343">
        <v>169</v>
      </c>
      <c r="Y246" s="343">
        <v>0</v>
      </c>
      <c r="Z246" s="343">
        <v>2473</v>
      </c>
      <c r="AA246" s="343">
        <v>184.32</v>
      </c>
    </row>
    <row r="247" spans="17:27">
      <c r="Q247" s="343" t="s">
        <v>338</v>
      </c>
      <c r="R247" s="343" t="s">
        <v>163</v>
      </c>
      <c r="S247" s="384">
        <v>46223</v>
      </c>
      <c r="T247" s="384">
        <v>46229</v>
      </c>
      <c r="U247" s="343" t="s">
        <v>285</v>
      </c>
      <c r="V247" s="343">
        <v>373</v>
      </c>
      <c r="W247" s="343">
        <v>6976.5</v>
      </c>
      <c r="X247" s="343">
        <v>5061.5</v>
      </c>
      <c r="Y247" s="343">
        <v>0</v>
      </c>
      <c r="Z247" s="343">
        <v>12038</v>
      </c>
      <c r="AA247" s="343">
        <v>558.13</v>
      </c>
    </row>
    <row r="248" spans="17:27">
      <c r="Q248" s="343" t="s">
        <v>338</v>
      </c>
      <c r="R248" s="343" t="s">
        <v>163</v>
      </c>
      <c r="S248" s="384">
        <v>46223</v>
      </c>
      <c r="T248" s="384">
        <v>46229</v>
      </c>
      <c r="U248" s="343" t="s">
        <v>342</v>
      </c>
      <c r="V248" s="343">
        <v>339</v>
      </c>
      <c r="W248" s="343">
        <v>2429</v>
      </c>
      <c r="X248" s="343">
        <v>163</v>
      </c>
      <c r="Y248" s="343">
        <v>0</v>
      </c>
      <c r="Z248" s="343">
        <v>2592</v>
      </c>
      <c r="AA248" s="343">
        <v>194.32</v>
      </c>
    </row>
    <row r="249" spans="17:27">
      <c r="Q249" s="343" t="s">
        <v>338</v>
      </c>
      <c r="R249" s="343" t="s">
        <v>163</v>
      </c>
      <c r="S249" s="384">
        <v>46223</v>
      </c>
      <c r="T249" s="384">
        <v>46229</v>
      </c>
      <c r="U249" s="343" t="s">
        <v>281</v>
      </c>
      <c r="V249" s="343">
        <v>966</v>
      </c>
      <c r="W249" s="343">
        <v>57441</v>
      </c>
      <c r="X249" s="343">
        <v>3598</v>
      </c>
      <c r="Y249" s="343">
        <v>0</v>
      </c>
      <c r="Z249" s="343">
        <v>61039</v>
      </c>
      <c r="AA249" s="343">
        <v>4592.88</v>
      </c>
    </row>
    <row r="250" spans="17:27">
      <c r="Q250" s="343" t="s">
        <v>338</v>
      </c>
      <c r="R250" s="343" t="s">
        <v>163</v>
      </c>
      <c r="S250" s="384">
        <v>46223</v>
      </c>
      <c r="T250" s="384">
        <v>46229</v>
      </c>
      <c r="U250" s="343" t="s">
        <v>279</v>
      </c>
      <c r="V250" s="343">
        <v>47</v>
      </c>
      <c r="W250" s="343">
        <v>468</v>
      </c>
      <c r="X250" s="343">
        <v>96</v>
      </c>
      <c r="Y250" s="343">
        <v>0</v>
      </c>
      <c r="Z250" s="343">
        <v>564</v>
      </c>
      <c r="AA250" s="343">
        <v>37.44</v>
      </c>
    </row>
    <row r="251" spans="17:27">
      <c r="Q251" s="343" t="s">
        <v>338</v>
      </c>
      <c r="R251" s="343" t="s">
        <v>163</v>
      </c>
      <c r="S251" s="384">
        <v>46223</v>
      </c>
      <c r="T251" s="384">
        <v>46229</v>
      </c>
      <c r="U251" s="343" t="s">
        <v>277</v>
      </c>
      <c r="V251" s="343">
        <v>20</v>
      </c>
      <c r="W251" s="343">
        <v>7080</v>
      </c>
      <c r="X251" s="343">
        <v>375</v>
      </c>
      <c r="Y251" s="343">
        <v>0</v>
      </c>
      <c r="Z251" s="343">
        <v>7455</v>
      </c>
      <c r="AA251" s="343">
        <v>566.4</v>
      </c>
    </row>
    <row r="252" spans="17:27">
      <c r="Q252" s="343" t="s">
        <v>338</v>
      </c>
      <c r="R252" s="343" t="s">
        <v>163</v>
      </c>
      <c r="S252" s="384">
        <v>46223</v>
      </c>
      <c r="T252" s="384">
        <v>46229</v>
      </c>
      <c r="U252" s="343" t="s">
        <v>343</v>
      </c>
      <c r="V252" s="343">
        <v>5</v>
      </c>
      <c r="W252" s="343">
        <v>487.35</v>
      </c>
      <c r="X252" s="343">
        <v>0</v>
      </c>
      <c r="Y252" s="343">
        <v>0</v>
      </c>
      <c r="Z252" s="343">
        <v>487.35</v>
      </c>
      <c r="AA252" s="343">
        <v>38.979999999999997</v>
      </c>
    </row>
    <row r="253" spans="17:27">
      <c r="Q253" s="343" t="s">
        <v>338</v>
      </c>
      <c r="R253" s="343" t="s">
        <v>163</v>
      </c>
      <c r="S253" s="384">
        <v>46223</v>
      </c>
      <c r="T253" s="384">
        <v>46229</v>
      </c>
      <c r="U253" s="343" t="s">
        <v>341</v>
      </c>
      <c r="V253" s="343">
        <v>2</v>
      </c>
      <c r="W253" s="343">
        <v>2336.4499999999998</v>
      </c>
      <c r="X253" s="343">
        <v>0</v>
      </c>
      <c r="Y253" s="343">
        <v>0</v>
      </c>
      <c r="Z253" s="343">
        <v>2336.4499999999998</v>
      </c>
      <c r="AA253" s="343">
        <v>163.55000000000001</v>
      </c>
    </row>
    <row r="254" spans="17:27">
      <c r="Q254" s="343" t="s">
        <v>338</v>
      </c>
      <c r="R254" s="343" t="s">
        <v>163</v>
      </c>
      <c r="S254" s="384">
        <v>46223</v>
      </c>
      <c r="T254" s="384">
        <v>46229</v>
      </c>
      <c r="U254" s="343" t="s">
        <v>293</v>
      </c>
      <c r="V254" s="343">
        <v>4</v>
      </c>
      <c r="W254" s="343">
        <v>0</v>
      </c>
      <c r="X254" s="343">
        <v>0</v>
      </c>
      <c r="Y254" s="343">
        <v>0</v>
      </c>
      <c r="Z254" s="343">
        <v>0</v>
      </c>
      <c r="AA254" s="343">
        <v>0</v>
      </c>
    </row>
    <row r="255" spans="17:27">
      <c r="Q255" s="343" t="s">
        <v>338</v>
      </c>
      <c r="R255" s="343" t="s">
        <v>163</v>
      </c>
      <c r="S255" s="384">
        <v>46223</v>
      </c>
      <c r="T255" s="384">
        <v>46229</v>
      </c>
      <c r="U255" s="343" t="s">
        <v>106</v>
      </c>
      <c r="V255" s="343">
        <v>2</v>
      </c>
      <c r="W255" s="343">
        <v>419.7</v>
      </c>
      <c r="X255" s="343">
        <v>0</v>
      </c>
      <c r="Y255" s="343">
        <v>0</v>
      </c>
      <c r="Z255" s="343">
        <v>419.7</v>
      </c>
      <c r="AA255" s="343">
        <v>0</v>
      </c>
    </row>
    <row r="256" spans="17:27">
      <c r="Q256" s="343" t="s">
        <v>338</v>
      </c>
      <c r="R256" s="343" t="s">
        <v>163</v>
      </c>
      <c r="S256" s="384">
        <v>46223</v>
      </c>
      <c r="T256" s="384">
        <v>46229</v>
      </c>
      <c r="U256" s="343" t="s">
        <v>345</v>
      </c>
      <c r="V256" s="343">
        <v>80</v>
      </c>
      <c r="W256" s="343">
        <v>1972</v>
      </c>
      <c r="X256" s="343">
        <v>59</v>
      </c>
      <c r="Y256" s="343">
        <v>0</v>
      </c>
      <c r="Z256" s="343">
        <v>2031</v>
      </c>
      <c r="AA256" s="343">
        <v>157.76</v>
      </c>
    </row>
    <row r="257" spans="17:27">
      <c r="Q257" s="343" t="s">
        <v>338</v>
      </c>
      <c r="R257" s="343" t="s">
        <v>166</v>
      </c>
      <c r="S257" s="384">
        <v>46230</v>
      </c>
      <c r="T257" s="384">
        <v>46236</v>
      </c>
      <c r="U257" s="343" t="s">
        <v>285</v>
      </c>
      <c r="V257" s="343">
        <v>520</v>
      </c>
      <c r="W257" s="343">
        <v>12100</v>
      </c>
      <c r="X257" s="343">
        <v>5447</v>
      </c>
      <c r="Y257" s="343">
        <v>0</v>
      </c>
      <c r="Z257" s="343">
        <v>17547</v>
      </c>
      <c r="AA257" s="343">
        <v>968</v>
      </c>
    </row>
    <row r="258" spans="17:27">
      <c r="Q258" s="343" t="s">
        <v>338</v>
      </c>
      <c r="R258" s="343" t="s">
        <v>166</v>
      </c>
      <c r="S258" s="384">
        <v>46230</v>
      </c>
      <c r="T258" s="384">
        <v>46236</v>
      </c>
      <c r="U258" s="343" t="s">
        <v>342</v>
      </c>
      <c r="V258" s="343">
        <v>430</v>
      </c>
      <c r="W258" s="343">
        <v>2821</v>
      </c>
      <c r="X258" s="343">
        <v>348</v>
      </c>
      <c r="Y258" s="343">
        <v>0</v>
      </c>
      <c r="Z258" s="343">
        <v>3169</v>
      </c>
      <c r="AA258" s="343">
        <v>225.68</v>
      </c>
    </row>
    <row r="259" spans="17:27">
      <c r="Q259" s="343" t="s">
        <v>338</v>
      </c>
      <c r="R259" s="343" t="s">
        <v>166</v>
      </c>
      <c r="S259" s="384">
        <v>46230</v>
      </c>
      <c r="T259" s="384">
        <v>46236</v>
      </c>
      <c r="U259" s="343" t="s">
        <v>281</v>
      </c>
      <c r="V259" s="343">
        <v>889</v>
      </c>
      <c r="W259" s="343">
        <v>51724</v>
      </c>
      <c r="X259" s="343">
        <v>5933</v>
      </c>
      <c r="Y259" s="343">
        <v>0</v>
      </c>
      <c r="Z259" s="343">
        <v>57657</v>
      </c>
      <c r="AA259" s="343">
        <v>4053.6</v>
      </c>
    </row>
    <row r="260" spans="17:27">
      <c r="Q260" s="343" t="s">
        <v>338</v>
      </c>
      <c r="R260" s="343" t="s">
        <v>166</v>
      </c>
      <c r="S260" s="384">
        <v>46230</v>
      </c>
      <c r="T260" s="384">
        <v>46236</v>
      </c>
      <c r="U260" s="343" t="s">
        <v>279</v>
      </c>
      <c r="V260" s="343">
        <v>40</v>
      </c>
      <c r="W260" s="343">
        <v>444</v>
      </c>
      <c r="X260" s="343">
        <v>36</v>
      </c>
      <c r="Y260" s="343">
        <v>0</v>
      </c>
      <c r="Z260" s="343">
        <v>480</v>
      </c>
      <c r="AA260" s="343">
        <v>35.520000000000003</v>
      </c>
    </row>
    <row r="261" spans="17:27">
      <c r="Q261" s="343" t="s">
        <v>338</v>
      </c>
      <c r="R261" s="343" t="s">
        <v>166</v>
      </c>
      <c r="S261" s="384">
        <v>46230</v>
      </c>
      <c r="T261" s="384">
        <v>46236</v>
      </c>
      <c r="U261" s="343" t="s">
        <v>277</v>
      </c>
      <c r="V261" s="343">
        <v>25</v>
      </c>
      <c r="W261" s="343">
        <v>10360</v>
      </c>
      <c r="X261" s="343">
        <v>345</v>
      </c>
      <c r="Y261" s="343">
        <v>0</v>
      </c>
      <c r="Z261" s="343">
        <v>10705</v>
      </c>
      <c r="AA261" s="343">
        <v>828.8</v>
      </c>
    </row>
    <row r="262" spans="17:27">
      <c r="Q262" s="343" t="s">
        <v>338</v>
      </c>
      <c r="R262" s="343" t="s">
        <v>166</v>
      </c>
      <c r="S262" s="384">
        <v>46230</v>
      </c>
      <c r="T262" s="384">
        <v>46236</v>
      </c>
      <c r="U262" s="343" t="s">
        <v>343</v>
      </c>
      <c r="V262" s="343">
        <v>1</v>
      </c>
      <c r="W262" s="343">
        <v>200</v>
      </c>
      <c r="X262" s="343">
        <v>0</v>
      </c>
      <c r="Y262" s="343">
        <v>0</v>
      </c>
      <c r="Z262" s="343">
        <v>200</v>
      </c>
      <c r="AA262" s="343">
        <v>16</v>
      </c>
    </row>
    <row r="263" spans="17:27">
      <c r="Q263" s="343" t="s">
        <v>338</v>
      </c>
      <c r="R263" s="343" t="s">
        <v>166</v>
      </c>
      <c r="S263" s="384">
        <v>46230</v>
      </c>
      <c r="T263" s="384">
        <v>46236</v>
      </c>
      <c r="U263" s="343" t="s">
        <v>293</v>
      </c>
      <c r="V263" s="343">
        <v>20</v>
      </c>
      <c r="W263" s="343">
        <v>0</v>
      </c>
      <c r="X263" s="343">
        <v>0</v>
      </c>
      <c r="Y263" s="343">
        <v>0</v>
      </c>
      <c r="Z263" s="343">
        <v>0</v>
      </c>
      <c r="AA263" s="343">
        <v>0</v>
      </c>
    </row>
    <row r="264" spans="17:27">
      <c r="Q264" s="343" t="s">
        <v>338</v>
      </c>
      <c r="R264" s="343" t="s">
        <v>166</v>
      </c>
      <c r="S264" s="384">
        <v>46230</v>
      </c>
      <c r="T264" s="384">
        <v>46236</v>
      </c>
      <c r="U264" s="343" t="s">
        <v>106</v>
      </c>
      <c r="V264" s="343">
        <v>1</v>
      </c>
      <c r="W264" s="343">
        <v>272.85000000000002</v>
      </c>
      <c r="X264" s="343">
        <v>0</v>
      </c>
      <c r="Y264" s="343">
        <v>0</v>
      </c>
      <c r="Z264" s="343">
        <v>272.85000000000002</v>
      </c>
      <c r="AA264" s="343">
        <v>0</v>
      </c>
    </row>
    <row r="265" spans="17:27">
      <c r="Q265" s="343" t="s">
        <v>338</v>
      </c>
      <c r="R265" s="343" t="s">
        <v>166</v>
      </c>
      <c r="S265" s="384">
        <v>46230</v>
      </c>
      <c r="T265" s="384">
        <v>46236</v>
      </c>
      <c r="U265" s="343" t="s">
        <v>345</v>
      </c>
      <c r="V265" s="343">
        <v>84</v>
      </c>
      <c r="W265" s="343">
        <v>2051</v>
      </c>
      <c r="X265" s="343">
        <v>71</v>
      </c>
      <c r="Y265" s="343">
        <v>0</v>
      </c>
      <c r="Z265" s="343">
        <v>2122</v>
      </c>
      <c r="AA265" s="343">
        <v>164.08</v>
      </c>
    </row>
    <row r="266" spans="17:27">
      <c r="Q266" s="343" t="s">
        <v>338</v>
      </c>
      <c r="R266" s="343" t="s">
        <v>167</v>
      </c>
      <c r="S266" s="384">
        <v>46237</v>
      </c>
      <c r="T266" s="384">
        <v>46243</v>
      </c>
      <c r="U266" s="343" t="s">
        <v>285</v>
      </c>
      <c r="V266" s="343">
        <v>1568</v>
      </c>
      <c r="W266" s="343">
        <v>31083</v>
      </c>
      <c r="X266" s="343">
        <v>6115</v>
      </c>
      <c r="Y266" s="343">
        <v>0</v>
      </c>
      <c r="Z266" s="343">
        <v>37198</v>
      </c>
      <c r="AA266" s="343">
        <v>2481.84</v>
      </c>
    </row>
    <row r="267" spans="17:27">
      <c r="Q267" s="343" t="s">
        <v>338</v>
      </c>
      <c r="R267" s="343" t="s">
        <v>167</v>
      </c>
      <c r="S267" s="384">
        <v>46237</v>
      </c>
      <c r="T267" s="384">
        <v>46243</v>
      </c>
      <c r="U267" s="343" t="s">
        <v>342</v>
      </c>
      <c r="V267" s="343">
        <v>342</v>
      </c>
      <c r="W267" s="343">
        <v>2769</v>
      </c>
      <c r="X267" s="343">
        <v>179</v>
      </c>
      <c r="Y267" s="343">
        <v>0</v>
      </c>
      <c r="Z267" s="343">
        <v>2948</v>
      </c>
      <c r="AA267" s="343">
        <v>221.52</v>
      </c>
    </row>
    <row r="268" spans="17:27">
      <c r="Q268" s="343" t="s">
        <v>338</v>
      </c>
      <c r="R268" s="343" t="s">
        <v>167</v>
      </c>
      <c r="S268" s="384">
        <v>46237</v>
      </c>
      <c r="T268" s="384">
        <v>46243</v>
      </c>
      <c r="U268" s="343" t="s">
        <v>281</v>
      </c>
      <c r="V268" s="343">
        <v>1149</v>
      </c>
      <c r="W268" s="343">
        <v>40757</v>
      </c>
      <c r="X268" s="343">
        <v>4733</v>
      </c>
      <c r="Y268" s="343">
        <v>0</v>
      </c>
      <c r="Z268" s="343">
        <v>45490</v>
      </c>
      <c r="AA268" s="343">
        <v>3260.56</v>
      </c>
    </row>
    <row r="269" spans="17:27">
      <c r="Q269" s="343" t="s">
        <v>338</v>
      </c>
      <c r="R269" s="343" t="s">
        <v>167</v>
      </c>
      <c r="S269" s="384">
        <v>46237</v>
      </c>
      <c r="T269" s="384">
        <v>46243</v>
      </c>
      <c r="U269" s="343" t="s">
        <v>279</v>
      </c>
      <c r="V269" s="343">
        <v>82</v>
      </c>
      <c r="W269" s="343">
        <v>984</v>
      </c>
      <c r="X269" s="343">
        <v>0</v>
      </c>
      <c r="Y269" s="343">
        <v>0</v>
      </c>
      <c r="Z269" s="343">
        <v>984</v>
      </c>
      <c r="AA269" s="343">
        <v>78.72</v>
      </c>
    </row>
    <row r="270" spans="17:27">
      <c r="Q270" s="343" t="s">
        <v>338</v>
      </c>
      <c r="R270" s="343" t="s">
        <v>167</v>
      </c>
      <c r="S270" s="384">
        <v>46237</v>
      </c>
      <c r="T270" s="384">
        <v>46243</v>
      </c>
      <c r="U270" s="343" t="s">
        <v>277</v>
      </c>
      <c r="V270" s="343">
        <v>27</v>
      </c>
      <c r="W270" s="343">
        <v>6090</v>
      </c>
      <c r="X270" s="343">
        <v>225</v>
      </c>
      <c r="Y270" s="343">
        <v>0</v>
      </c>
      <c r="Z270" s="343">
        <v>6315</v>
      </c>
      <c r="AA270" s="343">
        <v>487.2</v>
      </c>
    </row>
    <row r="271" spans="17:27">
      <c r="Q271" s="343" t="s">
        <v>338</v>
      </c>
      <c r="R271" s="343" t="s">
        <v>167</v>
      </c>
      <c r="S271" s="384">
        <v>46237</v>
      </c>
      <c r="T271" s="384">
        <v>46243</v>
      </c>
      <c r="U271" s="343" t="s">
        <v>343</v>
      </c>
      <c r="V271" s="343">
        <v>3</v>
      </c>
      <c r="W271" s="343">
        <v>375</v>
      </c>
      <c r="X271" s="343">
        <v>0</v>
      </c>
      <c r="Y271" s="343">
        <v>0</v>
      </c>
      <c r="Z271" s="343">
        <v>375</v>
      </c>
      <c r="AA271" s="343">
        <v>30</v>
      </c>
    </row>
    <row r="272" spans="17:27">
      <c r="Q272" s="343" t="s">
        <v>338</v>
      </c>
      <c r="R272" s="343" t="s">
        <v>167</v>
      </c>
      <c r="S272" s="384">
        <v>46237</v>
      </c>
      <c r="T272" s="384">
        <v>46243</v>
      </c>
      <c r="U272" s="343" t="s">
        <v>341</v>
      </c>
      <c r="V272" s="343">
        <v>2</v>
      </c>
      <c r="W272" s="343">
        <v>3738.3</v>
      </c>
      <c r="X272" s="343">
        <v>0</v>
      </c>
      <c r="Y272" s="343">
        <v>0</v>
      </c>
      <c r="Z272" s="343">
        <v>3738.3</v>
      </c>
      <c r="AA272" s="343">
        <v>261.68</v>
      </c>
    </row>
    <row r="273" spans="17:27">
      <c r="Q273" s="343" t="s">
        <v>338</v>
      </c>
      <c r="R273" s="343" t="s">
        <v>167</v>
      </c>
      <c r="S273" s="384">
        <v>46237</v>
      </c>
      <c r="T273" s="384">
        <v>46243</v>
      </c>
      <c r="U273" s="343" t="s">
        <v>293</v>
      </c>
      <c r="V273" s="343">
        <v>21</v>
      </c>
      <c r="W273" s="343">
        <v>0</v>
      </c>
      <c r="X273" s="343">
        <v>0</v>
      </c>
      <c r="Y273" s="343">
        <v>0</v>
      </c>
      <c r="Z273" s="343">
        <v>0</v>
      </c>
      <c r="AA273" s="343">
        <v>0</v>
      </c>
    </row>
    <row r="274" spans="17:27">
      <c r="Q274" s="343" t="s">
        <v>338</v>
      </c>
      <c r="R274" s="343" t="s">
        <v>167</v>
      </c>
      <c r="S274" s="384">
        <v>46237</v>
      </c>
      <c r="T274" s="384">
        <v>46243</v>
      </c>
      <c r="U274" s="343" t="s">
        <v>106</v>
      </c>
      <c r="V274" s="343">
        <v>2</v>
      </c>
      <c r="W274" s="343">
        <v>1332.8</v>
      </c>
      <c r="X274" s="343">
        <v>0</v>
      </c>
      <c r="Y274" s="343">
        <v>0</v>
      </c>
      <c r="Z274" s="343">
        <v>1332.8</v>
      </c>
      <c r="AA274" s="343">
        <v>0</v>
      </c>
    </row>
    <row r="275" spans="17:27">
      <c r="Q275" s="343" t="s">
        <v>338</v>
      </c>
      <c r="R275" s="343" t="s">
        <v>167</v>
      </c>
      <c r="S275" s="384">
        <v>46237</v>
      </c>
      <c r="T275" s="384">
        <v>46243</v>
      </c>
      <c r="U275" s="343" t="s">
        <v>345</v>
      </c>
      <c r="V275" s="343">
        <v>118</v>
      </c>
      <c r="W275" s="343">
        <v>2339</v>
      </c>
      <c r="X275" s="343">
        <v>72</v>
      </c>
      <c r="Y275" s="343">
        <v>0</v>
      </c>
      <c r="Z275" s="343">
        <v>2411</v>
      </c>
      <c r="AA275" s="343">
        <v>187.12</v>
      </c>
    </row>
    <row r="276" spans="17:27">
      <c r="Q276" s="343" t="s">
        <v>165</v>
      </c>
      <c r="R276" s="343" t="s">
        <v>168</v>
      </c>
      <c r="S276" s="384">
        <v>46244</v>
      </c>
      <c r="T276" s="384">
        <v>46250</v>
      </c>
      <c r="U276" s="343" t="s">
        <v>106</v>
      </c>
      <c r="V276" s="343">
        <v>2</v>
      </c>
      <c r="W276" s="343">
        <v>208.85</v>
      </c>
      <c r="X276" s="343">
        <v>0</v>
      </c>
      <c r="Y276" s="343">
        <v>0</v>
      </c>
      <c r="Z276" s="343">
        <v>208.85</v>
      </c>
      <c r="AA276" s="343">
        <v>0</v>
      </c>
    </row>
    <row r="277" spans="17:27">
      <c r="Q277" s="343" t="s">
        <v>165</v>
      </c>
      <c r="R277" s="343" t="s">
        <v>101</v>
      </c>
      <c r="S277" s="384">
        <v>46251</v>
      </c>
      <c r="T277" s="384">
        <v>46257</v>
      </c>
      <c r="U277" s="343" t="s">
        <v>106</v>
      </c>
      <c r="V277" s="343">
        <v>1</v>
      </c>
      <c r="W277" s="343">
        <v>486.5</v>
      </c>
      <c r="X277" s="343">
        <v>0</v>
      </c>
      <c r="Y277" s="343">
        <v>0</v>
      </c>
      <c r="Z277" s="343">
        <v>486.5</v>
      </c>
      <c r="AA277" s="343"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2299-6199-4239-B86E-F7DFA397EDDF}">
  <sheetPr>
    <tabColor theme="2" tint="-9.9978637043366805E-2"/>
    <pageSetUpPr fitToPage="1"/>
  </sheetPr>
  <dimension ref="B1:P26"/>
  <sheetViews>
    <sheetView workbookViewId="0"/>
  </sheetViews>
  <sheetFormatPr defaultColWidth="10.7109375" defaultRowHeight="15" outlineLevelCol="1"/>
  <cols>
    <col min="1" max="1" width="1.42578125" style="5" customWidth="1"/>
    <col min="2" max="2" width="32.5703125" style="5" hidden="1" customWidth="1" outlineLevel="1"/>
    <col min="3" max="3" width="29.5703125" style="5" hidden="1" customWidth="1" outlineLevel="1"/>
    <col min="4" max="4" width="32.28515625" style="5" bestFit="1" customWidth="1" collapsed="1"/>
    <col min="5" max="5" width="1.42578125" style="5" customWidth="1"/>
    <col min="6" max="8" width="14.5703125" style="5" customWidth="1" outlineLevel="1"/>
    <col min="9" max="9" width="1.5703125" style="5" customWidth="1"/>
    <col min="10" max="12" width="14.5703125" style="5" customWidth="1" outlineLevel="1"/>
    <col min="13" max="13" width="1.5703125" style="5" customWidth="1" outlineLevel="1"/>
    <col min="14" max="14" width="17.42578125" style="5" customWidth="1"/>
    <col min="15" max="15" width="15.7109375" style="5" customWidth="1"/>
    <col min="16" max="16" width="15.42578125" style="5" customWidth="1"/>
    <col min="17" max="16384" width="10.7109375" style="5"/>
  </cols>
  <sheetData>
    <row r="1" spans="3:16" ht="18.75">
      <c r="D1" s="118" t="str">
        <f>'RDG Weekly Sales'!D1</f>
        <v>Week 34</v>
      </c>
      <c r="F1" s="5">
        <f>VLOOKUP(D1,Dates!$B$2:$E$53,4,FALSE)</f>
        <v>34</v>
      </c>
      <c r="G1" s="5" t="b">
        <v>1</v>
      </c>
    </row>
    <row r="2" spans="3:16" ht="28.5">
      <c r="D2" s="399" t="str">
        <f>CONCATENATE("HONO",)</f>
        <v>HONO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</row>
    <row r="4" spans="3:16" ht="23.25">
      <c r="C4" s="121" t="e">
        <f>VLOOKUP($D$4,#REF!,2,FALSE)</f>
        <v>#REF!</v>
      </c>
      <c r="D4" s="118" t="str">
        <f>VLOOKUP(D1,'Actual - 2026'!$A$5:$B$56,2,FALSE)</f>
        <v>P8</v>
      </c>
      <c r="F4" s="406" t="str">
        <f>D1</f>
        <v>Week 34</v>
      </c>
      <c r="G4" s="406"/>
      <c r="H4" s="406"/>
      <c r="J4" s="406" t="str">
        <f>CONCATENATE("MTD"," ","-"," ",D4)</f>
        <v>MTD - P8</v>
      </c>
      <c r="K4" s="406"/>
      <c r="L4" s="406"/>
      <c r="M4" s="71"/>
      <c r="N4" s="406" t="s">
        <v>7</v>
      </c>
      <c r="O4" s="406"/>
      <c r="P4" s="406"/>
    </row>
    <row r="6" spans="3:16" ht="16.350000000000001" customHeight="1">
      <c r="D6" s="54"/>
      <c r="F6" s="142" t="s">
        <v>77</v>
      </c>
      <c r="G6" s="142" t="s">
        <v>81</v>
      </c>
      <c r="H6" s="160" t="s">
        <v>237</v>
      </c>
      <c r="J6" s="142" t="s">
        <v>77</v>
      </c>
      <c r="K6" s="142" t="s">
        <v>81</v>
      </c>
      <c r="L6" s="160" t="s">
        <v>237</v>
      </c>
      <c r="M6" s="141"/>
      <c r="N6" s="142" t="s">
        <v>77</v>
      </c>
      <c r="O6" s="142" t="s">
        <v>81</v>
      </c>
      <c r="P6" s="160" t="s">
        <v>237</v>
      </c>
    </row>
    <row r="7" spans="3:16" ht="28.9" customHeight="1">
      <c r="D7" s="109" t="s">
        <v>204</v>
      </c>
      <c r="E7" s="76"/>
      <c r="F7" s="153"/>
      <c r="G7" s="181"/>
      <c r="H7" s="165" t="e">
        <f>F7/G7</f>
        <v>#DIV/0!</v>
      </c>
      <c r="I7" s="76"/>
      <c r="J7" s="153"/>
      <c r="K7" s="181"/>
      <c r="L7" s="165" t="e">
        <f>J7/K7</f>
        <v>#DIV/0!</v>
      </c>
      <c r="N7" s="149"/>
      <c r="O7" s="180"/>
      <c r="P7" s="161" t="e">
        <f>N7/O7</f>
        <v>#DIV/0!</v>
      </c>
    </row>
    <row r="8" spans="3:16" ht="28.9" customHeight="1">
      <c r="D8" s="117" t="s">
        <v>347</v>
      </c>
      <c r="F8" s="154"/>
      <c r="G8" s="182"/>
      <c r="H8" s="166" t="e">
        <f>F8/G8</f>
        <v>#DIV/0!</v>
      </c>
      <c r="J8" s="154"/>
      <c r="K8" s="182"/>
      <c r="L8" s="166" t="e">
        <f>J8/K8</f>
        <v>#DIV/0!</v>
      </c>
      <c r="N8" s="150"/>
      <c r="O8" s="178"/>
      <c r="P8" s="162" t="e">
        <f>N8/O8</f>
        <v>#DIV/0!</v>
      </c>
    </row>
    <row r="9" spans="3:16" ht="28.9" customHeight="1">
      <c r="D9" s="117" t="s">
        <v>348</v>
      </c>
      <c r="F9" s="150"/>
      <c r="G9" s="178"/>
      <c r="H9" s="162" t="e">
        <f>F9/G9</f>
        <v>#DIV/0!</v>
      </c>
      <c r="J9" s="150"/>
      <c r="K9" s="178"/>
      <c r="L9" s="162" t="e">
        <f>J9/K9</f>
        <v>#DIV/0!</v>
      </c>
      <c r="N9" s="150"/>
      <c r="O9" s="178"/>
      <c r="P9" s="162" t="e">
        <f>N9/O9</f>
        <v>#DIV/0!</v>
      </c>
    </row>
    <row r="10" spans="3:16" ht="13.35" customHeight="1">
      <c r="D10" s="54"/>
      <c r="F10" s="151"/>
      <c r="G10" s="153"/>
      <c r="H10" s="163"/>
      <c r="J10" s="151"/>
      <c r="K10" s="153"/>
      <c r="L10" s="163"/>
      <c r="N10" s="151"/>
      <c r="O10" s="151"/>
      <c r="P10" s="163"/>
    </row>
    <row r="11" spans="3:16" ht="28.9" customHeight="1">
      <c r="D11" s="109" t="s">
        <v>205</v>
      </c>
      <c r="E11" s="49"/>
      <c r="F11" s="149"/>
      <c r="G11" s="180"/>
      <c r="H11" s="161" t="e">
        <f>F11/G11</f>
        <v>#DIV/0!</v>
      </c>
      <c r="I11" s="49"/>
      <c r="J11" s="149"/>
      <c r="K11" s="180"/>
      <c r="L11" s="161" t="e">
        <f>J11/K11</f>
        <v>#DIV/0!</v>
      </c>
      <c r="N11" s="149"/>
      <c r="O11" s="180"/>
      <c r="P11" s="161" t="e">
        <f>N11/O11</f>
        <v>#DIV/0!</v>
      </c>
    </row>
    <row r="12" spans="3:16" ht="27.6" customHeight="1">
      <c r="D12" s="117" t="s">
        <v>347</v>
      </c>
      <c r="F12" s="150"/>
      <c r="G12" s="178"/>
      <c r="H12" s="162" t="e">
        <f>F12/G12</f>
        <v>#DIV/0!</v>
      </c>
      <c r="J12" s="150"/>
      <c r="K12" s="178"/>
      <c r="L12" s="162" t="e">
        <f>J12/K12</f>
        <v>#DIV/0!</v>
      </c>
      <c r="N12" s="150"/>
      <c r="O12" s="178"/>
      <c r="P12" s="162" t="e">
        <f>N12/O12</f>
        <v>#DIV/0!</v>
      </c>
    </row>
    <row r="13" spans="3:16" ht="28.9" customHeight="1">
      <c r="D13" s="117" t="s">
        <v>348</v>
      </c>
      <c r="F13" s="150"/>
      <c r="G13" s="178"/>
      <c r="H13" s="162" t="e">
        <f>F13/G13</f>
        <v>#DIV/0!</v>
      </c>
      <c r="J13" s="150"/>
      <c r="K13" s="178"/>
      <c r="L13" s="162" t="e">
        <f>J13/K13</f>
        <v>#DIV/0!</v>
      </c>
      <c r="N13" s="150"/>
      <c r="O13" s="178"/>
      <c r="P13" s="162" t="e">
        <f>N13/O13</f>
        <v>#DIV/0!</v>
      </c>
    </row>
    <row r="14" spans="3:16" ht="12" customHeight="1">
      <c r="D14" s="54"/>
      <c r="F14" s="152"/>
      <c r="G14" s="153"/>
      <c r="H14" s="164"/>
      <c r="J14" s="152"/>
      <c r="K14" s="153"/>
      <c r="L14" s="164"/>
      <c r="N14" s="151"/>
      <c r="O14" s="153"/>
      <c r="P14" s="164"/>
    </row>
    <row r="15" spans="3:16" ht="28.9" customHeight="1">
      <c r="D15" s="109" t="s">
        <v>207</v>
      </c>
      <c r="F15" s="153"/>
      <c r="G15" s="181"/>
      <c r="H15" s="165" t="e">
        <f>F15/G15</f>
        <v>#DIV/0!</v>
      </c>
      <c r="J15" s="153"/>
      <c r="K15" s="181"/>
      <c r="L15" s="165" t="e">
        <f>J15/K15</f>
        <v>#DIV/0!</v>
      </c>
      <c r="N15" s="149"/>
      <c r="O15" s="180"/>
      <c r="P15" s="161" t="e">
        <f>N15/O15</f>
        <v>#DIV/0!</v>
      </c>
    </row>
    <row r="16" spans="3:16" ht="28.9" customHeight="1">
      <c r="D16" s="117" t="s">
        <v>347</v>
      </c>
      <c r="F16" s="154"/>
      <c r="G16" s="182"/>
      <c r="H16" s="166" t="e">
        <f>F16/G16</f>
        <v>#DIV/0!</v>
      </c>
      <c r="J16" s="154"/>
      <c r="K16" s="182"/>
      <c r="L16" s="166" t="e">
        <f>J16/K16</f>
        <v>#DIV/0!</v>
      </c>
      <c r="N16" s="150"/>
      <c r="O16" s="178"/>
      <c r="P16" s="162" t="e">
        <f>N16/O16</f>
        <v>#DIV/0!</v>
      </c>
    </row>
    <row r="17" spans="2:16" ht="28.9" customHeight="1">
      <c r="D17" s="117" t="s">
        <v>348</v>
      </c>
      <c r="F17" s="150"/>
      <c r="G17" s="178"/>
      <c r="H17" s="162" t="e">
        <f>F17/G17</f>
        <v>#DIV/0!</v>
      </c>
      <c r="J17" s="150"/>
      <c r="K17" s="178"/>
      <c r="L17" s="162" t="e">
        <f>J17/K17</f>
        <v>#DIV/0!</v>
      </c>
      <c r="N17" s="150"/>
      <c r="O17" s="178"/>
      <c r="P17" s="162" t="e">
        <f>N17/O17</f>
        <v>#DIV/0!</v>
      </c>
    </row>
    <row r="18" spans="2:16" ht="16.350000000000001" customHeight="1">
      <c r="D18" s="54"/>
      <c r="F18" s="152"/>
      <c r="G18" s="153"/>
      <c r="H18" s="164"/>
      <c r="J18" s="152"/>
      <c r="K18" s="153"/>
      <c r="L18" s="164"/>
      <c r="N18" s="151"/>
      <c r="O18" s="153"/>
      <c r="P18" s="164"/>
    </row>
    <row r="19" spans="2:16" ht="28.9" customHeight="1">
      <c r="D19" s="185" t="s">
        <v>242</v>
      </c>
      <c r="E19" s="76"/>
      <c r="F19" s="183">
        <f>SUM(F15,F11,F7)</f>
        <v>0</v>
      </c>
      <c r="G19" s="184">
        <f t="shared" ref="G19" si="0">SUM(G15,G11,G7)</f>
        <v>0</v>
      </c>
      <c r="H19" s="183" t="e">
        <f>F19/G19</f>
        <v>#DIV/0!</v>
      </c>
      <c r="I19" s="76"/>
      <c r="J19" s="183">
        <f>SUM(J15,J11,J7)</f>
        <v>0</v>
      </c>
      <c r="K19" s="184">
        <f t="shared" ref="K19" si="1">SUM(K15,K11,K7)</f>
        <v>0</v>
      </c>
      <c r="L19" s="183" t="e">
        <f>J19/K19</f>
        <v>#DIV/0!</v>
      </c>
      <c r="N19" s="183">
        <f>SUM(N15,N11,N7)</f>
        <v>0</v>
      </c>
      <c r="O19" s="184">
        <f t="shared" ref="O19" si="2">SUM(O15,O11,O7)</f>
        <v>0</v>
      </c>
      <c r="P19" s="183" t="e">
        <f>N19/O19</f>
        <v>#DIV/0!</v>
      </c>
    </row>
    <row r="20" spans="2:16" ht="28.9" customHeight="1">
      <c r="D20" s="117" t="s">
        <v>347</v>
      </c>
      <c r="F20" s="154">
        <f>SUM(F16,F12,F8)</f>
        <v>0</v>
      </c>
      <c r="G20" s="182">
        <f>SUM(G16,G12,G8)</f>
        <v>0</v>
      </c>
      <c r="H20" s="166" t="e">
        <f>F20/G20</f>
        <v>#DIV/0!</v>
      </c>
      <c r="J20" s="154">
        <f>SUM(J16,J12,J8)</f>
        <v>0</v>
      </c>
      <c r="K20" s="182">
        <f>SUM(K16,K12,K8)</f>
        <v>0</v>
      </c>
      <c r="L20" s="166" t="e">
        <f>J20/K20</f>
        <v>#DIV/0!</v>
      </c>
      <c r="N20" s="154">
        <f>SUM(N16,N12,N8)</f>
        <v>0</v>
      </c>
      <c r="O20" s="182">
        <f>SUM(O16,O12,O8)</f>
        <v>0</v>
      </c>
      <c r="P20" s="166" t="e">
        <f>N20/O20</f>
        <v>#DIV/0!</v>
      </c>
    </row>
    <row r="21" spans="2:16" ht="28.9" customHeight="1">
      <c r="D21" s="117" t="s">
        <v>348</v>
      </c>
      <c r="F21" s="150">
        <f>SUM(F9,F13,F17)</f>
        <v>0</v>
      </c>
      <c r="G21" s="178">
        <f>SUM(G9,G13,G17)</f>
        <v>0</v>
      </c>
      <c r="H21" s="162" t="e">
        <f>F21/G21</f>
        <v>#DIV/0!</v>
      </c>
      <c r="J21" s="150">
        <f>SUM(J9,J13,J17)</f>
        <v>0</v>
      </c>
      <c r="K21" s="178">
        <f>SUM(K9,K13,K17)</f>
        <v>0</v>
      </c>
      <c r="L21" s="162" t="e">
        <f>J21/K21</f>
        <v>#DIV/0!</v>
      </c>
      <c r="N21" s="150">
        <f>SUM(N9,N13,N17)</f>
        <v>0</v>
      </c>
      <c r="O21" s="178">
        <f>SUM(O9,O13,O17)</f>
        <v>0</v>
      </c>
      <c r="P21" s="162" t="e">
        <f>N21/O21</f>
        <v>#DIV/0!</v>
      </c>
    </row>
    <row r="22" spans="2:16" ht="15.75">
      <c r="B22" s="46" t="s">
        <v>95</v>
      </c>
      <c r="M22" s="99"/>
    </row>
    <row r="23" spans="2:16" ht="15.75">
      <c r="B23" s="46" t="s">
        <v>96</v>
      </c>
      <c r="M23" s="99"/>
    </row>
    <row r="24" spans="2:16" ht="15.75">
      <c r="B24" s="46" t="s">
        <v>97</v>
      </c>
      <c r="M24" s="99"/>
    </row>
    <row r="25" spans="2:16" ht="15.75">
      <c r="B25" s="46" t="s">
        <v>98</v>
      </c>
    </row>
    <row r="26" spans="2:16" ht="15.75">
      <c r="B26" s="46" t="s">
        <v>99</v>
      </c>
      <c r="M26" s="99"/>
    </row>
  </sheetData>
  <mergeCells count="4">
    <mergeCell ref="D2:P2"/>
    <mergeCell ref="F4:H4"/>
    <mergeCell ref="J4:L4"/>
    <mergeCell ref="N4:P4"/>
  </mergeCells>
  <pageMargins left="0.7" right="0.7" top="0.75" bottom="0.75" header="0.3" footer="0.3"/>
  <pageSetup scale="70" orientation="landscape" r:id="rId1"/>
  <headerFooter>
    <oddFooter>&amp;LMILA&amp;CWeekly Flash Report&amp;R&amp;P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0630B2-CBE8-4C2D-8963-0E630A72F137}">
          <x14:formula1>
            <xm:f>'Budget - 2026'!$B$5:$B$56</xm:f>
          </x14:formula1>
          <xm:sqref>D1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d0c5ac-743a-446f-b043-6d02ac60663c">
      <Terms xmlns="http://schemas.microsoft.com/office/infopath/2007/PartnerControls"/>
    </lcf76f155ced4ddcb4097134ff3c332f>
    <TaxCatchAll xmlns="14060061-6d01-4d98-ae73-534d315f7e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B1EE7B55594545BE260072E8127B5D" ma:contentTypeVersion="16" ma:contentTypeDescription="Create a new document." ma:contentTypeScope="" ma:versionID="15bb6fe43e634dd4ced86fa0e507d45d">
  <xsd:schema xmlns:xsd="http://www.w3.org/2001/XMLSchema" xmlns:xs="http://www.w3.org/2001/XMLSchema" xmlns:p="http://schemas.microsoft.com/office/2006/metadata/properties" xmlns:ns2="4dd0c5ac-743a-446f-b043-6d02ac60663c" xmlns:ns3="14060061-6d01-4d98-ae73-534d315f7e8f" targetNamespace="http://schemas.microsoft.com/office/2006/metadata/properties" ma:root="true" ma:fieldsID="06374759766b2ee4de94b7122f779dea" ns2:_="" ns3:_="">
    <xsd:import namespace="4dd0c5ac-743a-446f-b043-6d02ac60663c"/>
    <xsd:import namespace="14060061-6d01-4d98-ae73-534d315f7e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0c5ac-743a-446f-b043-6d02ac606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803a2fa-f2f0-41b7-9d11-8ea31abcf4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60061-6d01-4d98-ae73-534d315f7e8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c613f75-99f7-4173-9a11-76eae57c5d0e}" ma:internalName="TaxCatchAll" ma:showField="CatchAllData" ma:web="14060061-6d01-4d98-ae73-534d315f7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D86580-7F39-4BCB-B1C5-3A041487CB4D}"/>
</file>

<file path=customXml/itemProps2.xml><?xml version="1.0" encoding="utf-8"?>
<ds:datastoreItem xmlns:ds="http://schemas.openxmlformats.org/officeDocument/2006/customXml" ds:itemID="{944A6476-0776-423A-839F-D0D09769F645}"/>
</file>

<file path=customXml/itemProps3.xml><?xml version="1.0" encoding="utf-8"?>
<ds:datastoreItem xmlns:ds="http://schemas.openxmlformats.org/officeDocument/2006/customXml" ds:itemID="{C2BE4E39-A780-46A7-A66E-6B78029CACBE}"/>
</file>

<file path=customXml/itemProps4.xml><?xml version="1.0" encoding="utf-8"?>
<ds:datastoreItem xmlns:ds="http://schemas.openxmlformats.org/officeDocument/2006/customXml" ds:itemID="{F726AEF1-5AEE-4DB3-A0A6-17D2AB65BB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Takuma Kawamoto</dc:creator>
  <cp:keywords/>
  <dc:description/>
  <cp:lastModifiedBy/>
  <cp:revision/>
  <dcterms:created xsi:type="dcterms:W3CDTF">2023-05-30T23:23:29Z</dcterms:created>
  <dcterms:modified xsi:type="dcterms:W3CDTF">2026-08-24T13:55:32Z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0x0101000BB1EE7B55594545BE260072E8127B5D</vt:lpwstr>
  </property>
  <property fmtid="{D5CDD505-2E9C-101B-9397-08002B2CF9AE}" pid="3" name="Order">
    <vt:r8>4316600</vt:r8>
  </property>
  <property fmtid="{D5CDD505-2E9C-101B-9397-08002B2CF9AE}" pid="4" name="MediaServiceImageTags">
    <vt:lpwstr/>
  </property>
</Properties>
</file>